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.xml" ContentType="application/vnd.openxmlformats-officedocument.drawingml.chartshapes+xml"/>
  <Override PartName="/xl/charts/chart54.xml" ContentType="application/vnd.openxmlformats-officedocument.drawingml.chart+xml"/>
  <Override PartName="/xl/drawings/drawing4.xml" ContentType="application/vnd.openxmlformats-officedocument.drawingml.chartshapes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drawings/drawing7.xml" ContentType="application/vnd.openxmlformats-officedocument.drawingml.chartshapes+xml"/>
  <Override PartName="/xl/charts/chart58.xml" ContentType="application/vnd.openxmlformats-officedocument.drawingml.chart+xml"/>
  <Override PartName="/xl/drawings/drawing8.xml" ContentType="application/vnd.openxmlformats-officedocument.drawingml.chartshapes+xml"/>
  <Override PartName="/xl/charts/chart59.xml" ContentType="application/vnd.openxmlformats-officedocument.drawingml.chart+xml"/>
  <Override PartName="/xl/drawings/drawing9.xml" ContentType="application/vnd.openxmlformats-officedocument.drawingml.chartshapes+xml"/>
  <Override PartName="/xl/charts/chart60.xml" ContentType="application/vnd.openxmlformats-officedocument.drawingml.chart+xml"/>
  <Override PartName="/xl/drawings/drawing10.xml" ContentType="application/vnd.openxmlformats-officedocument.drawingml.chartshapes+xml"/>
  <Override PartName="/xl/charts/chart61.xml" ContentType="application/vnd.openxmlformats-officedocument.drawingml.chart+xml"/>
  <Override PartName="/xl/drawings/drawing11.xml" ContentType="application/vnd.openxmlformats-officedocument.drawingml.chartshapes+xml"/>
  <Override PartName="/xl/charts/chart62.xml" ContentType="application/vnd.openxmlformats-officedocument.drawingml.chart+xml"/>
  <Override PartName="/xl/drawings/drawing12.xml" ContentType="application/vnd.openxmlformats-officedocument.drawingml.chartshapes+xml"/>
  <Override PartName="/xl/charts/chart63.xml" ContentType="application/vnd.openxmlformats-officedocument.drawingml.chart+xml"/>
  <Override PartName="/xl/drawings/drawing13.xml" ContentType="application/vnd.openxmlformats-officedocument.drawingml.chartshapes+xml"/>
  <Override PartName="/xl/charts/chart64.xml" ContentType="application/vnd.openxmlformats-officedocument.drawingml.chart+xml"/>
  <Override PartName="/xl/drawings/drawing14.xml" ContentType="application/vnd.openxmlformats-officedocument.drawingml.chartshapes+xml"/>
  <Override PartName="/xl/charts/chart65.xml" ContentType="application/vnd.openxmlformats-officedocument.drawingml.chart+xml"/>
  <Override PartName="/xl/drawings/drawing15.xml" ContentType="application/vnd.openxmlformats-officedocument.drawingml.chartshapes+xml"/>
  <Override PartName="/xl/charts/chart66.xml" ContentType="application/vnd.openxmlformats-officedocument.drawingml.chart+xml"/>
  <Override PartName="/xl/drawings/drawing16.xml" ContentType="application/vnd.openxmlformats-officedocument.drawingml.chartshapes+xml"/>
  <Override PartName="/xl/charts/chart67.xml" ContentType="application/vnd.openxmlformats-officedocument.drawingml.chart+xml"/>
  <Override PartName="/xl/drawings/drawing17.xml" ContentType="application/vnd.openxmlformats-officedocument.drawingml.chartshapes+xml"/>
  <Override PartName="/xl/charts/chart68.xml" ContentType="application/vnd.openxmlformats-officedocument.drawingml.chart+xml"/>
  <Override PartName="/xl/drawings/drawing18.xml" ContentType="application/vnd.openxmlformats-officedocument.drawingml.chartshapes+xml"/>
  <Override PartName="/xl/charts/chart69.xml" ContentType="application/vnd.openxmlformats-officedocument.drawingml.chart+xml"/>
  <Override PartName="/xl/drawings/drawing19.xml" ContentType="application/vnd.openxmlformats-officedocument.drawingml.chartshapes+xml"/>
  <Override PartName="/xl/charts/chart70.xml" ContentType="application/vnd.openxmlformats-officedocument.drawingml.chart+xml"/>
  <Override PartName="/xl/drawings/drawing20.xml" ContentType="application/vnd.openxmlformats-officedocument.drawingml.chartshapes+xml"/>
  <Override PartName="/xl/charts/chart71.xml" ContentType="application/vnd.openxmlformats-officedocument.drawingml.chart+xml"/>
  <Override PartName="/xl/drawings/drawing21.xml" ContentType="application/vnd.openxmlformats-officedocument.drawingml.chartshapes+xml"/>
  <Override PartName="/xl/charts/chart72.xml" ContentType="application/vnd.openxmlformats-officedocument.drawingml.chart+xml"/>
  <Override PartName="/xl/drawings/drawing22.xml" ContentType="application/vnd.openxmlformats-officedocument.drawingml.chartshapes+xml"/>
  <Override PartName="/xl/charts/chart73.xml" ContentType="application/vnd.openxmlformats-officedocument.drawingml.chart+xml"/>
  <Override PartName="/xl/drawings/drawing23.xml" ContentType="application/vnd.openxmlformats-officedocument.drawingml.chartshapes+xml"/>
  <Override PartName="/xl/charts/chart74.xml" ContentType="application/vnd.openxmlformats-officedocument.drawingml.chart+xml"/>
  <Override PartName="/xl/drawings/drawing24.xml" ContentType="application/vnd.openxmlformats-officedocument.drawingml.chartshapes+xml"/>
  <Override PartName="/xl/charts/chart75.xml" ContentType="application/vnd.openxmlformats-officedocument.drawingml.chart+xml"/>
  <Override PartName="/xl/drawings/drawing25.xml" ContentType="application/vnd.openxmlformats-officedocument.drawingml.chartshapes+xml"/>
  <Override PartName="/xl/charts/chart76.xml" ContentType="application/vnd.openxmlformats-officedocument.drawingml.chart+xml"/>
  <Override PartName="/xl/drawings/drawing26.xml" ContentType="application/vnd.openxmlformats-officedocument.drawingml.chartshapes+xml"/>
  <Override PartName="/xl/charts/chart77.xml" ContentType="application/vnd.openxmlformats-officedocument.drawingml.chart+xml"/>
  <Override PartName="/xl/drawings/drawing27.xml" ContentType="application/vnd.openxmlformats-officedocument.drawingml.chartshapes+xml"/>
  <Override PartName="/xl/charts/chart78.xml" ContentType="application/vnd.openxmlformats-officedocument.drawingml.chart+xml"/>
  <Override PartName="/xl/drawings/drawing28.xml" ContentType="application/vnd.openxmlformats-officedocument.drawingml.chartshapes+xml"/>
  <Override PartName="/xl/charts/chart79.xml" ContentType="application/vnd.openxmlformats-officedocument.drawingml.chart+xml"/>
  <Override PartName="/xl/drawings/drawing29.xml" ContentType="application/vnd.openxmlformats-officedocument.drawingml.chartshapes+xml"/>
  <Override PartName="/xl/charts/chart80.xml" ContentType="application/vnd.openxmlformats-officedocument.drawingml.chart+xml"/>
  <Override PartName="/xl/drawings/drawing30.xml" ContentType="application/vnd.openxmlformats-officedocument.drawingml.chartshapes+xml"/>
  <Override PartName="/xl/charts/chart81.xml" ContentType="application/vnd.openxmlformats-officedocument.drawingml.chart+xml"/>
  <Override PartName="/xl/drawings/drawing31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2.xml" ContentType="application/vnd.openxmlformats-officedocument.drawingml.chartshapes+xml"/>
  <Override PartName="/xl/charts/chart93.xml" ContentType="application/vnd.openxmlformats-officedocument.drawingml.chart+xml"/>
  <Override PartName="/xl/drawings/drawing33.xml" ContentType="application/vnd.openxmlformats-officedocument.drawingml.chartshapes+xml"/>
  <Override PartName="/xl/charts/chart94.xml" ContentType="application/vnd.openxmlformats-officedocument.drawingml.chart+xml"/>
  <Override PartName="/xl/drawings/drawing34.xml" ContentType="application/vnd.openxmlformats-officedocument.drawingml.chartshapes+xml"/>
  <Override PartName="/xl/charts/chart95.xml" ContentType="application/vnd.openxmlformats-officedocument.drawingml.chart+xml"/>
  <Override PartName="/xl/drawings/drawing35.xml" ContentType="application/vnd.openxmlformats-officedocument.drawingml.chartshapes+xml"/>
  <Override PartName="/xl/charts/chart96.xml" ContentType="application/vnd.openxmlformats-officedocument.drawingml.chart+xml"/>
  <Override PartName="/xl/drawings/drawing36.xml" ContentType="application/vnd.openxmlformats-officedocument.drawingml.chartshapes+xml"/>
  <Override PartName="/xl/charts/chart97.xml" ContentType="application/vnd.openxmlformats-officedocument.drawingml.chart+xml"/>
  <Override PartName="/xl/drawings/drawing37.xml" ContentType="application/vnd.openxmlformats-officedocument.drawingml.chartshapes+xml"/>
  <Override PartName="/xl/charts/chart98.xml" ContentType="application/vnd.openxmlformats-officedocument.drawingml.chart+xml"/>
  <Override PartName="/xl/drawings/drawing38.xml" ContentType="application/vnd.openxmlformats-officedocument.drawingml.chartshapes+xml"/>
  <Override PartName="/xl/charts/chart99.xml" ContentType="application/vnd.openxmlformats-officedocument.drawingml.chart+xml"/>
  <Override PartName="/xl/drawings/drawing39.xml" ContentType="application/vnd.openxmlformats-officedocument.drawingml.chartshapes+xml"/>
  <Override PartName="/xl/charts/chart100.xml" ContentType="application/vnd.openxmlformats-officedocument.drawingml.chart+xml"/>
  <Override PartName="/xl/drawings/drawing40.xml" ContentType="application/vnd.openxmlformats-officedocument.drawingml.chartshapes+xml"/>
  <Override PartName="/xl/charts/chart101.xml" ContentType="application/vnd.openxmlformats-officedocument.drawingml.chart+xml"/>
  <Override PartName="/xl/drawings/drawing41.xml" ContentType="application/vnd.openxmlformats-officedocument.drawingml.chartshapes+xml"/>
  <Override PartName="/xl/charts/chart102.xml" ContentType="application/vnd.openxmlformats-officedocument.drawingml.chart+xml"/>
  <Override PartName="/xl/drawings/drawing42.xml" ContentType="application/vnd.openxmlformats-officedocument.drawingml.chartshapes+xml"/>
  <Override PartName="/xl/charts/chart103.xml" ContentType="application/vnd.openxmlformats-officedocument.drawingml.chart+xml"/>
  <Override PartName="/xl/drawings/drawing43.xml" ContentType="application/vnd.openxmlformats-officedocument.drawingml.chartshapes+xml"/>
  <Override PartName="/xl/charts/chart104.xml" ContentType="application/vnd.openxmlformats-officedocument.drawingml.chart+xml"/>
  <Override PartName="/xl/drawings/drawing44.xml" ContentType="application/vnd.openxmlformats-officedocument.drawingml.chartshapes+xml"/>
  <Override PartName="/xl/charts/chart105.xml" ContentType="application/vnd.openxmlformats-officedocument.drawingml.chart+xml"/>
  <Override PartName="/xl/drawings/drawing45.xml" ContentType="application/vnd.openxmlformats-officedocument.drawingml.chartshapes+xml"/>
  <Override PartName="/xl/charts/chart106.xml" ContentType="application/vnd.openxmlformats-officedocument.drawingml.chart+xml"/>
  <Override PartName="/xl/drawings/drawing46.xml" ContentType="application/vnd.openxmlformats-officedocument.drawingml.chartshapes+xml"/>
  <Override PartName="/xl/charts/chart107.xml" ContentType="application/vnd.openxmlformats-officedocument.drawingml.chart+xml"/>
  <Override PartName="/xl/drawings/drawing47.xml" ContentType="application/vnd.openxmlformats-officedocument.drawingml.chartshapes+xml"/>
  <Override PartName="/xl/charts/chart108.xml" ContentType="application/vnd.openxmlformats-officedocument.drawingml.chart+xml"/>
  <Override PartName="/xl/drawings/drawing48.xml" ContentType="application/vnd.openxmlformats-officedocument.drawingml.chartshapes+xml"/>
  <Override PartName="/xl/charts/chart109.xml" ContentType="application/vnd.openxmlformats-officedocument.drawingml.chart+xml"/>
  <Override PartName="/xl/drawings/drawing49.xml" ContentType="application/vnd.openxmlformats-officedocument.drawingml.chartshapes+xml"/>
  <Override PartName="/xl/charts/chart110.xml" ContentType="application/vnd.openxmlformats-officedocument.drawingml.chart+xml"/>
  <Override PartName="/xl/drawings/drawing50.xml" ContentType="application/vnd.openxmlformats-officedocument.drawingml.chartshapes+xml"/>
  <Override PartName="/xl/charts/chart111.xml" ContentType="application/vnd.openxmlformats-officedocument.drawingml.chart+xml"/>
  <Override PartName="/xl/drawings/drawing51.xml" ContentType="application/vnd.openxmlformats-officedocument.drawingml.chartshapes+xml"/>
  <Override PartName="/xl/charts/chart112.xml" ContentType="application/vnd.openxmlformats-officedocument.drawingml.chart+xml"/>
  <Override PartName="/xl/drawings/drawing52.xml" ContentType="application/vnd.openxmlformats-officedocument.drawingml.chartshapes+xml"/>
  <Override PartName="/xl/charts/chart113.xml" ContentType="application/vnd.openxmlformats-officedocument.drawingml.chart+xml"/>
  <Override PartName="/xl/drawings/drawing53.xml" ContentType="application/vnd.openxmlformats-officedocument.drawingml.chartshapes+xml"/>
  <Override PartName="/xl/charts/chart114.xml" ContentType="application/vnd.openxmlformats-officedocument.drawingml.chart+xml"/>
  <Override PartName="/xl/drawings/drawing54.xml" ContentType="application/vnd.openxmlformats-officedocument.drawingml.chartshapes+xml"/>
  <Override PartName="/xl/charts/chart115.xml" ContentType="application/vnd.openxmlformats-officedocument.drawingml.chart+xml"/>
  <Override PartName="/xl/drawings/drawing55.xml" ContentType="application/vnd.openxmlformats-officedocument.drawingml.chartshapes+xml"/>
  <Override PartName="/xl/charts/chart116.xml" ContentType="application/vnd.openxmlformats-officedocument.drawingml.chart+xml"/>
  <Override PartName="/xl/drawings/drawing56.xml" ContentType="application/vnd.openxmlformats-officedocument.drawingml.chartshapes+xml"/>
  <Override PartName="/xl/charts/chart117.xml" ContentType="application/vnd.openxmlformats-officedocument.drawingml.chart+xml"/>
  <Override PartName="/xl/drawings/drawing57.xml" ContentType="application/vnd.openxmlformats-officedocument.drawingml.chartshapes+xml"/>
  <Override PartName="/xl/charts/chart118.xml" ContentType="application/vnd.openxmlformats-officedocument.drawingml.chart+xml"/>
  <Override PartName="/xl/drawings/drawing58.xml" ContentType="application/vnd.openxmlformats-officedocument.drawingml.chartshapes+xml"/>
  <Override PartName="/xl/charts/chart119.xml" ContentType="application/vnd.openxmlformats-officedocument.drawingml.chart+xml"/>
  <Override PartName="/xl/drawings/drawing59.xml" ContentType="application/vnd.openxmlformats-officedocument.drawingml.chartshapes+xml"/>
  <Override PartName="/xl/charts/chart120.xml" ContentType="application/vnd.openxmlformats-officedocument.drawingml.chart+xml"/>
  <Override PartName="/xl/drawings/drawing60.xml" ContentType="application/vnd.openxmlformats-officedocument.drawingml.chartshapes+xml"/>
  <Override PartName="/xl/charts/chart121.xml" ContentType="application/vnd.openxmlformats-officedocument.drawingml.chart+xml"/>
  <Override PartName="/xl/drawings/drawing61.xml" ContentType="application/vnd.openxmlformats-officedocument.drawingml.chartshapes+xml"/>
  <Override PartName="/xl/charts/chart122.xml" ContentType="application/vnd.openxmlformats-officedocument.drawingml.chart+xml"/>
  <Override PartName="/xl/drawings/drawing62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3.xml" ContentType="application/vnd.openxmlformats-officedocument.drawingml.chartshapes+xml"/>
  <Override PartName="/xl/charts/chart129.xml" ContentType="application/vnd.openxmlformats-officedocument.drawingml.chart+xml"/>
  <Override PartName="/xl/drawings/drawing64.xml" ContentType="application/vnd.openxmlformats-officedocument.drawingml.chartshapes+xml"/>
  <Override PartName="/xl/charts/chart130.xml" ContentType="application/vnd.openxmlformats-officedocument.drawingml.chart+xml"/>
  <Override PartName="/xl/drawings/drawing65.xml" ContentType="application/vnd.openxmlformats-officedocument.drawingml.chartshapes+xml"/>
  <Override PartName="/xl/charts/chart131.xml" ContentType="application/vnd.openxmlformats-officedocument.drawingml.chart+xml"/>
  <Override PartName="/xl/drawings/drawing66.xml" ContentType="application/vnd.openxmlformats-officedocument.drawingml.chartshapes+xml"/>
  <Override PartName="/xl/charts/chart132.xml" ContentType="application/vnd.openxmlformats-officedocument.drawingml.chart+xml"/>
  <Override PartName="/xl/drawings/drawing67.xml" ContentType="application/vnd.openxmlformats-officedocument.drawingml.chartshapes+xml"/>
  <Override PartName="/xl/charts/chart133.xml" ContentType="application/vnd.openxmlformats-officedocument.drawingml.chart+xml"/>
  <Override PartName="/xl/drawings/drawing68.xml" ContentType="application/vnd.openxmlformats-officedocument.drawingml.chartshapes+xml"/>
  <Override PartName="/xl/charts/chart134.xml" ContentType="application/vnd.openxmlformats-officedocument.drawingml.chart+xml"/>
  <Override PartName="/xl/drawings/drawing69.xml" ContentType="application/vnd.openxmlformats-officedocument.drawingml.chartshapes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0.xml" ContentType="application/vnd.openxmlformats-officedocument.drawingml.chartshapes+xml"/>
  <Override PartName="/xl/charts/chart143.xml" ContentType="application/vnd.openxmlformats-officedocument.drawingml.chart+xml"/>
  <Override PartName="/xl/drawings/drawing71.xml" ContentType="application/vnd.openxmlformats-officedocument.drawingml.chartshapes+xml"/>
  <Override PartName="/xl/charts/chart144.xml" ContentType="application/vnd.openxmlformats-officedocument.drawingml.chart+xml"/>
  <Override PartName="/xl/drawings/drawing72.xml" ContentType="application/vnd.openxmlformats-officedocument.drawingml.chartshapes+xml"/>
  <Override PartName="/xl/charts/chart145.xml" ContentType="application/vnd.openxmlformats-officedocument.drawingml.chart+xml"/>
  <Override PartName="/xl/drawings/drawing73.xml" ContentType="application/vnd.openxmlformats-officedocument.drawingml.chartshapes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1985" yWindow="45" windowWidth="12030" windowHeight="10095" activeTab="5"/>
  </bookViews>
  <sheets>
    <sheet name="ENCUESTA CONDUCTORES" sheetId="1" r:id="rId1"/>
    <sheet name="FORMULAS" sheetId="2" r:id="rId2"/>
    <sheet name="GRÁFICAS" sheetId="3" r:id="rId3"/>
    <sheet name="FORMULAS FEB" sheetId="5" r:id="rId4"/>
    <sheet name="GRAFICAS FEB" sheetId="6" r:id="rId5"/>
    <sheet name="0,1" sheetId="4" r:id="rId6"/>
  </sheets>
  <calcPr calcId="145621"/>
</workbook>
</file>

<file path=xl/calcChain.xml><?xml version="1.0" encoding="utf-8"?>
<calcChain xmlns="http://schemas.openxmlformats.org/spreadsheetml/2006/main">
  <c r="D514" i="1" l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516" i="1" s="1"/>
  <c r="HN8" i="5" l="1"/>
  <c r="HN7" i="5" s="1"/>
  <c r="HN6" i="5" s="1"/>
  <c r="HN5" i="5" s="1"/>
  <c r="HN4" i="5"/>
  <c r="HM8" i="5"/>
  <c r="HM7" i="5" s="1"/>
  <c r="HM6" i="5" s="1"/>
  <c r="HM5" i="5" s="1"/>
  <c r="HM4" i="5"/>
  <c r="HL8" i="5"/>
  <c r="HL7" i="5" s="1"/>
  <c r="HL6" i="5" s="1"/>
  <c r="HL5" i="5" s="1"/>
  <c r="HL4" i="5"/>
  <c r="HK8" i="5"/>
  <c r="HO8" i="5" s="1"/>
  <c r="HK4" i="5"/>
  <c r="HO4" i="5" s="1"/>
  <c r="HB34" i="5"/>
  <c r="HA34" i="5"/>
  <c r="GZ34" i="5"/>
  <c r="GY34" i="5"/>
  <c r="HB33" i="5"/>
  <c r="HA33" i="5"/>
  <c r="GZ33" i="5"/>
  <c r="GY33" i="5"/>
  <c r="HB32" i="5"/>
  <c r="HA32" i="5"/>
  <c r="HA36" i="5" s="1"/>
  <c r="GZ32" i="5"/>
  <c r="GZ36" i="5" s="1"/>
  <c r="GY32" i="5"/>
  <c r="GY36" i="5" s="1"/>
  <c r="HB36" i="5"/>
  <c r="HB25" i="5"/>
  <c r="HA25" i="5"/>
  <c r="GZ25" i="5"/>
  <c r="GY25" i="5"/>
  <c r="HB24" i="5"/>
  <c r="HA24" i="5"/>
  <c r="GZ24" i="5"/>
  <c r="GY24" i="5"/>
  <c r="HB23" i="5"/>
  <c r="HB27" i="5" s="1"/>
  <c r="HA23" i="5"/>
  <c r="GZ23" i="5"/>
  <c r="GZ27" i="5" s="1"/>
  <c r="GY23" i="5"/>
  <c r="GY27" i="5" s="1"/>
  <c r="HB16" i="5"/>
  <c r="HA16" i="5"/>
  <c r="GZ16" i="5"/>
  <c r="GY16" i="5"/>
  <c r="HB15" i="5"/>
  <c r="HA15" i="5"/>
  <c r="GZ15" i="5"/>
  <c r="GY15" i="5"/>
  <c r="HB14" i="5"/>
  <c r="HA14" i="5"/>
  <c r="HA18" i="5" s="1"/>
  <c r="GZ14" i="5"/>
  <c r="GY14" i="5"/>
  <c r="GY18" i="5" s="1"/>
  <c r="HB7" i="5"/>
  <c r="HA7" i="5"/>
  <c r="GZ7" i="5"/>
  <c r="GY7" i="5"/>
  <c r="HB6" i="5"/>
  <c r="HA6" i="5"/>
  <c r="GZ6" i="5"/>
  <c r="GY6" i="5"/>
  <c r="HB5" i="5"/>
  <c r="HA5" i="5"/>
  <c r="GZ5" i="5"/>
  <c r="GY5" i="5"/>
  <c r="HB4" i="5"/>
  <c r="HA4" i="5"/>
  <c r="GZ4" i="5"/>
  <c r="GY4" i="5"/>
  <c r="HA27" i="5" l="1"/>
  <c r="HC28" i="5" s="1"/>
  <c r="HC25" i="5"/>
  <c r="HC16" i="5"/>
  <c r="HC15" i="5"/>
  <c r="HC34" i="5"/>
  <c r="HC5" i="5"/>
  <c r="HC6" i="5"/>
  <c r="HC4" i="5"/>
  <c r="GZ8" i="5"/>
  <c r="HB8" i="5"/>
  <c r="GY8" i="5"/>
  <c r="HA8" i="5"/>
  <c r="HK7" i="5"/>
  <c r="HN9" i="5"/>
  <c r="HF40" i="5" s="1"/>
  <c r="HM9" i="5"/>
  <c r="HL9" i="5"/>
  <c r="HF22" i="5" s="1"/>
  <c r="HC37" i="5"/>
  <c r="HC32" i="5"/>
  <c r="HC33" i="5"/>
  <c r="HC23" i="5"/>
  <c r="HC24" i="5"/>
  <c r="GZ18" i="5"/>
  <c r="HB18" i="5"/>
  <c r="HC14" i="5"/>
  <c r="HC7" i="5"/>
  <c r="HF44" i="5" l="1"/>
  <c r="HF26" i="5"/>
  <c r="HF36" i="5"/>
  <c r="HG36" i="5"/>
  <c r="HF34" i="5"/>
  <c r="HC9" i="5"/>
  <c r="HF35" i="5"/>
  <c r="HF32" i="5"/>
  <c r="HG27" i="5"/>
  <c r="HF27" i="5"/>
  <c r="HG45" i="5"/>
  <c r="HF45" i="5"/>
  <c r="HF42" i="5"/>
  <c r="HF25" i="5"/>
  <c r="HO7" i="5"/>
  <c r="HK6" i="5"/>
  <c r="HF43" i="5"/>
  <c r="HF33" i="5"/>
  <c r="HF24" i="5"/>
  <c r="HC8" i="5"/>
  <c r="HF31" i="5"/>
  <c r="HF41" i="5"/>
  <c r="HF23" i="5"/>
  <c r="HC36" i="5"/>
  <c r="HC27" i="5"/>
  <c r="GX33" i="5" s="1"/>
  <c r="HC18" i="5"/>
  <c r="GU18" i="5" s="1"/>
  <c r="HC19" i="5"/>
  <c r="GX8" i="5" l="1"/>
  <c r="GV4" i="5"/>
  <c r="GV5" i="5"/>
  <c r="GV6" i="5"/>
  <c r="GV7" i="5"/>
  <c r="GW4" i="5"/>
  <c r="GW5" i="5"/>
  <c r="GW6" i="5"/>
  <c r="GW7" i="5"/>
  <c r="GT4" i="5"/>
  <c r="GX5" i="5"/>
  <c r="GX6" i="5"/>
  <c r="GT7" i="5"/>
  <c r="GU4" i="5"/>
  <c r="GU5" i="5"/>
  <c r="GU6" i="5"/>
  <c r="GU7" i="5"/>
  <c r="GT5" i="5"/>
  <c r="GT6" i="5"/>
  <c r="GW8" i="5"/>
  <c r="GV8" i="5"/>
  <c r="GT8" i="5"/>
  <c r="GX32" i="5"/>
  <c r="GX4" i="5"/>
  <c r="HO6" i="5"/>
  <c r="HK5" i="5"/>
  <c r="GX7" i="5"/>
  <c r="GU8" i="5"/>
  <c r="GW35" i="5"/>
  <c r="GU35" i="5"/>
  <c r="GU34" i="5"/>
  <c r="GW34" i="5"/>
  <c r="GT34" i="5"/>
  <c r="GW33" i="5"/>
  <c r="GU33" i="5"/>
  <c r="GW32" i="5"/>
  <c r="GU32" i="5"/>
  <c r="GX26" i="5"/>
  <c r="GV26" i="5"/>
  <c r="GT26" i="5"/>
  <c r="GW25" i="5"/>
  <c r="GU25" i="5"/>
  <c r="GX24" i="5"/>
  <c r="GV24" i="5"/>
  <c r="GT24" i="5"/>
  <c r="GW23" i="5"/>
  <c r="GU23" i="5"/>
  <c r="GX35" i="5"/>
  <c r="GV35" i="5"/>
  <c r="GT35" i="5"/>
  <c r="GV34" i="5"/>
  <c r="GT33" i="5"/>
  <c r="GV33" i="5"/>
  <c r="GV32" i="5"/>
  <c r="GX27" i="5"/>
  <c r="GW26" i="5"/>
  <c r="GU26" i="5"/>
  <c r="GX25" i="5"/>
  <c r="GV25" i="5"/>
  <c r="GT25" i="5"/>
  <c r="GW24" i="5"/>
  <c r="GU24" i="5"/>
  <c r="GX23" i="5"/>
  <c r="GV23" i="5"/>
  <c r="GT23" i="5"/>
  <c r="GW27" i="5"/>
  <c r="GU36" i="5"/>
  <c r="GX34" i="5"/>
  <c r="GV36" i="5"/>
  <c r="GT36" i="5"/>
  <c r="GU27" i="5"/>
  <c r="GT27" i="5"/>
  <c r="GW36" i="5"/>
  <c r="GV27" i="5"/>
  <c r="GT32" i="5"/>
  <c r="GX36" i="5"/>
  <c r="GX18" i="5"/>
  <c r="GW17" i="5"/>
  <c r="GU17" i="5"/>
  <c r="GX16" i="5"/>
  <c r="GV16" i="5"/>
  <c r="GT16" i="5"/>
  <c r="GW15" i="5"/>
  <c r="GU15" i="5"/>
  <c r="GX14" i="5"/>
  <c r="GV14" i="5"/>
  <c r="GT14" i="5"/>
  <c r="GX17" i="5"/>
  <c r="GV17" i="5"/>
  <c r="GT17" i="5"/>
  <c r="GW16" i="5"/>
  <c r="GU16" i="5"/>
  <c r="GX15" i="5"/>
  <c r="GV15" i="5"/>
  <c r="GT15" i="5"/>
  <c r="GW14" i="5"/>
  <c r="GU14" i="5"/>
  <c r="GT18" i="5"/>
  <c r="GV18" i="5"/>
  <c r="GW18" i="5"/>
  <c r="HO5" i="5" l="1"/>
  <c r="HK9" i="5"/>
  <c r="HF14" i="5" s="1"/>
  <c r="F202" i="5"/>
  <c r="E202" i="5"/>
  <c r="D202" i="5"/>
  <c r="C202" i="5"/>
  <c r="F200" i="5"/>
  <c r="E200" i="5"/>
  <c r="D200" i="5"/>
  <c r="C200" i="5"/>
  <c r="F199" i="5"/>
  <c r="E199" i="5"/>
  <c r="D199" i="5"/>
  <c r="C199" i="5"/>
  <c r="F198" i="5"/>
  <c r="E198" i="5"/>
  <c r="D198" i="5"/>
  <c r="C198" i="5"/>
  <c r="F197" i="5"/>
  <c r="E197" i="5"/>
  <c r="D197" i="5"/>
  <c r="C197" i="5"/>
  <c r="F196" i="5"/>
  <c r="E196" i="5"/>
  <c r="D196" i="5"/>
  <c r="C196" i="5"/>
  <c r="F195" i="5"/>
  <c r="E195" i="5"/>
  <c r="D195" i="5"/>
  <c r="C195" i="5"/>
  <c r="F194" i="5"/>
  <c r="E194" i="5"/>
  <c r="D194" i="5"/>
  <c r="C194" i="5"/>
  <c r="F193" i="5"/>
  <c r="F201" i="5" s="1"/>
  <c r="E193" i="5"/>
  <c r="D193" i="5"/>
  <c r="D201" i="5" s="1"/>
  <c r="C193" i="5"/>
  <c r="C201" i="5" s="1"/>
  <c r="K186" i="5"/>
  <c r="J186" i="5"/>
  <c r="I186" i="5"/>
  <c r="H186" i="5"/>
  <c r="K184" i="5"/>
  <c r="J184" i="5"/>
  <c r="I184" i="5"/>
  <c r="H184" i="5"/>
  <c r="K183" i="5"/>
  <c r="J183" i="5"/>
  <c r="I183" i="5"/>
  <c r="H183" i="5"/>
  <c r="K182" i="5"/>
  <c r="J182" i="5"/>
  <c r="I182" i="5"/>
  <c r="H182" i="5"/>
  <c r="K181" i="5"/>
  <c r="J181" i="5"/>
  <c r="I181" i="5"/>
  <c r="H181" i="5"/>
  <c r="K180" i="5"/>
  <c r="J180" i="5"/>
  <c r="I180" i="5"/>
  <c r="H180" i="5"/>
  <c r="K179" i="5"/>
  <c r="J179" i="5"/>
  <c r="I179" i="5"/>
  <c r="H179" i="5"/>
  <c r="K178" i="5"/>
  <c r="J178" i="5"/>
  <c r="I178" i="5"/>
  <c r="H178" i="5"/>
  <c r="K177" i="5"/>
  <c r="K185" i="5" s="1"/>
  <c r="F185" i="5" s="1"/>
  <c r="J177" i="5"/>
  <c r="I177" i="5"/>
  <c r="H177" i="5"/>
  <c r="E201" i="5" l="1"/>
  <c r="I185" i="5"/>
  <c r="D185" i="5" s="1"/>
  <c r="G194" i="5"/>
  <c r="G195" i="5"/>
  <c r="G196" i="5"/>
  <c r="G197" i="5"/>
  <c r="G198" i="5"/>
  <c r="G199" i="5"/>
  <c r="G200" i="5"/>
  <c r="D178" i="5"/>
  <c r="F178" i="5"/>
  <c r="D179" i="5"/>
  <c r="F179" i="5"/>
  <c r="D180" i="5"/>
  <c r="F180" i="5"/>
  <c r="D181" i="5"/>
  <c r="F181" i="5"/>
  <c r="D182" i="5"/>
  <c r="F182" i="5"/>
  <c r="D183" i="5"/>
  <c r="F183" i="5"/>
  <c r="D184" i="5"/>
  <c r="F184" i="5"/>
  <c r="HF18" i="5"/>
  <c r="HG18" i="5"/>
  <c r="HO9" i="5"/>
  <c r="HF17" i="5"/>
  <c r="HF13" i="5"/>
  <c r="HF16" i="5"/>
  <c r="HF15" i="5"/>
  <c r="HO10" i="5"/>
  <c r="L186" i="5"/>
  <c r="F177" i="5"/>
  <c r="G202" i="5"/>
  <c r="G201" i="5"/>
  <c r="G193" i="5"/>
  <c r="L179" i="5"/>
  <c r="L180" i="5"/>
  <c r="L181" i="5"/>
  <c r="L182" i="5"/>
  <c r="L183" i="5"/>
  <c r="L184" i="5"/>
  <c r="H185" i="5"/>
  <c r="C185" i="5" s="1"/>
  <c r="J185" i="5"/>
  <c r="E185" i="5" s="1"/>
  <c r="L177" i="5"/>
  <c r="L178" i="5"/>
  <c r="D177" i="5" l="1"/>
  <c r="HJ9" i="5"/>
  <c r="HJ4" i="5"/>
  <c r="HF4" i="5"/>
  <c r="HG5" i="5"/>
  <c r="HH6" i="5"/>
  <c r="HI7" i="5"/>
  <c r="HH8" i="5"/>
  <c r="HH5" i="5"/>
  <c r="HI6" i="5"/>
  <c r="HG8" i="5"/>
  <c r="HJ8" i="5"/>
  <c r="HG4" i="5"/>
  <c r="HH4" i="5"/>
  <c r="HI5" i="5"/>
  <c r="HG7" i="5"/>
  <c r="HF8" i="5"/>
  <c r="HI4" i="5"/>
  <c r="HG6" i="5"/>
  <c r="HH7" i="5"/>
  <c r="HI8" i="5"/>
  <c r="HH9" i="5"/>
  <c r="HI9" i="5"/>
  <c r="HF7" i="5"/>
  <c r="HG9" i="5"/>
  <c r="HJ7" i="5"/>
  <c r="HF6" i="5"/>
  <c r="HJ6" i="5"/>
  <c r="HF5" i="5"/>
  <c r="HF9" i="5"/>
  <c r="G203" i="5"/>
  <c r="HJ5" i="5"/>
  <c r="C184" i="5"/>
  <c r="C183" i="5"/>
  <c r="C182" i="5"/>
  <c r="C181" i="5"/>
  <c r="C180" i="5"/>
  <c r="C179" i="5"/>
  <c r="C178" i="5"/>
  <c r="C177" i="5"/>
  <c r="E184" i="5"/>
  <c r="E183" i="5"/>
  <c r="E182" i="5"/>
  <c r="E181" i="5"/>
  <c r="E180" i="5"/>
  <c r="E179" i="5"/>
  <c r="E178" i="5"/>
  <c r="E177" i="5"/>
  <c r="L185" i="5"/>
  <c r="G185" i="5" s="1"/>
  <c r="AN4" i="5"/>
  <c r="AN5" i="5" s="1"/>
  <c r="AN6" i="5" s="1"/>
  <c r="FV30" i="5"/>
  <c r="FV28" i="5"/>
  <c r="FV23" i="5"/>
  <c r="FV24" i="5" s="1"/>
  <c r="G180" i="5" l="1"/>
  <c r="G184" i="5"/>
  <c r="G181" i="5"/>
  <c r="G177" i="5"/>
  <c r="G182" i="5"/>
  <c r="G178" i="5"/>
  <c r="G179" i="5"/>
  <c r="G183" i="5"/>
  <c r="L187" i="5"/>
  <c r="FV25" i="5"/>
  <c r="FV26" i="5" l="1"/>
  <c r="FP8" i="5"/>
  <c r="FO8" i="5"/>
  <c r="FN8" i="5"/>
  <c r="FM8" i="5"/>
  <c r="FP7" i="5"/>
  <c r="FO7" i="5"/>
  <c r="FN7" i="5"/>
  <c r="FM7" i="5"/>
  <c r="FP6" i="5"/>
  <c r="FO6" i="5"/>
  <c r="FN6" i="5"/>
  <c r="FM6" i="5"/>
  <c r="FP5" i="5"/>
  <c r="FO5" i="5"/>
  <c r="FO9" i="5" s="1"/>
  <c r="FN5" i="5"/>
  <c r="FM5" i="5"/>
  <c r="FQ5" i="5" l="1"/>
  <c r="FV27" i="5"/>
  <c r="FV29" i="5" s="1"/>
  <c r="FN9" i="5"/>
  <c r="FQ8" i="5"/>
  <c r="FP9" i="5"/>
  <c r="FQ7" i="5"/>
  <c r="FQ6" i="5"/>
  <c r="FM9" i="5"/>
  <c r="FU29" i="5" l="1"/>
  <c r="FU28" i="5"/>
  <c r="FU30" i="5"/>
  <c r="FU24" i="5"/>
  <c r="FU23" i="5"/>
  <c r="FU25" i="5"/>
  <c r="FU27" i="5"/>
  <c r="FQ9" i="5"/>
  <c r="FU26" i="5"/>
  <c r="DQ138" i="5"/>
  <c r="DQ137" i="5"/>
  <c r="DQ136" i="5"/>
  <c r="DQ135" i="5"/>
  <c r="DQ134" i="5"/>
  <c r="DQ133" i="5"/>
  <c r="DQ132" i="5"/>
  <c r="DQ131" i="5"/>
  <c r="DQ130" i="5"/>
  <c r="DQ129" i="5"/>
  <c r="DQ128" i="5"/>
  <c r="DQ127" i="5"/>
  <c r="DQ126" i="5"/>
  <c r="DQ125" i="5"/>
  <c r="DQ124" i="5"/>
  <c r="DQ123" i="5"/>
  <c r="DQ122" i="5"/>
  <c r="DQ121" i="5"/>
  <c r="DQ120" i="5"/>
  <c r="DQ119" i="5"/>
  <c r="DQ118" i="5"/>
  <c r="DQ117" i="5"/>
  <c r="DQ116" i="5"/>
  <c r="DQ115" i="5"/>
  <c r="DQ114" i="5"/>
  <c r="DQ113" i="5"/>
  <c r="DQ112" i="5"/>
  <c r="DQ111" i="5"/>
  <c r="DQ110" i="5"/>
  <c r="DQ109" i="5"/>
  <c r="DQ108" i="5"/>
  <c r="DQ107" i="5"/>
  <c r="DQ106" i="5"/>
  <c r="DQ105" i="5"/>
  <c r="DQ102" i="5"/>
  <c r="DQ101" i="5"/>
  <c r="DQ100" i="5"/>
  <c r="DQ104" i="5" l="1"/>
  <c r="DR96" i="5"/>
  <c r="DR94" i="5"/>
  <c r="DR88" i="5"/>
  <c r="DR84" i="5"/>
  <c r="DR82" i="5"/>
  <c r="DR76" i="5"/>
  <c r="DR72" i="5"/>
  <c r="DR70" i="5"/>
  <c r="DR64" i="5"/>
  <c r="DR52" i="5"/>
  <c r="DR53" i="5" s="1"/>
  <c r="DR58" i="5"/>
  <c r="DR60" i="5"/>
  <c r="DY46" i="5"/>
  <c r="DX46" i="5"/>
  <c r="DW46" i="5"/>
  <c r="DV46" i="5"/>
  <c r="DY48" i="5"/>
  <c r="DX48" i="5"/>
  <c r="DW48" i="5"/>
  <c r="DV48" i="5"/>
  <c r="DY40" i="5"/>
  <c r="DY41" i="5" s="1"/>
  <c r="DY42" i="5" s="1"/>
  <c r="DY43" i="5" s="1"/>
  <c r="DY44" i="5" s="1"/>
  <c r="DY45" i="5" s="1"/>
  <c r="DX40" i="5"/>
  <c r="DX41" i="5" s="1"/>
  <c r="DX42" i="5" s="1"/>
  <c r="DX43" i="5" s="1"/>
  <c r="DX44" i="5" s="1"/>
  <c r="DX45" i="5" s="1"/>
  <c r="DW40" i="5"/>
  <c r="DW41" i="5" s="1"/>
  <c r="DW42" i="5" s="1"/>
  <c r="DW43" i="5" s="1"/>
  <c r="DW44" i="5" s="1"/>
  <c r="DW45" i="5" s="1"/>
  <c r="DV40" i="5"/>
  <c r="DV41" i="5" s="1"/>
  <c r="DV42" i="5" s="1"/>
  <c r="DV43" i="5" s="1"/>
  <c r="DV44" i="5" s="1"/>
  <c r="DV45" i="5" s="1"/>
  <c r="FB57" i="5"/>
  <c r="FB44" i="5"/>
  <c r="FB31" i="5"/>
  <c r="FI13" i="5"/>
  <c r="FB66" i="5" s="1"/>
  <c r="FH13" i="5"/>
  <c r="FB53" i="5" s="1"/>
  <c r="FG13" i="5"/>
  <c r="FB40" i="5" s="1"/>
  <c r="FF13" i="5"/>
  <c r="FB27" i="5" s="1"/>
  <c r="FI12" i="5"/>
  <c r="FB65" i="5" s="1"/>
  <c r="FH12" i="5"/>
  <c r="FB52" i="5" s="1"/>
  <c r="FG12" i="5"/>
  <c r="FB39" i="5" s="1"/>
  <c r="FF12" i="5"/>
  <c r="FB26" i="5" s="1"/>
  <c r="FI11" i="5"/>
  <c r="FB64" i="5" s="1"/>
  <c r="FH11" i="5"/>
  <c r="FB51" i="5" s="1"/>
  <c r="FG11" i="5"/>
  <c r="FB38" i="5" s="1"/>
  <c r="FF11" i="5"/>
  <c r="FB25" i="5" s="1"/>
  <c r="FI10" i="5"/>
  <c r="FB63" i="5" s="1"/>
  <c r="FH10" i="5"/>
  <c r="FB50" i="5" s="1"/>
  <c r="FG10" i="5"/>
  <c r="FB37" i="5" s="1"/>
  <c r="FF10" i="5"/>
  <c r="FB24" i="5" s="1"/>
  <c r="FI9" i="5"/>
  <c r="FB62" i="5" s="1"/>
  <c r="FH9" i="5"/>
  <c r="FB49" i="5" s="1"/>
  <c r="FG9" i="5"/>
  <c r="FB36" i="5" s="1"/>
  <c r="FF9" i="5"/>
  <c r="FB23" i="5" s="1"/>
  <c r="FI8" i="5"/>
  <c r="FB61" i="5" s="1"/>
  <c r="FH8" i="5"/>
  <c r="FB48" i="5" s="1"/>
  <c r="FG8" i="5"/>
  <c r="FB35" i="5" s="1"/>
  <c r="FF8" i="5"/>
  <c r="FB22" i="5" s="1"/>
  <c r="FI7" i="5"/>
  <c r="FB60" i="5" s="1"/>
  <c r="FH7" i="5"/>
  <c r="FB47" i="5" s="1"/>
  <c r="FG7" i="5"/>
  <c r="FB34" i="5" s="1"/>
  <c r="FF7" i="5"/>
  <c r="FB21" i="5" s="1"/>
  <c r="FI6" i="5"/>
  <c r="FB59" i="5" s="1"/>
  <c r="FH6" i="5"/>
  <c r="FB46" i="5" s="1"/>
  <c r="FG6" i="5"/>
  <c r="FB33" i="5" s="1"/>
  <c r="FF6" i="5"/>
  <c r="FI5" i="5"/>
  <c r="FB58" i="5" s="1"/>
  <c r="FH5" i="5"/>
  <c r="FB45" i="5" s="1"/>
  <c r="FG5" i="5"/>
  <c r="FB32" i="5" s="1"/>
  <c r="FF5" i="5"/>
  <c r="FB19" i="5" s="1"/>
  <c r="DZ48" i="5" l="1"/>
  <c r="DY47" i="5"/>
  <c r="DX47" i="5"/>
  <c r="FJ6" i="5"/>
  <c r="FB20" i="5"/>
  <c r="DZ40" i="5"/>
  <c r="DR89" i="5"/>
  <c r="DR77" i="5"/>
  <c r="DR65" i="5"/>
  <c r="DR54" i="5"/>
  <c r="DZ46" i="5"/>
  <c r="DZ45" i="5"/>
  <c r="DZ44" i="5"/>
  <c r="DZ43" i="5"/>
  <c r="DW47" i="5"/>
  <c r="DZ42" i="5"/>
  <c r="DZ41" i="5"/>
  <c r="DV47" i="5"/>
  <c r="FI14" i="5"/>
  <c r="FB67" i="5" s="1"/>
  <c r="FA67" i="5" s="1"/>
  <c r="FJ5" i="5"/>
  <c r="FH14" i="5"/>
  <c r="FB54" i="5" s="1"/>
  <c r="FA54" i="5" s="1"/>
  <c r="FJ13" i="5"/>
  <c r="FJ12" i="5"/>
  <c r="FJ11" i="5"/>
  <c r="FG14" i="5"/>
  <c r="FB41" i="5" s="1"/>
  <c r="FA41" i="5" s="1"/>
  <c r="FJ10" i="5"/>
  <c r="FF14" i="5"/>
  <c r="FJ14" i="5" s="1"/>
  <c r="FJ9" i="5"/>
  <c r="FJ8" i="5"/>
  <c r="FJ7" i="5"/>
  <c r="FE7" i="5" l="1"/>
  <c r="FJ15" i="5"/>
  <c r="FB28" i="5"/>
  <c r="DZ47" i="5"/>
  <c r="DZ49" i="5" s="1"/>
  <c r="FA45" i="5"/>
  <c r="FA66" i="5"/>
  <c r="FA65" i="5"/>
  <c r="FA64" i="5"/>
  <c r="FA63" i="5"/>
  <c r="FA62" i="5"/>
  <c r="FA61" i="5"/>
  <c r="FA60" i="5"/>
  <c r="FA59" i="5"/>
  <c r="FA58" i="5"/>
  <c r="FA20" i="5"/>
  <c r="FA53" i="5"/>
  <c r="FA52" i="5"/>
  <c r="FA51" i="5"/>
  <c r="FA50" i="5"/>
  <c r="FA49" i="5"/>
  <c r="FA48" i="5"/>
  <c r="FA47" i="5"/>
  <c r="FA46" i="5"/>
  <c r="FA40" i="5"/>
  <c r="FA39" i="5"/>
  <c r="FA38" i="5"/>
  <c r="FA37" i="5"/>
  <c r="FA36" i="5"/>
  <c r="FA35" i="5"/>
  <c r="FA34" i="5"/>
  <c r="FA33" i="5"/>
  <c r="FA32" i="5"/>
  <c r="DR90" i="5"/>
  <c r="DR78" i="5"/>
  <c r="DR66" i="5"/>
  <c r="DR55" i="5"/>
  <c r="FC12" i="5"/>
  <c r="FA12" i="5"/>
  <c r="FC10" i="5"/>
  <c r="FA10" i="5"/>
  <c r="FD7" i="5"/>
  <c r="FB7" i="5"/>
  <c r="FE12" i="5"/>
  <c r="FC11" i="5"/>
  <c r="FE5" i="5"/>
  <c r="FB13" i="5"/>
  <c r="FB12" i="5"/>
  <c r="FB11" i="5"/>
  <c r="FB10" i="5"/>
  <c r="FB9" i="5"/>
  <c r="FB8" i="5"/>
  <c r="FB6" i="5"/>
  <c r="FB5" i="5"/>
  <c r="FC8" i="5"/>
  <c r="FA7" i="5"/>
  <c r="FC13" i="5"/>
  <c r="FA11" i="5"/>
  <c r="FA8" i="5"/>
  <c r="FC5" i="5"/>
  <c r="FE8" i="5"/>
  <c r="FE9" i="5"/>
  <c r="FE10" i="5"/>
  <c r="FE11" i="5"/>
  <c r="FE13" i="5"/>
  <c r="FA6" i="5"/>
  <c r="FD13" i="5"/>
  <c r="FD12" i="5"/>
  <c r="FD11" i="5"/>
  <c r="FD10" i="5"/>
  <c r="FD9" i="5"/>
  <c r="FD8" i="5"/>
  <c r="FD6" i="5"/>
  <c r="FD5" i="5"/>
  <c r="FC9" i="5"/>
  <c r="FC7" i="5"/>
  <c r="FE6" i="5"/>
  <c r="FA13" i="5"/>
  <c r="FA9" i="5"/>
  <c r="FC6" i="5"/>
  <c r="FA5" i="5"/>
  <c r="FA14" i="5" l="1"/>
  <c r="FA28" i="5"/>
  <c r="FA19" i="5"/>
  <c r="FA21" i="5"/>
  <c r="FA22" i="5"/>
  <c r="FA23" i="5"/>
  <c r="FA24" i="5"/>
  <c r="FA25" i="5"/>
  <c r="FA26" i="5"/>
  <c r="FA27" i="5"/>
  <c r="DR91" i="5"/>
  <c r="DR79" i="5"/>
  <c r="DR67" i="5"/>
  <c r="DR56" i="5"/>
  <c r="FD14" i="5"/>
  <c r="FC14" i="5"/>
  <c r="FB14" i="5"/>
  <c r="FE14" i="5"/>
  <c r="DR92" i="5" l="1"/>
  <c r="DR80" i="5"/>
  <c r="DR68" i="5"/>
  <c r="DR57" i="5"/>
  <c r="DR59" i="5" l="1"/>
  <c r="DQ57" i="5" s="1"/>
  <c r="DR93" i="5"/>
  <c r="DR81" i="5"/>
  <c r="DR69" i="5"/>
  <c r="DQ59" i="5" l="1"/>
  <c r="DQ52" i="5"/>
  <c r="DQ53" i="5"/>
  <c r="DR61" i="5"/>
  <c r="DQ58" i="5"/>
  <c r="DQ60" i="5"/>
  <c r="DQ54" i="5"/>
  <c r="DQ55" i="5"/>
  <c r="DQ56" i="5"/>
  <c r="DR95" i="5"/>
  <c r="DQ93" i="5" s="1"/>
  <c r="DR83" i="5"/>
  <c r="DR71" i="5"/>
  <c r="DQ83" i="5" l="1"/>
  <c r="DQ76" i="5"/>
  <c r="DQ84" i="5"/>
  <c r="DR85" i="5"/>
  <c r="DQ82" i="5"/>
  <c r="DQ77" i="5"/>
  <c r="DQ78" i="5"/>
  <c r="DQ79" i="5"/>
  <c r="DQ80" i="5"/>
  <c r="DQ71" i="5"/>
  <c r="DQ72" i="5"/>
  <c r="DQ70" i="5"/>
  <c r="DQ64" i="5"/>
  <c r="DR73" i="5"/>
  <c r="DQ65" i="5"/>
  <c r="DQ66" i="5"/>
  <c r="DQ67" i="5"/>
  <c r="DQ68" i="5"/>
  <c r="DQ95" i="5"/>
  <c r="DQ94" i="5"/>
  <c r="DQ88" i="5"/>
  <c r="DQ96" i="5"/>
  <c r="DQ89" i="5"/>
  <c r="DQ90" i="5"/>
  <c r="DQ91" i="5"/>
  <c r="DQ92" i="5"/>
  <c r="DQ81" i="5"/>
  <c r="DQ69" i="5"/>
  <c r="DY13" i="5" l="1"/>
  <c r="EE11" i="5"/>
  <c r="DY11" i="5"/>
  <c r="EE5" i="5"/>
  <c r="DY5" i="5"/>
  <c r="DR17" i="5" s="1"/>
  <c r="DZ5" i="5" l="1"/>
  <c r="DV17" i="5" s="1"/>
  <c r="DR23" i="5"/>
  <c r="EA5" i="5"/>
  <c r="DZ29" i="5"/>
  <c r="ED17" i="5"/>
  <c r="DY6" i="5"/>
  <c r="EE6" i="5"/>
  <c r="DZ35" i="5"/>
  <c r="ED23" i="5"/>
  <c r="DZ11" i="5"/>
  <c r="DV23" i="5" l="1"/>
  <c r="EA11" i="5"/>
  <c r="DR18" i="5"/>
  <c r="DY7" i="5"/>
  <c r="DZ6" i="5"/>
  <c r="DZ30" i="5"/>
  <c r="ED18" i="5"/>
  <c r="EE7" i="5"/>
  <c r="DZ17" i="5"/>
  <c r="EB5" i="5"/>
  <c r="DZ31" i="5" l="1"/>
  <c r="ED19" i="5"/>
  <c r="EE8" i="5"/>
  <c r="DR19" i="5"/>
  <c r="DY8" i="5"/>
  <c r="DZ7" i="5"/>
  <c r="EC5" i="5"/>
  <c r="DV18" i="5"/>
  <c r="EA6" i="5"/>
  <c r="DZ23" i="5"/>
  <c r="EB11" i="5"/>
  <c r="DR29" i="5" l="1"/>
  <c r="ED5" i="5"/>
  <c r="EF5" i="5" s="1"/>
  <c r="DZ18" i="5"/>
  <c r="EB6" i="5"/>
  <c r="DV19" i="5"/>
  <c r="EA7" i="5"/>
  <c r="EC11" i="5"/>
  <c r="DR20" i="5"/>
  <c r="DY9" i="5"/>
  <c r="DZ8" i="5"/>
  <c r="DZ32" i="5"/>
  <c r="ED20" i="5"/>
  <c r="EE9" i="5"/>
  <c r="DV20" i="5" l="1"/>
  <c r="EA8" i="5"/>
  <c r="DZ19" i="5"/>
  <c r="EB7" i="5"/>
  <c r="DV29" i="5"/>
  <c r="DZ33" i="5"/>
  <c r="ED21" i="5"/>
  <c r="EE10" i="5"/>
  <c r="EE12" i="5" s="1"/>
  <c r="DR21" i="5"/>
  <c r="DY10" i="5"/>
  <c r="DZ9" i="5"/>
  <c r="DR35" i="5"/>
  <c r="ED11" i="5"/>
  <c r="EC6" i="5"/>
  <c r="DR22" i="5" l="1"/>
  <c r="DZ10" i="5"/>
  <c r="DY12" i="5"/>
  <c r="DZ36" i="5"/>
  <c r="ED24" i="5"/>
  <c r="DY33" i="5"/>
  <c r="EC7" i="5"/>
  <c r="DZ20" i="5"/>
  <c r="EB8" i="5"/>
  <c r="DR30" i="5"/>
  <c r="ED6" i="5"/>
  <c r="DV35" i="5"/>
  <c r="EF11" i="5"/>
  <c r="DV21" i="5"/>
  <c r="EA9" i="5"/>
  <c r="DZ12" i="5"/>
  <c r="DZ34" i="5"/>
  <c r="DY34" i="5" s="1"/>
  <c r="ED22" i="5"/>
  <c r="EC21" i="5"/>
  <c r="DE459" i="1"/>
  <c r="DE458" i="1"/>
  <c r="DE457" i="1"/>
  <c r="DE456" i="1"/>
  <c r="DE455" i="1"/>
  <c r="DE454" i="1"/>
  <c r="DE453" i="1"/>
  <c r="DE452" i="1"/>
  <c r="DE451" i="1"/>
  <c r="DE450" i="1"/>
  <c r="DE449" i="1"/>
  <c r="DE448" i="1"/>
  <c r="DE447" i="1"/>
  <c r="DE446" i="1"/>
  <c r="DE445" i="1"/>
  <c r="DE444" i="1"/>
  <c r="DE443" i="1"/>
  <c r="DE442" i="1"/>
  <c r="DE441" i="1"/>
  <c r="DE440" i="1"/>
  <c r="DE439" i="1"/>
  <c r="DE438" i="1"/>
  <c r="DE437" i="1"/>
  <c r="DE436" i="1"/>
  <c r="DE435" i="1"/>
  <c r="DE434" i="1"/>
  <c r="DE433" i="1"/>
  <c r="DE432" i="1"/>
  <c r="DE431" i="1"/>
  <c r="DE430" i="1"/>
  <c r="DE429" i="1"/>
  <c r="DE428" i="1"/>
  <c r="DE427" i="1"/>
  <c r="DE426" i="1"/>
  <c r="DE425" i="1"/>
  <c r="DE424" i="1"/>
  <c r="DE423" i="1"/>
  <c r="DE422" i="1"/>
  <c r="DE421" i="1"/>
  <c r="DE420" i="1"/>
  <c r="DE419" i="1"/>
  <c r="DE418" i="1"/>
  <c r="DE417" i="1"/>
  <c r="DE416" i="1"/>
  <c r="DE415" i="1"/>
  <c r="DE414" i="1"/>
  <c r="DE413" i="1"/>
  <c r="DE412" i="1"/>
  <c r="DE411" i="1"/>
  <c r="DE410" i="1"/>
  <c r="DE409" i="1"/>
  <c r="DE408" i="1"/>
  <c r="DE407" i="1"/>
  <c r="DE406" i="1"/>
  <c r="DE405" i="1"/>
  <c r="DE404" i="1"/>
  <c r="DE403" i="1"/>
  <c r="DE402" i="1"/>
  <c r="DE401" i="1"/>
  <c r="DE400" i="1"/>
  <c r="DE399" i="1"/>
  <c r="DE398" i="1"/>
  <c r="DE397" i="1"/>
  <c r="DE396" i="1"/>
  <c r="DE395" i="1"/>
  <c r="DE394" i="1"/>
  <c r="DE393" i="1"/>
  <c r="DE392" i="1"/>
  <c r="DE391" i="1"/>
  <c r="DE390" i="1"/>
  <c r="DE389" i="1"/>
  <c r="DE388" i="1"/>
  <c r="DE387" i="1"/>
  <c r="DE386" i="1"/>
  <c r="DE385" i="1"/>
  <c r="DE384" i="1"/>
  <c r="DE383" i="1"/>
  <c r="DE382" i="1"/>
  <c r="DE381" i="1"/>
  <c r="DE380" i="1"/>
  <c r="DE379" i="1"/>
  <c r="DE378" i="1"/>
  <c r="DE377" i="1"/>
  <c r="DE376" i="1"/>
  <c r="DE375" i="1"/>
  <c r="DE374" i="1"/>
  <c r="DE373" i="1"/>
  <c r="DE372" i="1"/>
  <c r="DE371" i="1"/>
  <c r="DE370" i="1"/>
  <c r="DE369" i="1"/>
  <c r="DE368" i="1"/>
  <c r="DE367" i="1"/>
  <c r="DE366" i="1"/>
  <c r="DE365" i="1"/>
  <c r="DE364" i="1"/>
  <c r="DE363" i="1"/>
  <c r="DE362" i="1"/>
  <c r="DE361" i="1"/>
  <c r="DE360" i="1"/>
  <c r="DE359" i="1"/>
  <c r="DE358" i="1"/>
  <c r="DE357" i="1"/>
  <c r="DE356" i="1"/>
  <c r="DE355" i="1"/>
  <c r="DE354" i="1"/>
  <c r="DE353" i="1"/>
  <c r="DE352" i="1"/>
  <c r="DE351" i="1"/>
  <c r="DE350" i="1"/>
  <c r="DE349" i="1"/>
  <c r="DE348" i="1"/>
  <c r="DE347" i="1"/>
  <c r="DE346" i="1"/>
  <c r="DE345" i="1"/>
  <c r="DE344" i="1"/>
  <c r="DE343" i="1"/>
  <c r="DE342" i="1"/>
  <c r="DE341" i="1"/>
  <c r="DE340" i="1"/>
  <c r="DE339" i="1"/>
  <c r="DE338" i="1"/>
  <c r="DE337" i="1"/>
  <c r="DE336" i="1"/>
  <c r="DE335" i="1"/>
  <c r="DE334" i="1"/>
  <c r="DE333" i="1"/>
  <c r="DE332" i="1"/>
  <c r="DE331" i="1"/>
  <c r="DE330" i="1"/>
  <c r="DE329" i="1"/>
  <c r="DE328" i="1"/>
  <c r="DE327" i="1"/>
  <c r="DE326" i="1"/>
  <c r="DE325" i="1"/>
  <c r="DE324" i="1"/>
  <c r="DE323" i="1"/>
  <c r="DE322" i="1"/>
  <c r="DE321" i="1"/>
  <c r="DE320" i="1"/>
  <c r="DE319" i="1"/>
  <c r="DE318" i="1"/>
  <c r="DE317" i="1"/>
  <c r="DE316" i="1"/>
  <c r="DE315" i="1"/>
  <c r="DE314" i="1"/>
  <c r="DE313" i="1"/>
  <c r="DE312" i="1"/>
  <c r="DE311" i="1"/>
  <c r="DE310" i="1"/>
  <c r="DE309" i="1"/>
  <c r="DE308" i="1"/>
  <c r="DE307" i="1"/>
  <c r="DE306" i="1"/>
  <c r="DE305" i="1"/>
  <c r="DE304" i="1"/>
  <c r="DE303" i="1"/>
  <c r="DE302" i="1"/>
  <c r="DE301" i="1"/>
  <c r="DE300" i="1"/>
  <c r="DE299" i="1"/>
  <c r="DE298" i="1"/>
  <c r="DE297" i="1"/>
  <c r="DE296" i="1"/>
  <c r="DE295" i="1"/>
  <c r="DE294" i="1"/>
  <c r="DE293" i="1"/>
  <c r="DE292" i="1"/>
  <c r="DE291" i="1"/>
  <c r="DE290" i="1"/>
  <c r="DE289" i="1"/>
  <c r="DE288" i="1"/>
  <c r="DE287" i="1"/>
  <c r="DE286" i="1"/>
  <c r="DE285" i="1"/>
  <c r="DE284" i="1"/>
  <c r="DE283" i="1"/>
  <c r="DE282" i="1"/>
  <c r="DE281" i="1"/>
  <c r="DE280" i="1"/>
  <c r="DE279" i="1"/>
  <c r="DE278" i="1"/>
  <c r="DE277" i="1"/>
  <c r="DE276" i="1"/>
  <c r="DE275" i="1"/>
  <c r="DE274" i="1"/>
  <c r="DE273" i="1"/>
  <c r="DE272" i="1"/>
  <c r="DE271" i="1"/>
  <c r="DE270" i="1"/>
  <c r="DE269" i="1"/>
  <c r="DE268" i="1"/>
  <c r="DE267" i="1"/>
  <c r="DE266" i="1"/>
  <c r="DE265" i="1"/>
  <c r="DE264" i="1"/>
  <c r="DE263" i="1"/>
  <c r="DE262" i="1"/>
  <c r="DE261" i="1"/>
  <c r="DE260" i="1"/>
  <c r="DE259" i="1"/>
  <c r="DE258" i="1"/>
  <c r="DE257" i="1"/>
  <c r="DE256" i="1"/>
  <c r="DE255" i="1"/>
  <c r="DE254" i="1"/>
  <c r="DE253" i="1"/>
  <c r="DE252" i="1"/>
  <c r="DE251" i="1"/>
  <c r="DE250" i="1"/>
  <c r="DE249" i="1"/>
  <c r="DE248" i="1"/>
  <c r="DE247" i="1"/>
  <c r="DE246" i="1"/>
  <c r="DE245" i="1"/>
  <c r="DE244" i="1"/>
  <c r="DE243" i="1"/>
  <c r="DE242" i="1"/>
  <c r="DE241" i="1"/>
  <c r="DE240" i="1"/>
  <c r="DE239" i="1"/>
  <c r="DE238" i="1"/>
  <c r="DE237" i="1"/>
  <c r="DE236" i="1"/>
  <c r="DE235" i="1"/>
  <c r="DE234" i="1"/>
  <c r="DE233" i="1"/>
  <c r="DE232" i="1"/>
  <c r="DE231" i="1"/>
  <c r="DE230" i="1"/>
  <c r="DE229" i="1"/>
  <c r="DE228" i="1"/>
  <c r="DE227" i="1"/>
  <c r="DE226" i="1"/>
  <c r="DE225" i="1"/>
  <c r="DE224" i="1"/>
  <c r="DE223" i="1"/>
  <c r="DE222" i="1"/>
  <c r="DE221" i="1"/>
  <c r="DE220" i="1"/>
  <c r="DE219" i="1"/>
  <c r="DE218" i="1"/>
  <c r="DE217" i="1"/>
  <c r="DE216" i="1"/>
  <c r="DE215" i="1"/>
  <c r="DE214" i="1"/>
  <c r="DE213" i="1"/>
  <c r="DE212" i="1"/>
  <c r="DE211" i="1"/>
  <c r="DE210" i="1"/>
  <c r="DE209" i="1"/>
  <c r="DE208" i="1"/>
  <c r="DE207" i="1"/>
  <c r="DE206" i="1"/>
  <c r="DE205" i="1"/>
  <c r="DE204" i="1"/>
  <c r="DE203" i="1"/>
  <c r="DE202" i="1"/>
  <c r="DE201" i="1"/>
  <c r="DE200" i="1"/>
  <c r="DE199" i="1"/>
  <c r="DE198" i="1"/>
  <c r="DE197" i="1"/>
  <c r="DE196" i="1"/>
  <c r="DE195" i="1"/>
  <c r="DE194" i="1"/>
  <c r="DE193" i="1"/>
  <c r="DE192" i="1"/>
  <c r="DE191" i="1"/>
  <c r="DE190" i="1"/>
  <c r="DE189" i="1"/>
  <c r="DE188" i="1"/>
  <c r="DE187" i="1"/>
  <c r="DE186" i="1"/>
  <c r="DE185" i="1"/>
  <c r="DE184" i="1"/>
  <c r="DE183" i="1"/>
  <c r="DE182" i="1"/>
  <c r="DE181" i="1"/>
  <c r="DE180" i="1"/>
  <c r="DE179" i="1"/>
  <c r="DE178" i="1"/>
  <c r="DE177" i="1"/>
  <c r="DE176" i="1"/>
  <c r="DE175" i="1"/>
  <c r="DE174" i="1"/>
  <c r="DE173" i="1"/>
  <c r="DE172" i="1"/>
  <c r="DE171" i="1"/>
  <c r="DE170" i="1"/>
  <c r="DE169" i="1"/>
  <c r="DE168" i="1"/>
  <c r="DE167" i="1"/>
  <c r="DE166" i="1"/>
  <c r="DE165" i="1"/>
  <c r="DE164" i="1"/>
  <c r="DE163" i="1"/>
  <c r="DE162" i="1"/>
  <c r="DE161" i="1"/>
  <c r="DE160" i="1"/>
  <c r="DE159" i="1"/>
  <c r="DE158" i="1"/>
  <c r="DE157" i="1"/>
  <c r="DE156" i="1"/>
  <c r="DE155" i="1"/>
  <c r="DE154" i="1"/>
  <c r="DE153" i="1"/>
  <c r="DE152" i="1"/>
  <c r="DE151" i="1"/>
  <c r="DE150" i="1"/>
  <c r="DE149" i="1"/>
  <c r="DE148" i="1"/>
  <c r="DE147" i="1"/>
  <c r="DE146" i="1"/>
  <c r="DE145" i="1"/>
  <c r="DE144" i="1"/>
  <c r="DE143" i="1"/>
  <c r="DE142" i="1"/>
  <c r="DE141" i="1"/>
  <c r="DE140" i="1"/>
  <c r="DE139" i="1"/>
  <c r="DE138" i="1"/>
  <c r="DE137" i="1"/>
  <c r="DE136" i="1"/>
  <c r="DE135" i="1"/>
  <c r="DE134" i="1"/>
  <c r="DE133" i="1"/>
  <c r="DE132" i="1"/>
  <c r="DE131" i="1"/>
  <c r="DE130" i="1"/>
  <c r="DE129" i="1"/>
  <c r="DE128" i="1"/>
  <c r="DE127" i="1"/>
  <c r="DE126" i="1"/>
  <c r="DE125" i="1"/>
  <c r="DE124" i="1"/>
  <c r="DE123" i="1"/>
  <c r="DE122" i="1"/>
  <c r="DE121" i="1"/>
  <c r="DE120" i="1"/>
  <c r="DE119" i="1"/>
  <c r="DE118" i="1"/>
  <c r="DE117" i="1"/>
  <c r="DE116" i="1"/>
  <c r="DE115" i="1"/>
  <c r="DE114" i="1"/>
  <c r="DE113" i="1"/>
  <c r="DE112" i="1"/>
  <c r="DE111" i="1"/>
  <c r="DE110" i="1"/>
  <c r="DE109" i="1"/>
  <c r="DE108" i="1"/>
  <c r="DE107" i="1"/>
  <c r="DE106" i="1"/>
  <c r="DE105" i="1"/>
  <c r="DE104" i="1"/>
  <c r="DE103" i="1"/>
  <c r="DE102" i="1"/>
  <c r="DE101" i="1"/>
  <c r="DE100" i="1"/>
  <c r="DE99" i="1"/>
  <c r="DE98" i="1"/>
  <c r="DE97" i="1"/>
  <c r="DE96" i="1"/>
  <c r="DE95" i="1"/>
  <c r="DE94" i="1"/>
  <c r="DE93" i="1"/>
  <c r="DE92" i="1"/>
  <c r="DE91" i="1"/>
  <c r="DE90" i="1"/>
  <c r="DE89" i="1"/>
  <c r="DE88" i="1"/>
  <c r="DE87" i="1"/>
  <c r="DE86" i="1"/>
  <c r="DE85" i="1"/>
  <c r="DE84" i="1"/>
  <c r="DE83" i="1"/>
  <c r="DE82" i="1"/>
  <c r="DE81" i="1"/>
  <c r="DE80" i="1"/>
  <c r="DE79" i="1"/>
  <c r="DE78" i="1"/>
  <c r="DE77" i="1"/>
  <c r="DE76" i="1"/>
  <c r="DE75" i="1"/>
  <c r="DE74" i="1"/>
  <c r="DE73" i="1"/>
  <c r="DE72" i="1"/>
  <c r="DE71" i="1"/>
  <c r="DE70" i="1"/>
  <c r="DE69" i="1"/>
  <c r="DE68" i="1"/>
  <c r="CN96" i="5" s="1"/>
  <c r="DE67" i="1"/>
  <c r="DE66" i="1"/>
  <c r="DE65" i="1"/>
  <c r="DE64" i="1"/>
  <c r="DE63" i="1"/>
  <c r="DE62" i="1"/>
  <c r="DE61" i="1"/>
  <c r="DE60" i="1"/>
  <c r="DE59" i="1"/>
  <c r="DE58" i="1"/>
  <c r="DE57" i="1"/>
  <c r="DE56" i="1"/>
  <c r="DE55" i="1"/>
  <c r="DE54" i="1"/>
  <c r="DE53" i="1"/>
  <c r="DE52" i="1"/>
  <c r="DE51" i="1"/>
  <c r="DE50" i="1"/>
  <c r="DE49" i="1"/>
  <c r="DE48" i="1"/>
  <c r="DE47" i="1"/>
  <c r="DE46" i="1"/>
  <c r="DE45" i="1"/>
  <c r="DE44" i="1"/>
  <c r="DE43" i="1"/>
  <c r="DE42" i="1"/>
  <c r="DE41" i="1"/>
  <c r="DE40" i="1"/>
  <c r="DE39" i="1"/>
  <c r="DE38" i="1"/>
  <c r="DE37" i="1"/>
  <c r="DE36" i="1"/>
  <c r="DE35" i="1"/>
  <c r="DE34" i="1"/>
  <c r="DE33" i="1"/>
  <c r="DE32" i="1"/>
  <c r="DE31" i="1"/>
  <c r="DE30" i="1"/>
  <c r="DE29" i="1"/>
  <c r="DE28" i="1"/>
  <c r="DE27" i="1"/>
  <c r="DE26" i="1"/>
  <c r="DE25" i="1"/>
  <c r="DE24" i="1"/>
  <c r="DE23" i="1"/>
  <c r="DE22" i="1"/>
  <c r="CN61" i="5" s="1"/>
  <c r="DE21" i="1"/>
  <c r="DE20" i="1"/>
  <c r="DE19" i="1"/>
  <c r="DE18" i="1"/>
  <c r="DE17" i="1"/>
  <c r="DE16" i="1"/>
  <c r="CN72" i="5" s="1"/>
  <c r="DE15" i="1"/>
  <c r="DE14" i="1"/>
  <c r="DE13" i="1"/>
  <c r="DE12" i="1"/>
  <c r="CN108" i="5" s="1"/>
  <c r="DE11" i="1"/>
  <c r="DE10" i="1"/>
  <c r="CR16" i="5" s="1"/>
  <c r="DE9" i="1"/>
  <c r="DE8" i="1"/>
  <c r="DG28" i="5" s="1"/>
  <c r="CZ136" i="5" s="1"/>
  <c r="DE7" i="1"/>
  <c r="CF19" i="5"/>
  <c r="CF20" i="5" s="1"/>
  <c r="CF21" i="5" s="1"/>
  <c r="CF22" i="5" s="1"/>
  <c r="CF23" i="5" s="1"/>
  <c r="CF24" i="5" s="1"/>
  <c r="CI25" i="5"/>
  <c r="CH25" i="5"/>
  <c r="CG25" i="5"/>
  <c r="CF25" i="5"/>
  <c r="CI19" i="5"/>
  <c r="CI20" i="5" s="1"/>
  <c r="CI21" i="5" s="1"/>
  <c r="CI22" i="5" s="1"/>
  <c r="CI23" i="5" s="1"/>
  <c r="CI24" i="5" s="1"/>
  <c r="CH19" i="5"/>
  <c r="CH20" i="5" s="1"/>
  <c r="CH21" i="5" s="1"/>
  <c r="CH22" i="5" s="1"/>
  <c r="CH23" i="5" s="1"/>
  <c r="CH24" i="5" s="1"/>
  <c r="CG19" i="5"/>
  <c r="CG20" i="5" s="1"/>
  <c r="CG21" i="5" s="1"/>
  <c r="CG22" i="5" s="1"/>
  <c r="CG23" i="5" s="1"/>
  <c r="CG24" i="5" s="1"/>
  <c r="CF10" i="5"/>
  <c r="CG10" i="5"/>
  <c r="CH10" i="5"/>
  <c r="CI10" i="5"/>
  <c r="CI4" i="5"/>
  <c r="CI5" i="5" s="1"/>
  <c r="CI6" i="5" s="1"/>
  <c r="CI7" i="5" s="1"/>
  <c r="CI8" i="5" s="1"/>
  <c r="CI9" i="5" s="1"/>
  <c r="CH4" i="5"/>
  <c r="CH5" i="5" s="1"/>
  <c r="CH6" i="5" s="1"/>
  <c r="CH7" i="5" s="1"/>
  <c r="CH8" i="5" s="1"/>
  <c r="CH9" i="5" s="1"/>
  <c r="CG4" i="5"/>
  <c r="CG5" i="5" s="1"/>
  <c r="CG6" i="5" s="1"/>
  <c r="CG7" i="5" s="1"/>
  <c r="CG8" i="5" s="1"/>
  <c r="CG9" i="5" s="1"/>
  <c r="CF4" i="5"/>
  <c r="CF5" i="5" s="1"/>
  <c r="CF6" i="5" s="1"/>
  <c r="CF7" i="5" s="1"/>
  <c r="CF8" i="5" s="1"/>
  <c r="CF9" i="5" s="1"/>
  <c r="CJ25" i="5" l="1"/>
  <c r="CN78" i="5"/>
  <c r="CN67" i="5"/>
  <c r="CN102" i="5"/>
  <c r="GP22" i="5"/>
  <c r="GJ22" i="5"/>
  <c r="EC22" i="5"/>
  <c r="CN28" i="5"/>
  <c r="CR17" i="5"/>
  <c r="EQ10" i="5"/>
  <c r="EQ5" i="5"/>
  <c r="CS4" i="5"/>
  <c r="CU4" i="5"/>
  <c r="CS10" i="5"/>
  <c r="CU10" i="5"/>
  <c r="CN45" i="5"/>
  <c r="CT22" i="5"/>
  <c r="CR22" i="5"/>
  <c r="CN34" i="5" s="1"/>
  <c r="CT16" i="5"/>
  <c r="CT17" i="5" s="1"/>
  <c r="CT18" i="5" s="1"/>
  <c r="CT19" i="5" s="1"/>
  <c r="CT20" i="5" s="1"/>
  <c r="CT21" i="5" s="1"/>
  <c r="CN56" i="5"/>
  <c r="CN90" i="5"/>
  <c r="CN114" i="5"/>
  <c r="DM5" i="5"/>
  <c r="CZ114" i="5" s="1"/>
  <c r="DM12" i="5"/>
  <c r="CZ121" i="5" s="1"/>
  <c r="DM14" i="5"/>
  <c r="CZ123" i="5" s="1"/>
  <c r="DM19" i="5"/>
  <c r="CZ205" i="5" s="1"/>
  <c r="DM26" i="5"/>
  <c r="CZ212" i="5" s="1"/>
  <c r="DM28" i="5"/>
  <c r="CZ214" i="5" s="1"/>
  <c r="CR4" i="5"/>
  <c r="CR5" i="5" s="1"/>
  <c r="CT4" i="5"/>
  <c r="CT5" i="5" s="1"/>
  <c r="CR10" i="5"/>
  <c r="CT10" i="5"/>
  <c r="CN39" i="5"/>
  <c r="CU22" i="5"/>
  <c r="CS22" i="5"/>
  <c r="CU16" i="5"/>
  <c r="CU17" i="5" s="1"/>
  <c r="CU18" i="5" s="1"/>
  <c r="CU19" i="5" s="1"/>
  <c r="CU20" i="5" s="1"/>
  <c r="CU21" i="5" s="1"/>
  <c r="CS16" i="5"/>
  <c r="CN50" i="5"/>
  <c r="CN84" i="5"/>
  <c r="DG5" i="5"/>
  <c r="DG6" i="5" s="1"/>
  <c r="CZ34" i="5" s="1"/>
  <c r="DG12" i="5"/>
  <c r="CZ40" i="5" s="1"/>
  <c r="DG14" i="5"/>
  <c r="DG19" i="5"/>
  <c r="CZ127" i="5" s="1"/>
  <c r="DG26" i="5"/>
  <c r="CZ134" i="5" s="1"/>
  <c r="CJ10" i="5"/>
  <c r="DH26" i="5"/>
  <c r="CZ147" i="5" s="1"/>
  <c r="DZ21" i="5"/>
  <c r="EB9" i="5"/>
  <c r="DV30" i="5"/>
  <c r="DR31" i="5"/>
  <c r="ED7" i="5"/>
  <c r="EC24" i="5"/>
  <c r="EC17" i="5"/>
  <c r="EC23" i="5"/>
  <c r="EC18" i="5"/>
  <c r="EC19" i="5"/>
  <c r="EC20" i="5"/>
  <c r="DR24" i="5"/>
  <c r="DV22" i="5"/>
  <c r="EA10" i="5"/>
  <c r="CU23" i="5"/>
  <c r="DV24" i="5"/>
  <c r="EC8" i="5"/>
  <c r="DY36" i="5"/>
  <c r="DY35" i="5"/>
  <c r="DY29" i="5"/>
  <c r="DY30" i="5"/>
  <c r="DY31" i="5"/>
  <c r="DY32" i="5"/>
  <c r="EF6" i="5"/>
  <c r="CU5" i="5"/>
  <c r="CR6" i="5"/>
  <c r="CT6" i="5"/>
  <c r="CV4" i="5"/>
  <c r="CS5" i="5"/>
  <c r="DH5" i="5"/>
  <c r="DM6" i="5"/>
  <c r="CZ115" i="5" s="1"/>
  <c r="DH12" i="5"/>
  <c r="DH19" i="5"/>
  <c r="DG20" i="5"/>
  <c r="DH20" i="5" s="1"/>
  <c r="DI26" i="5"/>
  <c r="CZ33" i="5"/>
  <c r="DH14" i="5"/>
  <c r="CZ42" i="5"/>
  <c r="DM20" i="5"/>
  <c r="DH28" i="5"/>
  <c r="DH6" i="5"/>
  <c r="CZ47" i="5" s="1"/>
  <c r="DG7" i="5"/>
  <c r="CZ35" i="5" s="1"/>
  <c r="DM7" i="5"/>
  <c r="CZ116" i="5" s="1"/>
  <c r="CN109" i="5"/>
  <c r="CN97" i="5"/>
  <c r="CN85" i="5"/>
  <c r="CN73" i="5"/>
  <c r="CN62" i="5"/>
  <c r="CN51" i="5"/>
  <c r="CN40" i="5"/>
  <c r="CV10" i="5"/>
  <c r="CV5" i="5"/>
  <c r="CI27" i="5"/>
  <c r="CH27" i="5"/>
  <c r="CG27" i="5"/>
  <c r="CF27" i="5"/>
  <c r="CI12" i="5"/>
  <c r="CH12" i="5"/>
  <c r="CG12" i="5"/>
  <c r="CF12" i="5"/>
  <c r="BW215" i="5"/>
  <c r="BP215" i="5"/>
  <c r="BW211" i="5"/>
  <c r="BP211" i="5"/>
  <c r="BW207" i="5"/>
  <c r="BP207" i="5"/>
  <c r="BW203" i="5"/>
  <c r="BP203" i="5"/>
  <c r="BW199" i="5"/>
  <c r="BP199" i="5"/>
  <c r="BW195" i="5"/>
  <c r="BP195" i="5"/>
  <c r="BQ195" i="5" s="1"/>
  <c r="BW191" i="5"/>
  <c r="BP191" i="5"/>
  <c r="BW187" i="5"/>
  <c r="BP187" i="5"/>
  <c r="BW180" i="5"/>
  <c r="BP180" i="5"/>
  <c r="BQ180" i="5" s="1"/>
  <c r="BW179" i="5"/>
  <c r="BQ179" i="5"/>
  <c r="BP179" i="5"/>
  <c r="BW178" i="5"/>
  <c r="BP178" i="5"/>
  <c r="BQ178" i="5" s="1"/>
  <c r="BW177" i="5"/>
  <c r="BP177" i="5"/>
  <c r="BQ177" i="5" s="1"/>
  <c r="BW176" i="5"/>
  <c r="BP176" i="5"/>
  <c r="BQ176" i="5" s="1"/>
  <c r="BW175" i="5"/>
  <c r="BP175" i="5"/>
  <c r="BQ175" i="5" s="1"/>
  <c r="BW174" i="5"/>
  <c r="BP174" i="5"/>
  <c r="BQ174" i="5" s="1"/>
  <c r="BW173" i="5"/>
  <c r="BP173" i="5"/>
  <c r="BQ173" i="5" s="1"/>
  <c r="BH182" i="5"/>
  <c r="BC215" i="5"/>
  <c r="AV215" i="5"/>
  <c r="BC211" i="5"/>
  <c r="AV211" i="5"/>
  <c r="BC207" i="5"/>
  <c r="AV207" i="5"/>
  <c r="BC203" i="5"/>
  <c r="AV203" i="5"/>
  <c r="BC199" i="5"/>
  <c r="AV199" i="5"/>
  <c r="BC195" i="5"/>
  <c r="AV195" i="5"/>
  <c r="BC191" i="5"/>
  <c r="AV191" i="5"/>
  <c r="BC187" i="5"/>
  <c r="AV187" i="5"/>
  <c r="BC180" i="5"/>
  <c r="AV180" i="5"/>
  <c r="AW180" i="5" s="1"/>
  <c r="AX180" i="5" s="1"/>
  <c r="AY180" i="5" s="1"/>
  <c r="AZ180" i="5" s="1"/>
  <c r="BA180" i="5" s="1"/>
  <c r="BB180" i="5" s="1"/>
  <c r="BC179" i="5"/>
  <c r="AV179" i="5"/>
  <c r="BC178" i="5"/>
  <c r="AV178" i="5"/>
  <c r="AW178" i="5" s="1"/>
  <c r="AX178" i="5" s="1"/>
  <c r="AY178" i="5" s="1"/>
  <c r="AZ178" i="5" s="1"/>
  <c r="BA178" i="5" s="1"/>
  <c r="BB178" i="5" s="1"/>
  <c r="BC177" i="5"/>
  <c r="AV177" i="5"/>
  <c r="AW177" i="5" s="1"/>
  <c r="AX177" i="5" s="1"/>
  <c r="AY177" i="5" s="1"/>
  <c r="AZ177" i="5" s="1"/>
  <c r="BA177" i="5" s="1"/>
  <c r="BB177" i="5" s="1"/>
  <c r="BC176" i="5"/>
  <c r="AV176" i="5"/>
  <c r="AW176" i="5" s="1"/>
  <c r="AX176" i="5" s="1"/>
  <c r="AY176" i="5" s="1"/>
  <c r="AZ176" i="5" s="1"/>
  <c r="BA176" i="5" s="1"/>
  <c r="BB176" i="5" s="1"/>
  <c r="BC175" i="5"/>
  <c r="AV175" i="5"/>
  <c r="AW175" i="5" s="1"/>
  <c r="AX175" i="5" s="1"/>
  <c r="AY175" i="5" s="1"/>
  <c r="AZ175" i="5" s="1"/>
  <c r="BA175" i="5" s="1"/>
  <c r="BB175" i="5" s="1"/>
  <c r="BC174" i="5"/>
  <c r="AW174" i="5"/>
  <c r="AX174" i="5" s="1"/>
  <c r="AY174" i="5" s="1"/>
  <c r="AZ174" i="5" s="1"/>
  <c r="BA174" i="5" s="1"/>
  <c r="BB174" i="5" s="1"/>
  <c r="AV174" i="5"/>
  <c r="BC173" i="5"/>
  <c r="BC181" i="5" s="1"/>
  <c r="AV173" i="5"/>
  <c r="AN182" i="5"/>
  <c r="AN168" i="5"/>
  <c r="AN166" i="5"/>
  <c r="AN159" i="5"/>
  <c r="AN155" i="5"/>
  <c r="AN153" i="5"/>
  <c r="AN146" i="5"/>
  <c r="AN142" i="5"/>
  <c r="AN140" i="5"/>
  <c r="AN133" i="5"/>
  <c r="AN128" i="5"/>
  <c r="AN126" i="5"/>
  <c r="AN119" i="5"/>
  <c r="AU104" i="5"/>
  <c r="AU105" i="5" s="1"/>
  <c r="AT104" i="5"/>
  <c r="AS104" i="5"/>
  <c r="AR104" i="5"/>
  <c r="AU113" i="5"/>
  <c r="AT113" i="5"/>
  <c r="AS113" i="5"/>
  <c r="AR113" i="5"/>
  <c r="AU111" i="5"/>
  <c r="AT111" i="5"/>
  <c r="AS111" i="5"/>
  <c r="AR111" i="5"/>
  <c r="AN98" i="5"/>
  <c r="AN96" i="5"/>
  <c r="AN89" i="5"/>
  <c r="AN84" i="5"/>
  <c r="AN82" i="5"/>
  <c r="AN75" i="5"/>
  <c r="AN70" i="5"/>
  <c r="AN68" i="5"/>
  <c r="AN61" i="5"/>
  <c r="CV22" i="5" l="1"/>
  <c r="CT23" i="5"/>
  <c r="GK22" i="5"/>
  <c r="EJ19" i="5"/>
  <c r="CN29" i="5"/>
  <c r="CR18" i="5"/>
  <c r="CS17" i="5"/>
  <c r="CS18" i="5" s="1"/>
  <c r="CS19" i="5" s="1"/>
  <c r="CS20" i="5" s="1"/>
  <c r="CS21" i="5" s="1"/>
  <c r="EQ6" i="5"/>
  <c r="EJ14" i="5"/>
  <c r="DU24" i="5"/>
  <c r="DU17" i="5"/>
  <c r="DU23" i="5"/>
  <c r="DU18" i="5"/>
  <c r="DU19" i="5"/>
  <c r="DU20" i="5"/>
  <c r="DZ22" i="5"/>
  <c r="EB10" i="5"/>
  <c r="EA12" i="5"/>
  <c r="DU22" i="5"/>
  <c r="DQ24" i="5"/>
  <c r="DQ17" i="5"/>
  <c r="DQ23" i="5"/>
  <c r="DQ18" i="5"/>
  <c r="DQ19" i="5"/>
  <c r="DQ20" i="5"/>
  <c r="DQ21" i="5"/>
  <c r="DV31" i="5"/>
  <c r="DQ22" i="5"/>
  <c r="EF7" i="5"/>
  <c r="DR32" i="5"/>
  <c r="ED8" i="5"/>
  <c r="DU21" i="5"/>
  <c r="EC9" i="5"/>
  <c r="DI14" i="5"/>
  <c r="CZ55" i="5"/>
  <c r="DG21" i="5"/>
  <c r="CZ128" i="5"/>
  <c r="CZ53" i="5"/>
  <c r="DI12" i="5"/>
  <c r="CZ46" i="5"/>
  <c r="DI5" i="5"/>
  <c r="CZ141" i="5"/>
  <c r="DI28" i="5"/>
  <c r="CZ149" i="5"/>
  <c r="DM21" i="5"/>
  <c r="CZ206" i="5"/>
  <c r="DJ26" i="5"/>
  <c r="CZ160" i="5"/>
  <c r="DI19" i="5"/>
  <c r="CZ140" i="5"/>
  <c r="CS6" i="5"/>
  <c r="CT7" i="5"/>
  <c r="CR7" i="5"/>
  <c r="CU6" i="5"/>
  <c r="DH21" i="5"/>
  <c r="DG8" i="5"/>
  <c r="CZ36" i="5" s="1"/>
  <c r="DH7" i="5"/>
  <c r="CZ48" i="5" s="1"/>
  <c r="DM8" i="5"/>
  <c r="CZ117" i="5" s="1"/>
  <c r="DI6" i="5"/>
  <c r="CZ61" i="5" s="1"/>
  <c r="CN110" i="5"/>
  <c r="CN98" i="5"/>
  <c r="CN86" i="5"/>
  <c r="CN74" i="5"/>
  <c r="CN63" i="5"/>
  <c r="CN52" i="5"/>
  <c r="CV16" i="5"/>
  <c r="CN41" i="5"/>
  <c r="BR173" i="5"/>
  <c r="BR175" i="5"/>
  <c r="BR177" i="5"/>
  <c r="BR179" i="5"/>
  <c r="AW187" i="5"/>
  <c r="AW191" i="5"/>
  <c r="AX191" i="5" s="1"/>
  <c r="AW195" i="5"/>
  <c r="AW199" i="5"/>
  <c r="AW203" i="5"/>
  <c r="BR174" i="5"/>
  <c r="BR176" i="5"/>
  <c r="BR178" i="5"/>
  <c r="BR180" i="5"/>
  <c r="BR195" i="5"/>
  <c r="BQ203" i="5"/>
  <c r="BQ207" i="5"/>
  <c r="BQ211" i="5"/>
  <c r="CJ27" i="5"/>
  <c r="CJ19" i="5"/>
  <c r="CJ12" i="5"/>
  <c r="CJ4" i="5"/>
  <c r="BQ215" i="5"/>
  <c r="BQ199" i="5"/>
  <c r="BS195" i="5"/>
  <c r="BQ191" i="5"/>
  <c r="BQ187" i="5"/>
  <c r="BW181" i="5"/>
  <c r="BP181" i="5"/>
  <c r="BW183" i="5"/>
  <c r="AW215" i="5"/>
  <c r="AW211" i="5"/>
  <c r="AW207" i="5"/>
  <c r="AX187" i="5"/>
  <c r="AV181" i="5"/>
  <c r="AU106" i="5"/>
  <c r="BD174" i="5"/>
  <c r="BC183" i="5"/>
  <c r="AS105" i="5"/>
  <c r="AR105" i="5"/>
  <c r="AT105" i="5"/>
  <c r="AW173" i="5"/>
  <c r="AW179" i="5"/>
  <c r="BD180" i="5"/>
  <c r="AN160" i="5"/>
  <c r="AN147" i="5"/>
  <c r="AN134" i="5"/>
  <c r="AN120" i="5"/>
  <c r="AV113" i="5"/>
  <c r="AV111" i="5"/>
  <c r="AV104" i="5"/>
  <c r="AN90" i="5"/>
  <c r="AN76" i="5"/>
  <c r="AN62" i="5"/>
  <c r="AN56" i="5"/>
  <c r="AN54" i="5"/>
  <c r="AN47" i="5"/>
  <c r="AU41" i="5"/>
  <c r="AT41" i="5"/>
  <c r="AS41" i="5"/>
  <c r="AR41" i="5"/>
  <c r="AU39" i="5"/>
  <c r="AT39" i="5"/>
  <c r="AS39" i="5"/>
  <c r="AR39" i="5"/>
  <c r="AU32" i="5"/>
  <c r="AU33" i="5" s="1"/>
  <c r="AT32" i="5"/>
  <c r="AS32" i="5"/>
  <c r="AS33" i="5" s="1"/>
  <c r="AR32" i="5"/>
  <c r="AN27" i="5"/>
  <c r="AN25" i="5"/>
  <c r="AN18" i="5"/>
  <c r="AN19" i="5" s="1"/>
  <c r="AN11" i="5"/>
  <c r="AN13" i="5"/>
  <c r="CJ461" i="1"/>
  <c r="CI461" i="1"/>
  <c r="CH461" i="1"/>
  <c r="CG461" i="1"/>
  <c r="CF461" i="1"/>
  <c r="CE461" i="1"/>
  <c r="CD461" i="1"/>
  <c r="CC461" i="1"/>
  <c r="CB461" i="1"/>
  <c r="AB37" i="5"/>
  <c r="AB36" i="5"/>
  <c r="AB35" i="5"/>
  <c r="AB28" i="5"/>
  <c r="AB30" i="5"/>
  <c r="AB29" i="5"/>
  <c r="AB21" i="5"/>
  <c r="AB23" i="5"/>
  <c r="AB22" i="5"/>
  <c r="AB14" i="5"/>
  <c r="AB16" i="5"/>
  <c r="AB15" i="5"/>
  <c r="AI5" i="5"/>
  <c r="AH5" i="5"/>
  <c r="AG5" i="5"/>
  <c r="AF5" i="5"/>
  <c r="AI7" i="5"/>
  <c r="AH7" i="5"/>
  <c r="AG7" i="5"/>
  <c r="AF7" i="5"/>
  <c r="AI6" i="5"/>
  <c r="AH6" i="5"/>
  <c r="AG6" i="5"/>
  <c r="AF6" i="5"/>
  <c r="AF461" i="1"/>
  <c r="AE461" i="1"/>
  <c r="AD461" i="1"/>
  <c r="AC461" i="1"/>
  <c r="AB461" i="1"/>
  <c r="AA461" i="1"/>
  <c r="P109" i="5"/>
  <c r="P108" i="5"/>
  <c r="P107" i="5"/>
  <c r="P106" i="5"/>
  <c r="P105" i="5"/>
  <c r="P104" i="5"/>
  <c r="P103" i="5"/>
  <c r="P98" i="5"/>
  <c r="P97" i="5"/>
  <c r="P96" i="5"/>
  <c r="P95" i="5"/>
  <c r="P94" i="5"/>
  <c r="P93" i="5"/>
  <c r="P92" i="5"/>
  <c r="P87" i="5"/>
  <c r="P86" i="5"/>
  <c r="P85" i="5"/>
  <c r="P84" i="5"/>
  <c r="P83" i="5"/>
  <c r="P82" i="5"/>
  <c r="P81" i="5"/>
  <c r="P70" i="5"/>
  <c r="P76" i="5"/>
  <c r="P75" i="5"/>
  <c r="P74" i="5"/>
  <c r="P73" i="5"/>
  <c r="P72" i="5"/>
  <c r="P71" i="5"/>
  <c r="W65" i="5"/>
  <c r="V65" i="5"/>
  <c r="U65" i="5"/>
  <c r="T65" i="5"/>
  <c r="W64" i="5"/>
  <c r="V64" i="5"/>
  <c r="U64" i="5"/>
  <c r="T64" i="5"/>
  <c r="W63" i="5"/>
  <c r="V63" i="5"/>
  <c r="U63" i="5"/>
  <c r="T63" i="5"/>
  <c r="W62" i="5"/>
  <c r="V62" i="5"/>
  <c r="U62" i="5"/>
  <c r="T62" i="5"/>
  <c r="W61" i="5"/>
  <c r="V61" i="5"/>
  <c r="U61" i="5"/>
  <c r="T61" i="5"/>
  <c r="W60" i="5"/>
  <c r="V60" i="5"/>
  <c r="U60" i="5"/>
  <c r="T60" i="5"/>
  <c r="W59" i="5"/>
  <c r="V59" i="5"/>
  <c r="V66" i="5" s="1"/>
  <c r="U59" i="5"/>
  <c r="T59" i="5"/>
  <c r="P54" i="5"/>
  <c r="P53" i="5"/>
  <c r="P52" i="5"/>
  <c r="P51" i="5"/>
  <c r="P50" i="5"/>
  <c r="P49" i="5"/>
  <c r="P48" i="5"/>
  <c r="P43" i="5"/>
  <c r="P42" i="5"/>
  <c r="P41" i="5"/>
  <c r="P40" i="5"/>
  <c r="P39" i="5"/>
  <c r="P38" i="5"/>
  <c r="P37" i="5"/>
  <c r="P21" i="5"/>
  <c r="P20" i="5"/>
  <c r="P19" i="5"/>
  <c r="P18" i="5"/>
  <c r="P17" i="5"/>
  <c r="P16" i="5"/>
  <c r="P15" i="5"/>
  <c r="W10" i="5"/>
  <c r="V10" i="5"/>
  <c r="U10" i="5"/>
  <c r="T10" i="5"/>
  <c r="W9" i="5"/>
  <c r="V9" i="5"/>
  <c r="U9" i="5"/>
  <c r="T9" i="5"/>
  <c r="W8" i="5"/>
  <c r="V8" i="5"/>
  <c r="U8" i="5"/>
  <c r="T8" i="5"/>
  <c r="W7" i="5"/>
  <c r="V7" i="5"/>
  <c r="U7" i="5"/>
  <c r="T7" i="5"/>
  <c r="W6" i="5"/>
  <c r="V6" i="5"/>
  <c r="U6" i="5"/>
  <c r="T6" i="5"/>
  <c r="W5" i="5"/>
  <c r="V5" i="5"/>
  <c r="U5" i="5"/>
  <c r="T5" i="5"/>
  <c r="W4" i="5"/>
  <c r="W11" i="5" s="1"/>
  <c r="V4" i="5"/>
  <c r="V11" i="5" s="1"/>
  <c r="U4" i="5"/>
  <c r="U11" i="5" s="1"/>
  <c r="T4" i="5"/>
  <c r="T11" i="5" s="1"/>
  <c r="D171" i="5"/>
  <c r="D169" i="5"/>
  <c r="D168" i="5"/>
  <c r="D167" i="5"/>
  <c r="D166" i="5"/>
  <c r="D165" i="5"/>
  <c r="D164" i="5"/>
  <c r="D163" i="5"/>
  <c r="D162" i="5"/>
  <c r="D158" i="5"/>
  <c r="D156" i="5"/>
  <c r="D155" i="5"/>
  <c r="D154" i="5"/>
  <c r="D153" i="5"/>
  <c r="D152" i="5"/>
  <c r="D151" i="5"/>
  <c r="D150" i="5"/>
  <c r="D149" i="5"/>
  <c r="D144" i="5"/>
  <c r="D142" i="5"/>
  <c r="D141" i="5"/>
  <c r="D140" i="5"/>
  <c r="D139" i="5"/>
  <c r="D138" i="5"/>
  <c r="D137" i="5"/>
  <c r="D136" i="5"/>
  <c r="D135" i="5"/>
  <c r="D130" i="5"/>
  <c r="D128" i="5"/>
  <c r="D127" i="5"/>
  <c r="D126" i="5"/>
  <c r="D125" i="5"/>
  <c r="D124" i="5"/>
  <c r="D123" i="5"/>
  <c r="D122" i="5"/>
  <c r="D121" i="5"/>
  <c r="K115" i="5"/>
  <c r="J115" i="5"/>
  <c r="I115" i="5"/>
  <c r="H115" i="5"/>
  <c r="K113" i="5"/>
  <c r="O149" i="5" s="1"/>
  <c r="J113" i="5"/>
  <c r="N149" i="5" s="1"/>
  <c r="I113" i="5"/>
  <c r="M149" i="5" s="1"/>
  <c r="H113" i="5"/>
  <c r="L149" i="5" s="1"/>
  <c r="K112" i="5"/>
  <c r="O145" i="5" s="1"/>
  <c r="J112" i="5"/>
  <c r="N145" i="5" s="1"/>
  <c r="I112" i="5"/>
  <c r="M145" i="5" s="1"/>
  <c r="H112" i="5"/>
  <c r="L145" i="5" s="1"/>
  <c r="K111" i="5"/>
  <c r="O141" i="5" s="1"/>
  <c r="J111" i="5"/>
  <c r="N141" i="5" s="1"/>
  <c r="I111" i="5"/>
  <c r="M141" i="5" s="1"/>
  <c r="H111" i="5"/>
  <c r="L141" i="5" s="1"/>
  <c r="K110" i="5"/>
  <c r="O137" i="5" s="1"/>
  <c r="J110" i="5"/>
  <c r="N137" i="5" s="1"/>
  <c r="I110" i="5"/>
  <c r="M137" i="5" s="1"/>
  <c r="H110" i="5"/>
  <c r="L137" i="5" s="1"/>
  <c r="K109" i="5"/>
  <c r="O133" i="5" s="1"/>
  <c r="J109" i="5"/>
  <c r="N133" i="5" s="1"/>
  <c r="I109" i="5"/>
  <c r="M133" i="5" s="1"/>
  <c r="H109" i="5"/>
  <c r="L133" i="5" s="1"/>
  <c r="K108" i="5"/>
  <c r="O129" i="5" s="1"/>
  <c r="J108" i="5"/>
  <c r="N129" i="5" s="1"/>
  <c r="I108" i="5"/>
  <c r="M129" i="5" s="1"/>
  <c r="H108" i="5"/>
  <c r="L129" i="5" s="1"/>
  <c r="K107" i="5"/>
  <c r="O125" i="5" s="1"/>
  <c r="J107" i="5"/>
  <c r="N125" i="5" s="1"/>
  <c r="I107" i="5"/>
  <c r="M125" i="5" s="1"/>
  <c r="H107" i="5"/>
  <c r="L125" i="5" s="1"/>
  <c r="K106" i="5"/>
  <c r="O121" i="5" s="1"/>
  <c r="J106" i="5"/>
  <c r="N121" i="5" s="1"/>
  <c r="I106" i="5"/>
  <c r="M121" i="5" s="1"/>
  <c r="H106" i="5"/>
  <c r="L121" i="5" s="1"/>
  <c r="D100" i="5"/>
  <c r="D97" i="5"/>
  <c r="D96" i="5"/>
  <c r="D95" i="5"/>
  <c r="D94" i="5"/>
  <c r="D93" i="5"/>
  <c r="D92" i="5"/>
  <c r="D91" i="5"/>
  <c r="D90" i="5"/>
  <c r="D85" i="5"/>
  <c r="D82" i="5"/>
  <c r="D81" i="5"/>
  <c r="D80" i="5"/>
  <c r="D79" i="5"/>
  <c r="D78" i="5"/>
  <c r="D77" i="5"/>
  <c r="D76" i="5"/>
  <c r="D75" i="5"/>
  <c r="D70" i="5"/>
  <c r="D67" i="5"/>
  <c r="D66" i="5"/>
  <c r="D65" i="5"/>
  <c r="D64" i="5"/>
  <c r="D63" i="5"/>
  <c r="D62" i="5"/>
  <c r="D61" i="5"/>
  <c r="D60" i="5"/>
  <c r="D55" i="5"/>
  <c r="D52" i="5"/>
  <c r="D51" i="5"/>
  <c r="D50" i="5"/>
  <c r="D49" i="5"/>
  <c r="D48" i="5"/>
  <c r="D47" i="5"/>
  <c r="D46" i="5"/>
  <c r="D45" i="5"/>
  <c r="K37" i="5"/>
  <c r="J37" i="5"/>
  <c r="I37" i="5"/>
  <c r="H37" i="5"/>
  <c r="K40" i="5"/>
  <c r="J40" i="5"/>
  <c r="I40" i="5"/>
  <c r="H40" i="5"/>
  <c r="BS461" i="1"/>
  <c r="K36" i="5"/>
  <c r="J36" i="5"/>
  <c r="I36" i="5"/>
  <c r="H36" i="5"/>
  <c r="K35" i="5"/>
  <c r="J35" i="5"/>
  <c r="I35" i="5"/>
  <c r="H35" i="5"/>
  <c r="K34" i="5"/>
  <c r="J34" i="5"/>
  <c r="I34" i="5"/>
  <c r="H34" i="5"/>
  <c r="K33" i="5"/>
  <c r="J33" i="5"/>
  <c r="I33" i="5"/>
  <c r="H33" i="5"/>
  <c r="K32" i="5"/>
  <c r="J32" i="5"/>
  <c r="I32" i="5"/>
  <c r="H32" i="5"/>
  <c r="K31" i="5"/>
  <c r="J31" i="5"/>
  <c r="I31" i="5"/>
  <c r="H31" i="5"/>
  <c r="K30" i="5"/>
  <c r="J30" i="5"/>
  <c r="I30" i="5"/>
  <c r="H30" i="5"/>
  <c r="P32" i="5"/>
  <c r="AF8" i="5" l="1"/>
  <c r="AH8" i="5"/>
  <c r="AG8" i="5"/>
  <c r="AI8" i="5"/>
  <c r="AB24" i="5"/>
  <c r="AB17" i="5"/>
  <c r="AB31" i="5"/>
  <c r="GL22" i="5"/>
  <c r="P121" i="5"/>
  <c r="K121" i="5" s="1"/>
  <c r="P125" i="5"/>
  <c r="K125" i="5" s="1"/>
  <c r="P129" i="5"/>
  <c r="K129" i="5" s="1"/>
  <c r="P133" i="5"/>
  <c r="K133" i="5" s="1"/>
  <c r="P137" i="5"/>
  <c r="K137" i="5" s="1"/>
  <c r="P141" i="5"/>
  <c r="K141" i="5" s="1"/>
  <c r="P145" i="5"/>
  <c r="K145" i="5" s="1"/>
  <c r="P149" i="5"/>
  <c r="K149" i="5" s="1"/>
  <c r="I121" i="5"/>
  <c r="I125" i="5"/>
  <c r="I129" i="5"/>
  <c r="CS23" i="5"/>
  <c r="CN30" i="5"/>
  <c r="CR19" i="5"/>
  <c r="EJ15" i="5"/>
  <c r="EQ7" i="5"/>
  <c r="DR33" i="5"/>
  <c r="ED9" i="5"/>
  <c r="EF9" i="5" s="1"/>
  <c r="DV32" i="5"/>
  <c r="DZ24" i="5"/>
  <c r="DY22" i="5" s="1"/>
  <c r="EF8" i="5"/>
  <c r="EC10" i="5"/>
  <c r="EC12" i="5" s="1"/>
  <c r="EB12" i="5"/>
  <c r="CZ142" i="5"/>
  <c r="CR8" i="5"/>
  <c r="DJ19" i="5"/>
  <c r="CZ153" i="5"/>
  <c r="DI20" i="5"/>
  <c r="CZ60" i="5"/>
  <c r="DJ5" i="5"/>
  <c r="CZ67" i="5"/>
  <c r="DJ12" i="5"/>
  <c r="CZ129" i="5"/>
  <c r="DG22" i="5"/>
  <c r="DJ14" i="5"/>
  <c r="CZ69" i="5"/>
  <c r="CU7" i="5"/>
  <c r="CT8" i="5"/>
  <c r="CS7" i="5"/>
  <c r="CV6" i="5"/>
  <c r="DK26" i="5"/>
  <c r="CZ173" i="5"/>
  <c r="DM22" i="5"/>
  <c r="CZ207" i="5"/>
  <c r="DJ28" i="5"/>
  <c r="CZ162" i="5"/>
  <c r="DI7" i="5"/>
  <c r="CZ62" i="5" s="1"/>
  <c r="DJ6" i="5"/>
  <c r="CZ75" i="5" s="1"/>
  <c r="DM9" i="5"/>
  <c r="CZ118" i="5" s="1"/>
  <c r="DG9" i="5"/>
  <c r="CZ37" i="5" s="1"/>
  <c r="DH8" i="5"/>
  <c r="CZ49" i="5" s="1"/>
  <c r="CN111" i="5"/>
  <c r="CN99" i="5"/>
  <c r="CN87" i="5"/>
  <c r="CN75" i="5"/>
  <c r="CN64" i="5"/>
  <c r="CN53" i="5"/>
  <c r="CV17" i="5"/>
  <c r="CN42" i="5"/>
  <c r="BR207" i="5"/>
  <c r="BS180" i="5"/>
  <c r="AX199" i="5"/>
  <c r="BS179" i="5"/>
  <c r="BS177" i="5"/>
  <c r="BS175" i="5"/>
  <c r="BS173" i="5"/>
  <c r="BR211" i="5"/>
  <c r="BR203" i="5"/>
  <c r="BS178" i="5"/>
  <c r="BS176" i="5"/>
  <c r="BS174" i="5"/>
  <c r="AX203" i="5"/>
  <c r="AX195" i="5"/>
  <c r="CJ20" i="5"/>
  <c r="CJ5" i="5"/>
  <c r="BR215" i="5"/>
  <c r="BR199" i="5"/>
  <c r="BT195" i="5"/>
  <c r="BR191" i="5"/>
  <c r="BR187" i="5"/>
  <c r="BP183" i="5"/>
  <c r="BQ181" i="5"/>
  <c r="AX215" i="5"/>
  <c r="AX211" i="5"/>
  <c r="AX207" i="5"/>
  <c r="AY191" i="5"/>
  <c r="AY187" i="5"/>
  <c r="AV183" i="5"/>
  <c r="CJ462" i="1"/>
  <c r="AX179" i="5"/>
  <c r="AR106" i="5"/>
  <c r="AR33" i="5"/>
  <c r="AT33" i="5"/>
  <c r="AV41" i="5"/>
  <c r="AX173" i="5"/>
  <c r="AW181" i="5"/>
  <c r="AT106" i="5"/>
  <c r="AS106" i="5"/>
  <c r="AU107" i="5"/>
  <c r="AV32" i="5"/>
  <c r="AS34" i="5"/>
  <c r="AU34" i="5"/>
  <c r="BD178" i="5"/>
  <c r="BD177" i="5"/>
  <c r="BD176" i="5"/>
  <c r="BD175" i="5"/>
  <c r="AN161" i="5"/>
  <c r="AN148" i="5"/>
  <c r="AN135" i="5"/>
  <c r="AN121" i="5"/>
  <c r="AV105" i="5"/>
  <c r="AN91" i="5"/>
  <c r="AN77" i="5"/>
  <c r="AN63" i="5"/>
  <c r="AN48" i="5"/>
  <c r="AV39" i="5"/>
  <c r="L106" i="5"/>
  <c r="AN20" i="5"/>
  <c r="AJ9" i="5"/>
  <c r="P44" i="5"/>
  <c r="O43" i="5" s="1"/>
  <c r="P77" i="5"/>
  <c r="O71" i="5" s="1"/>
  <c r="AB38" i="5"/>
  <c r="AJ6" i="5"/>
  <c r="AJ5" i="5"/>
  <c r="AJ7" i="5"/>
  <c r="H38" i="5"/>
  <c r="H114" i="5"/>
  <c r="J114" i="5"/>
  <c r="L115" i="5"/>
  <c r="X5" i="5"/>
  <c r="X6" i="5"/>
  <c r="X7" i="5"/>
  <c r="X8" i="5"/>
  <c r="X9" i="5"/>
  <c r="X10" i="5"/>
  <c r="P22" i="5"/>
  <c r="O22" i="5" s="1"/>
  <c r="P55" i="5"/>
  <c r="O54" i="5" s="1"/>
  <c r="P99" i="5"/>
  <c r="O99" i="5" s="1"/>
  <c r="P110" i="5"/>
  <c r="O110" i="5" s="1"/>
  <c r="P88" i="5"/>
  <c r="O88" i="5" s="1"/>
  <c r="X65" i="5"/>
  <c r="X64" i="5"/>
  <c r="X63" i="5"/>
  <c r="U66" i="5"/>
  <c r="X62" i="5"/>
  <c r="X61" i="5"/>
  <c r="W66" i="5"/>
  <c r="X60" i="5"/>
  <c r="T66" i="5"/>
  <c r="X59" i="5"/>
  <c r="J38" i="5"/>
  <c r="L31" i="5"/>
  <c r="I38" i="5"/>
  <c r="K38" i="5"/>
  <c r="D53" i="5"/>
  <c r="C53" i="5" s="1"/>
  <c r="D83" i="5"/>
  <c r="C83" i="5" s="1"/>
  <c r="I114" i="5"/>
  <c r="K114" i="5"/>
  <c r="D143" i="5"/>
  <c r="C136" i="5" s="1"/>
  <c r="D170" i="5"/>
  <c r="C170" i="5" s="1"/>
  <c r="X12" i="5"/>
  <c r="X4" i="5"/>
  <c r="D157" i="5"/>
  <c r="C150" i="5" s="1"/>
  <c r="D129" i="5"/>
  <c r="L113" i="5"/>
  <c r="L112" i="5"/>
  <c r="L111" i="5"/>
  <c r="L110" i="5"/>
  <c r="L109" i="5"/>
  <c r="L108" i="5"/>
  <c r="L107" i="5"/>
  <c r="D98" i="5"/>
  <c r="D68" i="5"/>
  <c r="L40" i="5"/>
  <c r="L37" i="5"/>
  <c r="L36" i="5"/>
  <c r="L35" i="5"/>
  <c r="L34" i="5"/>
  <c r="L33" i="5"/>
  <c r="L32" i="5"/>
  <c r="L30" i="5"/>
  <c r="I137" i="5" l="1"/>
  <c r="AJ8" i="5"/>
  <c r="I149" i="5"/>
  <c r="I145" i="5"/>
  <c r="G149" i="5"/>
  <c r="G145" i="5"/>
  <c r="GM22" i="5"/>
  <c r="H149" i="5"/>
  <c r="H145" i="5"/>
  <c r="H141" i="5"/>
  <c r="H137" i="5"/>
  <c r="H133" i="5"/>
  <c r="H129" i="5"/>
  <c r="H125" i="5"/>
  <c r="H121" i="5"/>
  <c r="I141" i="5"/>
  <c r="I133" i="5"/>
  <c r="G141" i="5"/>
  <c r="G137" i="5"/>
  <c r="G133" i="5"/>
  <c r="G129" i="5"/>
  <c r="G125" i="5"/>
  <c r="G121" i="5"/>
  <c r="J149" i="5"/>
  <c r="J145" i="5"/>
  <c r="J141" i="5"/>
  <c r="J137" i="5"/>
  <c r="J133" i="5"/>
  <c r="J129" i="5"/>
  <c r="J125" i="5"/>
  <c r="J121" i="5"/>
  <c r="C51" i="5"/>
  <c r="O21" i="5"/>
  <c r="O72" i="5"/>
  <c r="EQ8" i="5"/>
  <c r="EJ16" i="5"/>
  <c r="CN31" i="5"/>
  <c r="CR20" i="5"/>
  <c r="DR34" i="5"/>
  <c r="ED10" i="5"/>
  <c r="DY24" i="5"/>
  <c r="DY17" i="5"/>
  <c r="DY23" i="5"/>
  <c r="DY18" i="5"/>
  <c r="DY19" i="5"/>
  <c r="DY20" i="5"/>
  <c r="DY21" i="5"/>
  <c r="ED12" i="5"/>
  <c r="EF12" i="5" s="1"/>
  <c r="DR36" i="5"/>
  <c r="DQ33" i="5" s="1"/>
  <c r="DV33" i="5"/>
  <c r="DM23" i="5"/>
  <c r="CZ208" i="5"/>
  <c r="CT9" i="5"/>
  <c r="CT11" i="5" s="1"/>
  <c r="DK14" i="5"/>
  <c r="CZ83" i="5"/>
  <c r="CZ81" i="5"/>
  <c r="DK12" i="5"/>
  <c r="CZ74" i="5"/>
  <c r="DK5" i="5"/>
  <c r="DJ20" i="5"/>
  <c r="CZ154" i="5"/>
  <c r="DK19" i="5"/>
  <c r="CZ166" i="5"/>
  <c r="AV33" i="5"/>
  <c r="DK28" i="5"/>
  <c r="CZ175" i="5"/>
  <c r="DL26" i="5"/>
  <c r="CZ186" i="5"/>
  <c r="CS8" i="5"/>
  <c r="CU8" i="5"/>
  <c r="CZ130" i="5"/>
  <c r="DG23" i="5"/>
  <c r="DH22" i="5"/>
  <c r="CV7" i="5"/>
  <c r="CR9" i="5"/>
  <c r="CR11" i="5" s="1"/>
  <c r="DI21" i="5"/>
  <c r="DG10" i="5"/>
  <c r="CZ38" i="5" s="1"/>
  <c r="DH9" i="5"/>
  <c r="CZ50" i="5" s="1"/>
  <c r="DI8" i="5"/>
  <c r="CZ63" i="5" s="1"/>
  <c r="DM10" i="5"/>
  <c r="CZ119" i="5" s="1"/>
  <c r="DK6" i="5"/>
  <c r="CZ89" i="5" s="1"/>
  <c r="DJ7" i="5"/>
  <c r="CZ76" i="5" s="1"/>
  <c r="CN112" i="5"/>
  <c r="CN100" i="5"/>
  <c r="CN88" i="5"/>
  <c r="CN76" i="5"/>
  <c r="CN65" i="5"/>
  <c r="CN54" i="5"/>
  <c r="CV18" i="5"/>
  <c r="CV19" i="5"/>
  <c r="CN43" i="5"/>
  <c r="BT174" i="5"/>
  <c r="BT180" i="5"/>
  <c r="BT176" i="5"/>
  <c r="BT178" i="5"/>
  <c r="BS203" i="5"/>
  <c r="BS211" i="5"/>
  <c r="C78" i="5"/>
  <c r="C162" i="5"/>
  <c r="AY195" i="5"/>
  <c r="AY203" i="5"/>
  <c r="BT173" i="5"/>
  <c r="BT175" i="5"/>
  <c r="BT177" i="5"/>
  <c r="BT179" i="5"/>
  <c r="AY199" i="5"/>
  <c r="BS207" i="5"/>
  <c r="CJ21" i="5"/>
  <c r="CJ6" i="5"/>
  <c r="BS215" i="5"/>
  <c r="BS199" i="5"/>
  <c r="BU195" i="5"/>
  <c r="BS191" i="5"/>
  <c r="BS187" i="5"/>
  <c r="BQ183" i="5"/>
  <c r="BR181" i="5"/>
  <c r="BS181" i="5"/>
  <c r="AY215" i="5"/>
  <c r="AY211" i="5"/>
  <c r="AY207" i="5"/>
  <c r="AZ191" i="5"/>
  <c r="AZ187" i="5"/>
  <c r="C52" i="5"/>
  <c r="L38" i="5"/>
  <c r="D30" i="5" s="1"/>
  <c r="O39" i="5"/>
  <c r="O76" i="5"/>
  <c r="AW183" i="5"/>
  <c r="C77" i="5"/>
  <c r="O18" i="5"/>
  <c r="O40" i="5"/>
  <c r="O17" i="5"/>
  <c r="O70" i="5"/>
  <c r="O74" i="5"/>
  <c r="O77" i="5"/>
  <c r="C81" i="5"/>
  <c r="C82" i="5"/>
  <c r="O49" i="5"/>
  <c r="AS35" i="5"/>
  <c r="AS107" i="5"/>
  <c r="AT107" i="5"/>
  <c r="AT34" i="5"/>
  <c r="AR107" i="5"/>
  <c r="AY179" i="5"/>
  <c r="AU35" i="5"/>
  <c r="AU108" i="5"/>
  <c r="AX181" i="5"/>
  <c r="AY173" i="5"/>
  <c r="AR34" i="5"/>
  <c r="C47" i="5"/>
  <c r="C48" i="5"/>
  <c r="O50" i="5"/>
  <c r="O53" i="5"/>
  <c r="O44" i="5"/>
  <c r="AN162" i="5"/>
  <c r="AN149" i="5"/>
  <c r="AN136" i="5"/>
  <c r="AN122" i="5"/>
  <c r="AV106" i="5"/>
  <c r="AN92" i="5"/>
  <c r="AN78" i="5"/>
  <c r="AN64" i="5"/>
  <c r="AN49" i="5"/>
  <c r="AN21" i="5"/>
  <c r="C79" i="5"/>
  <c r="C75" i="5"/>
  <c r="C80" i="5"/>
  <c r="C76" i="5"/>
  <c r="O15" i="5"/>
  <c r="O20" i="5"/>
  <c r="O16" i="5"/>
  <c r="O41" i="5"/>
  <c r="O37" i="5"/>
  <c r="O42" i="5"/>
  <c r="O38" i="5"/>
  <c r="O19" i="5"/>
  <c r="O92" i="5"/>
  <c r="L114" i="5"/>
  <c r="G106" i="5" s="1"/>
  <c r="AA37" i="5"/>
  <c r="AA35" i="5"/>
  <c r="AA38" i="5"/>
  <c r="C49" i="5"/>
  <c r="C45" i="5"/>
  <c r="C50" i="5"/>
  <c r="C46" i="5"/>
  <c r="O52" i="5"/>
  <c r="O48" i="5"/>
  <c r="O55" i="5"/>
  <c r="O51" i="5"/>
  <c r="O73" i="5"/>
  <c r="O75" i="5"/>
  <c r="AA36" i="5"/>
  <c r="O108" i="5"/>
  <c r="O104" i="5"/>
  <c r="O96" i="5"/>
  <c r="O86" i="5"/>
  <c r="O82" i="5"/>
  <c r="O109" i="5"/>
  <c r="O105" i="5"/>
  <c r="O97" i="5"/>
  <c r="O93" i="5"/>
  <c r="O85" i="5"/>
  <c r="O81" i="5"/>
  <c r="O106" i="5"/>
  <c r="O98" i="5"/>
  <c r="O94" i="5"/>
  <c r="O84" i="5"/>
  <c r="O107" i="5"/>
  <c r="O103" i="5"/>
  <c r="O95" i="5"/>
  <c r="O87" i="5"/>
  <c r="O83" i="5"/>
  <c r="X67" i="5"/>
  <c r="X66" i="5"/>
  <c r="C129" i="5"/>
  <c r="C127" i="5"/>
  <c r="C125" i="5"/>
  <c r="C123" i="5"/>
  <c r="C121" i="5"/>
  <c r="C168" i="5"/>
  <c r="C164" i="5"/>
  <c r="C154" i="5"/>
  <c r="C126" i="5"/>
  <c r="C122" i="5"/>
  <c r="C167" i="5"/>
  <c r="C163" i="5"/>
  <c r="C140" i="5"/>
  <c r="C157" i="5"/>
  <c r="C155" i="5"/>
  <c r="C153" i="5"/>
  <c r="C151" i="5"/>
  <c r="C149" i="5"/>
  <c r="C143" i="5"/>
  <c r="C141" i="5"/>
  <c r="C139" i="5"/>
  <c r="C137" i="5"/>
  <c r="C135" i="5"/>
  <c r="C166" i="5"/>
  <c r="C156" i="5"/>
  <c r="C152" i="5"/>
  <c r="C128" i="5"/>
  <c r="C124" i="5"/>
  <c r="C169" i="5"/>
  <c r="C165" i="5"/>
  <c r="C142" i="5"/>
  <c r="C138" i="5"/>
  <c r="X11" i="5"/>
  <c r="C97" i="5"/>
  <c r="C95" i="5"/>
  <c r="C93" i="5"/>
  <c r="C91" i="5"/>
  <c r="C98" i="5"/>
  <c r="C96" i="5"/>
  <c r="C94" i="5"/>
  <c r="C92" i="5"/>
  <c r="C90" i="5"/>
  <c r="C67" i="5"/>
  <c r="C65" i="5"/>
  <c r="C63" i="5"/>
  <c r="C61" i="5"/>
  <c r="C68" i="5"/>
  <c r="C66" i="5"/>
  <c r="C64" i="5"/>
  <c r="C62" i="5"/>
  <c r="C60" i="5"/>
  <c r="L39" i="5"/>
  <c r="L41" i="5" s="1"/>
  <c r="GN22" i="5" l="1"/>
  <c r="E35" i="5"/>
  <c r="F107" i="5"/>
  <c r="CN32" i="5"/>
  <c r="CR21" i="5"/>
  <c r="CN33" i="5" s="1"/>
  <c r="EJ17" i="5"/>
  <c r="EQ9" i="5"/>
  <c r="EQ11" i="5" s="1"/>
  <c r="F35" i="5"/>
  <c r="E110" i="5"/>
  <c r="C32" i="5"/>
  <c r="DX8" i="5"/>
  <c r="DQ40" i="5"/>
  <c r="DQ46" i="5"/>
  <c r="DR46" i="5"/>
  <c r="DR40" i="5"/>
  <c r="DQ41" i="5"/>
  <c r="DR41" i="5"/>
  <c r="DQ42" i="5"/>
  <c r="DS40" i="5"/>
  <c r="DS46" i="5"/>
  <c r="DR42" i="5"/>
  <c r="DQ43" i="5"/>
  <c r="DT40" i="5"/>
  <c r="DS41" i="5"/>
  <c r="DT46" i="5"/>
  <c r="DS42" i="5"/>
  <c r="DT41" i="5"/>
  <c r="DR43" i="5"/>
  <c r="DQ44" i="5"/>
  <c r="DR44" i="5"/>
  <c r="DS43" i="5"/>
  <c r="DT42" i="5"/>
  <c r="DQ45" i="5"/>
  <c r="DR45" i="5"/>
  <c r="DS44" i="5"/>
  <c r="DT43" i="5"/>
  <c r="DS47" i="5"/>
  <c r="DQ47" i="5"/>
  <c r="DR47" i="5"/>
  <c r="DT44" i="5"/>
  <c r="DS45" i="5"/>
  <c r="DT45" i="5"/>
  <c r="DT47" i="5"/>
  <c r="DV9" i="5"/>
  <c r="C113" i="5"/>
  <c r="D32" i="5"/>
  <c r="D106" i="5"/>
  <c r="F114" i="5"/>
  <c r="G108" i="5"/>
  <c r="F31" i="5"/>
  <c r="C109" i="5"/>
  <c r="E31" i="5"/>
  <c r="F108" i="5"/>
  <c r="D37" i="5"/>
  <c r="F111" i="5"/>
  <c r="D36" i="5"/>
  <c r="C36" i="5"/>
  <c r="G30" i="5"/>
  <c r="DU12" i="5"/>
  <c r="DQ34" i="5"/>
  <c r="DQ36" i="5"/>
  <c r="DQ29" i="5"/>
  <c r="DQ35" i="5"/>
  <c r="DQ30" i="5"/>
  <c r="DQ31" i="5"/>
  <c r="DQ32" i="5"/>
  <c r="EF14" i="5"/>
  <c r="DX12" i="5"/>
  <c r="DW5" i="5"/>
  <c r="DQ11" i="5"/>
  <c r="DQ5" i="5"/>
  <c r="DW11" i="5"/>
  <c r="DR5" i="5"/>
  <c r="DW6" i="5"/>
  <c r="DS5" i="5"/>
  <c r="DR11" i="5"/>
  <c r="DQ6" i="5"/>
  <c r="DR6" i="5"/>
  <c r="DW7" i="5"/>
  <c r="DQ7" i="5"/>
  <c r="DT5" i="5"/>
  <c r="DS11" i="5"/>
  <c r="DU5" i="5"/>
  <c r="DS6" i="5"/>
  <c r="DR7" i="5"/>
  <c r="DQ8" i="5"/>
  <c r="DT11" i="5"/>
  <c r="DW8" i="5"/>
  <c r="DR8" i="5"/>
  <c r="DS7" i="5"/>
  <c r="DX5" i="5"/>
  <c r="DV5" i="5"/>
  <c r="DQ9" i="5"/>
  <c r="DT6" i="5"/>
  <c r="DU11" i="5"/>
  <c r="DW9" i="5"/>
  <c r="DT7" i="5"/>
  <c r="DS8" i="5"/>
  <c r="DV11" i="5"/>
  <c r="DR9" i="5"/>
  <c r="DQ10" i="5"/>
  <c r="DW12" i="5"/>
  <c r="DU6" i="5"/>
  <c r="DW10" i="5"/>
  <c r="DV6" i="5"/>
  <c r="DU7" i="5"/>
  <c r="DQ12" i="5"/>
  <c r="DR10" i="5"/>
  <c r="DR12" i="5"/>
  <c r="DS9" i="5"/>
  <c r="DX11" i="5"/>
  <c r="DT8" i="5"/>
  <c r="DS10" i="5"/>
  <c r="DT9" i="5"/>
  <c r="DX6" i="5"/>
  <c r="DV7" i="5"/>
  <c r="DU8" i="5"/>
  <c r="DV8" i="5"/>
  <c r="DS12" i="5"/>
  <c r="DX7" i="5"/>
  <c r="DT10" i="5"/>
  <c r="DU9" i="5"/>
  <c r="DT12" i="5"/>
  <c r="DV36" i="5"/>
  <c r="DV12" i="5"/>
  <c r="DV34" i="5"/>
  <c r="DU34" i="5" s="1"/>
  <c r="DV10" i="5"/>
  <c r="EF10" i="5"/>
  <c r="DU10" i="5"/>
  <c r="DX9" i="5"/>
  <c r="F33" i="5"/>
  <c r="E37" i="5"/>
  <c r="E33" i="5"/>
  <c r="G31" i="5"/>
  <c r="G38" i="5"/>
  <c r="D34" i="5"/>
  <c r="C30" i="5"/>
  <c r="C34" i="5"/>
  <c r="D38" i="5"/>
  <c r="G35" i="5"/>
  <c r="G34" i="5"/>
  <c r="DJ21" i="5"/>
  <c r="CZ155" i="5"/>
  <c r="CZ131" i="5"/>
  <c r="DH23" i="5"/>
  <c r="DG24" i="5"/>
  <c r="CS9" i="5"/>
  <c r="CZ199" i="5"/>
  <c r="DL28" i="5"/>
  <c r="CZ188" i="5"/>
  <c r="DL19" i="5"/>
  <c r="CZ179" i="5"/>
  <c r="CZ88" i="5"/>
  <c r="DL5" i="5"/>
  <c r="DL6" i="5" s="1"/>
  <c r="CZ95" i="5"/>
  <c r="DL12" i="5"/>
  <c r="DM24" i="5"/>
  <c r="CZ209" i="5"/>
  <c r="CV8" i="5"/>
  <c r="DI22" i="5"/>
  <c r="CZ143" i="5"/>
  <c r="CU9" i="5"/>
  <c r="CS11" i="5"/>
  <c r="DK20" i="5"/>
  <c r="CZ167" i="5"/>
  <c r="DL14" i="5"/>
  <c r="CZ110" i="5" s="1"/>
  <c r="CZ97" i="5"/>
  <c r="DN14" i="5"/>
  <c r="DM11" i="5"/>
  <c r="CZ120" i="5" s="1"/>
  <c r="DJ8" i="5"/>
  <c r="CZ77" i="5" s="1"/>
  <c r="DI9" i="5"/>
  <c r="CZ64" i="5" s="1"/>
  <c r="DK7" i="5"/>
  <c r="CZ90" i="5" s="1"/>
  <c r="DH10" i="5"/>
  <c r="CZ51" i="5" s="1"/>
  <c r="DG11" i="5"/>
  <c r="CZ39" i="5" s="1"/>
  <c r="CN113" i="5"/>
  <c r="CN101" i="5"/>
  <c r="CN89" i="5"/>
  <c r="CN77" i="5"/>
  <c r="CN66" i="5"/>
  <c r="CN55" i="5"/>
  <c r="CV20" i="5"/>
  <c r="CN44" i="5"/>
  <c r="F30" i="5"/>
  <c r="F32" i="5"/>
  <c r="F34" i="5"/>
  <c r="F36" i="5"/>
  <c r="E30" i="5"/>
  <c r="E32" i="5"/>
  <c r="E34" i="5"/>
  <c r="E36" i="5"/>
  <c r="F38" i="5"/>
  <c r="F37" i="5"/>
  <c r="D31" i="5"/>
  <c r="D33" i="5"/>
  <c r="D35" i="5"/>
  <c r="C38" i="5"/>
  <c r="C31" i="5"/>
  <c r="C33" i="5"/>
  <c r="C35" i="5"/>
  <c r="E38" i="5"/>
  <c r="C37" i="5"/>
  <c r="G37" i="5"/>
  <c r="G33" i="5"/>
  <c r="G36" i="5"/>
  <c r="G32" i="5"/>
  <c r="BT207" i="5"/>
  <c r="AZ199" i="5"/>
  <c r="BU179" i="5"/>
  <c r="BU177" i="5"/>
  <c r="BU175" i="5"/>
  <c r="BU173" i="5"/>
  <c r="AZ203" i="5"/>
  <c r="AZ195" i="5"/>
  <c r="BT211" i="5"/>
  <c r="BT203" i="5"/>
  <c r="BU178" i="5"/>
  <c r="BU176" i="5"/>
  <c r="BU180" i="5"/>
  <c r="BU174" i="5"/>
  <c r="CJ22" i="5"/>
  <c r="CJ7" i="5"/>
  <c r="BT215" i="5"/>
  <c r="BT199" i="5"/>
  <c r="BV195" i="5"/>
  <c r="BT191" i="5"/>
  <c r="BT187" i="5"/>
  <c r="BR183" i="5"/>
  <c r="BS183" i="5"/>
  <c r="AZ215" i="5"/>
  <c r="AZ211" i="5"/>
  <c r="AZ207" i="5"/>
  <c r="BA191" i="5"/>
  <c r="BA187" i="5"/>
  <c r="AX183" i="5"/>
  <c r="C114" i="5"/>
  <c r="C111" i="5"/>
  <c r="F112" i="5"/>
  <c r="D114" i="5"/>
  <c r="E106" i="5"/>
  <c r="F109" i="5"/>
  <c r="F113" i="5"/>
  <c r="E108" i="5"/>
  <c r="E112" i="5"/>
  <c r="D110" i="5"/>
  <c r="G113" i="5"/>
  <c r="G112" i="5"/>
  <c r="G109" i="5"/>
  <c r="AU36" i="5"/>
  <c r="AS108" i="5"/>
  <c r="AS36" i="5"/>
  <c r="C108" i="5"/>
  <c r="C110" i="5"/>
  <c r="C112" i="5"/>
  <c r="L116" i="5"/>
  <c r="F106" i="5"/>
  <c r="F110" i="5"/>
  <c r="C107" i="5"/>
  <c r="C106" i="5"/>
  <c r="D107" i="5"/>
  <c r="D109" i="5"/>
  <c r="D111" i="5"/>
  <c r="D113" i="5"/>
  <c r="G114" i="5"/>
  <c r="E114" i="5"/>
  <c r="E109" i="5"/>
  <c r="E111" i="5"/>
  <c r="E113" i="5"/>
  <c r="D108" i="5"/>
  <c r="D112" i="5"/>
  <c r="E107" i="5"/>
  <c r="G110" i="5"/>
  <c r="G111" i="5"/>
  <c r="G107" i="5"/>
  <c r="AR35" i="5"/>
  <c r="AV34" i="5"/>
  <c r="AZ173" i="5"/>
  <c r="AY181" i="5"/>
  <c r="AU109" i="5"/>
  <c r="AY183" i="5"/>
  <c r="AZ179" i="5"/>
  <c r="AR108" i="5"/>
  <c r="AT35" i="5"/>
  <c r="AT108" i="5"/>
  <c r="AN163" i="5"/>
  <c r="AN150" i="5"/>
  <c r="AN137" i="5"/>
  <c r="AN123" i="5"/>
  <c r="AV107" i="5"/>
  <c r="AN93" i="5"/>
  <c r="AN79" i="5"/>
  <c r="AN65" i="5"/>
  <c r="AN50" i="5"/>
  <c r="AN7" i="5"/>
  <c r="AN22" i="5"/>
  <c r="AC5" i="5"/>
  <c r="AA5" i="5"/>
  <c r="AC6" i="5"/>
  <c r="AA6" i="5"/>
  <c r="AE8" i="5"/>
  <c r="AA7" i="5"/>
  <c r="AD8" i="5"/>
  <c r="AD7" i="5"/>
  <c r="AD5" i="5"/>
  <c r="AB6" i="5"/>
  <c r="AA8" i="5"/>
  <c r="AC8" i="5"/>
  <c r="AC7" i="5"/>
  <c r="AB8" i="5"/>
  <c r="AB7" i="5"/>
  <c r="AB5" i="5"/>
  <c r="AD6" i="5"/>
  <c r="AE7" i="5"/>
  <c r="AE5" i="5"/>
  <c r="AE6" i="5"/>
  <c r="Q65" i="5"/>
  <c r="Q63" i="5"/>
  <c r="Q62" i="5"/>
  <c r="Q61" i="5"/>
  <c r="Q64" i="5"/>
  <c r="P63" i="5"/>
  <c r="R62" i="5"/>
  <c r="R61" i="5"/>
  <c r="Q60" i="5"/>
  <c r="Q66" i="5"/>
  <c r="R60" i="5"/>
  <c r="P62" i="5"/>
  <c r="P64" i="5"/>
  <c r="P65" i="5"/>
  <c r="P59" i="5"/>
  <c r="Q59" i="5"/>
  <c r="O61" i="5"/>
  <c r="O63" i="5"/>
  <c r="O65" i="5"/>
  <c r="P60" i="5"/>
  <c r="P61" i="5"/>
  <c r="R63" i="5"/>
  <c r="R64" i="5"/>
  <c r="R65" i="5"/>
  <c r="R59" i="5"/>
  <c r="O59" i="5"/>
  <c r="O60" i="5"/>
  <c r="O62" i="5"/>
  <c r="O64" i="5"/>
  <c r="S59" i="5"/>
  <c r="O66" i="5"/>
  <c r="S63" i="5"/>
  <c r="R66" i="5"/>
  <c r="P66" i="5"/>
  <c r="S60" i="5"/>
  <c r="S66" i="5"/>
  <c r="S65" i="5"/>
  <c r="S62" i="5"/>
  <c r="S64" i="5"/>
  <c r="S61" i="5"/>
  <c r="S11" i="5"/>
  <c r="R9" i="5"/>
  <c r="P9" i="5"/>
  <c r="R7" i="5"/>
  <c r="P7" i="5"/>
  <c r="R5" i="5"/>
  <c r="Q11" i="5"/>
  <c r="Q5" i="5"/>
  <c r="Q6" i="5"/>
  <c r="Q7" i="5"/>
  <c r="Q8" i="5"/>
  <c r="Q9" i="5"/>
  <c r="Q10" i="5"/>
  <c r="P11" i="5"/>
  <c r="P5" i="5"/>
  <c r="R6" i="5"/>
  <c r="R8" i="5"/>
  <c r="R10" i="5"/>
  <c r="O4" i="5"/>
  <c r="O6" i="5"/>
  <c r="O10" i="5"/>
  <c r="P4" i="5"/>
  <c r="O5" i="5"/>
  <c r="O9" i="5"/>
  <c r="O11" i="5"/>
  <c r="S5" i="5"/>
  <c r="S6" i="5"/>
  <c r="S7" i="5"/>
  <c r="S8" i="5"/>
  <c r="S9" i="5"/>
  <c r="S10" i="5"/>
  <c r="R11" i="5"/>
  <c r="P6" i="5"/>
  <c r="P8" i="5"/>
  <c r="P10" i="5"/>
  <c r="Q4" i="5"/>
  <c r="O8" i="5"/>
  <c r="R4" i="5"/>
  <c r="O7" i="5"/>
  <c r="S4" i="5"/>
  <c r="CZ102" i="5" l="1"/>
  <c r="DN6" i="5"/>
  <c r="GO22" i="5"/>
  <c r="EJ20" i="5"/>
  <c r="EI17" i="5" s="1"/>
  <c r="EJ18" i="5"/>
  <c r="CR23" i="5"/>
  <c r="CN35" i="5" s="1"/>
  <c r="DX10" i="5"/>
  <c r="EF13" i="5"/>
  <c r="DU36" i="5"/>
  <c r="DU29" i="5"/>
  <c r="DU35" i="5"/>
  <c r="DU30" i="5"/>
  <c r="DU31" i="5"/>
  <c r="DU32" i="5"/>
  <c r="DU33" i="5"/>
  <c r="DJ22" i="5"/>
  <c r="CZ156" i="5"/>
  <c r="DM25" i="5"/>
  <c r="CZ210" i="5"/>
  <c r="CZ108" i="5"/>
  <c r="DN12" i="5"/>
  <c r="DN5" i="5"/>
  <c r="CZ101" i="5"/>
  <c r="CZ192" i="5"/>
  <c r="CZ201" i="5"/>
  <c r="DN28" i="5"/>
  <c r="DI23" i="5"/>
  <c r="CZ144" i="5"/>
  <c r="DK21" i="5"/>
  <c r="CZ168" i="5"/>
  <c r="CN57" i="5"/>
  <c r="DM13" i="5"/>
  <c r="CZ122" i="5" s="1"/>
  <c r="CY120" i="5" s="1"/>
  <c r="DL20" i="5"/>
  <c r="CZ180" i="5"/>
  <c r="CU11" i="5"/>
  <c r="CV11" i="5" s="1"/>
  <c r="CV9" i="5"/>
  <c r="CZ132" i="5"/>
  <c r="DG25" i="5"/>
  <c r="DH24" i="5"/>
  <c r="CM33" i="5"/>
  <c r="DN26" i="5"/>
  <c r="DN19" i="5"/>
  <c r="DI10" i="5"/>
  <c r="CZ65" i="5" s="1"/>
  <c r="DK8" i="5"/>
  <c r="CZ91" i="5" s="1"/>
  <c r="DH11" i="5"/>
  <c r="DG13" i="5"/>
  <c r="CZ41" i="5" s="1"/>
  <c r="DL7" i="5"/>
  <c r="CZ103" i="5" s="1"/>
  <c r="DJ9" i="5"/>
  <c r="CZ78" i="5" s="1"/>
  <c r="CN115" i="5"/>
  <c r="CN91" i="5"/>
  <c r="CN103" i="5"/>
  <c r="CM101" i="5" s="1"/>
  <c r="CN79" i="5"/>
  <c r="CN68" i="5"/>
  <c r="CV21" i="5"/>
  <c r="CN46" i="5"/>
  <c r="BV174" i="5"/>
  <c r="BV180" i="5"/>
  <c r="BV176" i="5"/>
  <c r="BV178" i="5"/>
  <c r="BU203" i="5"/>
  <c r="BU211" i="5"/>
  <c r="BA195" i="5"/>
  <c r="BA203" i="5"/>
  <c r="BV173" i="5"/>
  <c r="BX173" i="5" s="1"/>
  <c r="BV175" i="5"/>
  <c r="BX175" i="5" s="1"/>
  <c r="BV177" i="5"/>
  <c r="BV179" i="5"/>
  <c r="BA199" i="5"/>
  <c r="BU207" i="5"/>
  <c r="CJ23" i="5"/>
  <c r="CJ8" i="5"/>
  <c r="BU215" i="5"/>
  <c r="BU199" i="5"/>
  <c r="BX195" i="5"/>
  <c r="BU191" i="5"/>
  <c r="BU187" i="5"/>
  <c r="BX174" i="5"/>
  <c r="BT181" i="5"/>
  <c r="BA215" i="5"/>
  <c r="BA211" i="5"/>
  <c r="BA207" i="5"/>
  <c r="BB191" i="5"/>
  <c r="BB187" i="5"/>
  <c r="BD187" i="5" s="1"/>
  <c r="AT109" i="5"/>
  <c r="BA179" i="5"/>
  <c r="AR36" i="5"/>
  <c r="AV35" i="5"/>
  <c r="AT36" i="5"/>
  <c r="AR109" i="5"/>
  <c r="AU110" i="5"/>
  <c r="AZ181" i="5"/>
  <c r="BA173" i="5"/>
  <c r="AS37" i="5"/>
  <c r="AS109" i="5"/>
  <c r="AU37" i="5"/>
  <c r="AN164" i="5"/>
  <c r="AN151" i="5"/>
  <c r="AN138" i="5"/>
  <c r="AN124" i="5"/>
  <c r="AV108" i="5"/>
  <c r="AN94" i="5"/>
  <c r="AN80" i="5"/>
  <c r="AN66" i="5"/>
  <c r="AN51" i="5"/>
  <c r="AN8" i="5"/>
  <c r="AN23" i="5"/>
  <c r="P31" i="5"/>
  <c r="P30" i="5"/>
  <c r="P29" i="5"/>
  <c r="P28" i="5"/>
  <c r="P27" i="5"/>
  <c r="P26" i="5"/>
  <c r="K8" i="5"/>
  <c r="J8" i="5"/>
  <c r="I8" i="5"/>
  <c r="H8" i="5"/>
  <c r="K7" i="5"/>
  <c r="J7" i="5"/>
  <c r="I7" i="5"/>
  <c r="H7" i="5"/>
  <c r="K6" i="5"/>
  <c r="J6" i="5"/>
  <c r="I6" i="5"/>
  <c r="H5" i="5"/>
  <c r="H6" i="5"/>
  <c r="K5" i="5"/>
  <c r="J5" i="5"/>
  <c r="I5" i="5"/>
  <c r="EI18" i="5" l="1"/>
  <c r="GQ22" i="5"/>
  <c r="EI20" i="5"/>
  <c r="EI19" i="5"/>
  <c r="EI14" i="5"/>
  <c r="EI15" i="5"/>
  <c r="EI16" i="5"/>
  <c r="CO10" i="5"/>
  <c r="CM10" i="5"/>
  <c r="CN4" i="5"/>
  <c r="CP10" i="5"/>
  <c r="CP4" i="5"/>
  <c r="CN10" i="5"/>
  <c r="CO4" i="5"/>
  <c r="CM5" i="5"/>
  <c r="CO5" i="5"/>
  <c r="CM4" i="5"/>
  <c r="CQ5" i="5"/>
  <c r="CQ4" i="5"/>
  <c r="CM6" i="5"/>
  <c r="CQ10" i="5"/>
  <c r="CN5" i="5"/>
  <c r="CO6" i="5"/>
  <c r="CP5" i="5"/>
  <c r="CO7" i="5"/>
  <c r="CM7" i="5"/>
  <c r="CP6" i="5"/>
  <c r="CN6" i="5"/>
  <c r="CQ6" i="5"/>
  <c r="CO8" i="5"/>
  <c r="CN7" i="5"/>
  <c r="CP7" i="5"/>
  <c r="CM8" i="5"/>
  <c r="CQ7" i="5"/>
  <c r="CO9" i="5"/>
  <c r="CP8" i="5"/>
  <c r="CN8" i="5"/>
  <c r="CM9" i="5"/>
  <c r="CP9" i="5"/>
  <c r="CQ8" i="5"/>
  <c r="CN9" i="5"/>
  <c r="CM78" i="5"/>
  <c r="CM79" i="5"/>
  <c r="CM72" i="5"/>
  <c r="CM73" i="5"/>
  <c r="CM74" i="5"/>
  <c r="CM75" i="5"/>
  <c r="CM76" i="5"/>
  <c r="CM90" i="5"/>
  <c r="CM91" i="5"/>
  <c r="CM84" i="5"/>
  <c r="CM85" i="5"/>
  <c r="CM86" i="5"/>
  <c r="CM87" i="5"/>
  <c r="CM88" i="5"/>
  <c r="CY41" i="5"/>
  <c r="CY40" i="5"/>
  <c r="CY34" i="5"/>
  <c r="CY35" i="5"/>
  <c r="CY33" i="5"/>
  <c r="CY36" i="5"/>
  <c r="CY37" i="5"/>
  <c r="CY38" i="5"/>
  <c r="DH25" i="5"/>
  <c r="CZ133" i="5"/>
  <c r="CQ9" i="5"/>
  <c r="CZ193" i="5"/>
  <c r="CY39" i="5"/>
  <c r="CM89" i="5"/>
  <c r="CM56" i="5"/>
  <c r="CM57" i="5"/>
  <c r="CM50" i="5"/>
  <c r="CM51" i="5"/>
  <c r="CM52" i="5"/>
  <c r="CM53" i="5"/>
  <c r="CM54" i="5"/>
  <c r="CV12" i="5"/>
  <c r="DJ23" i="5"/>
  <c r="CZ157" i="5"/>
  <c r="DK22" i="5"/>
  <c r="CZ169" i="5"/>
  <c r="CM55" i="5"/>
  <c r="CM46" i="5"/>
  <c r="CM45" i="5"/>
  <c r="CM39" i="5"/>
  <c r="CM40" i="5"/>
  <c r="CM41" i="5"/>
  <c r="CM42" i="5"/>
  <c r="CM43" i="5"/>
  <c r="CM67" i="5"/>
  <c r="CM68" i="5"/>
  <c r="CM61" i="5"/>
  <c r="CM62" i="5"/>
  <c r="CM63" i="5"/>
  <c r="CM64" i="5"/>
  <c r="CM65" i="5"/>
  <c r="CM102" i="5"/>
  <c r="CM103" i="5"/>
  <c r="CM96" i="5"/>
  <c r="CM97" i="5"/>
  <c r="CM98" i="5"/>
  <c r="CM99" i="5"/>
  <c r="CM100" i="5"/>
  <c r="CM114" i="5"/>
  <c r="CM115" i="5"/>
  <c r="CM108" i="5"/>
  <c r="CM109" i="5"/>
  <c r="CM110" i="5"/>
  <c r="CM111" i="5"/>
  <c r="CM112" i="5"/>
  <c r="DH13" i="5"/>
  <c r="CZ54" i="5" s="1"/>
  <c r="CZ52" i="5"/>
  <c r="DI24" i="5"/>
  <c r="CZ145" i="5"/>
  <c r="CY122" i="5"/>
  <c r="CY121" i="5"/>
  <c r="CY116" i="5"/>
  <c r="CY114" i="5"/>
  <c r="CY115" i="5"/>
  <c r="CY117" i="5"/>
  <c r="CY118" i="5"/>
  <c r="CY119" i="5"/>
  <c r="CM113" i="5"/>
  <c r="CM66" i="5"/>
  <c r="CM44" i="5"/>
  <c r="DL21" i="5"/>
  <c r="CZ181" i="5"/>
  <c r="CZ211" i="5"/>
  <c r="CM77" i="5"/>
  <c r="CM35" i="5"/>
  <c r="CM34" i="5"/>
  <c r="CM28" i="5"/>
  <c r="CM29" i="5"/>
  <c r="CM30" i="5"/>
  <c r="CM31" i="5"/>
  <c r="CM32" i="5"/>
  <c r="DN20" i="5"/>
  <c r="DH27" i="5"/>
  <c r="DG27" i="5"/>
  <c r="DM27" i="5"/>
  <c r="DN7" i="5"/>
  <c r="DL8" i="5"/>
  <c r="CZ104" i="5" s="1"/>
  <c r="DK9" i="5"/>
  <c r="CZ92" i="5" s="1"/>
  <c r="DI11" i="5"/>
  <c r="CZ66" i="5" s="1"/>
  <c r="DJ10" i="5"/>
  <c r="CZ79" i="5" s="1"/>
  <c r="CV24" i="5"/>
  <c r="CV23" i="5"/>
  <c r="AU187" i="5"/>
  <c r="AM187" i="5"/>
  <c r="AT187" i="5"/>
  <c r="AN187" i="5"/>
  <c r="AO187" i="5"/>
  <c r="AP187" i="5"/>
  <c r="AQ187" i="5"/>
  <c r="AR187" i="5"/>
  <c r="AS187" i="5"/>
  <c r="BO195" i="5"/>
  <c r="BG195" i="5"/>
  <c r="BN195" i="5"/>
  <c r="BH195" i="5"/>
  <c r="BI195" i="5"/>
  <c r="BJ195" i="5"/>
  <c r="BK195" i="5"/>
  <c r="BL195" i="5"/>
  <c r="BV207" i="5"/>
  <c r="BB199" i="5"/>
  <c r="BB203" i="5"/>
  <c r="BB195" i="5"/>
  <c r="BV211" i="5"/>
  <c r="BV203" i="5"/>
  <c r="BM195" i="5"/>
  <c r="CJ24" i="5"/>
  <c r="CJ9" i="5"/>
  <c r="BV215" i="5"/>
  <c r="BV199" i="5"/>
  <c r="BV191" i="5"/>
  <c r="BV187" i="5"/>
  <c r="BX178" i="5"/>
  <c r="BX177" i="5"/>
  <c r="BX176" i="5"/>
  <c r="BX180" i="5"/>
  <c r="BX179" i="5"/>
  <c r="BT183" i="5"/>
  <c r="BU181" i="5"/>
  <c r="BB215" i="5"/>
  <c r="BB211" i="5"/>
  <c r="BB207" i="5"/>
  <c r="BD191" i="5"/>
  <c r="AS191" i="5" s="1"/>
  <c r="AZ183" i="5"/>
  <c r="J9" i="5"/>
  <c r="L6" i="5"/>
  <c r="G17" i="5" s="1"/>
  <c r="AU38" i="5"/>
  <c r="AS110" i="5"/>
  <c r="AS38" i="5"/>
  <c r="AT37" i="5"/>
  <c r="AR37" i="5"/>
  <c r="AV36" i="5"/>
  <c r="BB179" i="5"/>
  <c r="AT110" i="5"/>
  <c r="AS40" i="5"/>
  <c r="BB173" i="5"/>
  <c r="BA181" i="5"/>
  <c r="AR110" i="5"/>
  <c r="AR112" i="5" s="1"/>
  <c r="AN165" i="5"/>
  <c r="AN152" i="5"/>
  <c r="AN139" i="5"/>
  <c r="AN125" i="5"/>
  <c r="AV109" i="5"/>
  <c r="AN95" i="5"/>
  <c r="AN81" i="5"/>
  <c r="AN67" i="5"/>
  <c r="AN52" i="5"/>
  <c r="AN9" i="5"/>
  <c r="AN24" i="5"/>
  <c r="P33" i="5"/>
  <c r="I9" i="5"/>
  <c r="K9" i="5"/>
  <c r="D17" i="5"/>
  <c r="H9" i="5"/>
  <c r="L5" i="5"/>
  <c r="C13" i="5" s="1"/>
  <c r="L8" i="5"/>
  <c r="L7" i="5"/>
  <c r="F21" i="5" s="1"/>
  <c r="C17" i="5" l="1"/>
  <c r="F17" i="5"/>
  <c r="E17" i="5"/>
  <c r="CZ135" i="5"/>
  <c r="CY54" i="5"/>
  <c r="CY47" i="5"/>
  <c r="CY48" i="5"/>
  <c r="CY46" i="5"/>
  <c r="CY53" i="5"/>
  <c r="CY49" i="5"/>
  <c r="CY50" i="5"/>
  <c r="CY51" i="5"/>
  <c r="DL22" i="5"/>
  <c r="CZ182" i="5"/>
  <c r="DK23" i="5"/>
  <c r="CZ170" i="5"/>
  <c r="DI25" i="5"/>
  <c r="CZ146" i="5"/>
  <c r="CQ11" i="5"/>
  <c r="CM11" i="5"/>
  <c r="CZ213" i="5"/>
  <c r="CZ148" i="5"/>
  <c r="CZ194" i="5"/>
  <c r="DJ24" i="5"/>
  <c r="CZ158" i="5"/>
  <c r="CY52" i="5"/>
  <c r="CO11" i="5"/>
  <c r="CP11" i="5"/>
  <c r="CN11" i="5"/>
  <c r="CY135" i="5"/>
  <c r="CY127" i="5"/>
  <c r="CY134" i="5"/>
  <c r="CY128" i="5"/>
  <c r="CY129" i="5"/>
  <c r="CY130" i="5"/>
  <c r="CY131" i="5"/>
  <c r="CY132" i="5"/>
  <c r="CY133" i="5"/>
  <c r="DN21" i="5"/>
  <c r="DJ11" i="5"/>
  <c r="CZ80" i="5" s="1"/>
  <c r="DI13" i="5"/>
  <c r="CZ68" i="5" s="1"/>
  <c r="DK10" i="5"/>
  <c r="CZ93" i="5" s="1"/>
  <c r="DL9" i="5"/>
  <c r="CZ105" i="5" s="1"/>
  <c r="DN8" i="5"/>
  <c r="CP22" i="5"/>
  <c r="CP21" i="5"/>
  <c r="CP20" i="5"/>
  <c r="CP19" i="5"/>
  <c r="CP18" i="5"/>
  <c r="CP17" i="5"/>
  <c r="CP16" i="5"/>
  <c r="CO22" i="5"/>
  <c r="CO21" i="5"/>
  <c r="CO20" i="5"/>
  <c r="CO19" i="5"/>
  <c r="CO18" i="5"/>
  <c r="CO17" i="5"/>
  <c r="CO16" i="5"/>
  <c r="CN22" i="5"/>
  <c r="CN21" i="5"/>
  <c r="CN20" i="5"/>
  <c r="CN19" i="5"/>
  <c r="CN18" i="5"/>
  <c r="CN17" i="5"/>
  <c r="CN16" i="5"/>
  <c r="CM22" i="5"/>
  <c r="CM21" i="5"/>
  <c r="CM20" i="5"/>
  <c r="CM19" i="5"/>
  <c r="CM18" i="5"/>
  <c r="CM17" i="5"/>
  <c r="CM16" i="5"/>
  <c r="CQ22" i="5"/>
  <c r="CQ16" i="5"/>
  <c r="CQ17" i="5"/>
  <c r="CQ18" i="5"/>
  <c r="CQ19" i="5"/>
  <c r="CQ20" i="5"/>
  <c r="CQ21" i="5"/>
  <c r="AU191" i="5"/>
  <c r="AT191" i="5"/>
  <c r="AM191" i="5"/>
  <c r="AO191" i="5"/>
  <c r="AN191" i="5"/>
  <c r="AP191" i="5"/>
  <c r="AQ191" i="5"/>
  <c r="AR191" i="5"/>
  <c r="BX203" i="5"/>
  <c r="BM203" i="5" s="1"/>
  <c r="BX211" i="5"/>
  <c r="BM211" i="5" s="1"/>
  <c r="BD195" i="5"/>
  <c r="AS195" i="5" s="1"/>
  <c r="BD203" i="5"/>
  <c r="AS203" i="5" s="1"/>
  <c r="BD199" i="5"/>
  <c r="AS199" i="5" s="1"/>
  <c r="BX207" i="5"/>
  <c r="CH26" i="5"/>
  <c r="CI26" i="5"/>
  <c r="CG26" i="5"/>
  <c r="CF26" i="5"/>
  <c r="CH11" i="5"/>
  <c r="CG11" i="5"/>
  <c r="CI11" i="5"/>
  <c r="CF11" i="5"/>
  <c r="BX215" i="5"/>
  <c r="BX199" i="5"/>
  <c r="BM199" i="5" s="1"/>
  <c r="BX191" i="5"/>
  <c r="BX187" i="5"/>
  <c r="BX182" i="5"/>
  <c r="BX183" i="5" s="1"/>
  <c r="BX181" i="5"/>
  <c r="BO177" i="5" s="1"/>
  <c r="BU183" i="5"/>
  <c r="BV181" i="5"/>
  <c r="BM181" i="5" s="1"/>
  <c r="BD215" i="5"/>
  <c r="BD211" i="5"/>
  <c r="BD207" i="5"/>
  <c r="BA183" i="5"/>
  <c r="BD179" i="5"/>
  <c r="AR114" i="5"/>
  <c r="BB181" i="5"/>
  <c r="BB183" i="5" s="1"/>
  <c r="BD173" i="5"/>
  <c r="AR38" i="5"/>
  <c r="AV37" i="5"/>
  <c r="AT38" i="5"/>
  <c r="AU40" i="5"/>
  <c r="AN167" i="5"/>
  <c r="AN154" i="5"/>
  <c r="AN141" i="5"/>
  <c r="AM139" i="5" s="1"/>
  <c r="AN127" i="5"/>
  <c r="AM125" i="5" s="1"/>
  <c r="AS112" i="5"/>
  <c r="AU112" i="5"/>
  <c r="AT112" i="5"/>
  <c r="AV110" i="5"/>
  <c r="AN97" i="5"/>
  <c r="AN83" i="5"/>
  <c r="AN69" i="5"/>
  <c r="AM67" i="5" s="1"/>
  <c r="AN53" i="5"/>
  <c r="AN10" i="5"/>
  <c r="AN26" i="5"/>
  <c r="H17" i="5"/>
  <c r="O33" i="5"/>
  <c r="O31" i="5"/>
  <c r="O29" i="5"/>
  <c r="O27" i="5"/>
  <c r="O32" i="5"/>
  <c r="O30" i="5"/>
  <c r="O28" i="5"/>
  <c r="O26" i="5"/>
  <c r="G25" i="5"/>
  <c r="D13" i="5"/>
  <c r="F25" i="5"/>
  <c r="E21" i="5"/>
  <c r="E13" i="5"/>
  <c r="E25" i="5"/>
  <c r="G21" i="5"/>
  <c r="G13" i="5"/>
  <c r="F13" i="5"/>
  <c r="D25" i="5"/>
  <c r="C21" i="5"/>
  <c r="D21" i="5"/>
  <c r="C25" i="5"/>
  <c r="L9" i="5"/>
  <c r="C9" i="5" s="1"/>
  <c r="CM23" i="5" l="1"/>
  <c r="CO23" i="5"/>
  <c r="CP23" i="5"/>
  <c r="DK24" i="5"/>
  <c r="CZ171" i="5"/>
  <c r="CY213" i="5"/>
  <c r="CY205" i="5"/>
  <c r="CY212" i="5"/>
  <c r="CY206" i="5"/>
  <c r="CY207" i="5"/>
  <c r="CY208" i="5"/>
  <c r="CY209" i="5"/>
  <c r="CY210" i="5"/>
  <c r="DL23" i="5"/>
  <c r="CZ183" i="5"/>
  <c r="CY211" i="5"/>
  <c r="DJ25" i="5"/>
  <c r="CZ159" i="5"/>
  <c r="CZ195" i="5"/>
  <c r="CY147" i="5"/>
  <c r="CY148" i="5"/>
  <c r="CY140" i="5"/>
  <c r="CY141" i="5"/>
  <c r="CY142" i="5"/>
  <c r="CY143" i="5"/>
  <c r="CY144" i="5"/>
  <c r="CY145" i="5"/>
  <c r="CY146" i="5"/>
  <c r="DI27" i="5"/>
  <c r="DN22" i="5"/>
  <c r="DK11" i="5"/>
  <c r="CZ94" i="5" s="1"/>
  <c r="DJ13" i="5"/>
  <c r="CZ82" i="5" s="1"/>
  <c r="DL10" i="5"/>
  <c r="CZ106" i="5" s="1"/>
  <c r="DN9" i="5"/>
  <c r="CQ23" i="5"/>
  <c r="CN23" i="5"/>
  <c r="AU207" i="5"/>
  <c r="AT207" i="5"/>
  <c r="AM207" i="5"/>
  <c r="AN207" i="5"/>
  <c r="AO207" i="5"/>
  <c r="AP207" i="5"/>
  <c r="AQ207" i="5"/>
  <c r="AR207" i="5"/>
  <c r="AU215" i="5"/>
  <c r="AT215" i="5"/>
  <c r="AM215" i="5"/>
  <c r="AN215" i="5"/>
  <c r="AO215" i="5"/>
  <c r="AP215" i="5"/>
  <c r="AQ215" i="5"/>
  <c r="AR215" i="5"/>
  <c r="BO191" i="5"/>
  <c r="BG191" i="5"/>
  <c r="BN191" i="5"/>
  <c r="BH191" i="5"/>
  <c r="BI191" i="5"/>
  <c r="BJ191" i="5"/>
  <c r="BK191" i="5"/>
  <c r="BL191" i="5"/>
  <c r="BO215" i="5"/>
  <c r="BG215" i="5"/>
  <c r="BN215" i="5"/>
  <c r="BH215" i="5"/>
  <c r="BI215" i="5"/>
  <c r="BJ215" i="5"/>
  <c r="BK215" i="5"/>
  <c r="BL215" i="5"/>
  <c r="BO207" i="5"/>
  <c r="BG207" i="5"/>
  <c r="BN207" i="5"/>
  <c r="BH207" i="5"/>
  <c r="BI207" i="5"/>
  <c r="BJ207" i="5"/>
  <c r="BK207" i="5"/>
  <c r="BL207" i="5"/>
  <c r="AU199" i="5"/>
  <c r="AT199" i="5"/>
  <c r="AM199" i="5"/>
  <c r="AN199" i="5"/>
  <c r="AO199" i="5"/>
  <c r="AP199" i="5"/>
  <c r="AQ199" i="5"/>
  <c r="AR199" i="5"/>
  <c r="BM191" i="5"/>
  <c r="BO176" i="5"/>
  <c r="BL181" i="5"/>
  <c r="AS215" i="5"/>
  <c r="AU211" i="5"/>
  <c r="AM211" i="5"/>
  <c r="AT211" i="5"/>
  <c r="AN211" i="5"/>
  <c r="AO211" i="5"/>
  <c r="AP211" i="5"/>
  <c r="AQ211" i="5"/>
  <c r="AR211" i="5"/>
  <c r="BO181" i="5"/>
  <c r="BH173" i="5"/>
  <c r="BG174" i="5"/>
  <c r="BH175" i="5"/>
  <c r="BG176" i="5"/>
  <c r="BH177" i="5"/>
  <c r="BG178" i="5"/>
  <c r="BH179" i="5"/>
  <c r="BN180" i="5"/>
  <c r="BN173" i="5"/>
  <c r="BN175" i="5"/>
  <c r="BN177" i="5"/>
  <c r="BN179" i="5"/>
  <c r="BG180" i="5"/>
  <c r="BN174" i="5"/>
  <c r="BN176" i="5"/>
  <c r="BN178" i="5"/>
  <c r="BG173" i="5"/>
  <c r="BH174" i="5"/>
  <c r="BG175" i="5"/>
  <c r="BH176" i="5"/>
  <c r="BG177" i="5"/>
  <c r="BH178" i="5"/>
  <c r="BG179" i="5"/>
  <c r="BH180" i="5"/>
  <c r="BI180" i="5"/>
  <c r="BI178" i="5"/>
  <c r="BI176" i="5"/>
  <c r="BI174" i="5"/>
  <c r="BI179" i="5"/>
  <c r="BI177" i="5"/>
  <c r="BI175" i="5"/>
  <c r="BI173" i="5"/>
  <c r="BN181" i="5"/>
  <c r="BG181" i="5"/>
  <c r="BJ173" i="5"/>
  <c r="BJ175" i="5"/>
  <c r="BJ177" i="5"/>
  <c r="BJ179" i="5"/>
  <c r="BJ174" i="5"/>
  <c r="BJ180" i="5"/>
  <c r="BJ176" i="5"/>
  <c r="BJ178" i="5"/>
  <c r="BH181" i="5"/>
  <c r="BJ181" i="5"/>
  <c r="BK179" i="5"/>
  <c r="BK177" i="5"/>
  <c r="BK175" i="5"/>
  <c r="BK173" i="5"/>
  <c r="BK178" i="5"/>
  <c r="BK176" i="5"/>
  <c r="BK180" i="5"/>
  <c r="BK174" i="5"/>
  <c r="BI181" i="5"/>
  <c r="BL174" i="5"/>
  <c r="BL180" i="5"/>
  <c r="BL176" i="5"/>
  <c r="BL178" i="5"/>
  <c r="BL173" i="5"/>
  <c r="BL175" i="5"/>
  <c r="BL177" i="5"/>
  <c r="BL179" i="5"/>
  <c r="BO174" i="5"/>
  <c r="BK181" i="5"/>
  <c r="BM177" i="5"/>
  <c r="BM173" i="5"/>
  <c r="BM176" i="5"/>
  <c r="BM174" i="5"/>
  <c r="BO173" i="5"/>
  <c r="BO175" i="5"/>
  <c r="BM179" i="5"/>
  <c r="BM175" i="5"/>
  <c r="BM178" i="5"/>
  <c r="BM180" i="5"/>
  <c r="BO187" i="5"/>
  <c r="BN187" i="5"/>
  <c r="BG187" i="5"/>
  <c r="BH187" i="5"/>
  <c r="BI187" i="5"/>
  <c r="BJ187" i="5"/>
  <c r="BK187" i="5"/>
  <c r="BL187" i="5"/>
  <c r="BO199" i="5"/>
  <c r="BG199" i="5"/>
  <c r="BN199" i="5"/>
  <c r="BH199" i="5"/>
  <c r="BI199" i="5"/>
  <c r="BJ199" i="5"/>
  <c r="BK199" i="5"/>
  <c r="BL199" i="5"/>
  <c r="BM207" i="5"/>
  <c r="AU203" i="5"/>
  <c r="AM203" i="5"/>
  <c r="AT203" i="5"/>
  <c r="AN203" i="5"/>
  <c r="AO203" i="5"/>
  <c r="AP203" i="5"/>
  <c r="AQ203" i="5"/>
  <c r="AR203" i="5"/>
  <c r="AU195" i="5"/>
  <c r="AM195" i="5"/>
  <c r="AT195" i="5"/>
  <c r="AN195" i="5"/>
  <c r="AO195" i="5"/>
  <c r="AP195" i="5"/>
  <c r="AQ195" i="5"/>
  <c r="AR195" i="5"/>
  <c r="BO211" i="5"/>
  <c r="BN211" i="5"/>
  <c r="BG211" i="5"/>
  <c r="BH211" i="5"/>
  <c r="BI211" i="5"/>
  <c r="BJ211" i="5"/>
  <c r="BK211" i="5"/>
  <c r="BL211" i="5"/>
  <c r="BO203" i="5"/>
  <c r="BN203" i="5"/>
  <c r="BG203" i="5"/>
  <c r="BH203" i="5"/>
  <c r="BI203" i="5"/>
  <c r="BJ203" i="5"/>
  <c r="BK203" i="5"/>
  <c r="BL203" i="5"/>
  <c r="BM215" i="5"/>
  <c r="BO178" i="5"/>
  <c r="BO179" i="5"/>
  <c r="AS211" i="5"/>
  <c r="BM187" i="5"/>
  <c r="BO180" i="5"/>
  <c r="AS207" i="5"/>
  <c r="CF13" i="5"/>
  <c r="CF28" i="5"/>
  <c r="CJ26" i="5"/>
  <c r="CJ29" i="5"/>
  <c r="CJ14" i="5"/>
  <c r="CJ11" i="5"/>
  <c r="BV183" i="5"/>
  <c r="AM82" i="5"/>
  <c r="AM83" i="5"/>
  <c r="AM75" i="5"/>
  <c r="AM76" i="5"/>
  <c r="AM77" i="5"/>
  <c r="AM78" i="5"/>
  <c r="AM79" i="5"/>
  <c r="AM80" i="5"/>
  <c r="AN129" i="5"/>
  <c r="AM127" i="5"/>
  <c r="AM119" i="5"/>
  <c r="AM126" i="5"/>
  <c r="AM120" i="5"/>
  <c r="AM121" i="5"/>
  <c r="AM122" i="5"/>
  <c r="AM123" i="5"/>
  <c r="AM124" i="5"/>
  <c r="AM153" i="5"/>
  <c r="AM154" i="5"/>
  <c r="AM146" i="5"/>
  <c r="AM147" i="5"/>
  <c r="AM148" i="5"/>
  <c r="AM149" i="5"/>
  <c r="AM150" i="5"/>
  <c r="AM151" i="5"/>
  <c r="BD181" i="5"/>
  <c r="AU179" i="5" s="1"/>
  <c r="BD182" i="5"/>
  <c r="BD183" i="5" s="1"/>
  <c r="AT40" i="5"/>
  <c r="AM68" i="5"/>
  <c r="AM69" i="5"/>
  <c r="AM61" i="5"/>
  <c r="AM62" i="5"/>
  <c r="AM63" i="5"/>
  <c r="AM64" i="5"/>
  <c r="AM65" i="5"/>
  <c r="AM66" i="5"/>
  <c r="AM96" i="5"/>
  <c r="AM97" i="5"/>
  <c r="AM89" i="5"/>
  <c r="AM90" i="5"/>
  <c r="AM91" i="5"/>
  <c r="AM92" i="5"/>
  <c r="AM93" i="5"/>
  <c r="AM94" i="5"/>
  <c r="AM140" i="5"/>
  <c r="AM141" i="5"/>
  <c r="AM133" i="5"/>
  <c r="AM134" i="5"/>
  <c r="AM135" i="5"/>
  <c r="AM136" i="5"/>
  <c r="AM137" i="5"/>
  <c r="AM138" i="5"/>
  <c r="AM166" i="5"/>
  <c r="AM167" i="5"/>
  <c r="AM159" i="5"/>
  <c r="AM160" i="5"/>
  <c r="AM161" i="5"/>
  <c r="AM162" i="5"/>
  <c r="AM163" i="5"/>
  <c r="AM164" i="5"/>
  <c r="AV38" i="5"/>
  <c r="AV40" i="5" s="1"/>
  <c r="AR40" i="5"/>
  <c r="AR42" i="5" s="1"/>
  <c r="AM165" i="5"/>
  <c r="AM95" i="5"/>
  <c r="AM152" i="5"/>
  <c r="AM81" i="5"/>
  <c r="AV43" i="5"/>
  <c r="AV112" i="5"/>
  <c r="AV115" i="5"/>
  <c r="AN55" i="5"/>
  <c r="AN28" i="5"/>
  <c r="AM25" i="5"/>
  <c r="AM19" i="5"/>
  <c r="AM18" i="5"/>
  <c r="AM20" i="5"/>
  <c r="AM21" i="5"/>
  <c r="AM22" i="5"/>
  <c r="AM23" i="5"/>
  <c r="AN12" i="5"/>
  <c r="AM10" i="5" s="1"/>
  <c r="AM24" i="5"/>
  <c r="H13" i="5"/>
  <c r="H25" i="5"/>
  <c r="H21" i="5"/>
  <c r="G9" i="5"/>
  <c r="F9" i="5"/>
  <c r="D9" i="5"/>
  <c r="E7" i="5"/>
  <c r="D6" i="5"/>
  <c r="D8" i="5"/>
  <c r="D5" i="5"/>
  <c r="C6" i="5"/>
  <c r="G6" i="5"/>
  <c r="F7" i="5"/>
  <c r="E8" i="5"/>
  <c r="E5" i="5"/>
  <c r="C7" i="5"/>
  <c r="E9" i="5"/>
  <c r="F6" i="5"/>
  <c r="F8" i="5"/>
  <c r="F5" i="5"/>
  <c r="E6" i="5"/>
  <c r="D7" i="5"/>
  <c r="C8" i="5"/>
  <c r="C5" i="5"/>
  <c r="G5" i="5"/>
  <c r="G7" i="5"/>
  <c r="G8" i="5"/>
  <c r="DK25" i="5" l="1"/>
  <c r="CZ172" i="5"/>
  <c r="CZ196" i="5"/>
  <c r="CZ161" i="5"/>
  <c r="CY159" i="5" s="1"/>
  <c r="DL24" i="5"/>
  <c r="CZ184" i="5"/>
  <c r="CY161" i="5"/>
  <c r="CY153" i="5"/>
  <c r="CY160" i="5"/>
  <c r="CY154" i="5"/>
  <c r="CY155" i="5"/>
  <c r="CY156" i="5"/>
  <c r="CY157" i="5"/>
  <c r="CY158" i="5"/>
  <c r="CY80" i="5"/>
  <c r="CY68" i="5"/>
  <c r="CY60" i="5"/>
  <c r="CY67" i="5"/>
  <c r="CY61" i="5"/>
  <c r="CY62" i="5"/>
  <c r="CY63" i="5"/>
  <c r="CY64" i="5"/>
  <c r="CY65" i="5"/>
  <c r="CY66" i="5"/>
  <c r="DN23" i="5"/>
  <c r="DJ27" i="5"/>
  <c r="DL11" i="5"/>
  <c r="DK13" i="5"/>
  <c r="CZ96" i="5" s="1"/>
  <c r="DN10" i="5"/>
  <c r="CB10" i="5"/>
  <c r="CE10" i="5"/>
  <c r="CA10" i="5"/>
  <c r="CD10" i="5"/>
  <c r="CC10" i="5"/>
  <c r="CE26" i="5"/>
  <c r="CC19" i="5"/>
  <c r="CB19" i="5"/>
  <c r="CA19" i="5"/>
  <c r="CD19" i="5"/>
  <c r="CE19" i="5"/>
  <c r="CD20" i="5"/>
  <c r="CC20" i="5"/>
  <c r="CB20" i="5"/>
  <c r="CA20" i="5"/>
  <c r="CE20" i="5"/>
  <c r="CB21" i="5"/>
  <c r="CA21" i="5"/>
  <c r="CD21" i="5"/>
  <c r="CC21" i="5"/>
  <c r="CB22" i="5"/>
  <c r="CD22" i="5"/>
  <c r="CA22" i="5"/>
  <c r="CE21" i="5"/>
  <c r="CC22" i="5"/>
  <c r="CE22" i="5"/>
  <c r="CD23" i="5"/>
  <c r="CB23" i="5"/>
  <c r="CC23" i="5"/>
  <c r="CA23" i="5"/>
  <c r="CE23" i="5"/>
  <c r="CA24" i="5"/>
  <c r="CC24" i="5"/>
  <c r="CB24" i="5"/>
  <c r="CD24" i="5"/>
  <c r="CC25" i="5"/>
  <c r="CD25" i="5"/>
  <c r="CA25" i="5"/>
  <c r="CE24" i="5"/>
  <c r="CB25" i="5"/>
  <c r="CB26" i="5"/>
  <c r="CD26" i="5"/>
  <c r="CC26" i="5"/>
  <c r="CA26" i="5"/>
  <c r="CE25" i="5"/>
  <c r="CJ13" i="5"/>
  <c r="CD11" i="5"/>
  <c r="CB11" i="5"/>
  <c r="CC9" i="5"/>
  <c r="CD8" i="5"/>
  <c r="CB8" i="5"/>
  <c r="CC7" i="5"/>
  <c r="CD6" i="5"/>
  <c r="CB6" i="5"/>
  <c r="CC5" i="5"/>
  <c r="CD4" i="5"/>
  <c r="CB4" i="5"/>
  <c r="CE11" i="5"/>
  <c r="CC11" i="5"/>
  <c r="CD9" i="5"/>
  <c r="CB9" i="5"/>
  <c r="CC8" i="5"/>
  <c r="CD7" i="5"/>
  <c r="CB7" i="5"/>
  <c r="CC6" i="5"/>
  <c r="CD5" i="5"/>
  <c r="CB5" i="5"/>
  <c r="CC4" i="5"/>
  <c r="CA4" i="5"/>
  <c r="CA5" i="5"/>
  <c r="CA6" i="5"/>
  <c r="CE4" i="5"/>
  <c r="CA7" i="5"/>
  <c r="CE5" i="5"/>
  <c r="CA8" i="5"/>
  <c r="CE6" i="5"/>
  <c r="CA9" i="5"/>
  <c r="CE7" i="5"/>
  <c r="CE8" i="5"/>
  <c r="CE9" i="5"/>
  <c r="CA11" i="5"/>
  <c r="CJ28" i="5"/>
  <c r="AU181" i="5"/>
  <c r="AM173" i="5"/>
  <c r="AT174" i="5"/>
  <c r="AT176" i="5"/>
  <c r="AT178" i="5"/>
  <c r="AT180" i="5"/>
  <c r="AS174" i="5"/>
  <c r="AS176" i="5"/>
  <c r="AS178" i="5"/>
  <c r="AS180" i="5"/>
  <c r="AP174" i="5"/>
  <c r="AM175" i="5"/>
  <c r="AQ175" i="5"/>
  <c r="AP176" i="5"/>
  <c r="AM177" i="5"/>
  <c r="AQ177" i="5"/>
  <c r="AP178" i="5"/>
  <c r="AN180" i="5"/>
  <c r="AR180" i="5"/>
  <c r="AO174" i="5"/>
  <c r="AN175" i="5"/>
  <c r="AR175" i="5"/>
  <c r="AO176" i="5"/>
  <c r="AN177" i="5"/>
  <c r="AR177" i="5"/>
  <c r="AO178" i="5"/>
  <c r="AM180" i="5"/>
  <c r="AQ180" i="5"/>
  <c r="AM174" i="5"/>
  <c r="AT175" i="5"/>
  <c r="AT177" i="5"/>
  <c r="AT179" i="5"/>
  <c r="AT181" i="5"/>
  <c r="AS175" i="5"/>
  <c r="AS177" i="5"/>
  <c r="AM179" i="5"/>
  <c r="AN174" i="5"/>
  <c r="AR174" i="5"/>
  <c r="AO175" i="5"/>
  <c r="AN176" i="5"/>
  <c r="AR176" i="5"/>
  <c r="AO177" i="5"/>
  <c r="AN178" i="5"/>
  <c r="AR178" i="5"/>
  <c r="AP180" i="5"/>
  <c r="AT173" i="5"/>
  <c r="AQ174" i="5"/>
  <c r="AP175" i="5"/>
  <c r="AM176" i="5"/>
  <c r="AQ176" i="5"/>
  <c r="AP177" i="5"/>
  <c r="AM178" i="5"/>
  <c r="AQ178" i="5"/>
  <c r="AO180" i="5"/>
  <c r="AN179" i="5"/>
  <c r="AN173" i="5"/>
  <c r="AU174" i="5"/>
  <c r="AM181" i="5"/>
  <c r="AU180" i="5"/>
  <c r="AU175" i="5"/>
  <c r="AO179" i="5"/>
  <c r="AU178" i="5"/>
  <c r="AU177" i="5"/>
  <c r="AN181" i="5"/>
  <c r="AU176" i="5"/>
  <c r="AO173" i="5"/>
  <c r="AP173" i="5"/>
  <c r="AP179" i="5"/>
  <c r="AO181" i="5"/>
  <c r="AQ179" i="5"/>
  <c r="AP181" i="5"/>
  <c r="AQ173" i="5"/>
  <c r="AR173" i="5"/>
  <c r="AQ181" i="5"/>
  <c r="AR179" i="5"/>
  <c r="AS173" i="5"/>
  <c r="AR181" i="5"/>
  <c r="AS179" i="5"/>
  <c r="AS181" i="5"/>
  <c r="AU173" i="5"/>
  <c r="AN39" i="5"/>
  <c r="AO32" i="5"/>
  <c r="AM39" i="5"/>
  <c r="AP32" i="5"/>
  <c r="AN32" i="5"/>
  <c r="AP33" i="5"/>
  <c r="AP39" i="5"/>
  <c r="AM32" i="5"/>
  <c r="AN33" i="5"/>
  <c r="AO39" i="5"/>
  <c r="AN34" i="5"/>
  <c r="AQ39" i="5"/>
  <c r="AP34" i="5"/>
  <c r="AO33" i="5"/>
  <c r="AQ33" i="5"/>
  <c r="AV42" i="5"/>
  <c r="AQ32" i="5"/>
  <c r="AM33" i="5"/>
  <c r="AM34" i="5"/>
  <c r="AP35" i="5"/>
  <c r="AN35" i="5"/>
  <c r="AO34" i="5"/>
  <c r="AM35" i="5"/>
  <c r="AO35" i="5"/>
  <c r="AQ34" i="5"/>
  <c r="AN36" i="5"/>
  <c r="AP36" i="5"/>
  <c r="AP37" i="5"/>
  <c r="AN37" i="5"/>
  <c r="AO36" i="5"/>
  <c r="AM36" i="5"/>
  <c r="AQ35" i="5"/>
  <c r="AQ36" i="5"/>
  <c r="AO37" i="5"/>
  <c r="AP38" i="5"/>
  <c r="AN38" i="5"/>
  <c r="AM37" i="5"/>
  <c r="AQ37" i="5"/>
  <c r="AO38" i="5"/>
  <c r="AM38" i="5"/>
  <c r="AN57" i="5"/>
  <c r="AM55" i="5"/>
  <c r="AM54" i="5"/>
  <c r="AM47" i="5"/>
  <c r="AM48" i="5"/>
  <c r="AM49" i="5"/>
  <c r="AM50" i="5"/>
  <c r="AM51" i="5"/>
  <c r="AM52" i="5"/>
  <c r="AV114" i="5"/>
  <c r="AQ112" i="5"/>
  <c r="AM111" i="5"/>
  <c r="AM104" i="5"/>
  <c r="AN111" i="5"/>
  <c r="AN104" i="5"/>
  <c r="AP105" i="5"/>
  <c r="AO111" i="5"/>
  <c r="AO104" i="5"/>
  <c r="AP111" i="5"/>
  <c r="AP104" i="5"/>
  <c r="AM105" i="5"/>
  <c r="AO105" i="5"/>
  <c r="AN105" i="5"/>
  <c r="AQ104" i="5"/>
  <c r="AQ111" i="5"/>
  <c r="AP106" i="5"/>
  <c r="AN106" i="5"/>
  <c r="AQ105" i="5"/>
  <c r="AO106" i="5"/>
  <c r="AM106" i="5"/>
  <c r="AP107" i="5"/>
  <c r="AQ106" i="5"/>
  <c r="AN107" i="5"/>
  <c r="AP108" i="5"/>
  <c r="AM107" i="5"/>
  <c r="AO107" i="5"/>
  <c r="AO108" i="5"/>
  <c r="AN108" i="5"/>
  <c r="AQ107" i="5"/>
  <c r="AM108" i="5"/>
  <c r="AP109" i="5"/>
  <c r="AN109" i="5"/>
  <c r="AO109" i="5"/>
  <c r="AM109" i="5"/>
  <c r="AQ108" i="5"/>
  <c r="AP110" i="5"/>
  <c r="AM112" i="5"/>
  <c r="AO110" i="5"/>
  <c r="AQ109" i="5"/>
  <c r="AM110" i="5"/>
  <c r="AN110" i="5"/>
  <c r="AN112" i="5"/>
  <c r="AQ110" i="5"/>
  <c r="AO112" i="5"/>
  <c r="AQ38" i="5"/>
  <c r="AP112" i="5"/>
  <c r="AM53" i="5"/>
  <c r="AN14" i="5"/>
  <c r="AM12" i="5"/>
  <c r="AM11" i="5"/>
  <c r="AM4" i="5"/>
  <c r="AM5" i="5"/>
  <c r="AM6" i="5"/>
  <c r="AM7" i="5"/>
  <c r="AM8" i="5"/>
  <c r="AM9" i="5"/>
  <c r="DD459" i="1"/>
  <c r="DD458" i="1"/>
  <c r="DD457" i="1"/>
  <c r="DD456" i="1"/>
  <c r="DD455" i="1"/>
  <c r="DD454" i="1"/>
  <c r="DD453" i="1"/>
  <c r="DD452" i="1"/>
  <c r="DD451" i="1"/>
  <c r="DD450" i="1"/>
  <c r="DD449" i="1"/>
  <c r="DD448" i="1"/>
  <c r="DD447" i="1"/>
  <c r="DD446" i="1"/>
  <c r="DD445" i="1"/>
  <c r="DD444" i="1"/>
  <c r="DD443" i="1"/>
  <c r="DD442" i="1"/>
  <c r="DD441" i="1"/>
  <c r="DD440" i="1"/>
  <c r="DD439" i="1"/>
  <c r="DD438" i="1"/>
  <c r="DD437" i="1"/>
  <c r="DD436" i="1"/>
  <c r="DD435" i="1"/>
  <c r="DD434" i="1"/>
  <c r="DD433" i="1"/>
  <c r="DD432" i="1"/>
  <c r="DD431" i="1"/>
  <c r="DD430" i="1"/>
  <c r="DD429" i="1"/>
  <c r="DD428" i="1"/>
  <c r="DD427" i="1"/>
  <c r="DD426" i="1"/>
  <c r="DD425" i="1"/>
  <c r="DD424" i="1"/>
  <c r="DD423" i="1"/>
  <c r="DD422" i="1"/>
  <c r="DD421" i="1"/>
  <c r="DD420" i="1"/>
  <c r="DD419" i="1"/>
  <c r="DD418" i="1"/>
  <c r="DD417" i="1"/>
  <c r="DD416" i="1"/>
  <c r="DD415" i="1"/>
  <c r="DD414" i="1"/>
  <c r="DD413" i="1"/>
  <c r="DD412" i="1"/>
  <c r="DD411" i="1"/>
  <c r="DD410" i="1"/>
  <c r="DD409" i="1"/>
  <c r="DD408" i="1"/>
  <c r="DD407" i="1"/>
  <c r="DD406" i="1"/>
  <c r="DD405" i="1"/>
  <c r="DD404" i="1"/>
  <c r="DD403" i="1"/>
  <c r="DD402" i="1"/>
  <c r="DD401" i="1"/>
  <c r="DD400" i="1"/>
  <c r="DD399" i="1"/>
  <c r="DD398" i="1"/>
  <c r="DD397" i="1"/>
  <c r="DD396" i="1"/>
  <c r="DD395" i="1"/>
  <c r="DD394" i="1"/>
  <c r="DD393" i="1"/>
  <c r="DD392" i="1"/>
  <c r="DD391" i="1"/>
  <c r="DD390" i="1"/>
  <c r="DD389" i="1"/>
  <c r="DD388" i="1"/>
  <c r="DD387" i="1"/>
  <c r="DD386" i="1"/>
  <c r="DD385" i="1"/>
  <c r="DD384" i="1"/>
  <c r="DD383" i="1"/>
  <c r="DD382" i="1"/>
  <c r="DD381" i="1"/>
  <c r="DD380" i="1"/>
  <c r="DD379" i="1"/>
  <c r="DD378" i="1"/>
  <c r="DD377" i="1"/>
  <c r="DD376" i="1"/>
  <c r="DD375" i="1"/>
  <c r="DD374" i="1"/>
  <c r="DD373" i="1"/>
  <c r="DD372" i="1"/>
  <c r="DD371" i="1"/>
  <c r="DD370" i="1"/>
  <c r="DD369" i="1"/>
  <c r="DD368" i="1"/>
  <c r="DD367" i="1"/>
  <c r="DD366" i="1"/>
  <c r="DD365" i="1"/>
  <c r="DD364" i="1"/>
  <c r="DD363" i="1"/>
  <c r="DD362" i="1"/>
  <c r="DD361" i="1"/>
  <c r="DD360" i="1"/>
  <c r="DD359" i="1"/>
  <c r="DD358" i="1"/>
  <c r="DD357" i="1"/>
  <c r="DD356" i="1"/>
  <c r="DD355" i="1"/>
  <c r="DD354" i="1"/>
  <c r="DD353" i="1"/>
  <c r="DD352" i="1"/>
  <c r="DD351" i="1"/>
  <c r="DD350" i="1"/>
  <c r="DD349" i="1"/>
  <c r="DD348" i="1"/>
  <c r="DD347" i="1"/>
  <c r="DD346" i="1"/>
  <c r="DD345" i="1"/>
  <c r="DD344" i="1"/>
  <c r="DD343" i="1"/>
  <c r="DD342" i="1"/>
  <c r="DD341" i="1"/>
  <c r="DD340" i="1"/>
  <c r="DD339" i="1"/>
  <c r="DD338" i="1"/>
  <c r="DD337" i="1"/>
  <c r="DD336" i="1"/>
  <c r="DD335" i="1"/>
  <c r="DD334" i="1"/>
  <c r="DD333" i="1"/>
  <c r="DD332" i="1"/>
  <c r="DD331" i="1"/>
  <c r="DD330" i="1"/>
  <c r="DD329" i="1"/>
  <c r="DD328" i="1"/>
  <c r="DD327" i="1"/>
  <c r="DD326" i="1"/>
  <c r="DD325" i="1"/>
  <c r="DD324" i="1"/>
  <c r="DD323" i="1"/>
  <c r="DD322" i="1"/>
  <c r="DD321" i="1"/>
  <c r="DD320" i="1"/>
  <c r="DD319" i="1"/>
  <c r="DD318" i="1"/>
  <c r="DD317" i="1"/>
  <c r="DD316" i="1"/>
  <c r="DD315" i="1"/>
  <c r="DD314" i="1"/>
  <c r="DD313" i="1"/>
  <c r="DD312" i="1"/>
  <c r="DD311" i="1"/>
  <c r="DD310" i="1"/>
  <c r="DD309" i="1"/>
  <c r="DD308" i="1"/>
  <c r="DD307" i="1"/>
  <c r="DD306" i="1"/>
  <c r="DD305" i="1"/>
  <c r="DD304" i="1"/>
  <c r="DD303" i="1"/>
  <c r="DD302" i="1"/>
  <c r="DD301" i="1"/>
  <c r="DD300" i="1"/>
  <c r="DD299" i="1"/>
  <c r="DD298" i="1"/>
  <c r="DD297" i="1"/>
  <c r="DD296" i="1"/>
  <c r="DD295" i="1"/>
  <c r="DD294" i="1"/>
  <c r="DD293" i="1"/>
  <c r="DD292" i="1"/>
  <c r="DD291" i="1"/>
  <c r="DD290" i="1"/>
  <c r="DD289" i="1"/>
  <c r="DD288" i="1"/>
  <c r="DD287" i="1"/>
  <c r="DD286" i="1"/>
  <c r="DD285" i="1"/>
  <c r="DD284" i="1"/>
  <c r="DD283" i="1"/>
  <c r="DD282" i="1"/>
  <c r="DD281" i="1"/>
  <c r="DD280" i="1"/>
  <c r="DD279" i="1"/>
  <c r="DD278" i="1"/>
  <c r="DD277" i="1"/>
  <c r="DD276" i="1"/>
  <c r="DD275" i="1"/>
  <c r="DD274" i="1"/>
  <c r="DD273" i="1"/>
  <c r="DD272" i="1"/>
  <c r="DD271" i="1"/>
  <c r="DD270" i="1"/>
  <c r="DD269" i="1"/>
  <c r="DD268" i="1"/>
  <c r="DD267" i="1"/>
  <c r="DD266" i="1"/>
  <c r="DD265" i="1"/>
  <c r="DD264" i="1"/>
  <c r="DD263" i="1"/>
  <c r="DD262" i="1"/>
  <c r="DD261" i="1"/>
  <c r="DD260" i="1"/>
  <c r="DD259" i="1"/>
  <c r="DD258" i="1"/>
  <c r="DD257" i="1"/>
  <c r="DD256" i="1"/>
  <c r="DD255" i="1"/>
  <c r="DD254" i="1"/>
  <c r="DD253" i="1"/>
  <c r="DD252" i="1"/>
  <c r="DD251" i="1"/>
  <c r="DD250" i="1"/>
  <c r="DD249" i="1"/>
  <c r="DD248" i="1"/>
  <c r="DD247" i="1"/>
  <c r="DD246" i="1"/>
  <c r="DD245" i="1"/>
  <c r="DD244" i="1"/>
  <c r="DD243" i="1"/>
  <c r="DD242" i="1"/>
  <c r="DD241" i="1"/>
  <c r="DD240" i="1"/>
  <c r="DD239" i="1"/>
  <c r="DD238" i="1"/>
  <c r="DD237" i="1"/>
  <c r="DD236" i="1"/>
  <c r="DD235" i="1"/>
  <c r="DD234" i="1"/>
  <c r="DD233" i="1"/>
  <c r="DD232" i="1"/>
  <c r="DD231" i="1"/>
  <c r="DD230" i="1"/>
  <c r="DD229" i="1"/>
  <c r="DD228" i="1"/>
  <c r="DD227" i="1"/>
  <c r="DD226" i="1"/>
  <c r="DD225" i="1"/>
  <c r="DD224" i="1"/>
  <c r="DD223" i="1"/>
  <c r="DD222" i="1"/>
  <c r="DD221" i="1"/>
  <c r="DD220" i="1"/>
  <c r="DD219" i="1"/>
  <c r="DD218" i="1"/>
  <c r="DD217" i="1"/>
  <c r="DD216" i="1"/>
  <c r="DD215" i="1"/>
  <c r="DD214" i="1"/>
  <c r="DD213" i="1"/>
  <c r="DD212" i="1"/>
  <c r="DD211" i="1"/>
  <c r="DD210" i="1"/>
  <c r="DD209" i="1"/>
  <c r="DD208" i="1"/>
  <c r="DD207" i="1"/>
  <c r="DD206" i="1"/>
  <c r="DD205" i="1"/>
  <c r="DD204" i="1"/>
  <c r="DD203" i="1"/>
  <c r="DD202" i="1"/>
  <c r="DD201" i="1"/>
  <c r="DD200" i="1"/>
  <c r="DD199" i="1"/>
  <c r="DD198" i="1"/>
  <c r="DD197" i="1"/>
  <c r="DD196" i="1"/>
  <c r="DD195" i="1"/>
  <c r="DD194" i="1"/>
  <c r="DD193" i="1"/>
  <c r="DD192" i="1"/>
  <c r="DD191" i="1"/>
  <c r="DD190" i="1"/>
  <c r="DD189" i="1"/>
  <c r="DD188" i="1"/>
  <c r="DD187" i="1"/>
  <c r="DD186" i="1"/>
  <c r="DD185" i="1"/>
  <c r="DD184" i="1"/>
  <c r="DD183" i="1"/>
  <c r="DD182" i="1"/>
  <c r="DD181" i="1"/>
  <c r="DD180" i="1"/>
  <c r="DD179" i="1"/>
  <c r="DD178" i="1"/>
  <c r="DD177" i="1"/>
  <c r="DD176" i="1"/>
  <c r="DD175" i="1"/>
  <c r="DD174" i="1"/>
  <c r="DD173" i="1"/>
  <c r="DD172" i="1"/>
  <c r="DD171" i="1"/>
  <c r="DD170" i="1"/>
  <c r="DD169" i="1"/>
  <c r="DD168" i="1"/>
  <c r="DD167" i="1"/>
  <c r="DD166" i="1"/>
  <c r="DD165" i="1"/>
  <c r="DD164" i="1"/>
  <c r="DD163" i="1"/>
  <c r="DD162" i="1"/>
  <c r="DD161" i="1"/>
  <c r="DD160" i="1"/>
  <c r="DD159" i="1"/>
  <c r="DD158" i="1"/>
  <c r="DD157" i="1"/>
  <c r="DD156" i="1"/>
  <c r="DD155" i="1"/>
  <c r="DD154" i="1"/>
  <c r="DD153" i="1"/>
  <c r="DD152" i="1"/>
  <c r="DD151" i="1"/>
  <c r="DD150" i="1"/>
  <c r="DD149" i="1"/>
  <c r="DD148" i="1"/>
  <c r="DD147" i="1"/>
  <c r="DD146" i="1"/>
  <c r="DD145" i="1"/>
  <c r="DD144" i="1"/>
  <c r="DD143" i="1"/>
  <c r="DD142" i="1"/>
  <c r="DD141" i="1"/>
  <c r="DD140" i="1"/>
  <c r="DD139" i="1"/>
  <c r="DD138" i="1"/>
  <c r="DD137" i="1"/>
  <c r="DD136" i="1"/>
  <c r="DD135" i="1"/>
  <c r="DD134" i="1"/>
  <c r="DD133" i="1"/>
  <c r="DD132" i="1"/>
  <c r="DD131" i="1"/>
  <c r="DD130" i="1"/>
  <c r="DD129" i="1"/>
  <c r="DD128" i="1"/>
  <c r="DD127" i="1"/>
  <c r="DD126" i="1"/>
  <c r="DD125" i="1"/>
  <c r="DD124" i="1"/>
  <c r="DD123" i="1"/>
  <c r="DD122" i="1"/>
  <c r="DD121" i="1"/>
  <c r="DD120" i="1"/>
  <c r="DD119" i="1"/>
  <c r="DD118" i="1"/>
  <c r="DD117" i="1"/>
  <c r="DD116" i="1"/>
  <c r="DD115" i="1"/>
  <c r="DD114" i="1"/>
  <c r="DD113" i="1"/>
  <c r="DD112" i="1"/>
  <c r="DD111" i="1"/>
  <c r="DD110" i="1"/>
  <c r="DD109" i="1"/>
  <c r="DD108" i="1"/>
  <c r="DD107" i="1"/>
  <c r="DD106" i="1"/>
  <c r="DD105" i="1"/>
  <c r="DD104" i="1"/>
  <c r="DD103" i="1"/>
  <c r="DD102" i="1"/>
  <c r="DD101" i="1"/>
  <c r="DD100" i="1"/>
  <c r="DD99" i="1"/>
  <c r="DD98" i="1"/>
  <c r="DD97" i="1"/>
  <c r="DD96" i="1"/>
  <c r="DD95" i="1"/>
  <c r="DD94" i="1"/>
  <c r="DD93" i="1"/>
  <c r="DD92" i="1"/>
  <c r="DD91" i="1"/>
  <c r="DD90" i="1"/>
  <c r="DD89" i="1"/>
  <c r="DD88" i="1"/>
  <c r="DD87" i="1"/>
  <c r="DD86" i="1"/>
  <c r="DD85" i="1"/>
  <c r="DD84" i="1"/>
  <c r="DD83" i="1"/>
  <c r="DD82" i="1"/>
  <c r="DD81" i="1"/>
  <c r="DD80" i="1"/>
  <c r="DD79" i="1"/>
  <c r="DD78" i="1"/>
  <c r="DD77" i="1"/>
  <c r="DD76" i="1"/>
  <c r="DD75" i="1"/>
  <c r="DD74" i="1"/>
  <c r="DD73" i="1"/>
  <c r="DD72" i="1"/>
  <c r="DD71" i="1"/>
  <c r="DD70" i="1"/>
  <c r="DD69" i="1"/>
  <c r="DD68" i="1"/>
  <c r="DD67" i="1"/>
  <c r="DD66" i="1"/>
  <c r="DD65" i="1"/>
  <c r="DD64" i="1"/>
  <c r="DD63" i="1"/>
  <c r="DD62" i="1"/>
  <c r="DD61" i="1"/>
  <c r="DD60" i="1"/>
  <c r="DD59" i="1"/>
  <c r="DD58" i="1"/>
  <c r="DD57" i="1"/>
  <c r="DD56" i="1"/>
  <c r="DD55" i="1"/>
  <c r="DD54" i="1"/>
  <c r="DD53" i="1"/>
  <c r="DD52" i="1"/>
  <c r="DD51" i="1"/>
  <c r="DD50" i="1"/>
  <c r="DD49" i="1"/>
  <c r="DD48" i="1"/>
  <c r="DD47" i="1"/>
  <c r="DD46" i="1"/>
  <c r="DD45" i="1"/>
  <c r="DD44" i="1"/>
  <c r="DD43" i="1"/>
  <c r="DD42" i="1"/>
  <c r="DD41" i="1"/>
  <c r="DD40" i="1"/>
  <c r="DD39" i="1"/>
  <c r="DD38" i="1"/>
  <c r="DD37" i="1"/>
  <c r="DD36" i="1"/>
  <c r="DD35" i="1"/>
  <c r="DD34" i="1"/>
  <c r="DD33" i="1"/>
  <c r="DD32" i="1"/>
  <c r="DD31" i="1"/>
  <c r="DD30" i="1"/>
  <c r="DD29" i="1"/>
  <c r="DD28" i="1"/>
  <c r="DD27" i="1"/>
  <c r="DD26" i="1"/>
  <c r="DD25" i="1"/>
  <c r="DD24" i="1"/>
  <c r="DD23" i="1"/>
  <c r="DD22" i="1"/>
  <c r="DD21" i="1"/>
  <c r="DD20" i="1"/>
  <c r="DD19" i="1"/>
  <c r="DD18" i="1"/>
  <c r="DD17" i="1"/>
  <c r="DD16" i="1"/>
  <c r="DD15" i="1"/>
  <c r="DD14" i="1"/>
  <c r="DD13" i="1"/>
  <c r="DD12" i="1"/>
  <c r="DD11" i="1"/>
  <c r="DD10" i="1"/>
  <c r="DD9" i="1"/>
  <c r="DD8" i="1"/>
  <c r="DD7" i="1"/>
  <c r="DN11" i="5" l="1"/>
  <c r="CZ107" i="5"/>
  <c r="DL25" i="5"/>
  <c r="CZ185" i="5"/>
  <c r="CZ174" i="5"/>
  <c r="CY174" i="5" s="1"/>
  <c r="CZ197" i="5"/>
  <c r="CY173" i="5"/>
  <c r="CY81" i="5"/>
  <c r="CY82" i="5"/>
  <c r="CY74" i="5"/>
  <c r="CY75" i="5"/>
  <c r="CY76" i="5"/>
  <c r="CY77" i="5"/>
  <c r="CY78" i="5"/>
  <c r="CY79" i="5"/>
  <c r="DK27" i="5"/>
  <c r="DN24" i="5"/>
  <c r="DL13" i="5"/>
  <c r="CZ109" i="5" s="1"/>
  <c r="AQ40" i="5"/>
  <c r="AN40" i="5"/>
  <c r="AM40" i="5"/>
  <c r="AP40" i="5"/>
  <c r="AO40" i="5"/>
  <c r="T26" i="2"/>
  <c r="CY172" i="5" l="1"/>
  <c r="CY168" i="5"/>
  <c r="CY170" i="5"/>
  <c r="CY166" i="5"/>
  <c r="CY171" i="5"/>
  <c r="CY169" i="5"/>
  <c r="CY167" i="5"/>
  <c r="CZ198" i="5"/>
  <c r="DN25" i="5"/>
  <c r="CZ187" i="5"/>
  <c r="CY187" i="5" s="1"/>
  <c r="CY96" i="5"/>
  <c r="CY88" i="5"/>
  <c r="CY95" i="5"/>
  <c r="CY89" i="5"/>
  <c r="CY90" i="5"/>
  <c r="CY91" i="5"/>
  <c r="CY92" i="5"/>
  <c r="CY93" i="5"/>
  <c r="CY94" i="5"/>
  <c r="DL27" i="5"/>
  <c r="DN16" i="5"/>
  <c r="DN13" i="5"/>
  <c r="AM26" i="5"/>
  <c r="CS459" i="4"/>
  <c r="CS458" i="4"/>
  <c r="CS457" i="4"/>
  <c r="CS456" i="4"/>
  <c r="CS455" i="4"/>
  <c r="CS454" i="4"/>
  <c r="CS453" i="4"/>
  <c r="CS452" i="4"/>
  <c r="CS451" i="4"/>
  <c r="CS450" i="4"/>
  <c r="CS449" i="4"/>
  <c r="CS448" i="4"/>
  <c r="CS447" i="4"/>
  <c r="CS446" i="4"/>
  <c r="CS445" i="4"/>
  <c r="CS444" i="4"/>
  <c r="CS443" i="4"/>
  <c r="CS442" i="4"/>
  <c r="CS441" i="4"/>
  <c r="CS440" i="4"/>
  <c r="CS439" i="4"/>
  <c r="CS438" i="4"/>
  <c r="CS437" i="4"/>
  <c r="CS436" i="4"/>
  <c r="CS435" i="4"/>
  <c r="CS434" i="4"/>
  <c r="CS433" i="4"/>
  <c r="CS432" i="4"/>
  <c r="CS431" i="4"/>
  <c r="CS430" i="4"/>
  <c r="CS429" i="4"/>
  <c r="CS428" i="4"/>
  <c r="CS427" i="4"/>
  <c r="CS426" i="4"/>
  <c r="CS425" i="4"/>
  <c r="CS424" i="4"/>
  <c r="CS423" i="4"/>
  <c r="CS422" i="4"/>
  <c r="CS421" i="4"/>
  <c r="CS420" i="4"/>
  <c r="CS419" i="4"/>
  <c r="CS418" i="4"/>
  <c r="CS417" i="4"/>
  <c r="CS416" i="4"/>
  <c r="CS415" i="4"/>
  <c r="CS414" i="4"/>
  <c r="CS413" i="4"/>
  <c r="CS412" i="4"/>
  <c r="CS411" i="4"/>
  <c r="CS410" i="4"/>
  <c r="CS409" i="4"/>
  <c r="CS408" i="4"/>
  <c r="CS407" i="4"/>
  <c r="CS406" i="4"/>
  <c r="CS405" i="4"/>
  <c r="CS404" i="4"/>
  <c r="CS403" i="4"/>
  <c r="CS402" i="4"/>
  <c r="CS401" i="4"/>
  <c r="CS400" i="4"/>
  <c r="CS399" i="4"/>
  <c r="CS398" i="4"/>
  <c r="CS397" i="4"/>
  <c r="CS396" i="4"/>
  <c r="CS395" i="4"/>
  <c r="CS394" i="4"/>
  <c r="CS393" i="4"/>
  <c r="CS392" i="4"/>
  <c r="CS391" i="4"/>
  <c r="CS390" i="4"/>
  <c r="CS389" i="4"/>
  <c r="CS388" i="4"/>
  <c r="CS387" i="4"/>
  <c r="CS386" i="4"/>
  <c r="CS385" i="4"/>
  <c r="CS384" i="4"/>
  <c r="CS383" i="4"/>
  <c r="CS382" i="4"/>
  <c r="CS381" i="4"/>
  <c r="CS380" i="4"/>
  <c r="CS379" i="4"/>
  <c r="CS378" i="4"/>
  <c r="CS377" i="4"/>
  <c r="CS376" i="4"/>
  <c r="CS375" i="4"/>
  <c r="CS374" i="4"/>
  <c r="CS373" i="4"/>
  <c r="CS372" i="4"/>
  <c r="CS371" i="4"/>
  <c r="CS370" i="4"/>
  <c r="CS369" i="4"/>
  <c r="CS368" i="4"/>
  <c r="CS367" i="4"/>
  <c r="CS366" i="4"/>
  <c r="CS365" i="4"/>
  <c r="CS364" i="4"/>
  <c r="CS363" i="4"/>
  <c r="CS362" i="4"/>
  <c r="CS361" i="4"/>
  <c r="CS360" i="4"/>
  <c r="CS359" i="4"/>
  <c r="CS358" i="4"/>
  <c r="CS357" i="4"/>
  <c r="CS356" i="4"/>
  <c r="CS355" i="4"/>
  <c r="CS354" i="4"/>
  <c r="CS353" i="4"/>
  <c r="CS352" i="4"/>
  <c r="CS351" i="4"/>
  <c r="CS350" i="4"/>
  <c r="CS349" i="4"/>
  <c r="CS348" i="4"/>
  <c r="CS347" i="4"/>
  <c r="CS346" i="4"/>
  <c r="CS345" i="4"/>
  <c r="CS344" i="4"/>
  <c r="CS343" i="4"/>
  <c r="CS342" i="4"/>
  <c r="CS341" i="4"/>
  <c r="CS340" i="4"/>
  <c r="CS339" i="4"/>
  <c r="CS338" i="4"/>
  <c r="CS337" i="4"/>
  <c r="CS336" i="4"/>
  <c r="CS335" i="4"/>
  <c r="CS334" i="4"/>
  <c r="CS333" i="4"/>
  <c r="CS332" i="4"/>
  <c r="CS331" i="4"/>
  <c r="CS330" i="4"/>
  <c r="CS329" i="4"/>
  <c r="CS328" i="4"/>
  <c r="CS327" i="4"/>
  <c r="CS326" i="4"/>
  <c r="CS325" i="4"/>
  <c r="CS324" i="4"/>
  <c r="CS323" i="4"/>
  <c r="CS322" i="4"/>
  <c r="CS321" i="4"/>
  <c r="CS320" i="4"/>
  <c r="CS319" i="4"/>
  <c r="CS318" i="4"/>
  <c r="CS317" i="4"/>
  <c r="CS316" i="4"/>
  <c r="CS315" i="4"/>
  <c r="CS314" i="4"/>
  <c r="CS313" i="4"/>
  <c r="CS312" i="4"/>
  <c r="CS311" i="4"/>
  <c r="CS310" i="4"/>
  <c r="CS309" i="4"/>
  <c r="CS308" i="4"/>
  <c r="CS307" i="4"/>
  <c r="CS306" i="4"/>
  <c r="CS305" i="4"/>
  <c r="CS304" i="4"/>
  <c r="CS303" i="4"/>
  <c r="CS302" i="4"/>
  <c r="CS301" i="4"/>
  <c r="CS300" i="4"/>
  <c r="CS299" i="4"/>
  <c r="CS298" i="4"/>
  <c r="CS297" i="4"/>
  <c r="CS296" i="4"/>
  <c r="CS295" i="4"/>
  <c r="CS294" i="4"/>
  <c r="CS293" i="4"/>
  <c r="CS292" i="4"/>
  <c r="CS291" i="4"/>
  <c r="CS290" i="4"/>
  <c r="CS289" i="4"/>
  <c r="CS288" i="4"/>
  <c r="CS287" i="4"/>
  <c r="CS286" i="4"/>
  <c r="CS285" i="4"/>
  <c r="CS284" i="4"/>
  <c r="CS283" i="4"/>
  <c r="CS282" i="4"/>
  <c r="CS281" i="4"/>
  <c r="CS280" i="4"/>
  <c r="CS279" i="4"/>
  <c r="CS278" i="4"/>
  <c r="CS277" i="4"/>
  <c r="CS276" i="4"/>
  <c r="CS275" i="4"/>
  <c r="CS274" i="4"/>
  <c r="CS273" i="4"/>
  <c r="CS272" i="4"/>
  <c r="CS271" i="4"/>
  <c r="CS270" i="4"/>
  <c r="CS269" i="4"/>
  <c r="CS268" i="4"/>
  <c r="CS267" i="4"/>
  <c r="CS266" i="4"/>
  <c r="CS265" i="4"/>
  <c r="CS264" i="4"/>
  <c r="CS263" i="4"/>
  <c r="CS262" i="4"/>
  <c r="CS261" i="4"/>
  <c r="CS260" i="4"/>
  <c r="CS259" i="4"/>
  <c r="CS258" i="4"/>
  <c r="CS257" i="4"/>
  <c r="CS256" i="4"/>
  <c r="CS255" i="4"/>
  <c r="CS254" i="4"/>
  <c r="CS253" i="4"/>
  <c r="CS252" i="4"/>
  <c r="CS251" i="4"/>
  <c r="CS250" i="4"/>
  <c r="CS249" i="4"/>
  <c r="CS248" i="4"/>
  <c r="CS247" i="4"/>
  <c r="CS246" i="4"/>
  <c r="CS245" i="4"/>
  <c r="CS244" i="4"/>
  <c r="CS243" i="4"/>
  <c r="CS242" i="4"/>
  <c r="CS241" i="4"/>
  <c r="CS240" i="4"/>
  <c r="CS239" i="4"/>
  <c r="CS238" i="4"/>
  <c r="CS237" i="4"/>
  <c r="CS236" i="4"/>
  <c r="CS235" i="4"/>
  <c r="CS234" i="4"/>
  <c r="CS233" i="4"/>
  <c r="CS232" i="4"/>
  <c r="CS231" i="4"/>
  <c r="CS230" i="4"/>
  <c r="CS229" i="4"/>
  <c r="CS228" i="4"/>
  <c r="CS227" i="4"/>
  <c r="CS226" i="4"/>
  <c r="CS225" i="4"/>
  <c r="CS224" i="4"/>
  <c r="CS223" i="4"/>
  <c r="CS222" i="4"/>
  <c r="CS221" i="4"/>
  <c r="CS220" i="4"/>
  <c r="CS219" i="4"/>
  <c r="CS218" i="4"/>
  <c r="CS217" i="4"/>
  <c r="CS216" i="4"/>
  <c r="CS215" i="4"/>
  <c r="CS214" i="4"/>
  <c r="CS213" i="4"/>
  <c r="CS212" i="4"/>
  <c r="CS211" i="4"/>
  <c r="CS210" i="4"/>
  <c r="CS209" i="4"/>
  <c r="CS208" i="4"/>
  <c r="CS207" i="4"/>
  <c r="CS206" i="4"/>
  <c r="CS205" i="4"/>
  <c r="CS204" i="4"/>
  <c r="CS203" i="4"/>
  <c r="CS202" i="4"/>
  <c r="CS201" i="4"/>
  <c r="CS200" i="4"/>
  <c r="CS199" i="4"/>
  <c r="CS198" i="4"/>
  <c r="CS197" i="4"/>
  <c r="CS196" i="4"/>
  <c r="CS195" i="4"/>
  <c r="CS194" i="4"/>
  <c r="CS193" i="4"/>
  <c r="CS192" i="4"/>
  <c r="CS191" i="4"/>
  <c r="CS190" i="4"/>
  <c r="CS189" i="4"/>
  <c r="CS188" i="4"/>
  <c r="CS187" i="4"/>
  <c r="CS186" i="4"/>
  <c r="CS185" i="4"/>
  <c r="CS184" i="4"/>
  <c r="CS183" i="4"/>
  <c r="CS182" i="4"/>
  <c r="CS181" i="4"/>
  <c r="CS180" i="4"/>
  <c r="CS179" i="4"/>
  <c r="CS178" i="4"/>
  <c r="CS177" i="4"/>
  <c r="CS176" i="4"/>
  <c r="CS175" i="4"/>
  <c r="CS174" i="4"/>
  <c r="CS173" i="4"/>
  <c r="CS172" i="4"/>
  <c r="CS171" i="4"/>
  <c r="CS170" i="4"/>
  <c r="CS169" i="4"/>
  <c r="CS168" i="4"/>
  <c r="CS167" i="4"/>
  <c r="CS166" i="4"/>
  <c r="CS165" i="4"/>
  <c r="CS164" i="4"/>
  <c r="CS163" i="4"/>
  <c r="CS162" i="4"/>
  <c r="CS161" i="4"/>
  <c r="CS160" i="4"/>
  <c r="CS159" i="4"/>
  <c r="CS158" i="4"/>
  <c r="CS157" i="4"/>
  <c r="CS156" i="4"/>
  <c r="CS155" i="4"/>
  <c r="CS154" i="4"/>
  <c r="CS153" i="4"/>
  <c r="CS152" i="4"/>
  <c r="CS151" i="4"/>
  <c r="CS150" i="4"/>
  <c r="CS149" i="4"/>
  <c r="CS148" i="4"/>
  <c r="CS147" i="4"/>
  <c r="CS146" i="4"/>
  <c r="CS145" i="4"/>
  <c r="CS144" i="4"/>
  <c r="CS143" i="4"/>
  <c r="CS142" i="4"/>
  <c r="CS141" i="4"/>
  <c r="CS140" i="4"/>
  <c r="CS139" i="4"/>
  <c r="CS138" i="4"/>
  <c r="CS137" i="4"/>
  <c r="CS136" i="4"/>
  <c r="CS135" i="4"/>
  <c r="CS134" i="4"/>
  <c r="CS133" i="4"/>
  <c r="CS132" i="4"/>
  <c r="CS131" i="4"/>
  <c r="CS130" i="4"/>
  <c r="CS129" i="4"/>
  <c r="CS128" i="4"/>
  <c r="CS127" i="4"/>
  <c r="CS126" i="4"/>
  <c r="CS125" i="4"/>
  <c r="CS124" i="4"/>
  <c r="CS123" i="4"/>
  <c r="CS122" i="4"/>
  <c r="CS121" i="4"/>
  <c r="CS120" i="4"/>
  <c r="CS119" i="4"/>
  <c r="CS118" i="4"/>
  <c r="CS117" i="4"/>
  <c r="CS116" i="4"/>
  <c r="CS115" i="4"/>
  <c r="CS114" i="4"/>
  <c r="CS113" i="4"/>
  <c r="CS112" i="4"/>
  <c r="CS111" i="4"/>
  <c r="CS110" i="4"/>
  <c r="CS109" i="4"/>
  <c r="CS108" i="4"/>
  <c r="CS107" i="4"/>
  <c r="CS106" i="4"/>
  <c r="CS105" i="4"/>
  <c r="CS104" i="4"/>
  <c r="CS103" i="4"/>
  <c r="CS102" i="4"/>
  <c r="CS101" i="4"/>
  <c r="CS100" i="4"/>
  <c r="CS99" i="4"/>
  <c r="CS98" i="4"/>
  <c r="CS97" i="4"/>
  <c r="CS96" i="4"/>
  <c r="CS95" i="4"/>
  <c r="CS94" i="4"/>
  <c r="CS93" i="4"/>
  <c r="CS92" i="4"/>
  <c r="CS91" i="4"/>
  <c r="CS90" i="4"/>
  <c r="CS89" i="4"/>
  <c r="CS88" i="4"/>
  <c r="CS87" i="4"/>
  <c r="CS86" i="4"/>
  <c r="CS85" i="4"/>
  <c r="CS84" i="4"/>
  <c r="CS83" i="4"/>
  <c r="CS82" i="4"/>
  <c r="CS81" i="4"/>
  <c r="CS80" i="4"/>
  <c r="CS79" i="4"/>
  <c r="CS78" i="4"/>
  <c r="CS77" i="4"/>
  <c r="CS76" i="4"/>
  <c r="CS75" i="4"/>
  <c r="CS74" i="4"/>
  <c r="CS73" i="4"/>
  <c r="CS72" i="4"/>
  <c r="CS71" i="4"/>
  <c r="CS70" i="4"/>
  <c r="CS69" i="4"/>
  <c r="CS68" i="4"/>
  <c r="CS67" i="4"/>
  <c r="CS66" i="4"/>
  <c r="CS65" i="4"/>
  <c r="CS64" i="4"/>
  <c r="CS63" i="4"/>
  <c r="CS62" i="4"/>
  <c r="CS61" i="4"/>
  <c r="CS60" i="4"/>
  <c r="CS59" i="4"/>
  <c r="CS58" i="4"/>
  <c r="CS57" i="4"/>
  <c r="CS56" i="4"/>
  <c r="CS55" i="4"/>
  <c r="CS54" i="4"/>
  <c r="CS53" i="4"/>
  <c r="CS52" i="4"/>
  <c r="CS51" i="4"/>
  <c r="CS50" i="4"/>
  <c r="CS49" i="4"/>
  <c r="CS48" i="4"/>
  <c r="CS47" i="4"/>
  <c r="CS46" i="4"/>
  <c r="CS45" i="4"/>
  <c r="CS44" i="4"/>
  <c r="CS43" i="4"/>
  <c r="CS42" i="4"/>
  <c r="CS41" i="4"/>
  <c r="CS40" i="4"/>
  <c r="CS39" i="4"/>
  <c r="CS38" i="4"/>
  <c r="CS37" i="4"/>
  <c r="CS36" i="4"/>
  <c r="CS35" i="4"/>
  <c r="CS34" i="4"/>
  <c r="CS33" i="4"/>
  <c r="CS32" i="4"/>
  <c r="CS31" i="4"/>
  <c r="CS30" i="4"/>
  <c r="CS29" i="4"/>
  <c r="CS28" i="4"/>
  <c r="CS27" i="4"/>
  <c r="CS26" i="4"/>
  <c r="CS25" i="4"/>
  <c r="CS24" i="4"/>
  <c r="CS23" i="4"/>
  <c r="CS22" i="4"/>
  <c r="CS21" i="4"/>
  <c r="CS20" i="4"/>
  <c r="CS19" i="4"/>
  <c r="CS18" i="4"/>
  <c r="CS17" i="4"/>
  <c r="CS16" i="4"/>
  <c r="CS15" i="4"/>
  <c r="CS14" i="4"/>
  <c r="CS13" i="4"/>
  <c r="CS12" i="4"/>
  <c r="CS11" i="4"/>
  <c r="CS10" i="4"/>
  <c r="CS9" i="4"/>
  <c r="CS8" i="4"/>
  <c r="CS7" i="4"/>
  <c r="CR459" i="4"/>
  <c r="CR458" i="4"/>
  <c r="CR457" i="4"/>
  <c r="CR456" i="4"/>
  <c r="CR455" i="4"/>
  <c r="CR454" i="4"/>
  <c r="CR453" i="4"/>
  <c r="CR452" i="4"/>
  <c r="CR451" i="4"/>
  <c r="CR450" i="4"/>
  <c r="CR449" i="4"/>
  <c r="CR448" i="4"/>
  <c r="CR447" i="4"/>
  <c r="CR446" i="4"/>
  <c r="CR445" i="4"/>
  <c r="CR444" i="4"/>
  <c r="CR443" i="4"/>
  <c r="CR442" i="4"/>
  <c r="CR441" i="4"/>
  <c r="CR440" i="4"/>
  <c r="CR439" i="4"/>
  <c r="CR438" i="4"/>
  <c r="CR437" i="4"/>
  <c r="CR436" i="4"/>
  <c r="CR435" i="4"/>
  <c r="CR434" i="4"/>
  <c r="CR433" i="4"/>
  <c r="CR432" i="4"/>
  <c r="CR431" i="4"/>
  <c r="CR430" i="4"/>
  <c r="CR429" i="4"/>
  <c r="CR428" i="4"/>
  <c r="CR427" i="4"/>
  <c r="CR426" i="4"/>
  <c r="CR425" i="4"/>
  <c r="CR424" i="4"/>
  <c r="CR423" i="4"/>
  <c r="CR422" i="4"/>
  <c r="CR421" i="4"/>
  <c r="CR420" i="4"/>
  <c r="CR419" i="4"/>
  <c r="CR418" i="4"/>
  <c r="CR417" i="4"/>
  <c r="CR416" i="4"/>
  <c r="CR415" i="4"/>
  <c r="CR414" i="4"/>
  <c r="CR413" i="4"/>
  <c r="CR412" i="4"/>
  <c r="CR411" i="4"/>
  <c r="CR410" i="4"/>
  <c r="CR409" i="4"/>
  <c r="CR408" i="4"/>
  <c r="CR407" i="4"/>
  <c r="CR406" i="4"/>
  <c r="CR405" i="4"/>
  <c r="CR404" i="4"/>
  <c r="CR403" i="4"/>
  <c r="CR402" i="4"/>
  <c r="CR401" i="4"/>
  <c r="CR400" i="4"/>
  <c r="CR399" i="4"/>
  <c r="CR398" i="4"/>
  <c r="CR397" i="4"/>
  <c r="CR396" i="4"/>
  <c r="CR395" i="4"/>
  <c r="CR394" i="4"/>
  <c r="CR393" i="4"/>
  <c r="CR392" i="4"/>
  <c r="CR391" i="4"/>
  <c r="CR390" i="4"/>
  <c r="CR389" i="4"/>
  <c r="CR388" i="4"/>
  <c r="CR387" i="4"/>
  <c r="CR386" i="4"/>
  <c r="CR385" i="4"/>
  <c r="CR384" i="4"/>
  <c r="CR383" i="4"/>
  <c r="CR382" i="4"/>
  <c r="CR381" i="4"/>
  <c r="CR380" i="4"/>
  <c r="CR379" i="4"/>
  <c r="CR378" i="4"/>
  <c r="CR377" i="4"/>
  <c r="CR376" i="4"/>
  <c r="CR375" i="4"/>
  <c r="CR374" i="4"/>
  <c r="CR373" i="4"/>
  <c r="CR372" i="4"/>
  <c r="CR371" i="4"/>
  <c r="CR370" i="4"/>
  <c r="CR369" i="4"/>
  <c r="CR368" i="4"/>
  <c r="CR367" i="4"/>
  <c r="CR366" i="4"/>
  <c r="CR365" i="4"/>
  <c r="CR364" i="4"/>
  <c r="CR363" i="4"/>
  <c r="CR362" i="4"/>
  <c r="CR361" i="4"/>
  <c r="CR360" i="4"/>
  <c r="CR359" i="4"/>
  <c r="CR358" i="4"/>
  <c r="CR357" i="4"/>
  <c r="CR356" i="4"/>
  <c r="CR355" i="4"/>
  <c r="CR354" i="4"/>
  <c r="CR353" i="4"/>
  <c r="CR352" i="4"/>
  <c r="CR351" i="4"/>
  <c r="CR350" i="4"/>
  <c r="CR349" i="4"/>
  <c r="CR348" i="4"/>
  <c r="CR347" i="4"/>
  <c r="CR346" i="4"/>
  <c r="CR345" i="4"/>
  <c r="CR344" i="4"/>
  <c r="CR343" i="4"/>
  <c r="CR342" i="4"/>
  <c r="CR341" i="4"/>
  <c r="CR340" i="4"/>
  <c r="CR339" i="4"/>
  <c r="CR338" i="4"/>
  <c r="CR337" i="4"/>
  <c r="CR336" i="4"/>
  <c r="CR335" i="4"/>
  <c r="CR334" i="4"/>
  <c r="CR333" i="4"/>
  <c r="CR332" i="4"/>
  <c r="CR331" i="4"/>
  <c r="CR330" i="4"/>
  <c r="CR329" i="4"/>
  <c r="CR328" i="4"/>
  <c r="CR327" i="4"/>
  <c r="CR326" i="4"/>
  <c r="CR325" i="4"/>
  <c r="CR324" i="4"/>
  <c r="CR323" i="4"/>
  <c r="CR322" i="4"/>
  <c r="CR321" i="4"/>
  <c r="CR320" i="4"/>
  <c r="CR319" i="4"/>
  <c r="CR318" i="4"/>
  <c r="CR317" i="4"/>
  <c r="CR316" i="4"/>
  <c r="CR315" i="4"/>
  <c r="CR314" i="4"/>
  <c r="CR313" i="4"/>
  <c r="CR312" i="4"/>
  <c r="CR311" i="4"/>
  <c r="CR310" i="4"/>
  <c r="CR309" i="4"/>
  <c r="CR308" i="4"/>
  <c r="CR307" i="4"/>
  <c r="CR306" i="4"/>
  <c r="CR305" i="4"/>
  <c r="CR304" i="4"/>
  <c r="CR303" i="4"/>
  <c r="CR302" i="4"/>
  <c r="CR301" i="4"/>
  <c r="CR300" i="4"/>
  <c r="CR299" i="4"/>
  <c r="CR298" i="4"/>
  <c r="CR297" i="4"/>
  <c r="CR296" i="4"/>
  <c r="CR295" i="4"/>
  <c r="CR294" i="4"/>
  <c r="CR293" i="4"/>
  <c r="CR292" i="4"/>
  <c r="CR291" i="4"/>
  <c r="CR290" i="4"/>
  <c r="CR289" i="4"/>
  <c r="CR288" i="4"/>
  <c r="CR287" i="4"/>
  <c r="CR286" i="4"/>
  <c r="CR285" i="4"/>
  <c r="CR284" i="4"/>
  <c r="CR283" i="4"/>
  <c r="CR282" i="4"/>
  <c r="CR281" i="4"/>
  <c r="CR280" i="4"/>
  <c r="CR279" i="4"/>
  <c r="CR278" i="4"/>
  <c r="CR277" i="4"/>
  <c r="CR276" i="4"/>
  <c r="CR275" i="4"/>
  <c r="CR274" i="4"/>
  <c r="CR273" i="4"/>
  <c r="CR272" i="4"/>
  <c r="CR271" i="4"/>
  <c r="CR270" i="4"/>
  <c r="CR269" i="4"/>
  <c r="CR268" i="4"/>
  <c r="CR267" i="4"/>
  <c r="CR266" i="4"/>
  <c r="CR265" i="4"/>
  <c r="CR264" i="4"/>
  <c r="CR263" i="4"/>
  <c r="CR262" i="4"/>
  <c r="CR261" i="4"/>
  <c r="CR260" i="4"/>
  <c r="CR259" i="4"/>
  <c r="CR258" i="4"/>
  <c r="CR257" i="4"/>
  <c r="CR256" i="4"/>
  <c r="CR255" i="4"/>
  <c r="CR254" i="4"/>
  <c r="CR253" i="4"/>
  <c r="CR252" i="4"/>
  <c r="CR251" i="4"/>
  <c r="CR250" i="4"/>
  <c r="CR249" i="4"/>
  <c r="CR248" i="4"/>
  <c r="CR247" i="4"/>
  <c r="CR246" i="4"/>
  <c r="CR245" i="4"/>
  <c r="CR244" i="4"/>
  <c r="CR243" i="4"/>
  <c r="CR242" i="4"/>
  <c r="CR241" i="4"/>
  <c r="CR240" i="4"/>
  <c r="CR239" i="4"/>
  <c r="CR238" i="4"/>
  <c r="CR237" i="4"/>
  <c r="CR236" i="4"/>
  <c r="CR235" i="4"/>
  <c r="CR234" i="4"/>
  <c r="CR233" i="4"/>
  <c r="CR232" i="4"/>
  <c r="CR231" i="4"/>
  <c r="CR230" i="4"/>
  <c r="CR229" i="4"/>
  <c r="CR228" i="4"/>
  <c r="CR227" i="4"/>
  <c r="CR226" i="4"/>
  <c r="CR225" i="4"/>
  <c r="CR224" i="4"/>
  <c r="CR223" i="4"/>
  <c r="CR222" i="4"/>
  <c r="CR221" i="4"/>
  <c r="CR220" i="4"/>
  <c r="CR219" i="4"/>
  <c r="CR218" i="4"/>
  <c r="CR217" i="4"/>
  <c r="CR216" i="4"/>
  <c r="CR215" i="4"/>
  <c r="CR214" i="4"/>
  <c r="CR213" i="4"/>
  <c r="CR212" i="4"/>
  <c r="CR211" i="4"/>
  <c r="CR210" i="4"/>
  <c r="CR209" i="4"/>
  <c r="CR208" i="4"/>
  <c r="CR207" i="4"/>
  <c r="CR206" i="4"/>
  <c r="CR205" i="4"/>
  <c r="CR204" i="4"/>
  <c r="CR203" i="4"/>
  <c r="CR202" i="4"/>
  <c r="CR201" i="4"/>
  <c r="CR200" i="4"/>
  <c r="CR199" i="4"/>
  <c r="CR198" i="4"/>
  <c r="CR197" i="4"/>
  <c r="CR196" i="4"/>
  <c r="CR195" i="4"/>
  <c r="CR194" i="4"/>
  <c r="CR193" i="4"/>
  <c r="CR192" i="4"/>
  <c r="CR191" i="4"/>
  <c r="CR190" i="4"/>
  <c r="CR189" i="4"/>
  <c r="CR188" i="4"/>
  <c r="CR187" i="4"/>
  <c r="CR186" i="4"/>
  <c r="CR185" i="4"/>
  <c r="CR184" i="4"/>
  <c r="CR183" i="4"/>
  <c r="CR182" i="4"/>
  <c r="CR181" i="4"/>
  <c r="CR180" i="4"/>
  <c r="CR179" i="4"/>
  <c r="CR178" i="4"/>
  <c r="CR177" i="4"/>
  <c r="CR176" i="4"/>
  <c r="CR175" i="4"/>
  <c r="CR174" i="4"/>
  <c r="CR173" i="4"/>
  <c r="CR172" i="4"/>
  <c r="CR171" i="4"/>
  <c r="CR170" i="4"/>
  <c r="CR169" i="4"/>
  <c r="CR168" i="4"/>
  <c r="CR167" i="4"/>
  <c r="CR166" i="4"/>
  <c r="CR165" i="4"/>
  <c r="CR164" i="4"/>
  <c r="CR163" i="4"/>
  <c r="CR162" i="4"/>
  <c r="CR161" i="4"/>
  <c r="CR160" i="4"/>
  <c r="CR159" i="4"/>
  <c r="CR158" i="4"/>
  <c r="CR157" i="4"/>
  <c r="CR156" i="4"/>
  <c r="CR155" i="4"/>
  <c r="CR154" i="4"/>
  <c r="CR153" i="4"/>
  <c r="CR152" i="4"/>
  <c r="CR151" i="4"/>
  <c r="CR150" i="4"/>
  <c r="CR149" i="4"/>
  <c r="CR148" i="4"/>
  <c r="CR147" i="4"/>
  <c r="CR146" i="4"/>
  <c r="CR145" i="4"/>
  <c r="CR144" i="4"/>
  <c r="CR143" i="4"/>
  <c r="CR142" i="4"/>
  <c r="CR141" i="4"/>
  <c r="CR140" i="4"/>
  <c r="CR139" i="4"/>
  <c r="CR138" i="4"/>
  <c r="CR137" i="4"/>
  <c r="CR136" i="4"/>
  <c r="CR135" i="4"/>
  <c r="CR134" i="4"/>
  <c r="CR133" i="4"/>
  <c r="CR132" i="4"/>
  <c r="CR131" i="4"/>
  <c r="CR130" i="4"/>
  <c r="CR129" i="4"/>
  <c r="CR128" i="4"/>
  <c r="CR127" i="4"/>
  <c r="CR126" i="4"/>
  <c r="CR125" i="4"/>
  <c r="CR124" i="4"/>
  <c r="CR123" i="4"/>
  <c r="CR122" i="4"/>
  <c r="CR121" i="4"/>
  <c r="CR120" i="4"/>
  <c r="CR119" i="4"/>
  <c r="CR118" i="4"/>
  <c r="CR117" i="4"/>
  <c r="CR116" i="4"/>
  <c r="CR115" i="4"/>
  <c r="CR114" i="4"/>
  <c r="CR113" i="4"/>
  <c r="CR112" i="4"/>
  <c r="CR111" i="4"/>
  <c r="CR110" i="4"/>
  <c r="CR109" i="4"/>
  <c r="CR108" i="4"/>
  <c r="CR107" i="4"/>
  <c r="CR106" i="4"/>
  <c r="CR105" i="4"/>
  <c r="CR104" i="4"/>
  <c r="CR103" i="4"/>
  <c r="CR102" i="4"/>
  <c r="CR101" i="4"/>
  <c r="CR100" i="4"/>
  <c r="CR99" i="4"/>
  <c r="CR98" i="4"/>
  <c r="CR97" i="4"/>
  <c r="CR96" i="4"/>
  <c r="CR95" i="4"/>
  <c r="CR94" i="4"/>
  <c r="CR93" i="4"/>
  <c r="CR92" i="4"/>
  <c r="CR91" i="4"/>
  <c r="CR90" i="4"/>
  <c r="CR89" i="4"/>
  <c r="CR88" i="4"/>
  <c r="CR87" i="4"/>
  <c r="CR86" i="4"/>
  <c r="CR85" i="4"/>
  <c r="CR84" i="4"/>
  <c r="CR83" i="4"/>
  <c r="CR82" i="4"/>
  <c r="CR81" i="4"/>
  <c r="CR80" i="4"/>
  <c r="CR79" i="4"/>
  <c r="CR78" i="4"/>
  <c r="CR77" i="4"/>
  <c r="CR76" i="4"/>
  <c r="CR75" i="4"/>
  <c r="CR74" i="4"/>
  <c r="CR73" i="4"/>
  <c r="CR72" i="4"/>
  <c r="CR71" i="4"/>
  <c r="CR70" i="4"/>
  <c r="CR69" i="4"/>
  <c r="CR68" i="4"/>
  <c r="CR67" i="4"/>
  <c r="CR66" i="4"/>
  <c r="CR65" i="4"/>
  <c r="CR64" i="4"/>
  <c r="CR63" i="4"/>
  <c r="CR62" i="4"/>
  <c r="CR61" i="4"/>
  <c r="CR60" i="4"/>
  <c r="CR59" i="4"/>
  <c r="CR58" i="4"/>
  <c r="CR57" i="4"/>
  <c r="CR56" i="4"/>
  <c r="CR55" i="4"/>
  <c r="CR54" i="4"/>
  <c r="CR53" i="4"/>
  <c r="CR52" i="4"/>
  <c r="CR51" i="4"/>
  <c r="CR50" i="4"/>
  <c r="CR49" i="4"/>
  <c r="CR48" i="4"/>
  <c r="CR47" i="4"/>
  <c r="CR46" i="4"/>
  <c r="CR45" i="4"/>
  <c r="CR44" i="4"/>
  <c r="CR43" i="4"/>
  <c r="CR42" i="4"/>
  <c r="CR41" i="4"/>
  <c r="CR40" i="4"/>
  <c r="CR39" i="4"/>
  <c r="CR38" i="4"/>
  <c r="CR37" i="4"/>
  <c r="CR36" i="4"/>
  <c r="CR35" i="4"/>
  <c r="CR34" i="4"/>
  <c r="CR33" i="4"/>
  <c r="CR32" i="4"/>
  <c r="CR31" i="4"/>
  <c r="CR30" i="4"/>
  <c r="CR29" i="4"/>
  <c r="CR28" i="4"/>
  <c r="CR27" i="4"/>
  <c r="CR26" i="4"/>
  <c r="CR25" i="4"/>
  <c r="CR24" i="4"/>
  <c r="CR23" i="4"/>
  <c r="CR22" i="4"/>
  <c r="CR21" i="4"/>
  <c r="CR20" i="4"/>
  <c r="CR19" i="4"/>
  <c r="CR18" i="4"/>
  <c r="CR17" i="4"/>
  <c r="CR16" i="4"/>
  <c r="CR15" i="4"/>
  <c r="CR14" i="4"/>
  <c r="CR13" i="4"/>
  <c r="CR12" i="4"/>
  <c r="CR11" i="4"/>
  <c r="CR10" i="4"/>
  <c r="CR9" i="4"/>
  <c r="CR8" i="4"/>
  <c r="CR7" i="4"/>
  <c r="CO459" i="4"/>
  <c r="CO458" i="4"/>
  <c r="CO457" i="4"/>
  <c r="CO456" i="4"/>
  <c r="CO455" i="4"/>
  <c r="CO454" i="4"/>
  <c r="CO453" i="4"/>
  <c r="CO452" i="4"/>
  <c r="CO451" i="4"/>
  <c r="CO450" i="4"/>
  <c r="CO449" i="4"/>
  <c r="CO448" i="4"/>
  <c r="CO447" i="4"/>
  <c r="CO446" i="4"/>
  <c r="CO445" i="4"/>
  <c r="CO444" i="4"/>
  <c r="CO443" i="4"/>
  <c r="CO442" i="4"/>
  <c r="CO441" i="4"/>
  <c r="CO440" i="4"/>
  <c r="CO439" i="4"/>
  <c r="CO438" i="4"/>
  <c r="CO437" i="4"/>
  <c r="CO436" i="4"/>
  <c r="CO435" i="4"/>
  <c r="CO434" i="4"/>
  <c r="CO433" i="4"/>
  <c r="CO432" i="4"/>
  <c r="CO431" i="4"/>
  <c r="CO430" i="4"/>
  <c r="CO429" i="4"/>
  <c r="CO428" i="4"/>
  <c r="CO427" i="4"/>
  <c r="CO426" i="4"/>
  <c r="CO425" i="4"/>
  <c r="CO424" i="4"/>
  <c r="CO423" i="4"/>
  <c r="CO422" i="4"/>
  <c r="CO421" i="4"/>
  <c r="CO420" i="4"/>
  <c r="CO419" i="4"/>
  <c r="CO418" i="4"/>
  <c r="CO417" i="4"/>
  <c r="CO416" i="4"/>
  <c r="CO415" i="4"/>
  <c r="CO414" i="4"/>
  <c r="CO413" i="4"/>
  <c r="CO412" i="4"/>
  <c r="CO411" i="4"/>
  <c r="CO410" i="4"/>
  <c r="CO409" i="4"/>
  <c r="CO408" i="4"/>
  <c r="CO407" i="4"/>
  <c r="CO406" i="4"/>
  <c r="CO405" i="4"/>
  <c r="CO404" i="4"/>
  <c r="CO403" i="4"/>
  <c r="CO402" i="4"/>
  <c r="CO401" i="4"/>
  <c r="CO400" i="4"/>
  <c r="CO399" i="4"/>
  <c r="CO398" i="4"/>
  <c r="CO397" i="4"/>
  <c r="CO396" i="4"/>
  <c r="CO395" i="4"/>
  <c r="CO394" i="4"/>
  <c r="CO393" i="4"/>
  <c r="CO392" i="4"/>
  <c r="CO391" i="4"/>
  <c r="CO390" i="4"/>
  <c r="CO389" i="4"/>
  <c r="CO388" i="4"/>
  <c r="CO387" i="4"/>
  <c r="CO386" i="4"/>
  <c r="CO385" i="4"/>
  <c r="CO384" i="4"/>
  <c r="CO383" i="4"/>
  <c r="CO382" i="4"/>
  <c r="CO381" i="4"/>
  <c r="CO380" i="4"/>
  <c r="CO379" i="4"/>
  <c r="CO378" i="4"/>
  <c r="CO377" i="4"/>
  <c r="CO376" i="4"/>
  <c r="CO375" i="4"/>
  <c r="CO374" i="4"/>
  <c r="CO373" i="4"/>
  <c r="CO372" i="4"/>
  <c r="CO371" i="4"/>
  <c r="CO370" i="4"/>
  <c r="CO369" i="4"/>
  <c r="CO368" i="4"/>
  <c r="CO367" i="4"/>
  <c r="CO366" i="4"/>
  <c r="CO365" i="4"/>
  <c r="CO364" i="4"/>
  <c r="CO363" i="4"/>
  <c r="CO362" i="4"/>
  <c r="CO361" i="4"/>
  <c r="CO360" i="4"/>
  <c r="CO359" i="4"/>
  <c r="CO358" i="4"/>
  <c r="CO357" i="4"/>
  <c r="CO356" i="4"/>
  <c r="CO355" i="4"/>
  <c r="CO354" i="4"/>
  <c r="CO353" i="4"/>
  <c r="CO352" i="4"/>
  <c r="CO351" i="4"/>
  <c r="CO350" i="4"/>
  <c r="CO349" i="4"/>
  <c r="CO348" i="4"/>
  <c r="CO347" i="4"/>
  <c r="CO346" i="4"/>
  <c r="CO345" i="4"/>
  <c r="CO344" i="4"/>
  <c r="CO343" i="4"/>
  <c r="CO342" i="4"/>
  <c r="CO341" i="4"/>
  <c r="CO340" i="4"/>
  <c r="CO339" i="4"/>
  <c r="CO338" i="4"/>
  <c r="CO337" i="4"/>
  <c r="CO336" i="4"/>
  <c r="CO335" i="4"/>
  <c r="CO334" i="4"/>
  <c r="CO333" i="4"/>
  <c r="CO332" i="4"/>
  <c r="CO331" i="4"/>
  <c r="CO330" i="4"/>
  <c r="CO329" i="4"/>
  <c r="CO328" i="4"/>
  <c r="CO327" i="4"/>
  <c r="CO326" i="4"/>
  <c r="CO325" i="4"/>
  <c r="CO324" i="4"/>
  <c r="CO323" i="4"/>
  <c r="CO322" i="4"/>
  <c r="CO321" i="4"/>
  <c r="CO320" i="4"/>
  <c r="CO319" i="4"/>
  <c r="CO318" i="4"/>
  <c r="CO317" i="4"/>
  <c r="CO316" i="4"/>
  <c r="CO315" i="4"/>
  <c r="CO314" i="4"/>
  <c r="CO313" i="4"/>
  <c r="CO312" i="4"/>
  <c r="CO311" i="4"/>
  <c r="CO310" i="4"/>
  <c r="CO309" i="4"/>
  <c r="CO308" i="4"/>
  <c r="CO307" i="4"/>
  <c r="CO306" i="4"/>
  <c r="CO305" i="4"/>
  <c r="CO304" i="4"/>
  <c r="CO303" i="4"/>
  <c r="CO302" i="4"/>
  <c r="CO301" i="4"/>
  <c r="CO300" i="4"/>
  <c r="CO299" i="4"/>
  <c r="CO298" i="4"/>
  <c r="CO297" i="4"/>
  <c r="CO296" i="4"/>
  <c r="CO295" i="4"/>
  <c r="CO294" i="4"/>
  <c r="CO293" i="4"/>
  <c r="CO292" i="4"/>
  <c r="CO291" i="4"/>
  <c r="CO290" i="4"/>
  <c r="CO289" i="4"/>
  <c r="CO288" i="4"/>
  <c r="CO287" i="4"/>
  <c r="CO286" i="4"/>
  <c r="CO285" i="4"/>
  <c r="CO284" i="4"/>
  <c r="CO283" i="4"/>
  <c r="CO282" i="4"/>
  <c r="CO281" i="4"/>
  <c r="CO280" i="4"/>
  <c r="CO279" i="4"/>
  <c r="CO278" i="4"/>
  <c r="CO277" i="4"/>
  <c r="CO276" i="4"/>
  <c r="CO275" i="4"/>
  <c r="CO274" i="4"/>
  <c r="CO273" i="4"/>
  <c r="CO272" i="4"/>
  <c r="CO271" i="4"/>
  <c r="CO270" i="4"/>
  <c r="CO269" i="4"/>
  <c r="CO268" i="4"/>
  <c r="CO267" i="4"/>
  <c r="CO266" i="4"/>
  <c r="CO265" i="4"/>
  <c r="CO264" i="4"/>
  <c r="CO263" i="4"/>
  <c r="CO262" i="4"/>
  <c r="CO261" i="4"/>
  <c r="CO260" i="4"/>
  <c r="CO259" i="4"/>
  <c r="CO258" i="4"/>
  <c r="CO257" i="4"/>
  <c r="CO256" i="4"/>
  <c r="CO255" i="4"/>
  <c r="CO254" i="4"/>
  <c r="CO253" i="4"/>
  <c r="CO252" i="4"/>
  <c r="CO251" i="4"/>
  <c r="CO250" i="4"/>
  <c r="CO249" i="4"/>
  <c r="CO248" i="4"/>
  <c r="CO247" i="4"/>
  <c r="CO246" i="4"/>
  <c r="CO245" i="4"/>
  <c r="CO244" i="4"/>
  <c r="CO243" i="4"/>
  <c r="CO242" i="4"/>
  <c r="CO241" i="4"/>
  <c r="CO240" i="4"/>
  <c r="CO239" i="4"/>
  <c r="CO238" i="4"/>
  <c r="CO237" i="4"/>
  <c r="CO236" i="4"/>
  <c r="CO235" i="4"/>
  <c r="CO234" i="4"/>
  <c r="CO233" i="4"/>
  <c r="CO232" i="4"/>
  <c r="CO231" i="4"/>
  <c r="CO230" i="4"/>
  <c r="CO229" i="4"/>
  <c r="CO228" i="4"/>
  <c r="CO227" i="4"/>
  <c r="CO226" i="4"/>
  <c r="CO225" i="4"/>
  <c r="CO224" i="4"/>
  <c r="CO223" i="4"/>
  <c r="CO222" i="4"/>
  <c r="CO221" i="4"/>
  <c r="CO220" i="4"/>
  <c r="CO219" i="4"/>
  <c r="CO218" i="4"/>
  <c r="CO217" i="4"/>
  <c r="CO216" i="4"/>
  <c r="CO215" i="4"/>
  <c r="CO214" i="4"/>
  <c r="CO213" i="4"/>
  <c r="CO212" i="4"/>
  <c r="CO211" i="4"/>
  <c r="CO210" i="4"/>
  <c r="CO209" i="4"/>
  <c r="CO208" i="4"/>
  <c r="CO207" i="4"/>
  <c r="CO206" i="4"/>
  <c r="CO205" i="4"/>
  <c r="CO204" i="4"/>
  <c r="CO203" i="4"/>
  <c r="CO202" i="4"/>
  <c r="CO201" i="4"/>
  <c r="CO200" i="4"/>
  <c r="CO199" i="4"/>
  <c r="CO198" i="4"/>
  <c r="CO197" i="4"/>
  <c r="CO196" i="4"/>
  <c r="CO195" i="4"/>
  <c r="CO194" i="4"/>
  <c r="CO193" i="4"/>
  <c r="CO192" i="4"/>
  <c r="CO191" i="4"/>
  <c r="CO190" i="4"/>
  <c r="CO189" i="4"/>
  <c r="CO188" i="4"/>
  <c r="CO187" i="4"/>
  <c r="CO186" i="4"/>
  <c r="CO185" i="4"/>
  <c r="CO184" i="4"/>
  <c r="CO183" i="4"/>
  <c r="CO182" i="4"/>
  <c r="CO181" i="4"/>
  <c r="CO180" i="4"/>
  <c r="CO179" i="4"/>
  <c r="CO178" i="4"/>
  <c r="CO177" i="4"/>
  <c r="CO176" i="4"/>
  <c r="CO175" i="4"/>
  <c r="CO174" i="4"/>
  <c r="CO173" i="4"/>
  <c r="CO172" i="4"/>
  <c r="CO171" i="4"/>
  <c r="CO170" i="4"/>
  <c r="CO169" i="4"/>
  <c r="CO168" i="4"/>
  <c r="CO167" i="4"/>
  <c r="CO166" i="4"/>
  <c r="CO165" i="4"/>
  <c r="CO164" i="4"/>
  <c r="CO163" i="4"/>
  <c r="CO162" i="4"/>
  <c r="CO161" i="4"/>
  <c r="CO160" i="4"/>
  <c r="CO159" i="4"/>
  <c r="CO158" i="4"/>
  <c r="CO157" i="4"/>
  <c r="CO156" i="4"/>
  <c r="CO155" i="4"/>
  <c r="CO154" i="4"/>
  <c r="CO153" i="4"/>
  <c r="CO152" i="4"/>
  <c r="CO151" i="4"/>
  <c r="CO150" i="4"/>
  <c r="CO149" i="4"/>
  <c r="CO148" i="4"/>
  <c r="CO147" i="4"/>
  <c r="CO146" i="4"/>
  <c r="CO145" i="4"/>
  <c r="CO144" i="4"/>
  <c r="CO143" i="4"/>
  <c r="CO142" i="4"/>
  <c r="CO141" i="4"/>
  <c r="CO140" i="4"/>
  <c r="CO139" i="4"/>
  <c r="CO138" i="4"/>
  <c r="CO137" i="4"/>
  <c r="CO136" i="4"/>
  <c r="CO135" i="4"/>
  <c r="CO134" i="4"/>
  <c r="CO133" i="4"/>
  <c r="CO132" i="4"/>
  <c r="CO131" i="4"/>
  <c r="CO130" i="4"/>
  <c r="CO129" i="4"/>
  <c r="CO128" i="4"/>
  <c r="CO127" i="4"/>
  <c r="CO126" i="4"/>
  <c r="CO125" i="4"/>
  <c r="CO124" i="4"/>
  <c r="CO123" i="4"/>
  <c r="CO122" i="4"/>
  <c r="CO121" i="4"/>
  <c r="CO120" i="4"/>
  <c r="CO119" i="4"/>
  <c r="CO118" i="4"/>
  <c r="CO117" i="4"/>
  <c r="CO116" i="4"/>
  <c r="CO115" i="4"/>
  <c r="CO114" i="4"/>
  <c r="CO113" i="4"/>
  <c r="CO112" i="4"/>
  <c r="CO111" i="4"/>
  <c r="CO110" i="4"/>
  <c r="CO109" i="4"/>
  <c r="CO108" i="4"/>
  <c r="CO107" i="4"/>
  <c r="CO106" i="4"/>
  <c r="CO105" i="4"/>
  <c r="CO104" i="4"/>
  <c r="CO103" i="4"/>
  <c r="CO102" i="4"/>
  <c r="CO101" i="4"/>
  <c r="CO100" i="4"/>
  <c r="CO99" i="4"/>
  <c r="CO98" i="4"/>
  <c r="CO97" i="4"/>
  <c r="CO96" i="4"/>
  <c r="CO95" i="4"/>
  <c r="CO94" i="4"/>
  <c r="CO93" i="4"/>
  <c r="CO92" i="4"/>
  <c r="CO91" i="4"/>
  <c r="CO90" i="4"/>
  <c r="CO89" i="4"/>
  <c r="CO88" i="4"/>
  <c r="CO87" i="4"/>
  <c r="CO86" i="4"/>
  <c r="CO85" i="4"/>
  <c r="CO84" i="4"/>
  <c r="CO83" i="4"/>
  <c r="CO82" i="4"/>
  <c r="CO81" i="4"/>
  <c r="CO80" i="4"/>
  <c r="CO79" i="4"/>
  <c r="CO78" i="4"/>
  <c r="CO77" i="4"/>
  <c r="CO76" i="4"/>
  <c r="CO75" i="4"/>
  <c r="CO74" i="4"/>
  <c r="CO73" i="4"/>
  <c r="CO72" i="4"/>
  <c r="CO71" i="4"/>
  <c r="CO70" i="4"/>
  <c r="CO69" i="4"/>
  <c r="CO68" i="4"/>
  <c r="CO67" i="4"/>
  <c r="CO66" i="4"/>
  <c r="CO65" i="4"/>
  <c r="CO64" i="4"/>
  <c r="CO63" i="4"/>
  <c r="CO62" i="4"/>
  <c r="CO61" i="4"/>
  <c r="CO60" i="4"/>
  <c r="CO59" i="4"/>
  <c r="CO58" i="4"/>
  <c r="CO57" i="4"/>
  <c r="CO56" i="4"/>
  <c r="CO55" i="4"/>
  <c r="CO54" i="4"/>
  <c r="CO53" i="4"/>
  <c r="CO52" i="4"/>
  <c r="CO51" i="4"/>
  <c r="CO50" i="4"/>
  <c r="CO49" i="4"/>
  <c r="CO48" i="4"/>
  <c r="CO47" i="4"/>
  <c r="CO46" i="4"/>
  <c r="CO45" i="4"/>
  <c r="CO44" i="4"/>
  <c r="CO43" i="4"/>
  <c r="CO42" i="4"/>
  <c r="CO41" i="4"/>
  <c r="CO40" i="4"/>
  <c r="CO39" i="4"/>
  <c r="CO38" i="4"/>
  <c r="CO37" i="4"/>
  <c r="CO36" i="4"/>
  <c r="CO35" i="4"/>
  <c r="CO34" i="4"/>
  <c r="CO33" i="4"/>
  <c r="CO32" i="4"/>
  <c r="CO31" i="4"/>
  <c r="CO30" i="4"/>
  <c r="CO29" i="4"/>
  <c r="CO28" i="4"/>
  <c r="CO27" i="4"/>
  <c r="CO26" i="4"/>
  <c r="CO25" i="4"/>
  <c r="CO24" i="4"/>
  <c r="CO23" i="4"/>
  <c r="CO22" i="4"/>
  <c r="CO21" i="4"/>
  <c r="CO20" i="4"/>
  <c r="CO19" i="4"/>
  <c r="CO18" i="4"/>
  <c r="CO17" i="4"/>
  <c r="CO16" i="4"/>
  <c r="CO15" i="4"/>
  <c r="CO14" i="4"/>
  <c r="CO13" i="4"/>
  <c r="CO12" i="4"/>
  <c r="CO11" i="4"/>
  <c r="CO10" i="4"/>
  <c r="CO9" i="4"/>
  <c r="CO8" i="4"/>
  <c r="CO7" i="4"/>
  <c r="CM459" i="4"/>
  <c r="CM458" i="4"/>
  <c r="CM457" i="4"/>
  <c r="CM456" i="4"/>
  <c r="CM455" i="4"/>
  <c r="CM454" i="4"/>
  <c r="CM453" i="4"/>
  <c r="CM452" i="4"/>
  <c r="CM451" i="4"/>
  <c r="CM450" i="4"/>
  <c r="CM449" i="4"/>
  <c r="CM448" i="4"/>
  <c r="CM447" i="4"/>
  <c r="CM446" i="4"/>
  <c r="CM445" i="4"/>
  <c r="CM444" i="4"/>
  <c r="CM443" i="4"/>
  <c r="CM442" i="4"/>
  <c r="CM441" i="4"/>
  <c r="CM440" i="4"/>
  <c r="CM439" i="4"/>
  <c r="CM438" i="4"/>
  <c r="CM437" i="4"/>
  <c r="CM436" i="4"/>
  <c r="CM435" i="4"/>
  <c r="CM434" i="4"/>
  <c r="CM433" i="4"/>
  <c r="CM432" i="4"/>
  <c r="CM431" i="4"/>
  <c r="CM430" i="4"/>
  <c r="CM429" i="4"/>
  <c r="CM428" i="4"/>
  <c r="CM427" i="4"/>
  <c r="CM426" i="4"/>
  <c r="CM425" i="4"/>
  <c r="CM424" i="4"/>
  <c r="CM423" i="4"/>
  <c r="CM422" i="4"/>
  <c r="CM421" i="4"/>
  <c r="CM420" i="4"/>
  <c r="CM419" i="4"/>
  <c r="CM418" i="4"/>
  <c r="CM417" i="4"/>
  <c r="CM416" i="4"/>
  <c r="CM415" i="4"/>
  <c r="CM414" i="4"/>
  <c r="CM413" i="4"/>
  <c r="CM412" i="4"/>
  <c r="CM411" i="4"/>
  <c r="CM410" i="4"/>
  <c r="CM409" i="4"/>
  <c r="CM408" i="4"/>
  <c r="CM407" i="4"/>
  <c r="CM406" i="4"/>
  <c r="CM405" i="4"/>
  <c r="CM404" i="4"/>
  <c r="CM403" i="4"/>
  <c r="CM402" i="4"/>
  <c r="CM401" i="4"/>
  <c r="CM400" i="4"/>
  <c r="CM399" i="4"/>
  <c r="CM398" i="4"/>
  <c r="CM397" i="4"/>
  <c r="CM396" i="4"/>
  <c r="CM395" i="4"/>
  <c r="CM394" i="4"/>
  <c r="CM393" i="4"/>
  <c r="CM392" i="4"/>
  <c r="CM391" i="4"/>
  <c r="CM390" i="4"/>
  <c r="CM389" i="4"/>
  <c r="CM388" i="4"/>
  <c r="CM387" i="4"/>
  <c r="CM386" i="4"/>
  <c r="CM385" i="4"/>
  <c r="CM384" i="4"/>
  <c r="CM383" i="4"/>
  <c r="CM382" i="4"/>
  <c r="CM381" i="4"/>
  <c r="CM380" i="4"/>
  <c r="CM379" i="4"/>
  <c r="CM378" i="4"/>
  <c r="CM377" i="4"/>
  <c r="CM376" i="4"/>
  <c r="CM375" i="4"/>
  <c r="CM374" i="4"/>
  <c r="CM373" i="4"/>
  <c r="CM372" i="4"/>
  <c r="CM371" i="4"/>
  <c r="CM370" i="4"/>
  <c r="CM369" i="4"/>
  <c r="CM368" i="4"/>
  <c r="CM367" i="4"/>
  <c r="CM366" i="4"/>
  <c r="CM365" i="4"/>
  <c r="CM364" i="4"/>
  <c r="CM363" i="4"/>
  <c r="CM362" i="4"/>
  <c r="CM361" i="4"/>
  <c r="CM360" i="4"/>
  <c r="CM359" i="4"/>
  <c r="CM358" i="4"/>
  <c r="CM357" i="4"/>
  <c r="CM356" i="4"/>
  <c r="CM355" i="4"/>
  <c r="CM354" i="4"/>
  <c r="CM353" i="4"/>
  <c r="CM352" i="4"/>
  <c r="CM351" i="4"/>
  <c r="CM350" i="4"/>
  <c r="CM349" i="4"/>
  <c r="CM348" i="4"/>
  <c r="CM347" i="4"/>
  <c r="CM346" i="4"/>
  <c r="CM345" i="4"/>
  <c r="CM344" i="4"/>
  <c r="CM343" i="4"/>
  <c r="CM342" i="4"/>
  <c r="CM341" i="4"/>
  <c r="CM340" i="4"/>
  <c r="CM339" i="4"/>
  <c r="CM338" i="4"/>
  <c r="CM337" i="4"/>
  <c r="CM336" i="4"/>
  <c r="CM335" i="4"/>
  <c r="CM334" i="4"/>
  <c r="CM333" i="4"/>
  <c r="CM332" i="4"/>
  <c r="CM331" i="4"/>
  <c r="CM330" i="4"/>
  <c r="CM329" i="4"/>
  <c r="CM328" i="4"/>
  <c r="CM327" i="4"/>
  <c r="CM326" i="4"/>
  <c r="CM325" i="4"/>
  <c r="CM324" i="4"/>
  <c r="CM323" i="4"/>
  <c r="CM322" i="4"/>
  <c r="CM321" i="4"/>
  <c r="CM320" i="4"/>
  <c r="CM319" i="4"/>
  <c r="CM318" i="4"/>
  <c r="CM317" i="4"/>
  <c r="CM316" i="4"/>
  <c r="CM315" i="4"/>
  <c r="CM314" i="4"/>
  <c r="CM313" i="4"/>
  <c r="CM312" i="4"/>
  <c r="CM311" i="4"/>
  <c r="CM310" i="4"/>
  <c r="CM309" i="4"/>
  <c r="CM308" i="4"/>
  <c r="CM307" i="4"/>
  <c r="CM306" i="4"/>
  <c r="CM305" i="4"/>
  <c r="CM304" i="4"/>
  <c r="CM303" i="4"/>
  <c r="CM302" i="4"/>
  <c r="CM301" i="4"/>
  <c r="CM300" i="4"/>
  <c r="CM299" i="4"/>
  <c r="CM298" i="4"/>
  <c r="CM297" i="4"/>
  <c r="CM296" i="4"/>
  <c r="CM295" i="4"/>
  <c r="CM294" i="4"/>
  <c r="CM293" i="4"/>
  <c r="CM292" i="4"/>
  <c r="CM291" i="4"/>
  <c r="CM290" i="4"/>
  <c r="CM289" i="4"/>
  <c r="CM288" i="4"/>
  <c r="CM287" i="4"/>
  <c r="CM286" i="4"/>
  <c r="CM285" i="4"/>
  <c r="CM284" i="4"/>
  <c r="CM283" i="4"/>
  <c r="CM282" i="4"/>
  <c r="CM281" i="4"/>
  <c r="CM280" i="4"/>
  <c r="CM279" i="4"/>
  <c r="CM278" i="4"/>
  <c r="CM277" i="4"/>
  <c r="CM276" i="4"/>
  <c r="CM275" i="4"/>
  <c r="CM274" i="4"/>
  <c r="CM273" i="4"/>
  <c r="CM272" i="4"/>
  <c r="CM271" i="4"/>
  <c r="CM270" i="4"/>
  <c r="CM269" i="4"/>
  <c r="CM268" i="4"/>
  <c r="CM267" i="4"/>
  <c r="CM266" i="4"/>
  <c r="CM265" i="4"/>
  <c r="CM264" i="4"/>
  <c r="CM263" i="4"/>
  <c r="CM262" i="4"/>
  <c r="CM261" i="4"/>
  <c r="CM260" i="4"/>
  <c r="CM259" i="4"/>
  <c r="CM258" i="4"/>
  <c r="CM257" i="4"/>
  <c r="CM256" i="4"/>
  <c r="CM255" i="4"/>
  <c r="CM254" i="4"/>
  <c r="CM253" i="4"/>
  <c r="CM252" i="4"/>
  <c r="CM251" i="4"/>
  <c r="CM250" i="4"/>
  <c r="CM249" i="4"/>
  <c r="CM248" i="4"/>
  <c r="CM247" i="4"/>
  <c r="CM246" i="4"/>
  <c r="CM245" i="4"/>
  <c r="CM244" i="4"/>
  <c r="CM243" i="4"/>
  <c r="CM242" i="4"/>
  <c r="CM241" i="4"/>
  <c r="CM240" i="4"/>
  <c r="CM239" i="4"/>
  <c r="CM238" i="4"/>
  <c r="CM237" i="4"/>
  <c r="CM236" i="4"/>
  <c r="CM235" i="4"/>
  <c r="CM234" i="4"/>
  <c r="CM233" i="4"/>
  <c r="CM232" i="4"/>
  <c r="CM231" i="4"/>
  <c r="CM230" i="4"/>
  <c r="CM229" i="4"/>
  <c r="CM228" i="4"/>
  <c r="CM227" i="4"/>
  <c r="CM226" i="4"/>
  <c r="CM225" i="4"/>
  <c r="CM224" i="4"/>
  <c r="CM223" i="4"/>
  <c r="CM222" i="4"/>
  <c r="CM221" i="4"/>
  <c r="CM220" i="4"/>
  <c r="CM219" i="4"/>
  <c r="CM218" i="4"/>
  <c r="CM217" i="4"/>
  <c r="CM216" i="4"/>
  <c r="CM215" i="4"/>
  <c r="CM214" i="4"/>
  <c r="CM213" i="4"/>
  <c r="CM212" i="4"/>
  <c r="CM211" i="4"/>
  <c r="CM210" i="4"/>
  <c r="CM209" i="4"/>
  <c r="CM208" i="4"/>
  <c r="CM207" i="4"/>
  <c r="CM206" i="4"/>
  <c r="CM205" i="4"/>
  <c r="CM204" i="4"/>
  <c r="CM203" i="4"/>
  <c r="CM202" i="4"/>
  <c r="CM201" i="4"/>
  <c r="CM200" i="4"/>
  <c r="CM199" i="4"/>
  <c r="CM198" i="4"/>
  <c r="CM197" i="4"/>
  <c r="CM196" i="4"/>
  <c r="CM195" i="4"/>
  <c r="CM194" i="4"/>
  <c r="CM193" i="4"/>
  <c r="CM192" i="4"/>
  <c r="CM191" i="4"/>
  <c r="CM190" i="4"/>
  <c r="CM189" i="4"/>
  <c r="CM188" i="4"/>
  <c r="CM187" i="4"/>
  <c r="CM186" i="4"/>
  <c r="CM185" i="4"/>
  <c r="CM184" i="4"/>
  <c r="CM183" i="4"/>
  <c r="CM182" i="4"/>
  <c r="CM181" i="4"/>
  <c r="CM180" i="4"/>
  <c r="CM179" i="4"/>
  <c r="CM178" i="4"/>
  <c r="CM177" i="4"/>
  <c r="CM176" i="4"/>
  <c r="CM175" i="4"/>
  <c r="CM174" i="4"/>
  <c r="CM173" i="4"/>
  <c r="CM172" i="4"/>
  <c r="CM171" i="4"/>
  <c r="CM170" i="4"/>
  <c r="CM169" i="4"/>
  <c r="CM168" i="4"/>
  <c r="CM167" i="4"/>
  <c r="CM166" i="4"/>
  <c r="CM165" i="4"/>
  <c r="CM164" i="4"/>
  <c r="CM163" i="4"/>
  <c r="CM162" i="4"/>
  <c r="CM161" i="4"/>
  <c r="CM160" i="4"/>
  <c r="CM159" i="4"/>
  <c r="CM158" i="4"/>
  <c r="CM157" i="4"/>
  <c r="CM156" i="4"/>
  <c r="CM155" i="4"/>
  <c r="CM154" i="4"/>
  <c r="CM153" i="4"/>
  <c r="CM152" i="4"/>
  <c r="CM151" i="4"/>
  <c r="CM150" i="4"/>
  <c r="CM149" i="4"/>
  <c r="CM148" i="4"/>
  <c r="CM147" i="4"/>
  <c r="CM146" i="4"/>
  <c r="CM145" i="4"/>
  <c r="CM144" i="4"/>
  <c r="CM143" i="4"/>
  <c r="CM142" i="4"/>
  <c r="CM141" i="4"/>
  <c r="CM140" i="4"/>
  <c r="CM139" i="4"/>
  <c r="CM138" i="4"/>
  <c r="CM137" i="4"/>
  <c r="CM136" i="4"/>
  <c r="CM135" i="4"/>
  <c r="CM134" i="4"/>
  <c r="CM133" i="4"/>
  <c r="CM132" i="4"/>
  <c r="CM131" i="4"/>
  <c r="CM130" i="4"/>
  <c r="CM129" i="4"/>
  <c r="CM128" i="4"/>
  <c r="CM127" i="4"/>
  <c r="CM126" i="4"/>
  <c r="CM125" i="4"/>
  <c r="CM124" i="4"/>
  <c r="CM123" i="4"/>
  <c r="CM122" i="4"/>
  <c r="CM121" i="4"/>
  <c r="CM120" i="4"/>
  <c r="CM119" i="4"/>
  <c r="CM118" i="4"/>
  <c r="CM117" i="4"/>
  <c r="CM116" i="4"/>
  <c r="CM115" i="4"/>
  <c r="CM114" i="4"/>
  <c r="CM113" i="4"/>
  <c r="CM112" i="4"/>
  <c r="CM111" i="4"/>
  <c r="CM110" i="4"/>
  <c r="CM109" i="4"/>
  <c r="CM108" i="4"/>
  <c r="CM107" i="4"/>
  <c r="CM106" i="4"/>
  <c r="CM105" i="4"/>
  <c r="CM104" i="4"/>
  <c r="CM103" i="4"/>
  <c r="CM102" i="4"/>
  <c r="CM101" i="4"/>
  <c r="CM100" i="4"/>
  <c r="CM99" i="4"/>
  <c r="CM98" i="4"/>
  <c r="CM97" i="4"/>
  <c r="CM96" i="4"/>
  <c r="CM95" i="4"/>
  <c r="CM94" i="4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2" i="4"/>
  <c r="CM71" i="4"/>
  <c r="CM70" i="4"/>
  <c r="CM69" i="4"/>
  <c r="CM68" i="4"/>
  <c r="CM67" i="4"/>
  <c r="CM66" i="4"/>
  <c r="CM65" i="4"/>
  <c r="CM64" i="4"/>
  <c r="CM63" i="4"/>
  <c r="CM62" i="4"/>
  <c r="CM61" i="4"/>
  <c r="CM60" i="4"/>
  <c r="CM59" i="4"/>
  <c r="CM58" i="4"/>
  <c r="CM57" i="4"/>
  <c r="CM56" i="4"/>
  <c r="CM55" i="4"/>
  <c r="CM54" i="4"/>
  <c r="CM53" i="4"/>
  <c r="CM52" i="4"/>
  <c r="CM51" i="4"/>
  <c r="CM50" i="4"/>
  <c r="CM49" i="4"/>
  <c r="CM48" i="4"/>
  <c r="CM47" i="4"/>
  <c r="CM46" i="4"/>
  <c r="CM45" i="4"/>
  <c r="CM44" i="4"/>
  <c r="CM43" i="4"/>
  <c r="CM42" i="4"/>
  <c r="CM41" i="4"/>
  <c r="CM40" i="4"/>
  <c r="CM39" i="4"/>
  <c r="CM38" i="4"/>
  <c r="CM37" i="4"/>
  <c r="CM36" i="4"/>
  <c r="CM35" i="4"/>
  <c r="CM34" i="4"/>
  <c r="CM33" i="4"/>
  <c r="CM32" i="4"/>
  <c r="CM31" i="4"/>
  <c r="CM30" i="4"/>
  <c r="CM29" i="4"/>
  <c r="CM28" i="4"/>
  <c r="CM27" i="4"/>
  <c r="CM26" i="4"/>
  <c r="CM25" i="4"/>
  <c r="CM24" i="4"/>
  <c r="CM23" i="4"/>
  <c r="CM22" i="4"/>
  <c r="CM21" i="4"/>
  <c r="CM20" i="4"/>
  <c r="CM19" i="4"/>
  <c r="CM18" i="4"/>
  <c r="CM17" i="4"/>
  <c r="CM16" i="4"/>
  <c r="CM15" i="4"/>
  <c r="CM14" i="4"/>
  <c r="CM13" i="4"/>
  <c r="CM12" i="4"/>
  <c r="CM11" i="4"/>
  <c r="CM10" i="4"/>
  <c r="CM9" i="4"/>
  <c r="CM8" i="4"/>
  <c r="CM7" i="4"/>
  <c r="CI459" i="4"/>
  <c r="CH459" i="4"/>
  <c r="CI458" i="4"/>
  <c r="CH458" i="4"/>
  <c r="CI457" i="4"/>
  <c r="CH457" i="4"/>
  <c r="CI456" i="4"/>
  <c r="CH456" i="4"/>
  <c r="CI455" i="4"/>
  <c r="CH455" i="4"/>
  <c r="CI454" i="4"/>
  <c r="CH454" i="4"/>
  <c r="CI453" i="4"/>
  <c r="CH453" i="4"/>
  <c r="CI452" i="4"/>
  <c r="CH452" i="4"/>
  <c r="CI451" i="4"/>
  <c r="CH451" i="4"/>
  <c r="CI450" i="4"/>
  <c r="CH450" i="4"/>
  <c r="CI449" i="4"/>
  <c r="CH449" i="4"/>
  <c r="CI448" i="4"/>
  <c r="CH448" i="4"/>
  <c r="CI447" i="4"/>
  <c r="CH447" i="4"/>
  <c r="CI446" i="4"/>
  <c r="CH446" i="4"/>
  <c r="CI445" i="4"/>
  <c r="CH445" i="4"/>
  <c r="CI444" i="4"/>
  <c r="CH444" i="4"/>
  <c r="CI443" i="4"/>
  <c r="CH443" i="4"/>
  <c r="CI442" i="4"/>
  <c r="CH442" i="4"/>
  <c r="CI441" i="4"/>
  <c r="CH441" i="4"/>
  <c r="CI440" i="4"/>
  <c r="CH440" i="4"/>
  <c r="CI439" i="4"/>
  <c r="CH439" i="4"/>
  <c r="CI438" i="4"/>
  <c r="CH438" i="4"/>
  <c r="CI437" i="4"/>
  <c r="CH437" i="4"/>
  <c r="CI436" i="4"/>
  <c r="CH436" i="4"/>
  <c r="CI435" i="4"/>
  <c r="CH435" i="4"/>
  <c r="CI434" i="4"/>
  <c r="CH434" i="4"/>
  <c r="CI433" i="4"/>
  <c r="CH433" i="4"/>
  <c r="CI432" i="4"/>
  <c r="CH432" i="4"/>
  <c r="CI431" i="4"/>
  <c r="CH431" i="4"/>
  <c r="CI430" i="4"/>
  <c r="CH430" i="4"/>
  <c r="CI429" i="4"/>
  <c r="CH429" i="4"/>
  <c r="CI428" i="4"/>
  <c r="CH428" i="4"/>
  <c r="CI427" i="4"/>
  <c r="CH427" i="4"/>
  <c r="CI426" i="4"/>
  <c r="CH426" i="4"/>
  <c r="CI425" i="4"/>
  <c r="CH425" i="4"/>
  <c r="CI424" i="4"/>
  <c r="CH424" i="4"/>
  <c r="CI423" i="4"/>
  <c r="CH423" i="4"/>
  <c r="CI422" i="4"/>
  <c r="CH422" i="4"/>
  <c r="CI421" i="4"/>
  <c r="CH421" i="4"/>
  <c r="CI420" i="4"/>
  <c r="CH420" i="4"/>
  <c r="CI419" i="4"/>
  <c r="CH419" i="4"/>
  <c r="CI418" i="4"/>
  <c r="CH418" i="4"/>
  <c r="CI417" i="4"/>
  <c r="CH417" i="4"/>
  <c r="CI416" i="4"/>
  <c r="CH416" i="4"/>
  <c r="CI415" i="4"/>
  <c r="CH415" i="4"/>
  <c r="CI414" i="4"/>
  <c r="CH414" i="4"/>
  <c r="CI413" i="4"/>
  <c r="CH413" i="4"/>
  <c r="CI412" i="4"/>
  <c r="CH412" i="4"/>
  <c r="CI411" i="4"/>
  <c r="CH411" i="4"/>
  <c r="CI410" i="4"/>
  <c r="CH410" i="4"/>
  <c r="CI409" i="4"/>
  <c r="CH409" i="4"/>
  <c r="CI408" i="4"/>
  <c r="CH408" i="4"/>
  <c r="CI407" i="4"/>
  <c r="CH407" i="4"/>
  <c r="CI406" i="4"/>
  <c r="CH406" i="4"/>
  <c r="CI405" i="4"/>
  <c r="CH405" i="4"/>
  <c r="CI404" i="4"/>
  <c r="CH404" i="4"/>
  <c r="CI403" i="4"/>
  <c r="CH403" i="4"/>
  <c r="CI402" i="4"/>
  <c r="CH402" i="4"/>
  <c r="CI401" i="4"/>
  <c r="CH401" i="4"/>
  <c r="CI400" i="4"/>
  <c r="CH400" i="4"/>
  <c r="CI399" i="4"/>
  <c r="CH399" i="4"/>
  <c r="CI398" i="4"/>
  <c r="CH398" i="4"/>
  <c r="CI397" i="4"/>
  <c r="CH397" i="4"/>
  <c r="CI396" i="4"/>
  <c r="CH396" i="4"/>
  <c r="CI395" i="4"/>
  <c r="CH395" i="4"/>
  <c r="CI394" i="4"/>
  <c r="CH394" i="4"/>
  <c r="CI393" i="4"/>
  <c r="CH393" i="4"/>
  <c r="CI392" i="4"/>
  <c r="CH392" i="4"/>
  <c r="CI391" i="4"/>
  <c r="CH391" i="4"/>
  <c r="CI390" i="4"/>
  <c r="CH390" i="4"/>
  <c r="CI389" i="4"/>
  <c r="CH389" i="4"/>
  <c r="CI388" i="4"/>
  <c r="CH388" i="4"/>
  <c r="CI387" i="4"/>
  <c r="CH387" i="4"/>
  <c r="CI386" i="4"/>
  <c r="CH386" i="4"/>
  <c r="CI385" i="4"/>
  <c r="CH385" i="4"/>
  <c r="CI384" i="4"/>
  <c r="CH384" i="4"/>
  <c r="CI383" i="4"/>
  <c r="CH383" i="4"/>
  <c r="CI382" i="4"/>
  <c r="CH382" i="4"/>
  <c r="CI381" i="4"/>
  <c r="CH381" i="4"/>
  <c r="CI380" i="4"/>
  <c r="CH380" i="4"/>
  <c r="CI379" i="4"/>
  <c r="CH379" i="4"/>
  <c r="CI378" i="4"/>
  <c r="CH378" i="4"/>
  <c r="CI377" i="4"/>
  <c r="CH377" i="4"/>
  <c r="CI376" i="4"/>
  <c r="CH376" i="4"/>
  <c r="CI375" i="4"/>
  <c r="CH375" i="4"/>
  <c r="CI374" i="4"/>
  <c r="CH374" i="4"/>
  <c r="CI373" i="4"/>
  <c r="CH373" i="4"/>
  <c r="CI372" i="4"/>
  <c r="CH372" i="4"/>
  <c r="CI371" i="4"/>
  <c r="CH371" i="4"/>
  <c r="CI370" i="4"/>
  <c r="CH370" i="4"/>
  <c r="CI369" i="4"/>
  <c r="CH369" i="4"/>
  <c r="CI368" i="4"/>
  <c r="CH368" i="4"/>
  <c r="CI367" i="4"/>
  <c r="CH367" i="4"/>
  <c r="CI366" i="4"/>
  <c r="CH366" i="4"/>
  <c r="CI365" i="4"/>
  <c r="CH365" i="4"/>
  <c r="CI364" i="4"/>
  <c r="CH364" i="4"/>
  <c r="CI363" i="4"/>
  <c r="CH363" i="4"/>
  <c r="CI362" i="4"/>
  <c r="CH362" i="4"/>
  <c r="CI361" i="4"/>
  <c r="CH361" i="4"/>
  <c r="CI360" i="4"/>
  <c r="CH360" i="4"/>
  <c r="CI359" i="4"/>
  <c r="CH359" i="4"/>
  <c r="CI358" i="4"/>
  <c r="CH358" i="4"/>
  <c r="CI357" i="4"/>
  <c r="CH357" i="4"/>
  <c r="CI356" i="4"/>
  <c r="CH356" i="4"/>
  <c r="CI355" i="4"/>
  <c r="CH355" i="4"/>
  <c r="CI354" i="4"/>
  <c r="CH354" i="4"/>
  <c r="CI353" i="4"/>
  <c r="CH353" i="4"/>
  <c r="CI352" i="4"/>
  <c r="CH352" i="4"/>
  <c r="CI351" i="4"/>
  <c r="CH351" i="4"/>
  <c r="CI350" i="4"/>
  <c r="CH350" i="4"/>
  <c r="CI349" i="4"/>
  <c r="CH349" i="4"/>
  <c r="CI348" i="4"/>
  <c r="CH348" i="4"/>
  <c r="CI347" i="4"/>
  <c r="CH347" i="4"/>
  <c r="CI346" i="4"/>
  <c r="CH346" i="4"/>
  <c r="CI345" i="4"/>
  <c r="CH345" i="4"/>
  <c r="CI344" i="4"/>
  <c r="CH344" i="4"/>
  <c r="CI343" i="4"/>
  <c r="CH343" i="4"/>
  <c r="CI342" i="4"/>
  <c r="CH342" i="4"/>
  <c r="CI341" i="4"/>
  <c r="CH341" i="4"/>
  <c r="CI340" i="4"/>
  <c r="CH340" i="4"/>
  <c r="CI339" i="4"/>
  <c r="CH339" i="4"/>
  <c r="CI338" i="4"/>
  <c r="CH338" i="4"/>
  <c r="CI337" i="4"/>
  <c r="CH337" i="4"/>
  <c r="CI336" i="4"/>
  <c r="CH336" i="4"/>
  <c r="CI335" i="4"/>
  <c r="CH335" i="4"/>
  <c r="CI334" i="4"/>
  <c r="CH334" i="4"/>
  <c r="CI333" i="4"/>
  <c r="CH333" i="4"/>
  <c r="CI332" i="4"/>
  <c r="CH332" i="4"/>
  <c r="CI331" i="4"/>
  <c r="CH331" i="4"/>
  <c r="CI330" i="4"/>
  <c r="CH330" i="4"/>
  <c r="CI329" i="4"/>
  <c r="CH329" i="4"/>
  <c r="CI328" i="4"/>
  <c r="CH328" i="4"/>
  <c r="CI327" i="4"/>
  <c r="CH327" i="4"/>
  <c r="CI326" i="4"/>
  <c r="CH326" i="4"/>
  <c r="CI325" i="4"/>
  <c r="CH325" i="4"/>
  <c r="CI324" i="4"/>
  <c r="CH324" i="4"/>
  <c r="CI323" i="4"/>
  <c r="CH323" i="4"/>
  <c r="CI322" i="4"/>
  <c r="CH322" i="4"/>
  <c r="CI321" i="4"/>
  <c r="CH321" i="4"/>
  <c r="CI320" i="4"/>
  <c r="CH320" i="4"/>
  <c r="CI319" i="4"/>
  <c r="CH319" i="4"/>
  <c r="CI318" i="4"/>
  <c r="CH318" i="4"/>
  <c r="CI317" i="4"/>
  <c r="CH317" i="4"/>
  <c r="CI316" i="4"/>
  <c r="CH316" i="4"/>
  <c r="CI315" i="4"/>
  <c r="CH315" i="4"/>
  <c r="CI314" i="4"/>
  <c r="CH314" i="4"/>
  <c r="CI313" i="4"/>
  <c r="CH313" i="4"/>
  <c r="CI312" i="4"/>
  <c r="CH312" i="4"/>
  <c r="CI311" i="4"/>
  <c r="CH311" i="4"/>
  <c r="CI310" i="4"/>
  <c r="CH310" i="4"/>
  <c r="CI309" i="4"/>
  <c r="CH309" i="4"/>
  <c r="CI308" i="4"/>
  <c r="CH308" i="4"/>
  <c r="CI307" i="4"/>
  <c r="CH307" i="4"/>
  <c r="CI306" i="4"/>
  <c r="CH306" i="4"/>
  <c r="CI305" i="4"/>
  <c r="CH305" i="4"/>
  <c r="CI304" i="4"/>
  <c r="CH304" i="4"/>
  <c r="CI303" i="4"/>
  <c r="CH303" i="4"/>
  <c r="CI302" i="4"/>
  <c r="CH302" i="4"/>
  <c r="CI301" i="4"/>
  <c r="CH301" i="4"/>
  <c r="CI300" i="4"/>
  <c r="CH300" i="4"/>
  <c r="CI299" i="4"/>
  <c r="CH299" i="4"/>
  <c r="CI298" i="4"/>
  <c r="CH298" i="4"/>
  <c r="CI297" i="4"/>
  <c r="CH297" i="4"/>
  <c r="CI296" i="4"/>
  <c r="CH296" i="4"/>
  <c r="CI295" i="4"/>
  <c r="CH295" i="4"/>
  <c r="CI294" i="4"/>
  <c r="CH294" i="4"/>
  <c r="CI293" i="4"/>
  <c r="CH293" i="4"/>
  <c r="CI292" i="4"/>
  <c r="CH292" i="4"/>
  <c r="CI291" i="4"/>
  <c r="CH291" i="4"/>
  <c r="CI290" i="4"/>
  <c r="CH290" i="4"/>
  <c r="CI289" i="4"/>
  <c r="CH289" i="4"/>
  <c r="CI288" i="4"/>
  <c r="CH288" i="4"/>
  <c r="CI287" i="4"/>
  <c r="CH287" i="4"/>
  <c r="CI286" i="4"/>
  <c r="CH286" i="4"/>
  <c r="CI285" i="4"/>
  <c r="CH285" i="4"/>
  <c r="CI284" i="4"/>
  <c r="CH284" i="4"/>
  <c r="CI283" i="4"/>
  <c r="CH283" i="4"/>
  <c r="CI282" i="4"/>
  <c r="CH282" i="4"/>
  <c r="CI281" i="4"/>
  <c r="CH281" i="4"/>
  <c r="CI280" i="4"/>
  <c r="CH280" i="4"/>
  <c r="CI279" i="4"/>
  <c r="CH279" i="4"/>
  <c r="CI278" i="4"/>
  <c r="CH278" i="4"/>
  <c r="CI277" i="4"/>
  <c r="CH277" i="4"/>
  <c r="CI276" i="4"/>
  <c r="CH276" i="4"/>
  <c r="CI275" i="4"/>
  <c r="CH275" i="4"/>
  <c r="CI274" i="4"/>
  <c r="CH274" i="4"/>
  <c r="CI273" i="4"/>
  <c r="CH273" i="4"/>
  <c r="CI272" i="4"/>
  <c r="CH272" i="4"/>
  <c r="CI271" i="4"/>
  <c r="CH271" i="4"/>
  <c r="CI270" i="4"/>
  <c r="CH270" i="4"/>
  <c r="CI269" i="4"/>
  <c r="CH269" i="4"/>
  <c r="CI268" i="4"/>
  <c r="CH268" i="4"/>
  <c r="CI267" i="4"/>
  <c r="CH267" i="4"/>
  <c r="CI266" i="4"/>
  <c r="CH266" i="4"/>
  <c r="CI265" i="4"/>
  <c r="CH265" i="4"/>
  <c r="CI264" i="4"/>
  <c r="CH264" i="4"/>
  <c r="CI263" i="4"/>
  <c r="CH263" i="4"/>
  <c r="CI262" i="4"/>
  <c r="CH262" i="4"/>
  <c r="CI261" i="4"/>
  <c r="CH261" i="4"/>
  <c r="CI260" i="4"/>
  <c r="CH260" i="4"/>
  <c r="CI259" i="4"/>
  <c r="CH259" i="4"/>
  <c r="CI258" i="4"/>
  <c r="CH258" i="4"/>
  <c r="CI257" i="4"/>
  <c r="CH257" i="4"/>
  <c r="CI256" i="4"/>
  <c r="CH256" i="4"/>
  <c r="CI255" i="4"/>
  <c r="CH255" i="4"/>
  <c r="CI254" i="4"/>
  <c r="CH254" i="4"/>
  <c r="CI253" i="4"/>
  <c r="CH253" i="4"/>
  <c r="CI252" i="4"/>
  <c r="CH252" i="4"/>
  <c r="CI251" i="4"/>
  <c r="CH251" i="4"/>
  <c r="CI250" i="4"/>
  <c r="CH250" i="4"/>
  <c r="CI249" i="4"/>
  <c r="CH249" i="4"/>
  <c r="CI248" i="4"/>
  <c r="CH248" i="4"/>
  <c r="CI247" i="4"/>
  <c r="CH247" i="4"/>
  <c r="CI246" i="4"/>
  <c r="CH246" i="4"/>
  <c r="CI245" i="4"/>
  <c r="CH245" i="4"/>
  <c r="CI244" i="4"/>
  <c r="CH244" i="4"/>
  <c r="CI243" i="4"/>
  <c r="CH243" i="4"/>
  <c r="CI242" i="4"/>
  <c r="CH242" i="4"/>
  <c r="CI241" i="4"/>
  <c r="CH241" i="4"/>
  <c r="CI240" i="4"/>
  <c r="CH240" i="4"/>
  <c r="CI239" i="4"/>
  <c r="CH239" i="4"/>
  <c r="CI238" i="4"/>
  <c r="CH238" i="4"/>
  <c r="CI237" i="4"/>
  <c r="CH237" i="4"/>
  <c r="CI236" i="4"/>
  <c r="CH236" i="4"/>
  <c r="CI235" i="4"/>
  <c r="CH235" i="4"/>
  <c r="CI234" i="4"/>
  <c r="CH234" i="4"/>
  <c r="CI233" i="4"/>
  <c r="CH233" i="4"/>
  <c r="CI232" i="4"/>
  <c r="CH232" i="4"/>
  <c r="CI231" i="4"/>
  <c r="CH231" i="4"/>
  <c r="CI230" i="4"/>
  <c r="CH230" i="4"/>
  <c r="CI229" i="4"/>
  <c r="CH229" i="4"/>
  <c r="CI228" i="4"/>
  <c r="CH228" i="4"/>
  <c r="CI227" i="4"/>
  <c r="CH227" i="4"/>
  <c r="CI226" i="4"/>
  <c r="CH226" i="4"/>
  <c r="CI225" i="4"/>
  <c r="CH225" i="4"/>
  <c r="CI224" i="4"/>
  <c r="CH224" i="4"/>
  <c r="CI223" i="4"/>
  <c r="CH223" i="4"/>
  <c r="CI222" i="4"/>
  <c r="CH222" i="4"/>
  <c r="CI221" i="4"/>
  <c r="CH221" i="4"/>
  <c r="CI220" i="4"/>
  <c r="CH220" i="4"/>
  <c r="CI219" i="4"/>
  <c r="CH219" i="4"/>
  <c r="CI218" i="4"/>
  <c r="CH218" i="4"/>
  <c r="CI217" i="4"/>
  <c r="CH217" i="4"/>
  <c r="CI216" i="4"/>
  <c r="CH216" i="4"/>
  <c r="CI215" i="4"/>
  <c r="CH215" i="4"/>
  <c r="CI214" i="4"/>
  <c r="CH214" i="4"/>
  <c r="CI213" i="4"/>
  <c r="CH213" i="4"/>
  <c r="CI212" i="4"/>
  <c r="CH212" i="4"/>
  <c r="CI211" i="4"/>
  <c r="CH211" i="4"/>
  <c r="CI210" i="4"/>
  <c r="CH210" i="4"/>
  <c r="CI209" i="4"/>
  <c r="CH209" i="4"/>
  <c r="CI208" i="4"/>
  <c r="CH208" i="4"/>
  <c r="CI207" i="4"/>
  <c r="CH207" i="4"/>
  <c r="CI206" i="4"/>
  <c r="CH206" i="4"/>
  <c r="CI205" i="4"/>
  <c r="CH205" i="4"/>
  <c r="CI204" i="4"/>
  <c r="CH204" i="4"/>
  <c r="CI203" i="4"/>
  <c r="CH203" i="4"/>
  <c r="CI202" i="4"/>
  <c r="CH202" i="4"/>
  <c r="CI201" i="4"/>
  <c r="CH201" i="4"/>
  <c r="CI200" i="4"/>
  <c r="CH200" i="4"/>
  <c r="CI199" i="4"/>
  <c r="CH199" i="4"/>
  <c r="CI198" i="4"/>
  <c r="CH198" i="4"/>
  <c r="CI197" i="4"/>
  <c r="CH197" i="4"/>
  <c r="CI196" i="4"/>
  <c r="CH196" i="4"/>
  <c r="CI195" i="4"/>
  <c r="CH195" i="4"/>
  <c r="CI194" i="4"/>
  <c r="CH194" i="4"/>
  <c r="CI193" i="4"/>
  <c r="CH193" i="4"/>
  <c r="CI192" i="4"/>
  <c r="CH192" i="4"/>
  <c r="CI191" i="4"/>
  <c r="CH191" i="4"/>
  <c r="CI190" i="4"/>
  <c r="CH190" i="4"/>
  <c r="CI189" i="4"/>
  <c r="CH189" i="4"/>
  <c r="CI188" i="4"/>
  <c r="CH188" i="4"/>
  <c r="CI187" i="4"/>
  <c r="CH187" i="4"/>
  <c r="CI186" i="4"/>
  <c r="CH186" i="4"/>
  <c r="CI185" i="4"/>
  <c r="CH185" i="4"/>
  <c r="CI184" i="4"/>
  <c r="CH184" i="4"/>
  <c r="CI183" i="4"/>
  <c r="CH183" i="4"/>
  <c r="CI182" i="4"/>
  <c r="CH182" i="4"/>
  <c r="CI181" i="4"/>
  <c r="CH181" i="4"/>
  <c r="CI180" i="4"/>
  <c r="CH180" i="4"/>
  <c r="CI179" i="4"/>
  <c r="CH179" i="4"/>
  <c r="CI178" i="4"/>
  <c r="CH178" i="4"/>
  <c r="CI177" i="4"/>
  <c r="CH177" i="4"/>
  <c r="CI176" i="4"/>
  <c r="CH176" i="4"/>
  <c r="CI175" i="4"/>
  <c r="CH175" i="4"/>
  <c r="CI174" i="4"/>
  <c r="CH174" i="4"/>
  <c r="CI173" i="4"/>
  <c r="CH173" i="4"/>
  <c r="CI172" i="4"/>
  <c r="CH172" i="4"/>
  <c r="CI171" i="4"/>
  <c r="CH171" i="4"/>
  <c r="CI170" i="4"/>
  <c r="CH170" i="4"/>
  <c r="CI169" i="4"/>
  <c r="CH169" i="4"/>
  <c r="CI168" i="4"/>
  <c r="CH168" i="4"/>
  <c r="CI167" i="4"/>
  <c r="CH167" i="4"/>
  <c r="CI166" i="4"/>
  <c r="CH166" i="4"/>
  <c r="CI165" i="4"/>
  <c r="CH165" i="4"/>
  <c r="CI164" i="4"/>
  <c r="CH164" i="4"/>
  <c r="CI163" i="4"/>
  <c r="CH163" i="4"/>
  <c r="CI162" i="4"/>
  <c r="CH162" i="4"/>
  <c r="CI161" i="4"/>
  <c r="CH161" i="4"/>
  <c r="CI160" i="4"/>
  <c r="CH160" i="4"/>
  <c r="CI159" i="4"/>
  <c r="CH159" i="4"/>
  <c r="CI158" i="4"/>
  <c r="CH158" i="4"/>
  <c r="CI157" i="4"/>
  <c r="CH157" i="4"/>
  <c r="CI156" i="4"/>
  <c r="CH156" i="4"/>
  <c r="CI155" i="4"/>
  <c r="CH155" i="4"/>
  <c r="CI154" i="4"/>
  <c r="CH154" i="4"/>
  <c r="CI153" i="4"/>
  <c r="CH153" i="4"/>
  <c r="CI152" i="4"/>
  <c r="CH152" i="4"/>
  <c r="CI151" i="4"/>
  <c r="CH151" i="4"/>
  <c r="CI150" i="4"/>
  <c r="CH150" i="4"/>
  <c r="CI149" i="4"/>
  <c r="CH149" i="4"/>
  <c r="CI148" i="4"/>
  <c r="CH148" i="4"/>
  <c r="CI147" i="4"/>
  <c r="CH147" i="4"/>
  <c r="CI146" i="4"/>
  <c r="CH146" i="4"/>
  <c r="CI145" i="4"/>
  <c r="CH145" i="4"/>
  <c r="CI144" i="4"/>
  <c r="CH144" i="4"/>
  <c r="CI143" i="4"/>
  <c r="CH143" i="4"/>
  <c r="CI142" i="4"/>
  <c r="CH142" i="4"/>
  <c r="CI141" i="4"/>
  <c r="CH141" i="4"/>
  <c r="CI140" i="4"/>
  <c r="CH140" i="4"/>
  <c r="CI139" i="4"/>
  <c r="CH139" i="4"/>
  <c r="CI138" i="4"/>
  <c r="CH138" i="4"/>
  <c r="CI137" i="4"/>
  <c r="CH137" i="4"/>
  <c r="CI136" i="4"/>
  <c r="CH136" i="4"/>
  <c r="CI135" i="4"/>
  <c r="CH135" i="4"/>
  <c r="CI134" i="4"/>
  <c r="CH134" i="4"/>
  <c r="CI133" i="4"/>
  <c r="CH133" i="4"/>
  <c r="CI132" i="4"/>
  <c r="CH132" i="4"/>
  <c r="CI131" i="4"/>
  <c r="CH131" i="4"/>
  <c r="CI130" i="4"/>
  <c r="CH130" i="4"/>
  <c r="CI129" i="4"/>
  <c r="CH129" i="4"/>
  <c r="CI128" i="4"/>
  <c r="CH128" i="4"/>
  <c r="CI127" i="4"/>
  <c r="CH127" i="4"/>
  <c r="CI126" i="4"/>
  <c r="CH126" i="4"/>
  <c r="CI125" i="4"/>
  <c r="CH125" i="4"/>
  <c r="CI124" i="4"/>
  <c r="CH124" i="4"/>
  <c r="CI123" i="4"/>
  <c r="CH123" i="4"/>
  <c r="CI122" i="4"/>
  <c r="CH122" i="4"/>
  <c r="CI121" i="4"/>
  <c r="CH121" i="4"/>
  <c r="CI120" i="4"/>
  <c r="CH120" i="4"/>
  <c r="CI119" i="4"/>
  <c r="CH119" i="4"/>
  <c r="CI118" i="4"/>
  <c r="CH118" i="4"/>
  <c r="CI117" i="4"/>
  <c r="CH117" i="4"/>
  <c r="CI116" i="4"/>
  <c r="CH116" i="4"/>
  <c r="CI115" i="4"/>
  <c r="CH115" i="4"/>
  <c r="CI114" i="4"/>
  <c r="CH114" i="4"/>
  <c r="CI113" i="4"/>
  <c r="CH113" i="4"/>
  <c r="CI112" i="4"/>
  <c r="CH112" i="4"/>
  <c r="CI111" i="4"/>
  <c r="CH111" i="4"/>
  <c r="CI110" i="4"/>
  <c r="CH110" i="4"/>
  <c r="CI109" i="4"/>
  <c r="CH109" i="4"/>
  <c r="CI108" i="4"/>
  <c r="CH108" i="4"/>
  <c r="CI107" i="4"/>
  <c r="CH107" i="4"/>
  <c r="CI106" i="4"/>
  <c r="CH106" i="4"/>
  <c r="CI105" i="4"/>
  <c r="CH105" i="4"/>
  <c r="CI104" i="4"/>
  <c r="CH104" i="4"/>
  <c r="CI103" i="4"/>
  <c r="CH103" i="4"/>
  <c r="CI102" i="4"/>
  <c r="CH102" i="4"/>
  <c r="CI101" i="4"/>
  <c r="CH101" i="4"/>
  <c r="CI100" i="4"/>
  <c r="CH100" i="4"/>
  <c r="CI99" i="4"/>
  <c r="CH99" i="4"/>
  <c r="CI98" i="4"/>
  <c r="CH98" i="4"/>
  <c r="CI97" i="4"/>
  <c r="CH97" i="4"/>
  <c r="CI96" i="4"/>
  <c r="CH96" i="4"/>
  <c r="CI95" i="4"/>
  <c r="CH95" i="4"/>
  <c r="CI94" i="4"/>
  <c r="CH94" i="4"/>
  <c r="CI93" i="4"/>
  <c r="CH93" i="4"/>
  <c r="CI92" i="4"/>
  <c r="CH92" i="4"/>
  <c r="CI91" i="4"/>
  <c r="CH91" i="4"/>
  <c r="CI90" i="4"/>
  <c r="CH90" i="4"/>
  <c r="CI89" i="4"/>
  <c r="CH89" i="4"/>
  <c r="CI88" i="4"/>
  <c r="CH88" i="4"/>
  <c r="CI87" i="4"/>
  <c r="CH87" i="4"/>
  <c r="CI86" i="4"/>
  <c r="CH86" i="4"/>
  <c r="CI85" i="4"/>
  <c r="CH85" i="4"/>
  <c r="CI84" i="4"/>
  <c r="CH84" i="4"/>
  <c r="CI83" i="4"/>
  <c r="CH83" i="4"/>
  <c r="CI82" i="4"/>
  <c r="CH82" i="4"/>
  <c r="CI81" i="4"/>
  <c r="CH81" i="4"/>
  <c r="CI80" i="4"/>
  <c r="CH80" i="4"/>
  <c r="CI79" i="4"/>
  <c r="CH79" i="4"/>
  <c r="CI78" i="4"/>
  <c r="CH78" i="4"/>
  <c r="CI77" i="4"/>
  <c r="CH77" i="4"/>
  <c r="CI76" i="4"/>
  <c r="CH76" i="4"/>
  <c r="CI75" i="4"/>
  <c r="CH75" i="4"/>
  <c r="CI74" i="4"/>
  <c r="CH74" i="4"/>
  <c r="CI73" i="4"/>
  <c r="CH73" i="4"/>
  <c r="CI72" i="4"/>
  <c r="CH72" i="4"/>
  <c r="CI71" i="4"/>
  <c r="CH71" i="4"/>
  <c r="CI70" i="4"/>
  <c r="CH70" i="4"/>
  <c r="CI69" i="4"/>
  <c r="CH69" i="4"/>
  <c r="CI68" i="4"/>
  <c r="CH68" i="4"/>
  <c r="CI67" i="4"/>
  <c r="CH67" i="4"/>
  <c r="CI66" i="4"/>
  <c r="CH66" i="4"/>
  <c r="CI65" i="4"/>
  <c r="CH65" i="4"/>
  <c r="CI64" i="4"/>
  <c r="CH64" i="4"/>
  <c r="CI63" i="4"/>
  <c r="CH63" i="4"/>
  <c r="CI62" i="4"/>
  <c r="CH62" i="4"/>
  <c r="CI61" i="4"/>
  <c r="CH61" i="4"/>
  <c r="CI60" i="4"/>
  <c r="CH60" i="4"/>
  <c r="CI59" i="4"/>
  <c r="CH59" i="4"/>
  <c r="CI58" i="4"/>
  <c r="CH58" i="4"/>
  <c r="CI57" i="4"/>
  <c r="CH57" i="4"/>
  <c r="CI56" i="4"/>
  <c r="CH56" i="4"/>
  <c r="CI55" i="4"/>
  <c r="CH55" i="4"/>
  <c r="CI54" i="4"/>
  <c r="CH54" i="4"/>
  <c r="CI53" i="4"/>
  <c r="CH53" i="4"/>
  <c r="CI52" i="4"/>
  <c r="CH52" i="4"/>
  <c r="CI51" i="4"/>
  <c r="CH51" i="4"/>
  <c r="CI50" i="4"/>
  <c r="CH50" i="4"/>
  <c r="CI49" i="4"/>
  <c r="CH49" i="4"/>
  <c r="CI48" i="4"/>
  <c r="CH48" i="4"/>
  <c r="CI47" i="4"/>
  <c r="CH47" i="4"/>
  <c r="CI46" i="4"/>
  <c r="CH46" i="4"/>
  <c r="CI45" i="4"/>
  <c r="CH45" i="4"/>
  <c r="CI44" i="4"/>
  <c r="CH44" i="4"/>
  <c r="CI43" i="4"/>
  <c r="CH43" i="4"/>
  <c r="CI42" i="4"/>
  <c r="CH42" i="4"/>
  <c r="CI41" i="4"/>
  <c r="CH41" i="4"/>
  <c r="CI40" i="4"/>
  <c r="CH40" i="4"/>
  <c r="CI39" i="4"/>
  <c r="CH39" i="4"/>
  <c r="CI38" i="4"/>
  <c r="CH38" i="4"/>
  <c r="CI37" i="4"/>
  <c r="CH37" i="4"/>
  <c r="CI36" i="4"/>
  <c r="CH36" i="4"/>
  <c r="CI35" i="4"/>
  <c r="CH35" i="4"/>
  <c r="CI34" i="4"/>
  <c r="CH34" i="4"/>
  <c r="CI33" i="4"/>
  <c r="CH33" i="4"/>
  <c r="CI32" i="4"/>
  <c r="CH32" i="4"/>
  <c r="CI31" i="4"/>
  <c r="CH31" i="4"/>
  <c r="CI30" i="4"/>
  <c r="CH30" i="4"/>
  <c r="CI29" i="4"/>
  <c r="CH29" i="4"/>
  <c r="CI28" i="4"/>
  <c r="CH28" i="4"/>
  <c r="CI27" i="4"/>
  <c r="CH27" i="4"/>
  <c r="CI26" i="4"/>
  <c r="CH26" i="4"/>
  <c r="CI25" i="4"/>
  <c r="CH25" i="4"/>
  <c r="CI24" i="4"/>
  <c r="CH24" i="4"/>
  <c r="CI23" i="4"/>
  <c r="CH23" i="4"/>
  <c r="CI22" i="4"/>
  <c r="CH22" i="4"/>
  <c r="CI21" i="4"/>
  <c r="CH21" i="4"/>
  <c r="CI20" i="4"/>
  <c r="CH20" i="4"/>
  <c r="CI19" i="4"/>
  <c r="CH19" i="4"/>
  <c r="CI18" i="4"/>
  <c r="CH18" i="4"/>
  <c r="CI17" i="4"/>
  <c r="CH17" i="4"/>
  <c r="CI16" i="4"/>
  <c r="CH16" i="4"/>
  <c r="CI15" i="4"/>
  <c r="CH15" i="4"/>
  <c r="CI14" i="4"/>
  <c r="CH14" i="4"/>
  <c r="CI13" i="4"/>
  <c r="CH13" i="4"/>
  <c r="CI12" i="4"/>
  <c r="CH12" i="4"/>
  <c r="CI11" i="4"/>
  <c r="CH11" i="4"/>
  <c r="CI10" i="4"/>
  <c r="CH10" i="4"/>
  <c r="CI9" i="4"/>
  <c r="CH9" i="4"/>
  <c r="CI8" i="4"/>
  <c r="CH8" i="4"/>
  <c r="CI7" i="4"/>
  <c r="CH7" i="4"/>
  <c r="CF459" i="4"/>
  <c r="CF458" i="4"/>
  <c r="CF457" i="4"/>
  <c r="CF456" i="4"/>
  <c r="CF455" i="4"/>
  <c r="CF454" i="4"/>
  <c r="CF453" i="4"/>
  <c r="CF452" i="4"/>
  <c r="CF451" i="4"/>
  <c r="CF450" i="4"/>
  <c r="CF449" i="4"/>
  <c r="CF448" i="4"/>
  <c r="CF447" i="4"/>
  <c r="CF446" i="4"/>
  <c r="CF445" i="4"/>
  <c r="CF444" i="4"/>
  <c r="CF443" i="4"/>
  <c r="CF442" i="4"/>
  <c r="CF441" i="4"/>
  <c r="CF440" i="4"/>
  <c r="CF439" i="4"/>
  <c r="CF438" i="4"/>
  <c r="CF437" i="4"/>
  <c r="CF436" i="4"/>
  <c r="CF435" i="4"/>
  <c r="CF434" i="4"/>
  <c r="CF433" i="4"/>
  <c r="CF432" i="4"/>
  <c r="CF431" i="4"/>
  <c r="CF430" i="4"/>
  <c r="CF429" i="4"/>
  <c r="CF428" i="4"/>
  <c r="CF427" i="4"/>
  <c r="CF426" i="4"/>
  <c r="CF425" i="4"/>
  <c r="CF424" i="4"/>
  <c r="CF423" i="4"/>
  <c r="CF422" i="4"/>
  <c r="CF421" i="4"/>
  <c r="CF420" i="4"/>
  <c r="CF419" i="4"/>
  <c r="CF418" i="4"/>
  <c r="CF417" i="4"/>
  <c r="CF416" i="4"/>
  <c r="CF415" i="4"/>
  <c r="CF414" i="4"/>
  <c r="CF413" i="4"/>
  <c r="CF412" i="4"/>
  <c r="CF411" i="4"/>
  <c r="CF410" i="4"/>
  <c r="CF409" i="4"/>
  <c r="CF408" i="4"/>
  <c r="CF407" i="4"/>
  <c r="CF406" i="4"/>
  <c r="CF405" i="4"/>
  <c r="CF404" i="4"/>
  <c r="CF403" i="4"/>
  <c r="CF402" i="4"/>
  <c r="CF401" i="4"/>
  <c r="CF400" i="4"/>
  <c r="CF399" i="4"/>
  <c r="CF398" i="4"/>
  <c r="CF397" i="4"/>
  <c r="CF396" i="4"/>
  <c r="CF395" i="4"/>
  <c r="CF394" i="4"/>
  <c r="CF393" i="4"/>
  <c r="CF392" i="4"/>
  <c r="CF391" i="4"/>
  <c r="CF390" i="4"/>
  <c r="CF389" i="4"/>
  <c r="CF388" i="4"/>
  <c r="CF387" i="4"/>
  <c r="CF386" i="4"/>
  <c r="CF385" i="4"/>
  <c r="CF384" i="4"/>
  <c r="CF383" i="4"/>
  <c r="CF382" i="4"/>
  <c r="CF381" i="4"/>
  <c r="CF380" i="4"/>
  <c r="CF379" i="4"/>
  <c r="CF378" i="4"/>
  <c r="CF377" i="4"/>
  <c r="CF376" i="4"/>
  <c r="CF375" i="4"/>
  <c r="CF374" i="4"/>
  <c r="CF373" i="4"/>
  <c r="CF372" i="4"/>
  <c r="CF371" i="4"/>
  <c r="CF370" i="4"/>
  <c r="CF369" i="4"/>
  <c r="CF368" i="4"/>
  <c r="CF367" i="4"/>
  <c r="CF366" i="4"/>
  <c r="CF365" i="4"/>
  <c r="CF364" i="4"/>
  <c r="CF363" i="4"/>
  <c r="CF362" i="4"/>
  <c r="CF361" i="4"/>
  <c r="CF360" i="4"/>
  <c r="CF359" i="4"/>
  <c r="CF358" i="4"/>
  <c r="CF357" i="4"/>
  <c r="CF356" i="4"/>
  <c r="CF355" i="4"/>
  <c r="CF354" i="4"/>
  <c r="CF353" i="4"/>
  <c r="CF352" i="4"/>
  <c r="CF351" i="4"/>
  <c r="CF350" i="4"/>
  <c r="CF349" i="4"/>
  <c r="CF348" i="4"/>
  <c r="CF347" i="4"/>
  <c r="CF346" i="4"/>
  <c r="CF345" i="4"/>
  <c r="CF344" i="4"/>
  <c r="CF343" i="4"/>
  <c r="CF342" i="4"/>
  <c r="CF341" i="4"/>
  <c r="CF340" i="4"/>
  <c r="CF339" i="4"/>
  <c r="CF338" i="4"/>
  <c r="CF337" i="4"/>
  <c r="CF336" i="4"/>
  <c r="CF335" i="4"/>
  <c r="CF334" i="4"/>
  <c r="CF333" i="4"/>
  <c r="CF332" i="4"/>
  <c r="CF331" i="4"/>
  <c r="CF330" i="4"/>
  <c r="CF329" i="4"/>
  <c r="CF328" i="4"/>
  <c r="CF327" i="4"/>
  <c r="CF326" i="4"/>
  <c r="CF325" i="4"/>
  <c r="CF324" i="4"/>
  <c r="CF323" i="4"/>
  <c r="CF322" i="4"/>
  <c r="CF321" i="4"/>
  <c r="CF320" i="4"/>
  <c r="CF319" i="4"/>
  <c r="CF318" i="4"/>
  <c r="CF317" i="4"/>
  <c r="CF316" i="4"/>
  <c r="CF315" i="4"/>
  <c r="CF314" i="4"/>
  <c r="CF313" i="4"/>
  <c r="CF312" i="4"/>
  <c r="CF311" i="4"/>
  <c r="CF310" i="4"/>
  <c r="CF309" i="4"/>
  <c r="CF308" i="4"/>
  <c r="CF307" i="4"/>
  <c r="CF306" i="4"/>
  <c r="CF305" i="4"/>
  <c r="CF304" i="4"/>
  <c r="CF303" i="4"/>
  <c r="CF302" i="4"/>
  <c r="CF301" i="4"/>
  <c r="CF300" i="4"/>
  <c r="CF299" i="4"/>
  <c r="CF298" i="4"/>
  <c r="CF297" i="4"/>
  <c r="CF296" i="4"/>
  <c r="CF295" i="4"/>
  <c r="CF294" i="4"/>
  <c r="CF293" i="4"/>
  <c r="CF292" i="4"/>
  <c r="CF291" i="4"/>
  <c r="CF290" i="4"/>
  <c r="CF289" i="4"/>
  <c r="CF288" i="4"/>
  <c r="CF287" i="4"/>
  <c r="CF286" i="4"/>
  <c r="CF285" i="4"/>
  <c r="CF284" i="4"/>
  <c r="CF283" i="4"/>
  <c r="CF282" i="4"/>
  <c r="CF281" i="4"/>
  <c r="CF280" i="4"/>
  <c r="CF279" i="4"/>
  <c r="CF278" i="4"/>
  <c r="CF277" i="4"/>
  <c r="CF276" i="4"/>
  <c r="CF275" i="4"/>
  <c r="CF274" i="4"/>
  <c r="CF273" i="4"/>
  <c r="CF272" i="4"/>
  <c r="CF271" i="4"/>
  <c r="CF270" i="4"/>
  <c r="CF269" i="4"/>
  <c r="CF268" i="4"/>
  <c r="CF267" i="4"/>
  <c r="CF266" i="4"/>
  <c r="CF265" i="4"/>
  <c r="CF264" i="4"/>
  <c r="CF263" i="4"/>
  <c r="CF262" i="4"/>
  <c r="CF261" i="4"/>
  <c r="CF260" i="4"/>
  <c r="CF259" i="4"/>
  <c r="CF258" i="4"/>
  <c r="CF257" i="4"/>
  <c r="CF256" i="4"/>
  <c r="CF255" i="4"/>
  <c r="CF254" i="4"/>
  <c r="CF253" i="4"/>
  <c r="CF252" i="4"/>
  <c r="CF251" i="4"/>
  <c r="CF250" i="4"/>
  <c r="CF249" i="4"/>
  <c r="CF248" i="4"/>
  <c r="CF247" i="4"/>
  <c r="CF246" i="4"/>
  <c r="CF245" i="4"/>
  <c r="CF244" i="4"/>
  <c r="CF243" i="4"/>
  <c r="CF242" i="4"/>
  <c r="CF241" i="4"/>
  <c r="CF240" i="4"/>
  <c r="CF239" i="4"/>
  <c r="CF238" i="4"/>
  <c r="CF237" i="4"/>
  <c r="CF236" i="4"/>
  <c r="CF235" i="4"/>
  <c r="CF234" i="4"/>
  <c r="CF233" i="4"/>
  <c r="CF232" i="4"/>
  <c r="CF231" i="4"/>
  <c r="CF230" i="4"/>
  <c r="CF229" i="4"/>
  <c r="CF228" i="4"/>
  <c r="CF227" i="4"/>
  <c r="CF226" i="4"/>
  <c r="CF225" i="4"/>
  <c r="CF224" i="4"/>
  <c r="CF223" i="4"/>
  <c r="CF222" i="4"/>
  <c r="CF221" i="4"/>
  <c r="CF220" i="4"/>
  <c r="CF219" i="4"/>
  <c r="CF218" i="4"/>
  <c r="CF217" i="4"/>
  <c r="CF216" i="4"/>
  <c r="CF215" i="4"/>
  <c r="CF214" i="4"/>
  <c r="CF213" i="4"/>
  <c r="CF212" i="4"/>
  <c r="CF211" i="4"/>
  <c r="CF210" i="4"/>
  <c r="CF209" i="4"/>
  <c r="CF208" i="4"/>
  <c r="CF207" i="4"/>
  <c r="CF206" i="4"/>
  <c r="CF205" i="4"/>
  <c r="CF204" i="4"/>
  <c r="CF203" i="4"/>
  <c r="CF202" i="4"/>
  <c r="CF201" i="4"/>
  <c r="CF200" i="4"/>
  <c r="CF199" i="4"/>
  <c r="CF198" i="4"/>
  <c r="CF197" i="4"/>
  <c r="CF196" i="4"/>
  <c r="CF195" i="4"/>
  <c r="CF194" i="4"/>
  <c r="CF193" i="4"/>
  <c r="CF192" i="4"/>
  <c r="CF191" i="4"/>
  <c r="CF190" i="4"/>
  <c r="CF189" i="4"/>
  <c r="CF188" i="4"/>
  <c r="CF187" i="4"/>
  <c r="CF186" i="4"/>
  <c r="CF185" i="4"/>
  <c r="CF184" i="4"/>
  <c r="CF183" i="4"/>
  <c r="CF182" i="4"/>
  <c r="CF181" i="4"/>
  <c r="CF180" i="4"/>
  <c r="CF179" i="4"/>
  <c r="CF178" i="4"/>
  <c r="CF177" i="4"/>
  <c r="CF176" i="4"/>
  <c r="CF175" i="4"/>
  <c r="CF174" i="4"/>
  <c r="CF173" i="4"/>
  <c r="CF172" i="4"/>
  <c r="CF171" i="4"/>
  <c r="CF170" i="4"/>
  <c r="CF169" i="4"/>
  <c r="CF168" i="4"/>
  <c r="CF167" i="4"/>
  <c r="CF166" i="4"/>
  <c r="CF165" i="4"/>
  <c r="CF164" i="4"/>
  <c r="CF163" i="4"/>
  <c r="CF162" i="4"/>
  <c r="CF161" i="4"/>
  <c r="CF160" i="4"/>
  <c r="CF159" i="4"/>
  <c r="CF158" i="4"/>
  <c r="CF157" i="4"/>
  <c r="CF156" i="4"/>
  <c r="CF155" i="4"/>
  <c r="CF154" i="4"/>
  <c r="CF153" i="4"/>
  <c r="CF152" i="4"/>
  <c r="CF151" i="4"/>
  <c r="CF150" i="4"/>
  <c r="CF149" i="4"/>
  <c r="CF148" i="4"/>
  <c r="CF147" i="4"/>
  <c r="CF146" i="4"/>
  <c r="CF145" i="4"/>
  <c r="CF144" i="4"/>
  <c r="CF143" i="4"/>
  <c r="CF142" i="4"/>
  <c r="CF141" i="4"/>
  <c r="CF140" i="4"/>
  <c r="CF139" i="4"/>
  <c r="CF138" i="4"/>
  <c r="CF137" i="4"/>
  <c r="CF136" i="4"/>
  <c r="CF135" i="4"/>
  <c r="CF134" i="4"/>
  <c r="CF133" i="4"/>
  <c r="CF132" i="4"/>
  <c r="CF131" i="4"/>
  <c r="CF130" i="4"/>
  <c r="CF129" i="4"/>
  <c r="CF128" i="4"/>
  <c r="CF127" i="4"/>
  <c r="CF126" i="4"/>
  <c r="CF125" i="4"/>
  <c r="CF124" i="4"/>
  <c r="CF123" i="4"/>
  <c r="CF122" i="4"/>
  <c r="CF121" i="4"/>
  <c r="CF120" i="4"/>
  <c r="CF119" i="4"/>
  <c r="CF118" i="4"/>
  <c r="CF117" i="4"/>
  <c r="CF116" i="4"/>
  <c r="CF115" i="4"/>
  <c r="CF114" i="4"/>
  <c r="CF113" i="4"/>
  <c r="CF112" i="4"/>
  <c r="CF111" i="4"/>
  <c r="CF110" i="4"/>
  <c r="CF109" i="4"/>
  <c r="CF108" i="4"/>
  <c r="CF107" i="4"/>
  <c r="CF106" i="4"/>
  <c r="CF105" i="4"/>
  <c r="CF104" i="4"/>
  <c r="CF103" i="4"/>
  <c r="CF102" i="4"/>
  <c r="CF101" i="4"/>
  <c r="CF100" i="4"/>
  <c r="CF99" i="4"/>
  <c r="CF98" i="4"/>
  <c r="CF97" i="4"/>
  <c r="CF96" i="4"/>
  <c r="CF95" i="4"/>
  <c r="CF94" i="4"/>
  <c r="CF93" i="4"/>
  <c r="CF92" i="4"/>
  <c r="CF91" i="4"/>
  <c r="CF90" i="4"/>
  <c r="CF89" i="4"/>
  <c r="CF88" i="4"/>
  <c r="CF87" i="4"/>
  <c r="CF86" i="4"/>
  <c r="CF85" i="4"/>
  <c r="CF84" i="4"/>
  <c r="CF83" i="4"/>
  <c r="CF82" i="4"/>
  <c r="CF81" i="4"/>
  <c r="CF80" i="4"/>
  <c r="CF79" i="4"/>
  <c r="CF78" i="4"/>
  <c r="CF77" i="4"/>
  <c r="CF76" i="4"/>
  <c r="CF75" i="4"/>
  <c r="CF74" i="4"/>
  <c r="CF73" i="4"/>
  <c r="CF72" i="4"/>
  <c r="CF71" i="4"/>
  <c r="CF70" i="4"/>
  <c r="CF69" i="4"/>
  <c r="CF68" i="4"/>
  <c r="CF67" i="4"/>
  <c r="CF66" i="4"/>
  <c r="CF65" i="4"/>
  <c r="CF64" i="4"/>
  <c r="CF63" i="4"/>
  <c r="CF62" i="4"/>
  <c r="CF61" i="4"/>
  <c r="CF60" i="4"/>
  <c r="CF59" i="4"/>
  <c r="CF58" i="4"/>
  <c r="CF57" i="4"/>
  <c r="CF56" i="4"/>
  <c r="CF55" i="4"/>
  <c r="CF54" i="4"/>
  <c r="CF53" i="4"/>
  <c r="CF52" i="4"/>
  <c r="CF51" i="4"/>
  <c r="CF50" i="4"/>
  <c r="CF49" i="4"/>
  <c r="CF48" i="4"/>
  <c r="CF47" i="4"/>
  <c r="CF46" i="4"/>
  <c r="CF45" i="4"/>
  <c r="CF44" i="4"/>
  <c r="CF43" i="4"/>
  <c r="CF42" i="4"/>
  <c r="CF41" i="4"/>
  <c r="CF40" i="4"/>
  <c r="CF39" i="4"/>
  <c r="CF38" i="4"/>
  <c r="CF37" i="4"/>
  <c r="CF36" i="4"/>
  <c r="CF35" i="4"/>
  <c r="CF34" i="4"/>
  <c r="CF33" i="4"/>
  <c r="CF32" i="4"/>
  <c r="CF31" i="4"/>
  <c r="CF30" i="4"/>
  <c r="CF29" i="4"/>
  <c r="CF28" i="4"/>
  <c r="CF27" i="4"/>
  <c r="CF26" i="4"/>
  <c r="CF25" i="4"/>
  <c r="CF24" i="4"/>
  <c r="CF23" i="4"/>
  <c r="CF22" i="4"/>
  <c r="CF21" i="4"/>
  <c r="CF20" i="4"/>
  <c r="CF19" i="4"/>
  <c r="CF18" i="4"/>
  <c r="CF17" i="4"/>
  <c r="CF16" i="4"/>
  <c r="CF15" i="4"/>
  <c r="CF14" i="4"/>
  <c r="CF13" i="4"/>
  <c r="CF12" i="4"/>
  <c r="CF11" i="4"/>
  <c r="CF10" i="4"/>
  <c r="CF9" i="4"/>
  <c r="CF8" i="4"/>
  <c r="CF7" i="4"/>
  <c r="BK459" i="4"/>
  <c r="BK458" i="4"/>
  <c r="BK457" i="4"/>
  <c r="BK456" i="4"/>
  <c r="BK455" i="4"/>
  <c r="BK454" i="4"/>
  <c r="BK453" i="4"/>
  <c r="BK452" i="4"/>
  <c r="BK451" i="4"/>
  <c r="BK450" i="4"/>
  <c r="BK449" i="4"/>
  <c r="BK448" i="4"/>
  <c r="BK447" i="4"/>
  <c r="BK446" i="4"/>
  <c r="BK445" i="4"/>
  <c r="BK444" i="4"/>
  <c r="BK443" i="4"/>
  <c r="BK442" i="4"/>
  <c r="BK441" i="4"/>
  <c r="BK440" i="4"/>
  <c r="BK439" i="4"/>
  <c r="BK438" i="4"/>
  <c r="BK437" i="4"/>
  <c r="BK436" i="4"/>
  <c r="BK435" i="4"/>
  <c r="BK434" i="4"/>
  <c r="BK433" i="4"/>
  <c r="BK432" i="4"/>
  <c r="BK431" i="4"/>
  <c r="BK430" i="4"/>
  <c r="BK429" i="4"/>
  <c r="BK428" i="4"/>
  <c r="BK427" i="4"/>
  <c r="BK426" i="4"/>
  <c r="BK425" i="4"/>
  <c r="BK424" i="4"/>
  <c r="BK423" i="4"/>
  <c r="BK422" i="4"/>
  <c r="BK421" i="4"/>
  <c r="BK420" i="4"/>
  <c r="BK419" i="4"/>
  <c r="BK418" i="4"/>
  <c r="BK417" i="4"/>
  <c r="BK416" i="4"/>
  <c r="BK415" i="4"/>
  <c r="BK414" i="4"/>
  <c r="BK413" i="4"/>
  <c r="BK412" i="4"/>
  <c r="BK411" i="4"/>
  <c r="BK410" i="4"/>
  <c r="BK409" i="4"/>
  <c r="BK408" i="4"/>
  <c r="BK407" i="4"/>
  <c r="BK406" i="4"/>
  <c r="BK405" i="4"/>
  <c r="BK404" i="4"/>
  <c r="BK403" i="4"/>
  <c r="BK402" i="4"/>
  <c r="BK401" i="4"/>
  <c r="BK400" i="4"/>
  <c r="BK399" i="4"/>
  <c r="BK398" i="4"/>
  <c r="BK397" i="4"/>
  <c r="BK396" i="4"/>
  <c r="BK395" i="4"/>
  <c r="BK394" i="4"/>
  <c r="BK393" i="4"/>
  <c r="BK392" i="4"/>
  <c r="BK391" i="4"/>
  <c r="BK390" i="4"/>
  <c r="BK389" i="4"/>
  <c r="BK388" i="4"/>
  <c r="BK387" i="4"/>
  <c r="BK386" i="4"/>
  <c r="BK385" i="4"/>
  <c r="BK384" i="4"/>
  <c r="BK383" i="4"/>
  <c r="BK382" i="4"/>
  <c r="BK381" i="4"/>
  <c r="BK380" i="4"/>
  <c r="BK379" i="4"/>
  <c r="BK378" i="4"/>
  <c r="BK377" i="4"/>
  <c r="BK376" i="4"/>
  <c r="BK375" i="4"/>
  <c r="BK374" i="4"/>
  <c r="BK373" i="4"/>
  <c r="BK372" i="4"/>
  <c r="BK371" i="4"/>
  <c r="BK370" i="4"/>
  <c r="BK369" i="4"/>
  <c r="BK368" i="4"/>
  <c r="BK367" i="4"/>
  <c r="BK366" i="4"/>
  <c r="BK365" i="4"/>
  <c r="BK364" i="4"/>
  <c r="BK363" i="4"/>
  <c r="BK362" i="4"/>
  <c r="BK361" i="4"/>
  <c r="BK360" i="4"/>
  <c r="BK359" i="4"/>
  <c r="BK358" i="4"/>
  <c r="BK357" i="4"/>
  <c r="BK356" i="4"/>
  <c r="BK355" i="4"/>
  <c r="BK354" i="4"/>
  <c r="BK353" i="4"/>
  <c r="BK352" i="4"/>
  <c r="BK351" i="4"/>
  <c r="BK350" i="4"/>
  <c r="BK349" i="4"/>
  <c r="BK348" i="4"/>
  <c r="BK347" i="4"/>
  <c r="BK346" i="4"/>
  <c r="BK345" i="4"/>
  <c r="BK344" i="4"/>
  <c r="BK343" i="4"/>
  <c r="BK342" i="4"/>
  <c r="BK341" i="4"/>
  <c r="BK340" i="4"/>
  <c r="BK339" i="4"/>
  <c r="BK338" i="4"/>
  <c r="BK337" i="4"/>
  <c r="BK336" i="4"/>
  <c r="BK335" i="4"/>
  <c r="BK334" i="4"/>
  <c r="BK333" i="4"/>
  <c r="BK332" i="4"/>
  <c r="BK331" i="4"/>
  <c r="BK330" i="4"/>
  <c r="BK329" i="4"/>
  <c r="BK328" i="4"/>
  <c r="BK327" i="4"/>
  <c r="BK326" i="4"/>
  <c r="BK325" i="4"/>
  <c r="BK324" i="4"/>
  <c r="BK323" i="4"/>
  <c r="BK322" i="4"/>
  <c r="BK321" i="4"/>
  <c r="BK320" i="4"/>
  <c r="BK319" i="4"/>
  <c r="BK318" i="4"/>
  <c r="BK317" i="4"/>
  <c r="BK316" i="4"/>
  <c r="BK315" i="4"/>
  <c r="BK314" i="4"/>
  <c r="BK313" i="4"/>
  <c r="BK312" i="4"/>
  <c r="BK311" i="4"/>
  <c r="BK310" i="4"/>
  <c r="BK309" i="4"/>
  <c r="BK308" i="4"/>
  <c r="BK307" i="4"/>
  <c r="BK306" i="4"/>
  <c r="BK305" i="4"/>
  <c r="BK304" i="4"/>
  <c r="BK303" i="4"/>
  <c r="BK302" i="4"/>
  <c r="BK301" i="4"/>
  <c r="BK300" i="4"/>
  <c r="BK299" i="4"/>
  <c r="BK298" i="4"/>
  <c r="BK297" i="4"/>
  <c r="BK296" i="4"/>
  <c r="BK295" i="4"/>
  <c r="BK294" i="4"/>
  <c r="BK293" i="4"/>
  <c r="BK292" i="4"/>
  <c r="BK291" i="4"/>
  <c r="BK290" i="4"/>
  <c r="BK289" i="4"/>
  <c r="BK288" i="4"/>
  <c r="BK287" i="4"/>
  <c r="BK286" i="4"/>
  <c r="BK285" i="4"/>
  <c r="BK284" i="4"/>
  <c r="BK283" i="4"/>
  <c r="BK282" i="4"/>
  <c r="BK281" i="4"/>
  <c r="BK280" i="4"/>
  <c r="BK279" i="4"/>
  <c r="BK278" i="4"/>
  <c r="BK277" i="4"/>
  <c r="BK276" i="4"/>
  <c r="BK275" i="4"/>
  <c r="BK274" i="4"/>
  <c r="BK273" i="4"/>
  <c r="BK272" i="4"/>
  <c r="BK271" i="4"/>
  <c r="BK270" i="4"/>
  <c r="BK269" i="4"/>
  <c r="BK268" i="4"/>
  <c r="BK267" i="4"/>
  <c r="BK266" i="4"/>
  <c r="BK265" i="4"/>
  <c r="BK264" i="4"/>
  <c r="BK263" i="4"/>
  <c r="BK262" i="4"/>
  <c r="BK261" i="4"/>
  <c r="BK260" i="4"/>
  <c r="BK259" i="4"/>
  <c r="BK258" i="4"/>
  <c r="BK257" i="4"/>
  <c r="BK256" i="4"/>
  <c r="BK255" i="4"/>
  <c r="BK254" i="4"/>
  <c r="BK253" i="4"/>
  <c r="BK252" i="4"/>
  <c r="BK251" i="4"/>
  <c r="BK250" i="4"/>
  <c r="BK249" i="4"/>
  <c r="BK248" i="4"/>
  <c r="BK247" i="4"/>
  <c r="BK246" i="4"/>
  <c r="BK245" i="4"/>
  <c r="BK244" i="4"/>
  <c r="BK243" i="4"/>
  <c r="BK242" i="4"/>
  <c r="BK241" i="4"/>
  <c r="BK240" i="4"/>
  <c r="BK239" i="4"/>
  <c r="BK238" i="4"/>
  <c r="BK237" i="4"/>
  <c r="BK236" i="4"/>
  <c r="BK235" i="4"/>
  <c r="BK234" i="4"/>
  <c r="BK233" i="4"/>
  <c r="BK232" i="4"/>
  <c r="BK231" i="4"/>
  <c r="BK230" i="4"/>
  <c r="BK229" i="4"/>
  <c r="BK228" i="4"/>
  <c r="BK227" i="4"/>
  <c r="BK226" i="4"/>
  <c r="BK225" i="4"/>
  <c r="BK224" i="4"/>
  <c r="BK223" i="4"/>
  <c r="BK222" i="4"/>
  <c r="BK221" i="4"/>
  <c r="BK220" i="4"/>
  <c r="BK219" i="4"/>
  <c r="BK218" i="4"/>
  <c r="BK217" i="4"/>
  <c r="BK216" i="4"/>
  <c r="BK215" i="4"/>
  <c r="BK214" i="4"/>
  <c r="BK213" i="4"/>
  <c r="BK212" i="4"/>
  <c r="BK211" i="4"/>
  <c r="BK210" i="4"/>
  <c r="BK209" i="4"/>
  <c r="BK208" i="4"/>
  <c r="BK207" i="4"/>
  <c r="BK206" i="4"/>
  <c r="BK205" i="4"/>
  <c r="BK204" i="4"/>
  <c r="BK203" i="4"/>
  <c r="BK202" i="4"/>
  <c r="BK201" i="4"/>
  <c r="BK200" i="4"/>
  <c r="BK199" i="4"/>
  <c r="BK198" i="4"/>
  <c r="BK197" i="4"/>
  <c r="BK196" i="4"/>
  <c r="BK195" i="4"/>
  <c r="BK194" i="4"/>
  <c r="BK193" i="4"/>
  <c r="BK192" i="4"/>
  <c r="BK191" i="4"/>
  <c r="BK190" i="4"/>
  <c r="BK189" i="4"/>
  <c r="BK188" i="4"/>
  <c r="BK187" i="4"/>
  <c r="BK186" i="4"/>
  <c r="BK185" i="4"/>
  <c r="BK184" i="4"/>
  <c r="BK183" i="4"/>
  <c r="BK182" i="4"/>
  <c r="BK181" i="4"/>
  <c r="BK180" i="4"/>
  <c r="BK179" i="4"/>
  <c r="BK178" i="4"/>
  <c r="BK177" i="4"/>
  <c r="BK176" i="4"/>
  <c r="BK175" i="4"/>
  <c r="BK174" i="4"/>
  <c r="BK173" i="4"/>
  <c r="BK172" i="4"/>
  <c r="BK171" i="4"/>
  <c r="BK170" i="4"/>
  <c r="BK169" i="4"/>
  <c r="BK168" i="4"/>
  <c r="BK167" i="4"/>
  <c r="BK166" i="4"/>
  <c r="BK165" i="4"/>
  <c r="BK164" i="4"/>
  <c r="BK163" i="4"/>
  <c r="BK162" i="4"/>
  <c r="BK161" i="4"/>
  <c r="BK160" i="4"/>
  <c r="BK159" i="4"/>
  <c r="BK158" i="4"/>
  <c r="BK157" i="4"/>
  <c r="BK156" i="4"/>
  <c r="BK155" i="4"/>
  <c r="BK154" i="4"/>
  <c r="BK153" i="4"/>
  <c r="BK152" i="4"/>
  <c r="BK151" i="4"/>
  <c r="BK150" i="4"/>
  <c r="BK149" i="4"/>
  <c r="BK148" i="4"/>
  <c r="BK147" i="4"/>
  <c r="BK146" i="4"/>
  <c r="BK145" i="4"/>
  <c r="BK144" i="4"/>
  <c r="BK143" i="4"/>
  <c r="BK142" i="4"/>
  <c r="BK141" i="4"/>
  <c r="BK140" i="4"/>
  <c r="BK139" i="4"/>
  <c r="BK138" i="4"/>
  <c r="BK137" i="4"/>
  <c r="BK136" i="4"/>
  <c r="BK135" i="4"/>
  <c r="BK134" i="4"/>
  <c r="BK133" i="4"/>
  <c r="BK132" i="4"/>
  <c r="BK131" i="4"/>
  <c r="BK130" i="4"/>
  <c r="BK129" i="4"/>
  <c r="BK128" i="4"/>
  <c r="BK127" i="4"/>
  <c r="BK126" i="4"/>
  <c r="BK125" i="4"/>
  <c r="BK124" i="4"/>
  <c r="BK123" i="4"/>
  <c r="BK122" i="4"/>
  <c r="BK121" i="4"/>
  <c r="BK120" i="4"/>
  <c r="BK119" i="4"/>
  <c r="BK118" i="4"/>
  <c r="BK117" i="4"/>
  <c r="BK116" i="4"/>
  <c r="BK115" i="4"/>
  <c r="BK114" i="4"/>
  <c r="BK113" i="4"/>
  <c r="BK112" i="4"/>
  <c r="BK111" i="4"/>
  <c r="BK110" i="4"/>
  <c r="BK109" i="4"/>
  <c r="BK108" i="4"/>
  <c r="BK107" i="4"/>
  <c r="BK106" i="4"/>
  <c r="BK105" i="4"/>
  <c r="BK104" i="4"/>
  <c r="BK103" i="4"/>
  <c r="BK102" i="4"/>
  <c r="BK101" i="4"/>
  <c r="BK100" i="4"/>
  <c r="BK99" i="4"/>
  <c r="BK98" i="4"/>
  <c r="BK97" i="4"/>
  <c r="BK96" i="4"/>
  <c r="BK95" i="4"/>
  <c r="BK94" i="4"/>
  <c r="BK93" i="4"/>
  <c r="BK92" i="4"/>
  <c r="BK91" i="4"/>
  <c r="BK90" i="4"/>
  <c r="BK89" i="4"/>
  <c r="BK88" i="4"/>
  <c r="BK87" i="4"/>
  <c r="BK86" i="4"/>
  <c r="BK85" i="4"/>
  <c r="BK84" i="4"/>
  <c r="BK83" i="4"/>
  <c r="BK82" i="4"/>
  <c r="BK81" i="4"/>
  <c r="BK80" i="4"/>
  <c r="BK79" i="4"/>
  <c r="BK78" i="4"/>
  <c r="BK77" i="4"/>
  <c r="BK76" i="4"/>
  <c r="BK75" i="4"/>
  <c r="BK74" i="4"/>
  <c r="BK73" i="4"/>
  <c r="BK72" i="4"/>
  <c r="BK71" i="4"/>
  <c r="BK70" i="4"/>
  <c r="BK69" i="4"/>
  <c r="BK68" i="4"/>
  <c r="BK67" i="4"/>
  <c r="BK66" i="4"/>
  <c r="BK65" i="4"/>
  <c r="BK64" i="4"/>
  <c r="BK63" i="4"/>
  <c r="BK62" i="4"/>
  <c r="BK61" i="4"/>
  <c r="BK60" i="4"/>
  <c r="BK59" i="4"/>
  <c r="BK58" i="4"/>
  <c r="BK57" i="4"/>
  <c r="BK56" i="4"/>
  <c r="BK55" i="4"/>
  <c r="BK54" i="4"/>
  <c r="BK53" i="4"/>
  <c r="BK52" i="4"/>
  <c r="BK51" i="4"/>
  <c r="BK50" i="4"/>
  <c r="BK49" i="4"/>
  <c r="BK48" i="4"/>
  <c r="BK47" i="4"/>
  <c r="BK46" i="4"/>
  <c r="BK45" i="4"/>
  <c r="BK44" i="4"/>
  <c r="BK43" i="4"/>
  <c r="BK42" i="4"/>
  <c r="BK41" i="4"/>
  <c r="BK40" i="4"/>
  <c r="BK39" i="4"/>
  <c r="BK38" i="4"/>
  <c r="BK37" i="4"/>
  <c r="BK36" i="4"/>
  <c r="BK35" i="4"/>
  <c r="BK34" i="4"/>
  <c r="BK33" i="4"/>
  <c r="BK32" i="4"/>
  <c r="BK31" i="4"/>
  <c r="BK30" i="4"/>
  <c r="BK29" i="4"/>
  <c r="BK28" i="4"/>
  <c r="BK27" i="4"/>
  <c r="BK26" i="4"/>
  <c r="BK25" i="4"/>
  <c r="BK24" i="4"/>
  <c r="BK23" i="4"/>
  <c r="BK22" i="4"/>
  <c r="BK21" i="4"/>
  <c r="BK20" i="4"/>
  <c r="BK19" i="4"/>
  <c r="BK18" i="4"/>
  <c r="BK17" i="4"/>
  <c r="BK16" i="4"/>
  <c r="BK15" i="4"/>
  <c r="BK14" i="4"/>
  <c r="BK13" i="4"/>
  <c r="BK12" i="4"/>
  <c r="BK11" i="4"/>
  <c r="BK10" i="4"/>
  <c r="BK9" i="4"/>
  <c r="BK8" i="4"/>
  <c r="BK7" i="4"/>
  <c r="BS459" i="4"/>
  <c r="BR459" i="4"/>
  <c r="BQ459" i="4"/>
  <c r="BP459" i="4"/>
  <c r="BS458" i="4"/>
  <c r="BR458" i="4"/>
  <c r="BQ458" i="4"/>
  <c r="BP458" i="4"/>
  <c r="BS457" i="4"/>
  <c r="BR457" i="4"/>
  <c r="BQ457" i="4"/>
  <c r="BP457" i="4"/>
  <c r="BS456" i="4"/>
  <c r="BR456" i="4"/>
  <c r="BQ456" i="4"/>
  <c r="BP456" i="4"/>
  <c r="BS455" i="4"/>
  <c r="BR455" i="4"/>
  <c r="BQ455" i="4"/>
  <c r="BP455" i="4"/>
  <c r="BS454" i="4"/>
  <c r="BR454" i="4"/>
  <c r="BQ454" i="4"/>
  <c r="BP454" i="4"/>
  <c r="BS453" i="4"/>
  <c r="BR453" i="4"/>
  <c r="BQ453" i="4"/>
  <c r="BP453" i="4"/>
  <c r="BS452" i="4"/>
  <c r="BR452" i="4"/>
  <c r="BQ452" i="4"/>
  <c r="BP452" i="4"/>
  <c r="BS451" i="4"/>
  <c r="BR451" i="4"/>
  <c r="BQ451" i="4"/>
  <c r="BP451" i="4"/>
  <c r="BS450" i="4"/>
  <c r="BR450" i="4"/>
  <c r="BQ450" i="4"/>
  <c r="BP450" i="4"/>
  <c r="BS449" i="4"/>
  <c r="BR449" i="4"/>
  <c r="BQ449" i="4"/>
  <c r="BP449" i="4"/>
  <c r="BS448" i="4"/>
  <c r="BR448" i="4"/>
  <c r="BQ448" i="4"/>
  <c r="BP448" i="4"/>
  <c r="BS447" i="4"/>
  <c r="BR447" i="4"/>
  <c r="BQ447" i="4"/>
  <c r="BP447" i="4"/>
  <c r="BS446" i="4"/>
  <c r="BR446" i="4"/>
  <c r="BQ446" i="4"/>
  <c r="BP446" i="4"/>
  <c r="BS445" i="4"/>
  <c r="BR445" i="4"/>
  <c r="BQ445" i="4"/>
  <c r="BP445" i="4"/>
  <c r="BS444" i="4"/>
  <c r="BR444" i="4"/>
  <c r="BQ444" i="4"/>
  <c r="BP444" i="4"/>
  <c r="BS443" i="4"/>
  <c r="BR443" i="4"/>
  <c r="BQ443" i="4"/>
  <c r="BP443" i="4"/>
  <c r="BS442" i="4"/>
  <c r="BR442" i="4"/>
  <c r="BQ442" i="4"/>
  <c r="BP442" i="4"/>
  <c r="BS441" i="4"/>
  <c r="BR441" i="4"/>
  <c r="BQ441" i="4"/>
  <c r="BP441" i="4"/>
  <c r="BS440" i="4"/>
  <c r="BR440" i="4"/>
  <c r="BQ440" i="4"/>
  <c r="BP440" i="4"/>
  <c r="BS439" i="4"/>
  <c r="BR439" i="4"/>
  <c r="BQ439" i="4"/>
  <c r="BP439" i="4"/>
  <c r="BS438" i="4"/>
  <c r="BR438" i="4"/>
  <c r="BQ438" i="4"/>
  <c r="BP438" i="4"/>
  <c r="BS437" i="4"/>
  <c r="BR437" i="4"/>
  <c r="BQ437" i="4"/>
  <c r="BP437" i="4"/>
  <c r="BS436" i="4"/>
  <c r="BR436" i="4"/>
  <c r="BQ436" i="4"/>
  <c r="BP436" i="4"/>
  <c r="BS435" i="4"/>
  <c r="BR435" i="4"/>
  <c r="BQ435" i="4"/>
  <c r="BP435" i="4"/>
  <c r="BS434" i="4"/>
  <c r="BR434" i="4"/>
  <c r="BQ434" i="4"/>
  <c r="BP434" i="4"/>
  <c r="BS433" i="4"/>
  <c r="BR433" i="4"/>
  <c r="BQ433" i="4"/>
  <c r="BP433" i="4"/>
  <c r="BS432" i="4"/>
  <c r="BR432" i="4"/>
  <c r="BQ432" i="4"/>
  <c r="BP432" i="4"/>
  <c r="BS431" i="4"/>
  <c r="BR431" i="4"/>
  <c r="BQ431" i="4"/>
  <c r="BP431" i="4"/>
  <c r="BS430" i="4"/>
  <c r="BR430" i="4"/>
  <c r="BQ430" i="4"/>
  <c r="BP430" i="4"/>
  <c r="BS429" i="4"/>
  <c r="BR429" i="4"/>
  <c r="BQ429" i="4"/>
  <c r="BP429" i="4"/>
  <c r="BS428" i="4"/>
  <c r="BR428" i="4"/>
  <c r="BQ428" i="4"/>
  <c r="BP428" i="4"/>
  <c r="BS427" i="4"/>
  <c r="BR427" i="4"/>
  <c r="BQ427" i="4"/>
  <c r="BP427" i="4"/>
  <c r="BS426" i="4"/>
  <c r="BR426" i="4"/>
  <c r="BQ426" i="4"/>
  <c r="BP426" i="4"/>
  <c r="BS425" i="4"/>
  <c r="BR425" i="4"/>
  <c r="BQ425" i="4"/>
  <c r="BP425" i="4"/>
  <c r="BS424" i="4"/>
  <c r="BR424" i="4"/>
  <c r="BQ424" i="4"/>
  <c r="BP424" i="4"/>
  <c r="BS423" i="4"/>
  <c r="BR423" i="4"/>
  <c r="BQ423" i="4"/>
  <c r="BP423" i="4"/>
  <c r="BS422" i="4"/>
  <c r="BR422" i="4"/>
  <c r="BQ422" i="4"/>
  <c r="BP422" i="4"/>
  <c r="BS421" i="4"/>
  <c r="BR421" i="4"/>
  <c r="BQ421" i="4"/>
  <c r="BP421" i="4"/>
  <c r="BS420" i="4"/>
  <c r="BR420" i="4"/>
  <c r="BQ420" i="4"/>
  <c r="BP420" i="4"/>
  <c r="BS419" i="4"/>
  <c r="BR419" i="4"/>
  <c r="BQ419" i="4"/>
  <c r="BP419" i="4"/>
  <c r="BS418" i="4"/>
  <c r="BR418" i="4"/>
  <c r="BQ418" i="4"/>
  <c r="BP418" i="4"/>
  <c r="BS417" i="4"/>
  <c r="BR417" i="4"/>
  <c r="BQ417" i="4"/>
  <c r="BP417" i="4"/>
  <c r="BS416" i="4"/>
  <c r="BR416" i="4"/>
  <c r="BQ416" i="4"/>
  <c r="BP416" i="4"/>
  <c r="BS415" i="4"/>
  <c r="BR415" i="4"/>
  <c r="BQ415" i="4"/>
  <c r="BP415" i="4"/>
  <c r="BS414" i="4"/>
  <c r="BR414" i="4"/>
  <c r="BQ414" i="4"/>
  <c r="BP414" i="4"/>
  <c r="BS413" i="4"/>
  <c r="BR413" i="4"/>
  <c r="BQ413" i="4"/>
  <c r="BP413" i="4"/>
  <c r="BS412" i="4"/>
  <c r="BR412" i="4"/>
  <c r="BQ412" i="4"/>
  <c r="BP412" i="4"/>
  <c r="BS411" i="4"/>
  <c r="BR411" i="4"/>
  <c r="BQ411" i="4"/>
  <c r="BP411" i="4"/>
  <c r="BS410" i="4"/>
  <c r="BR410" i="4"/>
  <c r="BQ410" i="4"/>
  <c r="BP410" i="4"/>
  <c r="BS409" i="4"/>
  <c r="BR409" i="4"/>
  <c r="BQ409" i="4"/>
  <c r="BP409" i="4"/>
  <c r="BS408" i="4"/>
  <c r="BR408" i="4"/>
  <c r="BQ408" i="4"/>
  <c r="BP408" i="4"/>
  <c r="BS407" i="4"/>
  <c r="BR407" i="4"/>
  <c r="BQ407" i="4"/>
  <c r="BP407" i="4"/>
  <c r="BS406" i="4"/>
  <c r="BR406" i="4"/>
  <c r="BQ406" i="4"/>
  <c r="BP406" i="4"/>
  <c r="BS405" i="4"/>
  <c r="BR405" i="4"/>
  <c r="BQ405" i="4"/>
  <c r="BP405" i="4"/>
  <c r="BS404" i="4"/>
  <c r="BR404" i="4"/>
  <c r="BQ404" i="4"/>
  <c r="BP404" i="4"/>
  <c r="BS403" i="4"/>
  <c r="BR403" i="4"/>
  <c r="BQ403" i="4"/>
  <c r="BP403" i="4"/>
  <c r="BS402" i="4"/>
  <c r="BR402" i="4"/>
  <c r="BQ402" i="4"/>
  <c r="BP402" i="4"/>
  <c r="BS401" i="4"/>
  <c r="BR401" i="4"/>
  <c r="BQ401" i="4"/>
  <c r="BP401" i="4"/>
  <c r="BS400" i="4"/>
  <c r="BR400" i="4"/>
  <c r="BQ400" i="4"/>
  <c r="BP400" i="4"/>
  <c r="BS399" i="4"/>
  <c r="BR399" i="4"/>
  <c r="BQ399" i="4"/>
  <c r="BP399" i="4"/>
  <c r="BS398" i="4"/>
  <c r="BR398" i="4"/>
  <c r="BQ398" i="4"/>
  <c r="BP398" i="4"/>
  <c r="BS397" i="4"/>
  <c r="BR397" i="4"/>
  <c r="BQ397" i="4"/>
  <c r="BP397" i="4"/>
  <c r="BS396" i="4"/>
  <c r="BR396" i="4"/>
  <c r="BQ396" i="4"/>
  <c r="BP396" i="4"/>
  <c r="BS395" i="4"/>
  <c r="BR395" i="4"/>
  <c r="BQ395" i="4"/>
  <c r="BP395" i="4"/>
  <c r="BS394" i="4"/>
  <c r="BR394" i="4"/>
  <c r="BQ394" i="4"/>
  <c r="BP394" i="4"/>
  <c r="BS393" i="4"/>
  <c r="BR393" i="4"/>
  <c r="BQ393" i="4"/>
  <c r="BP393" i="4"/>
  <c r="BS392" i="4"/>
  <c r="BR392" i="4"/>
  <c r="BQ392" i="4"/>
  <c r="BP392" i="4"/>
  <c r="BS391" i="4"/>
  <c r="BR391" i="4"/>
  <c r="BQ391" i="4"/>
  <c r="BP391" i="4"/>
  <c r="BS390" i="4"/>
  <c r="BR390" i="4"/>
  <c r="BQ390" i="4"/>
  <c r="BP390" i="4"/>
  <c r="BS389" i="4"/>
  <c r="BR389" i="4"/>
  <c r="BQ389" i="4"/>
  <c r="BP389" i="4"/>
  <c r="BS388" i="4"/>
  <c r="BR388" i="4"/>
  <c r="BQ388" i="4"/>
  <c r="BP388" i="4"/>
  <c r="BS387" i="4"/>
  <c r="BR387" i="4"/>
  <c r="BQ387" i="4"/>
  <c r="BP387" i="4"/>
  <c r="BS386" i="4"/>
  <c r="BR386" i="4"/>
  <c r="BQ386" i="4"/>
  <c r="BP386" i="4"/>
  <c r="BS385" i="4"/>
  <c r="BR385" i="4"/>
  <c r="BQ385" i="4"/>
  <c r="BP385" i="4"/>
  <c r="BS384" i="4"/>
  <c r="BR384" i="4"/>
  <c r="BQ384" i="4"/>
  <c r="BP384" i="4"/>
  <c r="BS383" i="4"/>
  <c r="BR383" i="4"/>
  <c r="BQ383" i="4"/>
  <c r="BP383" i="4"/>
  <c r="BS382" i="4"/>
  <c r="BR382" i="4"/>
  <c r="BQ382" i="4"/>
  <c r="BP382" i="4"/>
  <c r="BS381" i="4"/>
  <c r="BR381" i="4"/>
  <c r="BQ381" i="4"/>
  <c r="BP381" i="4"/>
  <c r="BS380" i="4"/>
  <c r="BR380" i="4"/>
  <c r="BQ380" i="4"/>
  <c r="BP380" i="4"/>
  <c r="BS379" i="4"/>
  <c r="BR379" i="4"/>
  <c r="BQ379" i="4"/>
  <c r="BP379" i="4"/>
  <c r="BS378" i="4"/>
  <c r="BR378" i="4"/>
  <c r="BQ378" i="4"/>
  <c r="BP378" i="4"/>
  <c r="BS377" i="4"/>
  <c r="BR377" i="4"/>
  <c r="BQ377" i="4"/>
  <c r="BP377" i="4"/>
  <c r="BS376" i="4"/>
  <c r="BR376" i="4"/>
  <c r="BQ376" i="4"/>
  <c r="BP376" i="4"/>
  <c r="BS375" i="4"/>
  <c r="BR375" i="4"/>
  <c r="BQ375" i="4"/>
  <c r="BP375" i="4"/>
  <c r="BS374" i="4"/>
  <c r="BR374" i="4"/>
  <c r="BQ374" i="4"/>
  <c r="BP374" i="4"/>
  <c r="BS373" i="4"/>
  <c r="BR373" i="4"/>
  <c r="BQ373" i="4"/>
  <c r="BP373" i="4"/>
  <c r="BS372" i="4"/>
  <c r="BR372" i="4"/>
  <c r="BQ372" i="4"/>
  <c r="BP372" i="4"/>
  <c r="BS371" i="4"/>
  <c r="BR371" i="4"/>
  <c r="BQ371" i="4"/>
  <c r="BP371" i="4"/>
  <c r="BS370" i="4"/>
  <c r="BR370" i="4"/>
  <c r="BQ370" i="4"/>
  <c r="BP370" i="4"/>
  <c r="BS369" i="4"/>
  <c r="BR369" i="4"/>
  <c r="BQ369" i="4"/>
  <c r="BP369" i="4"/>
  <c r="BS368" i="4"/>
  <c r="BR368" i="4"/>
  <c r="BQ368" i="4"/>
  <c r="BP368" i="4"/>
  <c r="BS367" i="4"/>
  <c r="BR367" i="4"/>
  <c r="BQ367" i="4"/>
  <c r="BP367" i="4"/>
  <c r="BS366" i="4"/>
  <c r="BR366" i="4"/>
  <c r="BQ366" i="4"/>
  <c r="BP366" i="4"/>
  <c r="BS365" i="4"/>
  <c r="BR365" i="4"/>
  <c r="BQ365" i="4"/>
  <c r="BP365" i="4"/>
  <c r="BS364" i="4"/>
  <c r="BR364" i="4"/>
  <c r="BQ364" i="4"/>
  <c r="BP364" i="4"/>
  <c r="BS363" i="4"/>
  <c r="BR363" i="4"/>
  <c r="BQ363" i="4"/>
  <c r="BP363" i="4"/>
  <c r="BS362" i="4"/>
  <c r="BR362" i="4"/>
  <c r="BQ362" i="4"/>
  <c r="BP362" i="4"/>
  <c r="BS361" i="4"/>
  <c r="BR361" i="4"/>
  <c r="BQ361" i="4"/>
  <c r="BP361" i="4"/>
  <c r="BS360" i="4"/>
  <c r="BR360" i="4"/>
  <c r="BQ360" i="4"/>
  <c r="BP360" i="4"/>
  <c r="BS359" i="4"/>
  <c r="BR359" i="4"/>
  <c r="BQ359" i="4"/>
  <c r="BP359" i="4"/>
  <c r="BS358" i="4"/>
  <c r="BR358" i="4"/>
  <c r="BQ358" i="4"/>
  <c r="BP358" i="4"/>
  <c r="BS357" i="4"/>
  <c r="BR357" i="4"/>
  <c r="BQ357" i="4"/>
  <c r="BP357" i="4"/>
  <c r="BS356" i="4"/>
  <c r="BR356" i="4"/>
  <c r="BQ356" i="4"/>
  <c r="BP356" i="4"/>
  <c r="BS355" i="4"/>
  <c r="BR355" i="4"/>
  <c r="BQ355" i="4"/>
  <c r="BP355" i="4"/>
  <c r="BS354" i="4"/>
  <c r="BR354" i="4"/>
  <c r="BQ354" i="4"/>
  <c r="BP354" i="4"/>
  <c r="BS353" i="4"/>
  <c r="BR353" i="4"/>
  <c r="BQ353" i="4"/>
  <c r="BP353" i="4"/>
  <c r="BS352" i="4"/>
  <c r="BR352" i="4"/>
  <c r="BQ352" i="4"/>
  <c r="BP352" i="4"/>
  <c r="BS351" i="4"/>
  <c r="BR351" i="4"/>
  <c r="BQ351" i="4"/>
  <c r="BP351" i="4"/>
  <c r="BS350" i="4"/>
  <c r="BR350" i="4"/>
  <c r="BQ350" i="4"/>
  <c r="BP350" i="4"/>
  <c r="BS349" i="4"/>
  <c r="BR349" i="4"/>
  <c r="BQ349" i="4"/>
  <c r="BP349" i="4"/>
  <c r="BS348" i="4"/>
  <c r="BR348" i="4"/>
  <c r="BQ348" i="4"/>
  <c r="BP348" i="4"/>
  <c r="BS347" i="4"/>
  <c r="BR347" i="4"/>
  <c r="BQ347" i="4"/>
  <c r="BP347" i="4"/>
  <c r="BS346" i="4"/>
  <c r="BR346" i="4"/>
  <c r="BQ346" i="4"/>
  <c r="BP346" i="4"/>
  <c r="BS345" i="4"/>
  <c r="BR345" i="4"/>
  <c r="BQ345" i="4"/>
  <c r="BP345" i="4"/>
  <c r="BS344" i="4"/>
  <c r="BR344" i="4"/>
  <c r="BQ344" i="4"/>
  <c r="BP344" i="4"/>
  <c r="BS343" i="4"/>
  <c r="BR343" i="4"/>
  <c r="BQ343" i="4"/>
  <c r="BP343" i="4"/>
  <c r="BS342" i="4"/>
  <c r="BR342" i="4"/>
  <c r="BQ342" i="4"/>
  <c r="BP342" i="4"/>
  <c r="BS341" i="4"/>
  <c r="BR341" i="4"/>
  <c r="BQ341" i="4"/>
  <c r="BP341" i="4"/>
  <c r="BS340" i="4"/>
  <c r="BR340" i="4"/>
  <c r="BQ340" i="4"/>
  <c r="BP340" i="4"/>
  <c r="BS339" i="4"/>
  <c r="BR339" i="4"/>
  <c r="BQ339" i="4"/>
  <c r="BP339" i="4"/>
  <c r="BS338" i="4"/>
  <c r="BR338" i="4"/>
  <c r="BQ338" i="4"/>
  <c r="BP338" i="4"/>
  <c r="BS337" i="4"/>
  <c r="BR337" i="4"/>
  <c r="BQ337" i="4"/>
  <c r="BP337" i="4"/>
  <c r="BS336" i="4"/>
  <c r="BR336" i="4"/>
  <c r="BQ336" i="4"/>
  <c r="BP336" i="4"/>
  <c r="BS335" i="4"/>
  <c r="BR335" i="4"/>
  <c r="BQ335" i="4"/>
  <c r="BP335" i="4"/>
  <c r="BS334" i="4"/>
  <c r="BR334" i="4"/>
  <c r="BQ334" i="4"/>
  <c r="BP334" i="4"/>
  <c r="BS333" i="4"/>
  <c r="BR333" i="4"/>
  <c r="BQ333" i="4"/>
  <c r="BP333" i="4"/>
  <c r="BS332" i="4"/>
  <c r="BR332" i="4"/>
  <c r="BQ332" i="4"/>
  <c r="BP332" i="4"/>
  <c r="BS331" i="4"/>
  <c r="BR331" i="4"/>
  <c r="BQ331" i="4"/>
  <c r="BP331" i="4"/>
  <c r="BS330" i="4"/>
  <c r="BR330" i="4"/>
  <c r="BQ330" i="4"/>
  <c r="BP330" i="4"/>
  <c r="BS329" i="4"/>
  <c r="BR329" i="4"/>
  <c r="BQ329" i="4"/>
  <c r="BP329" i="4"/>
  <c r="BS328" i="4"/>
  <c r="BR328" i="4"/>
  <c r="BQ328" i="4"/>
  <c r="BP328" i="4"/>
  <c r="BS327" i="4"/>
  <c r="BR327" i="4"/>
  <c r="BQ327" i="4"/>
  <c r="BP327" i="4"/>
  <c r="BS326" i="4"/>
  <c r="BR326" i="4"/>
  <c r="BQ326" i="4"/>
  <c r="BP326" i="4"/>
  <c r="BS325" i="4"/>
  <c r="BR325" i="4"/>
  <c r="BQ325" i="4"/>
  <c r="BP325" i="4"/>
  <c r="BS324" i="4"/>
  <c r="BR324" i="4"/>
  <c r="BQ324" i="4"/>
  <c r="BP324" i="4"/>
  <c r="BS323" i="4"/>
  <c r="BR323" i="4"/>
  <c r="BQ323" i="4"/>
  <c r="BP323" i="4"/>
  <c r="BS322" i="4"/>
  <c r="BR322" i="4"/>
  <c r="BQ322" i="4"/>
  <c r="BP322" i="4"/>
  <c r="BS321" i="4"/>
  <c r="BR321" i="4"/>
  <c r="BQ321" i="4"/>
  <c r="BP321" i="4"/>
  <c r="BS320" i="4"/>
  <c r="BR320" i="4"/>
  <c r="BQ320" i="4"/>
  <c r="BP320" i="4"/>
  <c r="BS319" i="4"/>
  <c r="BR319" i="4"/>
  <c r="BQ319" i="4"/>
  <c r="BP319" i="4"/>
  <c r="BS318" i="4"/>
  <c r="BR318" i="4"/>
  <c r="BQ318" i="4"/>
  <c r="BP318" i="4"/>
  <c r="BS317" i="4"/>
  <c r="BR317" i="4"/>
  <c r="BQ317" i="4"/>
  <c r="BP317" i="4"/>
  <c r="BS316" i="4"/>
  <c r="BR316" i="4"/>
  <c r="BQ316" i="4"/>
  <c r="BP316" i="4"/>
  <c r="BS315" i="4"/>
  <c r="BR315" i="4"/>
  <c r="BQ315" i="4"/>
  <c r="BP315" i="4"/>
  <c r="BS314" i="4"/>
  <c r="BR314" i="4"/>
  <c r="BQ314" i="4"/>
  <c r="BP314" i="4"/>
  <c r="BS313" i="4"/>
  <c r="BR313" i="4"/>
  <c r="BQ313" i="4"/>
  <c r="BP313" i="4"/>
  <c r="BS312" i="4"/>
  <c r="BR312" i="4"/>
  <c r="BQ312" i="4"/>
  <c r="BP312" i="4"/>
  <c r="BS311" i="4"/>
  <c r="BR311" i="4"/>
  <c r="BQ311" i="4"/>
  <c r="BP311" i="4"/>
  <c r="BS310" i="4"/>
  <c r="BR310" i="4"/>
  <c r="BQ310" i="4"/>
  <c r="BP310" i="4"/>
  <c r="BS309" i="4"/>
  <c r="BR309" i="4"/>
  <c r="BQ309" i="4"/>
  <c r="BP309" i="4"/>
  <c r="BS308" i="4"/>
  <c r="BR308" i="4"/>
  <c r="BQ308" i="4"/>
  <c r="BP308" i="4"/>
  <c r="BS307" i="4"/>
  <c r="BR307" i="4"/>
  <c r="BQ307" i="4"/>
  <c r="BP307" i="4"/>
  <c r="BS306" i="4"/>
  <c r="BR306" i="4"/>
  <c r="BQ306" i="4"/>
  <c r="BP306" i="4"/>
  <c r="BS305" i="4"/>
  <c r="BR305" i="4"/>
  <c r="BQ305" i="4"/>
  <c r="BP305" i="4"/>
  <c r="BS304" i="4"/>
  <c r="BR304" i="4"/>
  <c r="BQ304" i="4"/>
  <c r="BP304" i="4"/>
  <c r="BS303" i="4"/>
  <c r="BR303" i="4"/>
  <c r="BQ303" i="4"/>
  <c r="BP303" i="4"/>
  <c r="BS302" i="4"/>
  <c r="BR302" i="4"/>
  <c r="BQ302" i="4"/>
  <c r="BP302" i="4"/>
  <c r="BS301" i="4"/>
  <c r="BR301" i="4"/>
  <c r="BQ301" i="4"/>
  <c r="BP301" i="4"/>
  <c r="BS300" i="4"/>
  <c r="BR300" i="4"/>
  <c r="BQ300" i="4"/>
  <c r="BP300" i="4"/>
  <c r="BS299" i="4"/>
  <c r="BR299" i="4"/>
  <c r="BQ299" i="4"/>
  <c r="BP299" i="4"/>
  <c r="BS298" i="4"/>
  <c r="BR298" i="4"/>
  <c r="BQ298" i="4"/>
  <c r="BP298" i="4"/>
  <c r="BS297" i="4"/>
  <c r="BR297" i="4"/>
  <c r="BQ297" i="4"/>
  <c r="BP297" i="4"/>
  <c r="BS296" i="4"/>
  <c r="BR296" i="4"/>
  <c r="BQ296" i="4"/>
  <c r="BP296" i="4"/>
  <c r="BS295" i="4"/>
  <c r="BR295" i="4"/>
  <c r="BQ295" i="4"/>
  <c r="BP295" i="4"/>
  <c r="BS294" i="4"/>
  <c r="BR294" i="4"/>
  <c r="BQ294" i="4"/>
  <c r="BP294" i="4"/>
  <c r="BS293" i="4"/>
  <c r="BR293" i="4"/>
  <c r="BQ293" i="4"/>
  <c r="BP293" i="4"/>
  <c r="BS292" i="4"/>
  <c r="BR292" i="4"/>
  <c r="BQ292" i="4"/>
  <c r="BP292" i="4"/>
  <c r="BS291" i="4"/>
  <c r="BR291" i="4"/>
  <c r="BQ291" i="4"/>
  <c r="BP291" i="4"/>
  <c r="BS290" i="4"/>
  <c r="BR290" i="4"/>
  <c r="BQ290" i="4"/>
  <c r="BP290" i="4"/>
  <c r="BS289" i="4"/>
  <c r="BR289" i="4"/>
  <c r="BQ289" i="4"/>
  <c r="BP289" i="4"/>
  <c r="BS288" i="4"/>
  <c r="BR288" i="4"/>
  <c r="BQ288" i="4"/>
  <c r="BP288" i="4"/>
  <c r="BS287" i="4"/>
  <c r="BR287" i="4"/>
  <c r="BQ287" i="4"/>
  <c r="BP287" i="4"/>
  <c r="BS286" i="4"/>
  <c r="BR286" i="4"/>
  <c r="BQ286" i="4"/>
  <c r="BP286" i="4"/>
  <c r="BS285" i="4"/>
  <c r="BR285" i="4"/>
  <c r="BQ285" i="4"/>
  <c r="BP285" i="4"/>
  <c r="BS284" i="4"/>
  <c r="BR284" i="4"/>
  <c r="BQ284" i="4"/>
  <c r="BP284" i="4"/>
  <c r="BS283" i="4"/>
  <c r="BR283" i="4"/>
  <c r="BQ283" i="4"/>
  <c r="BP283" i="4"/>
  <c r="BS282" i="4"/>
  <c r="BR282" i="4"/>
  <c r="BQ282" i="4"/>
  <c r="BP282" i="4"/>
  <c r="BS281" i="4"/>
  <c r="BR281" i="4"/>
  <c r="BQ281" i="4"/>
  <c r="BP281" i="4"/>
  <c r="BS280" i="4"/>
  <c r="BR280" i="4"/>
  <c r="BQ280" i="4"/>
  <c r="BP280" i="4"/>
  <c r="BS279" i="4"/>
  <c r="BR279" i="4"/>
  <c r="BQ279" i="4"/>
  <c r="BP279" i="4"/>
  <c r="BS278" i="4"/>
  <c r="BR278" i="4"/>
  <c r="BQ278" i="4"/>
  <c r="BP278" i="4"/>
  <c r="BS277" i="4"/>
  <c r="BR277" i="4"/>
  <c r="BQ277" i="4"/>
  <c r="BP277" i="4"/>
  <c r="BS276" i="4"/>
  <c r="BR276" i="4"/>
  <c r="BQ276" i="4"/>
  <c r="BP276" i="4"/>
  <c r="BS275" i="4"/>
  <c r="BR275" i="4"/>
  <c r="BQ275" i="4"/>
  <c r="BP275" i="4"/>
  <c r="BS274" i="4"/>
  <c r="BR274" i="4"/>
  <c r="BQ274" i="4"/>
  <c r="BP274" i="4"/>
  <c r="BS273" i="4"/>
  <c r="BR273" i="4"/>
  <c r="BQ273" i="4"/>
  <c r="BP273" i="4"/>
  <c r="BS272" i="4"/>
  <c r="BR272" i="4"/>
  <c r="BQ272" i="4"/>
  <c r="BP272" i="4"/>
  <c r="BS271" i="4"/>
  <c r="BR271" i="4"/>
  <c r="BQ271" i="4"/>
  <c r="BP271" i="4"/>
  <c r="BS270" i="4"/>
  <c r="BR270" i="4"/>
  <c r="BQ270" i="4"/>
  <c r="BP270" i="4"/>
  <c r="BS269" i="4"/>
  <c r="BR269" i="4"/>
  <c r="BQ269" i="4"/>
  <c r="BP269" i="4"/>
  <c r="BS268" i="4"/>
  <c r="BR268" i="4"/>
  <c r="BQ268" i="4"/>
  <c r="BP268" i="4"/>
  <c r="BS267" i="4"/>
  <c r="BR267" i="4"/>
  <c r="BQ267" i="4"/>
  <c r="BP267" i="4"/>
  <c r="BS266" i="4"/>
  <c r="BR266" i="4"/>
  <c r="BQ266" i="4"/>
  <c r="BP266" i="4"/>
  <c r="BS265" i="4"/>
  <c r="BR265" i="4"/>
  <c r="BQ265" i="4"/>
  <c r="BP265" i="4"/>
  <c r="BS264" i="4"/>
  <c r="BR264" i="4"/>
  <c r="BQ264" i="4"/>
  <c r="BP264" i="4"/>
  <c r="BS263" i="4"/>
  <c r="BR263" i="4"/>
  <c r="BQ263" i="4"/>
  <c r="BP263" i="4"/>
  <c r="BS262" i="4"/>
  <c r="BR262" i="4"/>
  <c r="BQ262" i="4"/>
  <c r="BP262" i="4"/>
  <c r="BS261" i="4"/>
  <c r="BR261" i="4"/>
  <c r="BQ261" i="4"/>
  <c r="BP261" i="4"/>
  <c r="BS260" i="4"/>
  <c r="BR260" i="4"/>
  <c r="BQ260" i="4"/>
  <c r="BP260" i="4"/>
  <c r="BS259" i="4"/>
  <c r="BR259" i="4"/>
  <c r="BQ259" i="4"/>
  <c r="BP259" i="4"/>
  <c r="BS258" i="4"/>
  <c r="BR258" i="4"/>
  <c r="BQ258" i="4"/>
  <c r="BP258" i="4"/>
  <c r="BS257" i="4"/>
  <c r="BR257" i="4"/>
  <c r="BQ257" i="4"/>
  <c r="BP257" i="4"/>
  <c r="BS256" i="4"/>
  <c r="BR256" i="4"/>
  <c r="BQ256" i="4"/>
  <c r="BP256" i="4"/>
  <c r="BS255" i="4"/>
  <c r="BR255" i="4"/>
  <c r="BQ255" i="4"/>
  <c r="BP255" i="4"/>
  <c r="BS254" i="4"/>
  <c r="BR254" i="4"/>
  <c r="BQ254" i="4"/>
  <c r="BP254" i="4"/>
  <c r="BS253" i="4"/>
  <c r="BR253" i="4"/>
  <c r="BQ253" i="4"/>
  <c r="BP253" i="4"/>
  <c r="BS252" i="4"/>
  <c r="BR252" i="4"/>
  <c r="BQ252" i="4"/>
  <c r="BP252" i="4"/>
  <c r="BS251" i="4"/>
  <c r="BR251" i="4"/>
  <c r="BQ251" i="4"/>
  <c r="BP251" i="4"/>
  <c r="BS250" i="4"/>
  <c r="BR250" i="4"/>
  <c r="BQ250" i="4"/>
  <c r="BP250" i="4"/>
  <c r="BS249" i="4"/>
  <c r="BR249" i="4"/>
  <c r="BQ249" i="4"/>
  <c r="BP249" i="4"/>
  <c r="BS248" i="4"/>
  <c r="BR248" i="4"/>
  <c r="BQ248" i="4"/>
  <c r="BP248" i="4"/>
  <c r="BS247" i="4"/>
  <c r="BR247" i="4"/>
  <c r="BQ247" i="4"/>
  <c r="BP247" i="4"/>
  <c r="BS246" i="4"/>
  <c r="BR246" i="4"/>
  <c r="BQ246" i="4"/>
  <c r="BP246" i="4"/>
  <c r="BS245" i="4"/>
  <c r="BR245" i="4"/>
  <c r="BQ245" i="4"/>
  <c r="BP245" i="4"/>
  <c r="BS244" i="4"/>
  <c r="BR244" i="4"/>
  <c r="BQ244" i="4"/>
  <c r="BP244" i="4"/>
  <c r="BS243" i="4"/>
  <c r="BR243" i="4"/>
  <c r="BQ243" i="4"/>
  <c r="BP243" i="4"/>
  <c r="BS242" i="4"/>
  <c r="BR242" i="4"/>
  <c r="BQ242" i="4"/>
  <c r="BP242" i="4"/>
  <c r="BS241" i="4"/>
  <c r="BR241" i="4"/>
  <c r="BQ241" i="4"/>
  <c r="BP241" i="4"/>
  <c r="BS240" i="4"/>
  <c r="BR240" i="4"/>
  <c r="BQ240" i="4"/>
  <c r="BP240" i="4"/>
  <c r="BS239" i="4"/>
  <c r="BR239" i="4"/>
  <c r="BQ239" i="4"/>
  <c r="BP239" i="4"/>
  <c r="BS238" i="4"/>
  <c r="BR238" i="4"/>
  <c r="BQ238" i="4"/>
  <c r="BP238" i="4"/>
  <c r="BS237" i="4"/>
  <c r="BR237" i="4"/>
  <c r="BQ237" i="4"/>
  <c r="BP237" i="4"/>
  <c r="BS236" i="4"/>
  <c r="BR236" i="4"/>
  <c r="BQ236" i="4"/>
  <c r="BP236" i="4"/>
  <c r="BS235" i="4"/>
  <c r="BR235" i="4"/>
  <c r="BQ235" i="4"/>
  <c r="BP235" i="4"/>
  <c r="BS234" i="4"/>
  <c r="BR234" i="4"/>
  <c r="BQ234" i="4"/>
  <c r="BP234" i="4"/>
  <c r="BS233" i="4"/>
  <c r="BR233" i="4"/>
  <c r="BQ233" i="4"/>
  <c r="BP233" i="4"/>
  <c r="BS232" i="4"/>
  <c r="BR232" i="4"/>
  <c r="BQ232" i="4"/>
  <c r="BP232" i="4"/>
  <c r="BS231" i="4"/>
  <c r="BR231" i="4"/>
  <c r="BQ231" i="4"/>
  <c r="BP231" i="4"/>
  <c r="BS230" i="4"/>
  <c r="BR230" i="4"/>
  <c r="BQ230" i="4"/>
  <c r="BP230" i="4"/>
  <c r="BS229" i="4"/>
  <c r="BR229" i="4"/>
  <c r="BQ229" i="4"/>
  <c r="BP229" i="4"/>
  <c r="BS228" i="4"/>
  <c r="BR228" i="4"/>
  <c r="BQ228" i="4"/>
  <c r="BP228" i="4"/>
  <c r="BS227" i="4"/>
  <c r="BR227" i="4"/>
  <c r="BQ227" i="4"/>
  <c r="BP227" i="4"/>
  <c r="BS226" i="4"/>
  <c r="BR226" i="4"/>
  <c r="BQ226" i="4"/>
  <c r="BP226" i="4"/>
  <c r="BS225" i="4"/>
  <c r="BR225" i="4"/>
  <c r="BQ225" i="4"/>
  <c r="BP225" i="4"/>
  <c r="BS224" i="4"/>
  <c r="BR224" i="4"/>
  <c r="BQ224" i="4"/>
  <c r="BP224" i="4"/>
  <c r="BS223" i="4"/>
  <c r="BR223" i="4"/>
  <c r="BQ223" i="4"/>
  <c r="BP223" i="4"/>
  <c r="BS222" i="4"/>
  <c r="BR222" i="4"/>
  <c r="BQ222" i="4"/>
  <c r="BP222" i="4"/>
  <c r="BS221" i="4"/>
  <c r="BR221" i="4"/>
  <c r="BQ221" i="4"/>
  <c r="BP221" i="4"/>
  <c r="BS220" i="4"/>
  <c r="BR220" i="4"/>
  <c r="BQ220" i="4"/>
  <c r="BP220" i="4"/>
  <c r="BS219" i="4"/>
  <c r="BR219" i="4"/>
  <c r="BQ219" i="4"/>
  <c r="BP219" i="4"/>
  <c r="BS218" i="4"/>
  <c r="BR218" i="4"/>
  <c r="BQ218" i="4"/>
  <c r="BP218" i="4"/>
  <c r="BS217" i="4"/>
  <c r="BR217" i="4"/>
  <c r="BQ217" i="4"/>
  <c r="BP217" i="4"/>
  <c r="BS216" i="4"/>
  <c r="BR216" i="4"/>
  <c r="BQ216" i="4"/>
  <c r="BP216" i="4"/>
  <c r="BS215" i="4"/>
  <c r="BR215" i="4"/>
  <c r="BQ215" i="4"/>
  <c r="BP215" i="4"/>
  <c r="BS214" i="4"/>
  <c r="BR214" i="4"/>
  <c r="BQ214" i="4"/>
  <c r="BP214" i="4"/>
  <c r="BS213" i="4"/>
  <c r="BR213" i="4"/>
  <c r="BQ213" i="4"/>
  <c r="BP213" i="4"/>
  <c r="BS212" i="4"/>
  <c r="BR212" i="4"/>
  <c r="BQ212" i="4"/>
  <c r="BP212" i="4"/>
  <c r="BS211" i="4"/>
  <c r="BR211" i="4"/>
  <c r="BQ211" i="4"/>
  <c r="BP211" i="4"/>
  <c r="BS210" i="4"/>
  <c r="BR210" i="4"/>
  <c r="BQ210" i="4"/>
  <c r="BP210" i="4"/>
  <c r="BS209" i="4"/>
  <c r="BR209" i="4"/>
  <c r="BQ209" i="4"/>
  <c r="BP209" i="4"/>
  <c r="BS208" i="4"/>
  <c r="BR208" i="4"/>
  <c r="BQ208" i="4"/>
  <c r="BP208" i="4"/>
  <c r="BS207" i="4"/>
  <c r="BR207" i="4"/>
  <c r="BQ207" i="4"/>
  <c r="BP207" i="4"/>
  <c r="BS206" i="4"/>
  <c r="BR206" i="4"/>
  <c r="BQ206" i="4"/>
  <c r="BP206" i="4"/>
  <c r="BS205" i="4"/>
  <c r="BR205" i="4"/>
  <c r="BQ205" i="4"/>
  <c r="BP205" i="4"/>
  <c r="BS204" i="4"/>
  <c r="BR204" i="4"/>
  <c r="BQ204" i="4"/>
  <c r="BP204" i="4"/>
  <c r="BS203" i="4"/>
  <c r="BR203" i="4"/>
  <c r="BQ203" i="4"/>
  <c r="BP203" i="4"/>
  <c r="BS202" i="4"/>
  <c r="BR202" i="4"/>
  <c r="BQ202" i="4"/>
  <c r="BP202" i="4"/>
  <c r="BS201" i="4"/>
  <c r="BR201" i="4"/>
  <c r="BQ201" i="4"/>
  <c r="BP201" i="4"/>
  <c r="BS200" i="4"/>
  <c r="BR200" i="4"/>
  <c r="BQ200" i="4"/>
  <c r="BP200" i="4"/>
  <c r="BS199" i="4"/>
  <c r="BR199" i="4"/>
  <c r="BQ199" i="4"/>
  <c r="BP199" i="4"/>
  <c r="BS198" i="4"/>
  <c r="BR198" i="4"/>
  <c r="BQ198" i="4"/>
  <c r="BP198" i="4"/>
  <c r="BS197" i="4"/>
  <c r="BR197" i="4"/>
  <c r="BQ197" i="4"/>
  <c r="BP197" i="4"/>
  <c r="BS196" i="4"/>
  <c r="BR196" i="4"/>
  <c r="BQ196" i="4"/>
  <c r="BP196" i="4"/>
  <c r="BS195" i="4"/>
  <c r="BR195" i="4"/>
  <c r="BQ195" i="4"/>
  <c r="BP195" i="4"/>
  <c r="BS194" i="4"/>
  <c r="BR194" i="4"/>
  <c r="BQ194" i="4"/>
  <c r="BP194" i="4"/>
  <c r="BS193" i="4"/>
  <c r="BR193" i="4"/>
  <c r="BQ193" i="4"/>
  <c r="BP193" i="4"/>
  <c r="BS192" i="4"/>
  <c r="BR192" i="4"/>
  <c r="BQ192" i="4"/>
  <c r="BP192" i="4"/>
  <c r="BS191" i="4"/>
  <c r="BR191" i="4"/>
  <c r="BQ191" i="4"/>
  <c r="BP191" i="4"/>
  <c r="BS190" i="4"/>
  <c r="BR190" i="4"/>
  <c r="BQ190" i="4"/>
  <c r="BP190" i="4"/>
  <c r="BS189" i="4"/>
  <c r="BR189" i="4"/>
  <c r="BQ189" i="4"/>
  <c r="BP189" i="4"/>
  <c r="BS188" i="4"/>
  <c r="BR188" i="4"/>
  <c r="BQ188" i="4"/>
  <c r="BP188" i="4"/>
  <c r="BS187" i="4"/>
  <c r="BR187" i="4"/>
  <c r="BQ187" i="4"/>
  <c r="BP187" i="4"/>
  <c r="BS186" i="4"/>
  <c r="BR186" i="4"/>
  <c r="BQ186" i="4"/>
  <c r="BP186" i="4"/>
  <c r="BS185" i="4"/>
  <c r="BR185" i="4"/>
  <c r="BQ185" i="4"/>
  <c r="BP185" i="4"/>
  <c r="BS184" i="4"/>
  <c r="BR184" i="4"/>
  <c r="BQ184" i="4"/>
  <c r="BP184" i="4"/>
  <c r="BS183" i="4"/>
  <c r="BR183" i="4"/>
  <c r="BQ183" i="4"/>
  <c r="BP183" i="4"/>
  <c r="BS182" i="4"/>
  <c r="BR182" i="4"/>
  <c r="BQ182" i="4"/>
  <c r="BP182" i="4"/>
  <c r="BS181" i="4"/>
  <c r="BR181" i="4"/>
  <c r="BQ181" i="4"/>
  <c r="BP181" i="4"/>
  <c r="BS180" i="4"/>
  <c r="BR180" i="4"/>
  <c r="BQ180" i="4"/>
  <c r="BP180" i="4"/>
  <c r="BS179" i="4"/>
  <c r="BR179" i="4"/>
  <c r="BQ179" i="4"/>
  <c r="BP179" i="4"/>
  <c r="BS178" i="4"/>
  <c r="BR178" i="4"/>
  <c r="BQ178" i="4"/>
  <c r="BP178" i="4"/>
  <c r="BS177" i="4"/>
  <c r="BR177" i="4"/>
  <c r="BQ177" i="4"/>
  <c r="BP177" i="4"/>
  <c r="BS176" i="4"/>
  <c r="BR176" i="4"/>
  <c r="BQ176" i="4"/>
  <c r="BP176" i="4"/>
  <c r="BS175" i="4"/>
  <c r="BR175" i="4"/>
  <c r="BQ175" i="4"/>
  <c r="BP175" i="4"/>
  <c r="BS174" i="4"/>
  <c r="BR174" i="4"/>
  <c r="BQ174" i="4"/>
  <c r="BP174" i="4"/>
  <c r="BS173" i="4"/>
  <c r="BR173" i="4"/>
  <c r="BQ173" i="4"/>
  <c r="BP173" i="4"/>
  <c r="BS172" i="4"/>
  <c r="BR172" i="4"/>
  <c r="BQ172" i="4"/>
  <c r="BP172" i="4"/>
  <c r="BS171" i="4"/>
  <c r="BR171" i="4"/>
  <c r="BQ171" i="4"/>
  <c r="BP171" i="4"/>
  <c r="BS170" i="4"/>
  <c r="BR170" i="4"/>
  <c r="BQ170" i="4"/>
  <c r="BP170" i="4"/>
  <c r="BS169" i="4"/>
  <c r="BR169" i="4"/>
  <c r="BQ169" i="4"/>
  <c r="BP169" i="4"/>
  <c r="BS168" i="4"/>
  <c r="BR168" i="4"/>
  <c r="BQ168" i="4"/>
  <c r="BP168" i="4"/>
  <c r="BS167" i="4"/>
  <c r="BR167" i="4"/>
  <c r="BQ167" i="4"/>
  <c r="BP167" i="4"/>
  <c r="BS166" i="4"/>
  <c r="BR166" i="4"/>
  <c r="BQ166" i="4"/>
  <c r="BP166" i="4"/>
  <c r="BS165" i="4"/>
  <c r="BR165" i="4"/>
  <c r="BQ165" i="4"/>
  <c r="BP165" i="4"/>
  <c r="BS164" i="4"/>
  <c r="BR164" i="4"/>
  <c r="BQ164" i="4"/>
  <c r="BP164" i="4"/>
  <c r="BS163" i="4"/>
  <c r="BR163" i="4"/>
  <c r="BQ163" i="4"/>
  <c r="BP163" i="4"/>
  <c r="BS162" i="4"/>
  <c r="BR162" i="4"/>
  <c r="BQ162" i="4"/>
  <c r="BP162" i="4"/>
  <c r="BS161" i="4"/>
  <c r="BR161" i="4"/>
  <c r="BQ161" i="4"/>
  <c r="BP161" i="4"/>
  <c r="BS160" i="4"/>
  <c r="BR160" i="4"/>
  <c r="BQ160" i="4"/>
  <c r="BP160" i="4"/>
  <c r="BS159" i="4"/>
  <c r="BR159" i="4"/>
  <c r="BQ159" i="4"/>
  <c r="BP159" i="4"/>
  <c r="BS158" i="4"/>
  <c r="BR158" i="4"/>
  <c r="BQ158" i="4"/>
  <c r="BP158" i="4"/>
  <c r="BS157" i="4"/>
  <c r="BR157" i="4"/>
  <c r="BQ157" i="4"/>
  <c r="BP157" i="4"/>
  <c r="BS156" i="4"/>
  <c r="BR156" i="4"/>
  <c r="BQ156" i="4"/>
  <c r="BP156" i="4"/>
  <c r="BS155" i="4"/>
  <c r="BR155" i="4"/>
  <c r="BQ155" i="4"/>
  <c r="BP155" i="4"/>
  <c r="BS154" i="4"/>
  <c r="BR154" i="4"/>
  <c r="BQ154" i="4"/>
  <c r="BP154" i="4"/>
  <c r="BS153" i="4"/>
  <c r="BR153" i="4"/>
  <c r="BQ153" i="4"/>
  <c r="BP153" i="4"/>
  <c r="BS152" i="4"/>
  <c r="BR152" i="4"/>
  <c r="BQ152" i="4"/>
  <c r="BP152" i="4"/>
  <c r="BS151" i="4"/>
  <c r="BR151" i="4"/>
  <c r="BQ151" i="4"/>
  <c r="BP151" i="4"/>
  <c r="BS150" i="4"/>
  <c r="BR150" i="4"/>
  <c r="BQ150" i="4"/>
  <c r="BP150" i="4"/>
  <c r="BS149" i="4"/>
  <c r="BR149" i="4"/>
  <c r="BQ149" i="4"/>
  <c r="BP149" i="4"/>
  <c r="BS148" i="4"/>
  <c r="BR148" i="4"/>
  <c r="BQ148" i="4"/>
  <c r="BP148" i="4"/>
  <c r="BS147" i="4"/>
  <c r="BR147" i="4"/>
  <c r="BQ147" i="4"/>
  <c r="BP147" i="4"/>
  <c r="BS146" i="4"/>
  <c r="BR146" i="4"/>
  <c r="BQ146" i="4"/>
  <c r="BP146" i="4"/>
  <c r="BS145" i="4"/>
  <c r="BR145" i="4"/>
  <c r="BQ145" i="4"/>
  <c r="BP145" i="4"/>
  <c r="BS144" i="4"/>
  <c r="BR144" i="4"/>
  <c r="BQ144" i="4"/>
  <c r="BP144" i="4"/>
  <c r="BS143" i="4"/>
  <c r="BR143" i="4"/>
  <c r="BQ143" i="4"/>
  <c r="BP143" i="4"/>
  <c r="BS142" i="4"/>
  <c r="BR142" i="4"/>
  <c r="BQ142" i="4"/>
  <c r="BP142" i="4"/>
  <c r="BS141" i="4"/>
  <c r="BR141" i="4"/>
  <c r="BQ141" i="4"/>
  <c r="BP141" i="4"/>
  <c r="BS140" i="4"/>
  <c r="BR140" i="4"/>
  <c r="BQ140" i="4"/>
  <c r="BP140" i="4"/>
  <c r="BS139" i="4"/>
  <c r="BR139" i="4"/>
  <c r="BQ139" i="4"/>
  <c r="BP139" i="4"/>
  <c r="BS138" i="4"/>
  <c r="BR138" i="4"/>
  <c r="BQ138" i="4"/>
  <c r="BP138" i="4"/>
  <c r="BS137" i="4"/>
  <c r="BR137" i="4"/>
  <c r="BQ137" i="4"/>
  <c r="BP137" i="4"/>
  <c r="BS136" i="4"/>
  <c r="BR136" i="4"/>
  <c r="BQ136" i="4"/>
  <c r="BP136" i="4"/>
  <c r="BS135" i="4"/>
  <c r="BR135" i="4"/>
  <c r="BQ135" i="4"/>
  <c r="BP135" i="4"/>
  <c r="BS134" i="4"/>
  <c r="BR134" i="4"/>
  <c r="BQ134" i="4"/>
  <c r="BP134" i="4"/>
  <c r="BS133" i="4"/>
  <c r="BR133" i="4"/>
  <c r="BQ133" i="4"/>
  <c r="BP133" i="4"/>
  <c r="BS132" i="4"/>
  <c r="BR132" i="4"/>
  <c r="BQ132" i="4"/>
  <c r="BP132" i="4"/>
  <c r="BS131" i="4"/>
  <c r="BR131" i="4"/>
  <c r="BQ131" i="4"/>
  <c r="BP131" i="4"/>
  <c r="BS130" i="4"/>
  <c r="BR130" i="4"/>
  <c r="BQ130" i="4"/>
  <c r="BP130" i="4"/>
  <c r="BS129" i="4"/>
  <c r="BR129" i="4"/>
  <c r="BQ129" i="4"/>
  <c r="BP129" i="4"/>
  <c r="BS128" i="4"/>
  <c r="BR128" i="4"/>
  <c r="BQ128" i="4"/>
  <c r="BP128" i="4"/>
  <c r="BS127" i="4"/>
  <c r="BR127" i="4"/>
  <c r="BQ127" i="4"/>
  <c r="BP127" i="4"/>
  <c r="BS126" i="4"/>
  <c r="BR126" i="4"/>
  <c r="BQ126" i="4"/>
  <c r="BP126" i="4"/>
  <c r="BS125" i="4"/>
  <c r="BR125" i="4"/>
  <c r="BQ125" i="4"/>
  <c r="BP125" i="4"/>
  <c r="BS124" i="4"/>
  <c r="BR124" i="4"/>
  <c r="BQ124" i="4"/>
  <c r="BP124" i="4"/>
  <c r="BS123" i="4"/>
  <c r="BR123" i="4"/>
  <c r="BQ123" i="4"/>
  <c r="BP123" i="4"/>
  <c r="BS122" i="4"/>
  <c r="BR122" i="4"/>
  <c r="BQ122" i="4"/>
  <c r="BP122" i="4"/>
  <c r="BS121" i="4"/>
  <c r="BR121" i="4"/>
  <c r="BQ121" i="4"/>
  <c r="BP121" i="4"/>
  <c r="BS120" i="4"/>
  <c r="BR120" i="4"/>
  <c r="BQ120" i="4"/>
  <c r="BP120" i="4"/>
  <c r="BS119" i="4"/>
  <c r="BR119" i="4"/>
  <c r="BQ119" i="4"/>
  <c r="BP119" i="4"/>
  <c r="BS118" i="4"/>
  <c r="BR118" i="4"/>
  <c r="BQ118" i="4"/>
  <c r="BP118" i="4"/>
  <c r="BS117" i="4"/>
  <c r="BR117" i="4"/>
  <c r="BQ117" i="4"/>
  <c r="BP117" i="4"/>
  <c r="BS116" i="4"/>
  <c r="BR116" i="4"/>
  <c r="BQ116" i="4"/>
  <c r="BP116" i="4"/>
  <c r="BS115" i="4"/>
  <c r="BR115" i="4"/>
  <c r="BQ115" i="4"/>
  <c r="BP115" i="4"/>
  <c r="BS114" i="4"/>
  <c r="BR114" i="4"/>
  <c r="BQ114" i="4"/>
  <c r="BP114" i="4"/>
  <c r="BS113" i="4"/>
  <c r="BR113" i="4"/>
  <c r="BQ113" i="4"/>
  <c r="BP113" i="4"/>
  <c r="BS112" i="4"/>
  <c r="BR112" i="4"/>
  <c r="BQ112" i="4"/>
  <c r="BP112" i="4"/>
  <c r="BS111" i="4"/>
  <c r="BR111" i="4"/>
  <c r="BQ111" i="4"/>
  <c r="BP111" i="4"/>
  <c r="BS110" i="4"/>
  <c r="BR110" i="4"/>
  <c r="BQ110" i="4"/>
  <c r="BP110" i="4"/>
  <c r="BS109" i="4"/>
  <c r="BR109" i="4"/>
  <c r="BQ109" i="4"/>
  <c r="BP109" i="4"/>
  <c r="BS108" i="4"/>
  <c r="BR108" i="4"/>
  <c r="BQ108" i="4"/>
  <c r="BP108" i="4"/>
  <c r="BS107" i="4"/>
  <c r="BR107" i="4"/>
  <c r="BQ107" i="4"/>
  <c r="BP107" i="4"/>
  <c r="BS106" i="4"/>
  <c r="BR106" i="4"/>
  <c r="BQ106" i="4"/>
  <c r="BP106" i="4"/>
  <c r="BS105" i="4"/>
  <c r="BR105" i="4"/>
  <c r="BQ105" i="4"/>
  <c r="BP105" i="4"/>
  <c r="BS104" i="4"/>
  <c r="BR104" i="4"/>
  <c r="BQ104" i="4"/>
  <c r="BP104" i="4"/>
  <c r="BS103" i="4"/>
  <c r="BR103" i="4"/>
  <c r="BQ103" i="4"/>
  <c r="BP103" i="4"/>
  <c r="BS102" i="4"/>
  <c r="BR102" i="4"/>
  <c r="BQ102" i="4"/>
  <c r="BP102" i="4"/>
  <c r="BS101" i="4"/>
  <c r="BR101" i="4"/>
  <c r="BQ101" i="4"/>
  <c r="BP101" i="4"/>
  <c r="BS100" i="4"/>
  <c r="BR100" i="4"/>
  <c r="BQ100" i="4"/>
  <c r="BP100" i="4"/>
  <c r="BS99" i="4"/>
  <c r="BR99" i="4"/>
  <c r="BQ99" i="4"/>
  <c r="BP99" i="4"/>
  <c r="BS98" i="4"/>
  <c r="BR98" i="4"/>
  <c r="BQ98" i="4"/>
  <c r="BP98" i="4"/>
  <c r="BS97" i="4"/>
  <c r="BR97" i="4"/>
  <c r="BQ97" i="4"/>
  <c r="BP97" i="4"/>
  <c r="BS96" i="4"/>
  <c r="BR96" i="4"/>
  <c r="BQ96" i="4"/>
  <c r="BP96" i="4"/>
  <c r="BS95" i="4"/>
  <c r="BR95" i="4"/>
  <c r="BQ95" i="4"/>
  <c r="BP95" i="4"/>
  <c r="BS94" i="4"/>
  <c r="BR94" i="4"/>
  <c r="BQ94" i="4"/>
  <c r="BP94" i="4"/>
  <c r="BS93" i="4"/>
  <c r="BR93" i="4"/>
  <c r="BQ93" i="4"/>
  <c r="BP93" i="4"/>
  <c r="BS92" i="4"/>
  <c r="BR92" i="4"/>
  <c r="BQ92" i="4"/>
  <c r="BP92" i="4"/>
  <c r="BS91" i="4"/>
  <c r="BR91" i="4"/>
  <c r="BQ91" i="4"/>
  <c r="BP91" i="4"/>
  <c r="BS90" i="4"/>
  <c r="BR90" i="4"/>
  <c r="BQ90" i="4"/>
  <c r="BP90" i="4"/>
  <c r="BS89" i="4"/>
  <c r="BR89" i="4"/>
  <c r="BQ89" i="4"/>
  <c r="BP89" i="4"/>
  <c r="BS88" i="4"/>
  <c r="BR88" i="4"/>
  <c r="BQ88" i="4"/>
  <c r="BP88" i="4"/>
  <c r="BS87" i="4"/>
  <c r="BR87" i="4"/>
  <c r="BQ87" i="4"/>
  <c r="BP87" i="4"/>
  <c r="BS86" i="4"/>
  <c r="BR86" i="4"/>
  <c r="BQ86" i="4"/>
  <c r="BP86" i="4"/>
  <c r="BS85" i="4"/>
  <c r="BR85" i="4"/>
  <c r="BQ85" i="4"/>
  <c r="BP85" i="4"/>
  <c r="BS84" i="4"/>
  <c r="BR84" i="4"/>
  <c r="BQ84" i="4"/>
  <c r="BP84" i="4"/>
  <c r="BS83" i="4"/>
  <c r="BR83" i="4"/>
  <c r="BQ83" i="4"/>
  <c r="BP83" i="4"/>
  <c r="BS82" i="4"/>
  <c r="BR82" i="4"/>
  <c r="BQ82" i="4"/>
  <c r="BP82" i="4"/>
  <c r="BS81" i="4"/>
  <c r="BR81" i="4"/>
  <c r="BQ81" i="4"/>
  <c r="BP81" i="4"/>
  <c r="BS80" i="4"/>
  <c r="BR80" i="4"/>
  <c r="BQ80" i="4"/>
  <c r="BP80" i="4"/>
  <c r="BS79" i="4"/>
  <c r="BR79" i="4"/>
  <c r="BQ79" i="4"/>
  <c r="BP79" i="4"/>
  <c r="BS78" i="4"/>
  <c r="BR78" i="4"/>
  <c r="BQ78" i="4"/>
  <c r="BP78" i="4"/>
  <c r="BS77" i="4"/>
  <c r="BR77" i="4"/>
  <c r="BQ77" i="4"/>
  <c r="BP77" i="4"/>
  <c r="BS76" i="4"/>
  <c r="BR76" i="4"/>
  <c r="BQ76" i="4"/>
  <c r="BP76" i="4"/>
  <c r="BS75" i="4"/>
  <c r="BR75" i="4"/>
  <c r="BQ75" i="4"/>
  <c r="BP75" i="4"/>
  <c r="BS74" i="4"/>
  <c r="BR74" i="4"/>
  <c r="BQ74" i="4"/>
  <c r="BP74" i="4"/>
  <c r="BS73" i="4"/>
  <c r="BR73" i="4"/>
  <c r="BQ73" i="4"/>
  <c r="BP73" i="4"/>
  <c r="BS72" i="4"/>
  <c r="BR72" i="4"/>
  <c r="BQ72" i="4"/>
  <c r="BP72" i="4"/>
  <c r="BS71" i="4"/>
  <c r="BR71" i="4"/>
  <c r="BQ71" i="4"/>
  <c r="BP71" i="4"/>
  <c r="BS70" i="4"/>
  <c r="BR70" i="4"/>
  <c r="BQ70" i="4"/>
  <c r="BP70" i="4"/>
  <c r="BS69" i="4"/>
  <c r="BR69" i="4"/>
  <c r="BQ69" i="4"/>
  <c r="BP69" i="4"/>
  <c r="BS68" i="4"/>
  <c r="BR68" i="4"/>
  <c r="BQ68" i="4"/>
  <c r="BP68" i="4"/>
  <c r="BS67" i="4"/>
  <c r="BR67" i="4"/>
  <c r="BQ67" i="4"/>
  <c r="BP67" i="4"/>
  <c r="BS66" i="4"/>
  <c r="BR66" i="4"/>
  <c r="BQ66" i="4"/>
  <c r="BP66" i="4"/>
  <c r="BS65" i="4"/>
  <c r="BR65" i="4"/>
  <c r="BQ65" i="4"/>
  <c r="BP65" i="4"/>
  <c r="BS64" i="4"/>
  <c r="BR64" i="4"/>
  <c r="BQ64" i="4"/>
  <c r="BP64" i="4"/>
  <c r="BS63" i="4"/>
  <c r="BR63" i="4"/>
  <c r="BQ63" i="4"/>
  <c r="BP63" i="4"/>
  <c r="BS62" i="4"/>
  <c r="BR62" i="4"/>
  <c r="BQ62" i="4"/>
  <c r="BP62" i="4"/>
  <c r="BS61" i="4"/>
  <c r="BR61" i="4"/>
  <c r="BQ61" i="4"/>
  <c r="BP61" i="4"/>
  <c r="BS60" i="4"/>
  <c r="BR60" i="4"/>
  <c r="BQ60" i="4"/>
  <c r="BP60" i="4"/>
  <c r="BS59" i="4"/>
  <c r="BR59" i="4"/>
  <c r="BQ59" i="4"/>
  <c r="BP59" i="4"/>
  <c r="BS58" i="4"/>
  <c r="BR58" i="4"/>
  <c r="BQ58" i="4"/>
  <c r="BP58" i="4"/>
  <c r="BS57" i="4"/>
  <c r="BR57" i="4"/>
  <c r="BQ57" i="4"/>
  <c r="BP57" i="4"/>
  <c r="BS56" i="4"/>
  <c r="BR56" i="4"/>
  <c r="BQ56" i="4"/>
  <c r="BP56" i="4"/>
  <c r="BS55" i="4"/>
  <c r="BR55" i="4"/>
  <c r="BQ55" i="4"/>
  <c r="BP55" i="4"/>
  <c r="BS54" i="4"/>
  <c r="BR54" i="4"/>
  <c r="BQ54" i="4"/>
  <c r="BP54" i="4"/>
  <c r="BS53" i="4"/>
  <c r="BR53" i="4"/>
  <c r="BQ53" i="4"/>
  <c r="BP53" i="4"/>
  <c r="BS52" i="4"/>
  <c r="BR52" i="4"/>
  <c r="BQ52" i="4"/>
  <c r="BP52" i="4"/>
  <c r="BS51" i="4"/>
  <c r="BR51" i="4"/>
  <c r="BQ51" i="4"/>
  <c r="BP51" i="4"/>
  <c r="BS50" i="4"/>
  <c r="BR50" i="4"/>
  <c r="BQ50" i="4"/>
  <c r="BP50" i="4"/>
  <c r="BS49" i="4"/>
  <c r="BR49" i="4"/>
  <c r="BQ49" i="4"/>
  <c r="BP49" i="4"/>
  <c r="BS48" i="4"/>
  <c r="BR48" i="4"/>
  <c r="BQ48" i="4"/>
  <c r="BP48" i="4"/>
  <c r="BS47" i="4"/>
  <c r="BR47" i="4"/>
  <c r="BQ47" i="4"/>
  <c r="BP47" i="4"/>
  <c r="BS46" i="4"/>
  <c r="BR46" i="4"/>
  <c r="BQ46" i="4"/>
  <c r="BP46" i="4"/>
  <c r="BS45" i="4"/>
  <c r="BR45" i="4"/>
  <c r="BQ45" i="4"/>
  <c r="BP45" i="4"/>
  <c r="BS44" i="4"/>
  <c r="BR44" i="4"/>
  <c r="BQ44" i="4"/>
  <c r="BP44" i="4"/>
  <c r="BS43" i="4"/>
  <c r="BR43" i="4"/>
  <c r="BQ43" i="4"/>
  <c r="BP43" i="4"/>
  <c r="BS42" i="4"/>
  <c r="BR42" i="4"/>
  <c r="BQ42" i="4"/>
  <c r="BP42" i="4"/>
  <c r="BS41" i="4"/>
  <c r="BR41" i="4"/>
  <c r="BQ41" i="4"/>
  <c r="BP41" i="4"/>
  <c r="BS40" i="4"/>
  <c r="BR40" i="4"/>
  <c r="BQ40" i="4"/>
  <c r="BP40" i="4"/>
  <c r="BS39" i="4"/>
  <c r="BR39" i="4"/>
  <c r="BQ39" i="4"/>
  <c r="BP39" i="4"/>
  <c r="BS38" i="4"/>
  <c r="BR38" i="4"/>
  <c r="BQ38" i="4"/>
  <c r="BP38" i="4"/>
  <c r="BS37" i="4"/>
  <c r="BR37" i="4"/>
  <c r="BQ37" i="4"/>
  <c r="BP37" i="4"/>
  <c r="BS36" i="4"/>
  <c r="BR36" i="4"/>
  <c r="BQ36" i="4"/>
  <c r="BP36" i="4"/>
  <c r="BS35" i="4"/>
  <c r="BR35" i="4"/>
  <c r="BQ35" i="4"/>
  <c r="BP35" i="4"/>
  <c r="BS34" i="4"/>
  <c r="BR34" i="4"/>
  <c r="BQ34" i="4"/>
  <c r="BP34" i="4"/>
  <c r="BS33" i="4"/>
  <c r="BR33" i="4"/>
  <c r="BQ33" i="4"/>
  <c r="BP33" i="4"/>
  <c r="BS32" i="4"/>
  <c r="BR32" i="4"/>
  <c r="BQ32" i="4"/>
  <c r="BP32" i="4"/>
  <c r="BS31" i="4"/>
  <c r="BR31" i="4"/>
  <c r="BQ31" i="4"/>
  <c r="BP31" i="4"/>
  <c r="BS30" i="4"/>
  <c r="BR30" i="4"/>
  <c r="BQ30" i="4"/>
  <c r="BP30" i="4"/>
  <c r="BS29" i="4"/>
  <c r="BR29" i="4"/>
  <c r="BQ29" i="4"/>
  <c r="BP29" i="4"/>
  <c r="BS28" i="4"/>
  <c r="BR28" i="4"/>
  <c r="BQ28" i="4"/>
  <c r="BP28" i="4"/>
  <c r="BS27" i="4"/>
  <c r="BR27" i="4"/>
  <c r="BQ27" i="4"/>
  <c r="BP27" i="4"/>
  <c r="BS26" i="4"/>
  <c r="BR26" i="4"/>
  <c r="BQ26" i="4"/>
  <c r="BP26" i="4"/>
  <c r="BS25" i="4"/>
  <c r="BR25" i="4"/>
  <c r="BQ25" i="4"/>
  <c r="BP25" i="4"/>
  <c r="BS24" i="4"/>
  <c r="BR24" i="4"/>
  <c r="BQ24" i="4"/>
  <c r="BP24" i="4"/>
  <c r="BS23" i="4"/>
  <c r="BR23" i="4"/>
  <c r="BQ23" i="4"/>
  <c r="BP23" i="4"/>
  <c r="BS22" i="4"/>
  <c r="BR22" i="4"/>
  <c r="BQ22" i="4"/>
  <c r="BP22" i="4"/>
  <c r="BS21" i="4"/>
  <c r="BR21" i="4"/>
  <c r="BQ21" i="4"/>
  <c r="BP21" i="4"/>
  <c r="BS20" i="4"/>
  <c r="BR20" i="4"/>
  <c r="BQ20" i="4"/>
  <c r="BP20" i="4"/>
  <c r="BS19" i="4"/>
  <c r="BR19" i="4"/>
  <c r="BQ19" i="4"/>
  <c r="BP19" i="4"/>
  <c r="BS18" i="4"/>
  <c r="BR18" i="4"/>
  <c r="BQ18" i="4"/>
  <c r="BP18" i="4"/>
  <c r="BS17" i="4"/>
  <c r="BR17" i="4"/>
  <c r="BQ17" i="4"/>
  <c r="BP17" i="4"/>
  <c r="BS16" i="4"/>
  <c r="BR16" i="4"/>
  <c r="BQ16" i="4"/>
  <c r="BP16" i="4"/>
  <c r="BS15" i="4"/>
  <c r="BR15" i="4"/>
  <c r="BQ15" i="4"/>
  <c r="BP15" i="4"/>
  <c r="BS14" i="4"/>
  <c r="BR14" i="4"/>
  <c r="BQ14" i="4"/>
  <c r="BP14" i="4"/>
  <c r="BS13" i="4"/>
  <c r="BR13" i="4"/>
  <c r="BQ13" i="4"/>
  <c r="BP13" i="4"/>
  <c r="BS12" i="4"/>
  <c r="BR12" i="4"/>
  <c r="BQ12" i="4"/>
  <c r="BP12" i="4"/>
  <c r="BS11" i="4"/>
  <c r="BR11" i="4"/>
  <c r="BQ11" i="4"/>
  <c r="BP11" i="4"/>
  <c r="BS10" i="4"/>
  <c r="BR10" i="4"/>
  <c r="BQ10" i="4"/>
  <c r="BP10" i="4"/>
  <c r="BS9" i="4"/>
  <c r="BR9" i="4"/>
  <c r="BQ9" i="4"/>
  <c r="BP9" i="4"/>
  <c r="BS8" i="4"/>
  <c r="BR8" i="4"/>
  <c r="BQ8" i="4"/>
  <c r="BP8" i="4"/>
  <c r="BS7" i="4"/>
  <c r="BR7" i="4"/>
  <c r="BQ7" i="4"/>
  <c r="BP7" i="4"/>
  <c r="BA459" i="4"/>
  <c r="AZ459" i="4"/>
  <c r="AY459" i="4"/>
  <c r="AX459" i="4"/>
  <c r="AW459" i="4"/>
  <c r="BA458" i="4"/>
  <c r="AZ458" i="4"/>
  <c r="AY458" i="4"/>
  <c r="AX458" i="4"/>
  <c r="AW458" i="4"/>
  <c r="BA457" i="4"/>
  <c r="AZ457" i="4"/>
  <c r="AY457" i="4"/>
  <c r="AX457" i="4"/>
  <c r="AW457" i="4"/>
  <c r="BA456" i="4"/>
  <c r="AZ456" i="4"/>
  <c r="AY456" i="4"/>
  <c r="AX456" i="4"/>
  <c r="AW456" i="4"/>
  <c r="BA455" i="4"/>
  <c r="AZ455" i="4"/>
  <c r="AY455" i="4"/>
  <c r="AX455" i="4"/>
  <c r="AW455" i="4"/>
  <c r="BA454" i="4"/>
  <c r="AZ454" i="4"/>
  <c r="AY454" i="4"/>
  <c r="AX454" i="4"/>
  <c r="BA453" i="4"/>
  <c r="AZ453" i="4"/>
  <c r="AY453" i="4"/>
  <c r="AX453" i="4"/>
  <c r="BA452" i="4"/>
  <c r="AZ452" i="4"/>
  <c r="AY452" i="4"/>
  <c r="AX452" i="4"/>
  <c r="AW452" i="4"/>
  <c r="BA451" i="4"/>
  <c r="AZ451" i="4"/>
  <c r="AY451" i="4"/>
  <c r="AX451" i="4"/>
  <c r="AW451" i="4"/>
  <c r="BA450" i="4"/>
  <c r="AZ450" i="4"/>
  <c r="AY450" i="4"/>
  <c r="AX450" i="4"/>
  <c r="AW450" i="4"/>
  <c r="BA449" i="4"/>
  <c r="AZ449" i="4"/>
  <c r="AY449" i="4"/>
  <c r="AX449" i="4"/>
  <c r="AW449" i="4"/>
  <c r="BA448" i="4"/>
  <c r="AZ448" i="4"/>
  <c r="AY448" i="4"/>
  <c r="AX448" i="4"/>
  <c r="AW448" i="4"/>
  <c r="BA447" i="4"/>
  <c r="AZ447" i="4"/>
  <c r="AY447" i="4"/>
  <c r="AX447" i="4"/>
  <c r="AW447" i="4"/>
  <c r="BA446" i="4"/>
  <c r="AZ446" i="4"/>
  <c r="AY446" i="4"/>
  <c r="AX446" i="4"/>
  <c r="BA445" i="4"/>
  <c r="AZ445" i="4"/>
  <c r="AY445" i="4"/>
  <c r="AX445" i="4"/>
  <c r="AW445" i="4"/>
  <c r="BA444" i="4"/>
  <c r="AZ444" i="4"/>
  <c r="AY444" i="4"/>
  <c r="AX444" i="4"/>
  <c r="AW444" i="4"/>
  <c r="BA443" i="4"/>
  <c r="AZ443" i="4"/>
  <c r="AY443" i="4"/>
  <c r="AX443" i="4"/>
  <c r="AW443" i="4"/>
  <c r="BA442" i="4"/>
  <c r="AZ442" i="4"/>
  <c r="AY442" i="4"/>
  <c r="AX442" i="4"/>
  <c r="AW442" i="4"/>
  <c r="BA441" i="4"/>
  <c r="AZ441" i="4"/>
  <c r="AY441" i="4"/>
  <c r="AX441" i="4"/>
  <c r="AW441" i="4"/>
  <c r="BA440" i="4"/>
  <c r="AZ440" i="4"/>
  <c r="AY440" i="4"/>
  <c r="AX440" i="4"/>
  <c r="AW440" i="4"/>
  <c r="BA439" i="4"/>
  <c r="AZ439" i="4"/>
  <c r="AY439" i="4"/>
  <c r="AX439" i="4"/>
  <c r="AW439" i="4"/>
  <c r="BA438" i="4"/>
  <c r="AZ438" i="4"/>
  <c r="AY438" i="4"/>
  <c r="AX438" i="4"/>
  <c r="AW438" i="4"/>
  <c r="BA437" i="4"/>
  <c r="AZ437" i="4"/>
  <c r="AY437" i="4"/>
  <c r="AX437" i="4"/>
  <c r="AW437" i="4"/>
  <c r="BA436" i="4"/>
  <c r="AZ436" i="4"/>
  <c r="AY436" i="4"/>
  <c r="AX436" i="4"/>
  <c r="AW436" i="4"/>
  <c r="BA435" i="4"/>
  <c r="AZ435" i="4"/>
  <c r="AY435" i="4"/>
  <c r="AX435" i="4"/>
  <c r="AW435" i="4"/>
  <c r="BA434" i="4"/>
  <c r="AZ434" i="4"/>
  <c r="AY434" i="4"/>
  <c r="AX434" i="4"/>
  <c r="AW434" i="4"/>
  <c r="BA433" i="4"/>
  <c r="AZ433" i="4"/>
  <c r="AY433" i="4"/>
  <c r="AX433" i="4"/>
  <c r="AW433" i="4"/>
  <c r="BA432" i="4"/>
  <c r="AZ432" i="4"/>
  <c r="AY432" i="4"/>
  <c r="AX432" i="4"/>
  <c r="AW432" i="4"/>
  <c r="BA431" i="4"/>
  <c r="AZ431" i="4"/>
  <c r="AY431" i="4"/>
  <c r="AX431" i="4"/>
  <c r="AW431" i="4"/>
  <c r="BA430" i="4"/>
  <c r="AZ430" i="4"/>
  <c r="AY430" i="4"/>
  <c r="AX430" i="4"/>
  <c r="AW430" i="4"/>
  <c r="BA429" i="4"/>
  <c r="AZ429" i="4"/>
  <c r="AY429" i="4"/>
  <c r="AX429" i="4"/>
  <c r="AW429" i="4"/>
  <c r="BA428" i="4"/>
  <c r="AZ428" i="4"/>
  <c r="AY428" i="4"/>
  <c r="AX428" i="4"/>
  <c r="AW428" i="4"/>
  <c r="BA427" i="4"/>
  <c r="AZ427" i="4"/>
  <c r="AY427" i="4"/>
  <c r="AX427" i="4"/>
  <c r="AW427" i="4"/>
  <c r="BA426" i="4"/>
  <c r="AZ426" i="4"/>
  <c r="AY426" i="4"/>
  <c r="AX426" i="4"/>
  <c r="AW426" i="4"/>
  <c r="BA425" i="4"/>
  <c r="AZ425" i="4"/>
  <c r="AY425" i="4"/>
  <c r="AX425" i="4"/>
  <c r="AW425" i="4"/>
  <c r="BA424" i="4"/>
  <c r="AZ424" i="4"/>
  <c r="AY424" i="4"/>
  <c r="AX424" i="4"/>
  <c r="AW424" i="4"/>
  <c r="BA423" i="4"/>
  <c r="AZ423" i="4"/>
  <c r="AY423" i="4"/>
  <c r="AX423" i="4"/>
  <c r="AW423" i="4"/>
  <c r="BA422" i="4"/>
  <c r="AZ422" i="4"/>
  <c r="AY422" i="4"/>
  <c r="AX422" i="4"/>
  <c r="AW422" i="4"/>
  <c r="BA421" i="4"/>
  <c r="AZ421" i="4"/>
  <c r="AY421" i="4"/>
  <c r="AX421" i="4"/>
  <c r="AW421" i="4"/>
  <c r="BA420" i="4"/>
  <c r="AZ420" i="4"/>
  <c r="AY420" i="4"/>
  <c r="AX420" i="4"/>
  <c r="AW420" i="4"/>
  <c r="BA419" i="4"/>
  <c r="AZ419" i="4"/>
  <c r="AY419" i="4"/>
  <c r="AX419" i="4"/>
  <c r="AW419" i="4"/>
  <c r="BA418" i="4"/>
  <c r="AZ418" i="4"/>
  <c r="AY418" i="4"/>
  <c r="AX418" i="4"/>
  <c r="AW418" i="4"/>
  <c r="BA417" i="4"/>
  <c r="AZ417" i="4"/>
  <c r="AY417" i="4"/>
  <c r="AX417" i="4"/>
  <c r="AW417" i="4"/>
  <c r="BA416" i="4"/>
  <c r="AZ416" i="4"/>
  <c r="AY416" i="4"/>
  <c r="AX416" i="4"/>
  <c r="AW416" i="4"/>
  <c r="BA415" i="4"/>
  <c r="AZ415" i="4"/>
  <c r="AY415" i="4"/>
  <c r="AX415" i="4"/>
  <c r="AW415" i="4"/>
  <c r="BA414" i="4"/>
  <c r="AZ414" i="4"/>
  <c r="AY414" i="4"/>
  <c r="AX414" i="4"/>
  <c r="AW414" i="4"/>
  <c r="BA413" i="4"/>
  <c r="AZ413" i="4"/>
  <c r="AY413" i="4"/>
  <c r="AX413" i="4"/>
  <c r="AW413" i="4"/>
  <c r="BA412" i="4"/>
  <c r="AZ412" i="4"/>
  <c r="AY412" i="4"/>
  <c r="AX412" i="4"/>
  <c r="AW412" i="4"/>
  <c r="BA411" i="4"/>
  <c r="AZ411" i="4"/>
  <c r="AY411" i="4"/>
  <c r="AX411" i="4"/>
  <c r="AW411" i="4"/>
  <c r="BA410" i="4"/>
  <c r="AZ410" i="4"/>
  <c r="AY410" i="4"/>
  <c r="AX410" i="4"/>
  <c r="AW410" i="4"/>
  <c r="BA409" i="4"/>
  <c r="AZ409" i="4"/>
  <c r="AY409" i="4"/>
  <c r="AX409" i="4"/>
  <c r="AW409" i="4"/>
  <c r="BA408" i="4"/>
  <c r="AZ408" i="4"/>
  <c r="AY408" i="4"/>
  <c r="AX408" i="4"/>
  <c r="AW408" i="4"/>
  <c r="BA407" i="4"/>
  <c r="AZ407" i="4"/>
  <c r="AY407" i="4"/>
  <c r="AX407" i="4"/>
  <c r="AW407" i="4"/>
  <c r="BA406" i="4"/>
  <c r="AZ406" i="4"/>
  <c r="AY406" i="4"/>
  <c r="AX406" i="4"/>
  <c r="AW406" i="4"/>
  <c r="BA405" i="4"/>
  <c r="AZ405" i="4"/>
  <c r="AY405" i="4"/>
  <c r="AX405" i="4"/>
  <c r="AW405" i="4"/>
  <c r="BA404" i="4"/>
  <c r="AZ404" i="4"/>
  <c r="AY404" i="4"/>
  <c r="AX404" i="4"/>
  <c r="AW404" i="4"/>
  <c r="BA403" i="4"/>
  <c r="AZ403" i="4"/>
  <c r="AY403" i="4"/>
  <c r="AX403" i="4"/>
  <c r="AW403" i="4"/>
  <c r="BA402" i="4"/>
  <c r="AZ402" i="4"/>
  <c r="AY402" i="4"/>
  <c r="AX402" i="4"/>
  <c r="AW402" i="4"/>
  <c r="BA401" i="4"/>
  <c r="AZ401" i="4"/>
  <c r="AY401" i="4"/>
  <c r="AX401" i="4"/>
  <c r="AW401" i="4"/>
  <c r="BA400" i="4"/>
  <c r="AZ400" i="4"/>
  <c r="AY400" i="4"/>
  <c r="AX400" i="4"/>
  <c r="AW400" i="4"/>
  <c r="BA399" i="4"/>
  <c r="AZ399" i="4"/>
  <c r="AY399" i="4"/>
  <c r="AX399" i="4"/>
  <c r="AW399" i="4"/>
  <c r="BA398" i="4"/>
  <c r="AZ398" i="4"/>
  <c r="AY398" i="4"/>
  <c r="AX398" i="4"/>
  <c r="AW398" i="4"/>
  <c r="BA397" i="4"/>
  <c r="AZ397" i="4"/>
  <c r="AY397" i="4"/>
  <c r="AX397" i="4"/>
  <c r="AW397" i="4"/>
  <c r="BA396" i="4"/>
  <c r="AZ396" i="4"/>
  <c r="AY396" i="4"/>
  <c r="AX396" i="4"/>
  <c r="AW396" i="4"/>
  <c r="BA395" i="4"/>
  <c r="AZ395" i="4"/>
  <c r="AY395" i="4"/>
  <c r="AX395" i="4"/>
  <c r="AW395" i="4"/>
  <c r="BA394" i="4"/>
  <c r="AZ394" i="4"/>
  <c r="AY394" i="4"/>
  <c r="AX394" i="4"/>
  <c r="AW394" i="4"/>
  <c r="BA393" i="4"/>
  <c r="AZ393" i="4"/>
  <c r="AY393" i="4"/>
  <c r="AX393" i="4"/>
  <c r="AW393" i="4"/>
  <c r="BA392" i="4"/>
  <c r="AZ392" i="4"/>
  <c r="AY392" i="4"/>
  <c r="AX392" i="4"/>
  <c r="AW392" i="4"/>
  <c r="BA391" i="4"/>
  <c r="AZ391" i="4"/>
  <c r="AY391" i="4"/>
  <c r="AX391" i="4"/>
  <c r="AW391" i="4"/>
  <c r="BA390" i="4"/>
  <c r="AZ390" i="4"/>
  <c r="AY390" i="4"/>
  <c r="AX390" i="4"/>
  <c r="AW390" i="4"/>
  <c r="BA389" i="4"/>
  <c r="AZ389" i="4"/>
  <c r="AY389" i="4"/>
  <c r="AX389" i="4"/>
  <c r="AW389" i="4"/>
  <c r="BA388" i="4"/>
  <c r="AZ388" i="4"/>
  <c r="AY388" i="4"/>
  <c r="AX388" i="4"/>
  <c r="AW388" i="4"/>
  <c r="BA387" i="4"/>
  <c r="AZ387" i="4"/>
  <c r="AY387" i="4"/>
  <c r="AX387" i="4"/>
  <c r="AW387" i="4"/>
  <c r="BA386" i="4"/>
  <c r="AZ386" i="4"/>
  <c r="AY386" i="4"/>
  <c r="AX386" i="4"/>
  <c r="AW386" i="4"/>
  <c r="BA385" i="4"/>
  <c r="AZ385" i="4"/>
  <c r="AY385" i="4"/>
  <c r="AX385" i="4"/>
  <c r="AW385" i="4"/>
  <c r="BA384" i="4"/>
  <c r="AZ384" i="4"/>
  <c r="AY384" i="4"/>
  <c r="AX384" i="4"/>
  <c r="AW384" i="4"/>
  <c r="BA383" i="4"/>
  <c r="AZ383" i="4"/>
  <c r="AY383" i="4"/>
  <c r="AX383" i="4"/>
  <c r="AW383" i="4"/>
  <c r="BA382" i="4"/>
  <c r="AZ382" i="4"/>
  <c r="AY382" i="4"/>
  <c r="AX382" i="4"/>
  <c r="AW382" i="4"/>
  <c r="BA381" i="4"/>
  <c r="AZ381" i="4"/>
  <c r="AY381" i="4"/>
  <c r="AX381" i="4"/>
  <c r="AW381" i="4"/>
  <c r="BA380" i="4"/>
  <c r="AZ380" i="4"/>
  <c r="AY380" i="4"/>
  <c r="AX380" i="4"/>
  <c r="AW380" i="4"/>
  <c r="BA379" i="4"/>
  <c r="AZ379" i="4"/>
  <c r="AY379" i="4"/>
  <c r="AX379" i="4"/>
  <c r="AW379" i="4"/>
  <c r="BA378" i="4"/>
  <c r="AZ378" i="4"/>
  <c r="AY378" i="4"/>
  <c r="AX378" i="4"/>
  <c r="AW378" i="4"/>
  <c r="BA377" i="4"/>
  <c r="AZ377" i="4"/>
  <c r="AY377" i="4"/>
  <c r="AX377" i="4"/>
  <c r="AW377" i="4"/>
  <c r="BA376" i="4"/>
  <c r="AZ376" i="4"/>
  <c r="AY376" i="4"/>
  <c r="AX376" i="4"/>
  <c r="AW376" i="4"/>
  <c r="BA375" i="4"/>
  <c r="AZ375" i="4"/>
  <c r="AY375" i="4"/>
  <c r="AX375" i="4"/>
  <c r="AW375" i="4"/>
  <c r="BA374" i="4"/>
  <c r="AZ374" i="4"/>
  <c r="AY374" i="4"/>
  <c r="AX374" i="4"/>
  <c r="AW374" i="4"/>
  <c r="BA373" i="4"/>
  <c r="AZ373" i="4"/>
  <c r="AY373" i="4"/>
  <c r="AX373" i="4"/>
  <c r="AW373" i="4"/>
  <c r="BA372" i="4"/>
  <c r="AZ372" i="4"/>
  <c r="AY372" i="4"/>
  <c r="AX372" i="4"/>
  <c r="AW372" i="4"/>
  <c r="BA371" i="4"/>
  <c r="AZ371" i="4"/>
  <c r="AY371" i="4"/>
  <c r="AX371" i="4"/>
  <c r="AW371" i="4"/>
  <c r="BA370" i="4"/>
  <c r="AZ370" i="4"/>
  <c r="AY370" i="4"/>
  <c r="AX370" i="4"/>
  <c r="AW370" i="4"/>
  <c r="BA369" i="4"/>
  <c r="AZ369" i="4"/>
  <c r="AY369" i="4"/>
  <c r="AX369" i="4"/>
  <c r="AW369" i="4"/>
  <c r="BA368" i="4"/>
  <c r="AZ368" i="4"/>
  <c r="AY368" i="4"/>
  <c r="AX368" i="4"/>
  <c r="AW368" i="4"/>
  <c r="BA367" i="4"/>
  <c r="AZ367" i="4"/>
  <c r="AY367" i="4"/>
  <c r="AX367" i="4"/>
  <c r="AW367" i="4"/>
  <c r="BA366" i="4"/>
  <c r="AZ366" i="4"/>
  <c r="AY366" i="4"/>
  <c r="AX366" i="4"/>
  <c r="AW366" i="4"/>
  <c r="BA365" i="4"/>
  <c r="AZ365" i="4"/>
  <c r="AY365" i="4"/>
  <c r="AX365" i="4"/>
  <c r="AW365" i="4"/>
  <c r="BA364" i="4"/>
  <c r="AZ364" i="4"/>
  <c r="AY364" i="4"/>
  <c r="AX364" i="4"/>
  <c r="AW364" i="4"/>
  <c r="BA363" i="4"/>
  <c r="AZ363" i="4"/>
  <c r="AY363" i="4"/>
  <c r="AX363" i="4"/>
  <c r="AW363" i="4"/>
  <c r="BA362" i="4"/>
  <c r="AZ362" i="4"/>
  <c r="AY362" i="4"/>
  <c r="AX362" i="4"/>
  <c r="AW362" i="4"/>
  <c r="BA361" i="4"/>
  <c r="AZ361" i="4"/>
  <c r="AY361" i="4"/>
  <c r="AX361" i="4"/>
  <c r="AW361" i="4"/>
  <c r="BA360" i="4"/>
  <c r="AZ360" i="4"/>
  <c r="AY360" i="4"/>
  <c r="AX360" i="4"/>
  <c r="AW360" i="4"/>
  <c r="BA359" i="4"/>
  <c r="AZ359" i="4"/>
  <c r="AY359" i="4"/>
  <c r="AX359" i="4"/>
  <c r="AW359" i="4"/>
  <c r="BA358" i="4"/>
  <c r="AZ358" i="4"/>
  <c r="AY358" i="4"/>
  <c r="AX358" i="4"/>
  <c r="AW358" i="4"/>
  <c r="BA357" i="4"/>
  <c r="AZ357" i="4"/>
  <c r="AY357" i="4"/>
  <c r="AX357" i="4"/>
  <c r="AW357" i="4"/>
  <c r="BA356" i="4"/>
  <c r="AZ356" i="4"/>
  <c r="AY356" i="4"/>
  <c r="AX356" i="4"/>
  <c r="AW356" i="4"/>
  <c r="BA355" i="4"/>
  <c r="AZ355" i="4"/>
  <c r="AY355" i="4"/>
  <c r="AX355" i="4"/>
  <c r="AW355" i="4"/>
  <c r="BA354" i="4"/>
  <c r="AZ354" i="4"/>
  <c r="AY354" i="4"/>
  <c r="AX354" i="4"/>
  <c r="AW354" i="4"/>
  <c r="BA353" i="4"/>
  <c r="AZ353" i="4"/>
  <c r="AY353" i="4"/>
  <c r="AX353" i="4"/>
  <c r="AW353" i="4"/>
  <c r="BA352" i="4"/>
  <c r="AZ352" i="4"/>
  <c r="AY352" i="4"/>
  <c r="AX352" i="4"/>
  <c r="AW352" i="4"/>
  <c r="BA351" i="4"/>
  <c r="AZ351" i="4"/>
  <c r="AY351" i="4"/>
  <c r="AX351" i="4"/>
  <c r="AW351" i="4"/>
  <c r="BA350" i="4"/>
  <c r="AZ350" i="4"/>
  <c r="AY350" i="4"/>
  <c r="AX350" i="4"/>
  <c r="AW350" i="4"/>
  <c r="BA349" i="4"/>
  <c r="AZ349" i="4"/>
  <c r="AY349" i="4"/>
  <c r="AX349" i="4"/>
  <c r="AW349" i="4"/>
  <c r="BA348" i="4"/>
  <c r="AZ348" i="4"/>
  <c r="AY348" i="4"/>
  <c r="AX348" i="4"/>
  <c r="AW348" i="4"/>
  <c r="BA347" i="4"/>
  <c r="AZ347" i="4"/>
  <c r="AY347" i="4"/>
  <c r="AX347" i="4"/>
  <c r="AW347" i="4"/>
  <c r="BA346" i="4"/>
  <c r="AZ346" i="4"/>
  <c r="AY346" i="4"/>
  <c r="AX346" i="4"/>
  <c r="AW346" i="4"/>
  <c r="BA345" i="4"/>
  <c r="AZ345" i="4"/>
  <c r="AY345" i="4"/>
  <c r="AX345" i="4"/>
  <c r="AW345" i="4"/>
  <c r="BA344" i="4"/>
  <c r="AZ344" i="4"/>
  <c r="AY344" i="4"/>
  <c r="AX344" i="4"/>
  <c r="AW344" i="4"/>
  <c r="BA343" i="4"/>
  <c r="AZ343" i="4"/>
  <c r="AY343" i="4"/>
  <c r="AX343" i="4"/>
  <c r="AW343" i="4"/>
  <c r="BA342" i="4"/>
  <c r="AZ342" i="4"/>
  <c r="AY342" i="4"/>
  <c r="AX342" i="4"/>
  <c r="AW342" i="4"/>
  <c r="BA341" i="4"/>
  <c r="AZ341" i="4"/>
  <c r="AY341" i="4"/>
  <c r="AX341" i="4"/>
  <c r="AW341" i="4"/>
  <c r="BA340" i="4"/>
  <c r="AZ340" i="4"/>
  <c r="AY340" i="4"/>
  <c r="AX340" i="4"/>
  <c r="AW340" i="4"/>
  <c r="BA339" i="4"/>
  <c r="AZ339" i="4"/>
  <c r="AY339" i="4"/>
  <c r="AX339" i="4"/>
  <c r="AW339" i="4"/>
  <c r="BA338" i="4"/>
  <c r="AZ338" i="4"/>
  <c r="AY338" i="4"/>
  <c r="AX338" i="4"/>
  <c r="AW338" i="4"/>
  <c r="BA337" i="4"/>
  <c r="AZ337" i="4"/>
  <c r="AY337" i="4"/>
  <c r="AX337" i="4"/>
  <c r="AW337" i="4"/>
  <c r="BA336" i="4"/>
  <c r="AZ336" i="4"/>
  <c r="AY336" i="4"/>
  <c r="AX336" i="4"/>
  <c r="AW336" i="4"/>
  <c r="BA335" i="4"/>
  <c r="AZ335" i="4"/>
  <c r="AY335" i="4"/>
  <c r="AX335" i="4"/>
  <c r="AW335" i="4"/>
  <c r="BA334" i="4"/>
  <c r="AZ334" i="4"/>
  <c r="AY334" i="4"/>
  <c r="AX334" i="4"/>
  <c r="AW334" i="4"/>
  <c r="BA333" i="4"/>
  <c r="AZ333" i="4"/>
  <c r="AY333" i="4"/>
  <c r="AX333" i="4"/>
  <c r="AW333" i="4"/>
  <c r="BA332" i="4"/>
  <c r="AZ332" i="4"/>
  <c r="AY332" i="4"/>
  <c r="AX332" i="4"/>
  <c r="AW332" i="4"/>
  <c r="BA331" i="4"/>
  <c r="AZ331" i="4"/>
  <c r="AY331" i="4"/>
  <c r="AX331" i="4"/>
  <c r="AW331" i="4"/>
  <c r="BA330" i="4"/>
  <c r="AZ330" i="4"/>
  <c r="AY330" i="4"/>
  <c r="AX330" i="4"/>
  <c r="AW330" i="4"/>
  <c r="BA329" i="4"/>
  <c r="AZ329" i="4"/>
  <c r="AY329" i="4"/>
  <c r="AX329" i="4"/>
  <c r="AW329" i="4"/>
  <c r="BA328" i="4"/>
  <c r="AZ328" i="4"/>
  <c r="AY328" i="4"/>
  <c r="AX328" i="4"/>
  <c r="AW328" i="4"/>
  <c r="BA327" i="4"/>
  <c r="AZ327" i="4"/>
  <c r="AY327" i="4"/>
  <c r="AX327" i="4"/>
  <c r="AW327" i="4"/>
  <c r="BA326" i="4"/>
  <c r="AZ326" i="4"/>
  <c r="AY326" i="4"/>
  <c r="AX326" i="4"/>
  <c r="AW326" i="4"/>
  <c r="BA325" i="4"/>
  <c r="AZ325" i="4"/>
  <c r="AY325" i="4"/>
  <c r="AX325" i="4"/>
  <c r="AW325" i="4"/>
  <c r="BA324" i="4"/>
  <c r="AZ324" i="4"/>
  <c r="AY324" i="4"/>
  <c r="AX324" i="4"/>
  <c r="AW324" i="4"/>
  <c r="BA323" i="4"/>
  <c r="AZ323" i="4"/>
  <c r="AY323" i="4"/>
  <c r="AX323" i="4"/>
  <c r="AW323" i="4"/>
  <c r="BA322" i="4"/>
  <c r="AZ322" i="4"/>
  <c r="AY322" i="4"/>
  <c r="AX322" i="4"/>
  <c r="AW322" i="4"/>
  <c r="BA321" i="4"/>
  <c r="AZ321" i="4"/>
  <c r="AY321" i="4"/>
  <c r="AX321" i="4"/>
  <c r="AW321" i="4"/>
  <c r="BA320" i="4"/>
  <c r="AZ320" i="4"/>
  <c r="AY320" i="4"/>
  <c r="AX320" i="4"/>
  <c r="AW320" i="4"/>
  <c r="BA319" i="4"/>
  <c r="AZ319" i="4"/>
  <c r="AY319" i="4"/>
  <c r="AX319" i="4"/>
  <c r="AW319" i="4"/>
  <c r="BA318" i="4"/>
  <c r="AZ318" i="4"/>
  <c r="AY318" i="4"/>
  <c r="AX318" i="4"/>
  <c r="AW318" i="4"/>
  <c r="BA317" i="4"/>
  <c r="AZ317" i="4"/>
  <c r="AY317" i="4"/>
  <c r="AX317" i="4"/>
  <c r="AW317" i="4"/>
  <c r="BA316" i="4"/>
  <c r="AZ316" i="4"/>
  <c r="AY316" i="4"/>
  <c r="AX316" i="4"/>
  <c r="AW316" i="4"/>
  <c r="BA315" i="4"/>
  <c r="AZ315" i="4"/>
  <c r="AY315" i="4"/>
  <c r="AX315" i="4"/>
  <c r="AW315" i="4"/>
  <c r="BA314" i="4"/>
  <c r="AZ314" i="4"/>
  <c r="AY314" i="4"/>
  <c r="AX314" i="4"/>
  <c r="AW314" i="4"/>
  <c r="BA313" i="4"/>
  <c r="AZ313" i="4"/>
  <c r="AY313" i="4"/>
  <c r="AX313" i="4"/>
  <c r="AW313" i="4"/>
  <c r="BA312" i="4"/>
  <c r="AZ312" i="4"/>
  <c r="AY312" i="4"/>
  <c r="AX312" i="4"/>
  <c r="AW312" i="4"/>
  <c r="BA311" i="4"/>
  <c r="AZ311" i="4"/>
  <c r="AY311" i="4"/>
  <c r="AX311" i="4"/>
  <c r="AW311" i="4"/>
  <c r="BA310" i="4"/>
  <c r="AZ310" i="4"/>
  <c r="AY310" i="4"/>
  <c r="AX310" i="4"/>
  <c r="AW310" i="4"/>
  <c r="BA309" i="4"/>
  <c r="AZ309" i="4"/>
  <c r="AY309" i="4"/>
  <c r="AX309" i="4"/>
  <c r="AW309" i="4"/>
  <c r="BA308" i="4"/>
  <c r="AZ308" i="4"/>
  <c r="AY308" i="4"/>
  <c r="AX308" i="4"/>
  <c r="AW308" i="4"/>
  <c r="BA307" i="4"/>
  <c r="AZ307" i="4"/>
  <c r="AY307" i="4"/>
  <c r="AX307" i="4"/>
  <c r="AW307" i="4"/>
  <c r="BA306" i="4"/>
  <c r="AZ306" i="4"/>
  <c r="AY306" i="4"/>
  <c r="AX306" i="4"/>
  <c r="AW306" i="4"/>
  <c r="BA305" i="4"/>
  <c r="AZ305" i="4"/>
  <c r="AY305" i="4"/>
  <c r="AX305" i="4"/>
  <c r="AW305" i="4"/>
  <c r="BA304" i="4"/>
  <c r="AZ304" i="4"/>
  <c r="AY304" i="4"/>
  <c r="AX304" i="4"/>
  <c r="AW304" i="4"/>
  <c r="BA303" i="4"/>
  <c r="AZ303" i="4"/>
  <c r="AY303" i="4"/>
  <c r="AX303" i="4"/>
  <c r="AW303" i="4"/>
  <c r="BA302" i="4"/>
  <c r="AZ302" i="4"/>
  <c r="AY302" i="4"/>
  <c r="AX302" i="4"/>
  <c r="AW302" i="4"/>
  <c r="BA301" i="4"/>
  <c r="AZ301" i="4"/>
  <c r="AY301" i="4"/>
  <c r="AX301" i="4"/>
  <c r="AW301" i="4"/>
  <c r="BA300" i="4"/>
  <c r="AZ300" i="4"/>
  <c r="AY300" i="4"/>
  <c r="AX300" i="4"/>
  <c r="AW300" i="4"/>
  <c r="BA299" i="4"/>
  <c r="AZ299" i="4"/>
  <c r="AY299" i="4"/>
  <c r="AX299" i="4"/>
  <c r="AW299" i="4"/>
  <c r="BA298" i="4"/>
  <c r="AZ298" i="4"/>
  <c r="AY298" i="4"/>
  <c r="AX298" i="4"/>
  <c r="AW298" i="4"/>
  <c r="BA297" i="4"/>
  <c r="AZ297" i="4"/>
  <c r="AY297" i="4"/>
  <c r="AX297" i="4"/>
  <c r="AW297" i="4"/>
  <c r="BA296" i="4"/>
  <c r="AZ296" i="4"/>
  <c r="AY296" i="4"/>
  <c r="AX296" i="4"/>
  <c r="AW296" i="4"/>
  <c r="BA295" i="4"/>
  <c r="AZ295" i="4"/>
  <c r="AY295" i="4"/>
  <c r="AX295" i="4"/>
  <c r="AW295" i="4"/>
  <c r="BA294" i="4"/>
  <c r="AZ294" i="4"/>
  <c r="AY294" i="4"/>
  <c r="AX294" i="4"/>
  <c r="AW294" i="4"/>
  <c r="BA293" i="4"/>
  <c r="AZ293" i="4"/>
  <c r="AY293" i="4"/>
  <c r="AX293" i="4"/>
  <c r="AW293" i="4"/>
  <c r="BA292" i="4"/>
  <c r="AZ292" i="4"/>
  <c r="AY292" i="4"/>
  <c r="AX292" i="4"/>
  <c r="AW292" i="4"/>
  <c r="BA291" i="4"/>
  <c r="AZ291" i="4"/>
  <c r="AY291" i="4"/>
  <c r="AX291" i="4"/>
  <c r="AW291" i="4"/>
  <c r="BA290" i="4"/>
  <c r="AZ290" i="4"/>
  <c r="AY290" i="4"/>
  <c r="AX290" i="4"/>
  <c r="AW290" i="4"/>
  <c r="BA289" i="4"/>
  <c r="AZ289" i="4"/>
  <c r="AY289" i="4"/>
  <c r="AX289" i="4"/>
  <c r="AW289" i="4"/>
  <c r="BA288" i="4"/>
  <c r="AZ288" i="4"/>
  <c r="AY288" i="4"/>
  <c r="AX288" i="4"/>
  <c r="AW288" i="4"/>
  <c r="BA287" i="4"/>
  <c r="AZ287" i="4"/>
  <c r="AY287" i="4"/>
  <c r="AX287" i="4"/>
  <c r="AW287" i="4"/>
  <c r="BA286" i="4"/>
  <c r="AZ286" i="4"/>
  <c r="AY286" i="4"/>
  <c r="AX286" i="4"/>
  <c r="AW286" i="4"/>
  <c r="BA285" i="4"/>
  <c r="AZ285" i="4"/>
  <c r="AY285" i="4"/>
  <c r="AX285" i="4"/>
  <c r="AW285" i="4"/>
  <c r="BA284" i="4"/>
  <c r="AZ284" i="4"/>
  <c r="AY284" i="4"/>
  <c r="AX284" i="4"/>
  <c r="AW284" i="4"/>
  <c r="BA283" i="4"/>
  <c r="AZ283" i="4"/>
  <c r="AY283" i="4"/>
  <c r="AX283" i="4"/>
  <c r="AW283" i="4"/>
  <c r="BA282" i="4"/>
  <c r="AZ282" i="4"/>
  <c r="AY282" i="4"/>
  <c r="AX282" i="4"/>
  <c r="AW282" i="4"/>
  <c r="BA281" i="4"/>
  <c r="AZ281" i="4"/>
  <c r="AY281" i="4"/>
  <c r="AX281" i="4"/>
  <c r="AW281" i="4"/>
  <c r="BA280" i="4"/>
  <c r="AZ280" i="4"/>
  <c r="AY280" i="4"/>
  <c r="AX280" i="4"/>
  <c r="AW280" i="4"/>
  <c r="BA279" i="4"/>
  <c r="AZ279" i="4"/>
  <c r="AY279" i="4"/>
  <c r="AX279" i="4"/>
  <c r="AW279" i="4"/>
  <c r="BA278" i="4"/>
  <c r="AZ278" i="4"/>
  <c r="AY278" i="4"/>
  <c r="AX278" i="4"/>
  <c r="AW278" i="4"/>
  <c r="BA277" i="4"/>
  <c r="AZ277" i="4"/>
  <c r="AY277" i="4"/>
  <c r="AX277" i="4"/>
  <c r="AW277" i="4"/>
  <c r="BA276" i="4"/>
  <c r="AY276" i="4"/>
  <c r="AX276" i="4"/>
  <c r="AW276" i="4"/>
  <c r="BA275" i="4"/>
  <c r="AZ275" i="4"/>
  <c r="AY275" i="4"/>
  <c r="AX275" i="4"/>
  <c r="AW275" i="4"/>
  <c r="BA274" i="4"/>
  <c r="AZ274" i="4"/>
  <c r="AY274" i="4"/>
  <c r="AX274" i="4"/>
  <c r="AW274" i="4"/>
  <c r="BA273" i="4"/>
  <c r="AZ273" i="4"/>
  <c r="AY273" i="4"/>
  <c r="AX273" i="4"/>
  <c r="AW273" i="4"/>
  <c r="BA272" i="4"/>
  <c r="AZ272" i="4"/>
  <c r="AY272" i="4"/>
  <c r="AX272" i="4"/>
  <c r="AW272" i="4"/>
  <c r="BA271" i="4"/>
  <c r="AZ271" i="4"/>
  <c r="AY271" i="4"/>
  <c r="AX271" i="4"/>
  <c r="AW271" i="4"/>
  <c r="BA270" i="4"/>
  <c r="AZ270" i="4"/>
  <c r="AY270" i="4"/>
  <c r="AX270" i="4"/>
  <c r="AW270" i="4"/>
  <c r="BA269" i="4"/>
  <c r="AZ269" i="4"/>
  <c r="AY269" i="4"/>
  <c r="AX269" i="4"/>
  <c r="AW269" i="4"/>
  <c r="BA268" i="4"/>
  <c r="AZ268" i="4"/>
  <c r="BA267" i="4"/>
  <c r="AZ267" i="4"/>
  <c r="AY267" i="4"/>
  <c r="AX267" i="4"/>
  <c r="AW267" i="4"/>
  <c r="BA266" i="4"/>
  <c r="AY266" i="4"/>
  <c r="AX266" i="4"/>
  <c r="AW266" i="4"/>
  <c r="BA265" i="4"/>
  <c r="AZ265" i="4"/>
  <c r="AY265" i="4"/>
  <c r="AX265" i="4"/>
  <c r="AW265" i="4"/>
  <c r="BA264" i="4"/>
  <c r="AZ264" i="4"/>
  <c r="AY264" i="4"/>
  <c r="AX264" i="4"/>
  <c r="AW264" i="4"/>
  <c r="BA263" i="4"/>
  <c r="AY263" i="4"/>
  <c r="AX263" i="4"/>
  <c r="AW263" i="4"/>
  <c r="BA262" i="4"/>
  <c r="AZ262" i="4"/>
  <c r="AY262" i="4"/>
  <c r="AX262" i="4"/>
  <c r="AW262" i="4"/>
  <c r="BA261" i="4"/>
  <c r="AZ261" i="4"/>
  <c r="AY261" i="4"/>
  <c r="AX261" i="4"/>
  <c r="AW261" i="4"/>
  <c r="BA260" i="4"/>
  <c r="AZ260" i="4"/>
  <c r="AY260" i="4"/>
  <c r="AX260" i="4"/>
  <c r="AW260" i="4"/>
  <c r="BA259" i="4"/>
  <c r="AY259" i="4"/>
  <c r="AX259" i="4"/>
  <c r="AW259" i="4"/>
  <c r="BA258" i="4"/>
  <c r="AZ258" i="4"/>
  <c r="AY258" i="4"/>
  <c r="AX258" i="4"/>
  <c r="AW258" i="4"/>
  <c r="BA257" i="4"/>
  <c r="AZ257" i="4"/>
  <c r="AY257" i="4"/>
  <c r="AX257" i="4"/>
  <c r="AW257" i="4"/>
  <c r="BA256" i="4"/>
  <c r="AZ256" i="4"/>
  <c r="AY256" i="4"/>
  <c r="AX256" i="4"/>
  <c r="AW256" i="4"/>
  <c r="BA255" i="4"/>
  <c r="AZ255" i="4"/>
  <c r="AY255" i="4"/>
  <c r="AX255" i="4"/>
  <c r="AW255" i="4"/>
  <c r="BA254" i="4"/>
  <c r="AZ254" i="4"/>
  <c r="AY254" i="4"/>
  <c r="AX254" i="4"/>
  <c r="AW254" i="4"/>
  <c r="BA253" i="4"/>
  <c r="AZ253" i="4"/>
  <c r="AY253" i="4"/>
  <c r="AX253" i="4"/>
  <c r="AW253" i="4"/>
  <c r="BA252" i="4"/>
  <c r="AZ252" i="4"/>
  <c r="AY252" i="4"/>
  <c r="AX252" i="4"/>
  <c r="AW252" i="4"/>
  <c r="BA251" i="4"/>
  <c r="AZ251" i="4"/>
  <c r="AY251" i="4"/>
  <c r="AX251" i="4"/>
  <c r="AW251" i="4"/>
  <c r="BA250" i="4"/>
  <c r="AZ250" i="4"/>
  <c r="AY250" i="4"/>
  <c r="AX250" i="4"/>
  <c r="AW250" i="4"/>
  <c r="BA249" i="4"/>
  <c r="AZ249" i="4"/>
  <c r="AY249" i="4"/>
  <c r="AX249" i="4"/>
  <c r="AW249" i="4"/>
  <c r="BA248" i="4"/>
  <c r="AZ248" i="4"/>
  <c r="AY248" i="4"/>
  <c r="AX248" i="4"/>
  <c r="AW248" i="4"/>
  <c r="BA247" i="4"/>
  <c r="AZ247" i="4"/>
  <c r="AY247" i="4"/>
  <c r="AX247" i="4"/>
  <c r="AW247" i="4"/>
  <c r="BA246" i="4"/>
  <c r="AZ246" i="4"/>
  <c r="AY246" i="4"/>
  <c r="AX246" i="4"/>
  <c r="AW246" i="4"/>
  <c r="BA245" i="4"/>
  <c r="AZ245" i="4"/>
  <c r="AY245" i="4"/>
  <c r="AX245" i="4"/>
  <c r="AW245" i="4"/>
  <c r="BA244" i="4"/>
  <c r="AZ244" i="4"/>
  <c r="AY244" i="4"/>
  <c r="AX244" i="4"/>
  <c r="AW244" i="4"/>
  <c r="BA243" i="4"/>
  <c r="AZ243" i="4"/>
  <c r="AY243" i="4"/>
  <c r="AX243" i="4"/>
  <c r="AW243" i="4"/>
  <c r="BA242" i="4"/>
  <c r="AY242" i="4"/>
  <c r="AX242" i="4"/>
  <c r="AW242" i="4"/>
  <c r="BA241" i="4"/>
  <c r="AZ241" i="4"/>
  <c r="AY241" i="4"/>
  <c r="AX241" i="4"/>
  <c r="AW241" i="4"/>
  <c r="BA240" i="4"/>
  <c r="AZ240" i="4"/>
  <c r="AY240" i="4"/>
  <c r="AX240" i="4"/>
  <c r="AW240" i="4"/>
  <c r="BA239" i="4"/>
  <c r="AZ239" i="4"/>
  <c r="AY239" i="4"/>
  <c r="AX239" i="4"/>
  <c r="AW239" i="4"/>
  <c r="BA238" i="4"/>
  <c r="AY238" i="4"/>
  <c r="AX238" i="4"/>
  <c r="AW238" i="4"/>
  <c r="BA237" i="4"/>
  <c r="AZ237" i="4"/>
  <c r="AY237" i="4"/>
  <c r="AX237" i="4"/>
  <c r="AW237" i="4"/>
  <c r="BA236" i="4"/>
  <c r="AZ236" i="4"/>
  <c r="AY236" i="4"/>
  <c r="AX236" i="4"/>
  <c r="AW236" i="4"/>
  <c r="BA235" i="4"/>
  <c r="AZ235" i="4"/>
  <c r="AY235" i="4"/>
  <c r="AX235" i="4"/>
  <c r="AW235" i="4"/>
  <c r="BA234" i="4"/>
  <c r="AY234" i="4"/>
  <c r="AX234" i="4"/>
  <c r="AW234" i="4"/>
  <c r="BA233" i="4"/>
  <c r="AY233" i="4"/>
  <c r="AX233" i="4"/>
  <c r="AW233" i="4"/>
  <c r="BA232" i="4"/>
  <c r="AZ232" i="4"/>
  <c r="AY232" i="4"/>
  <c r="AX232" i="4"/>
  <c r="AW232" i="4"/>
  <c r="BA231" i="4"/>
  <c r="AY231" i="4"/>
  <c r="AX231" i="4"/>
  <c r="AW231" i="4"/>
  <c r="BA230" i="4"/>
  <c r="AZ230" i="4"/>
  <c r="AY230" i="4"/>
  <c r="AX230" i="4"/>
  <c r="AW230" i="4"/>
  <c r="BA229" i="4"/>
  <c r="AY229" i="4"/>
  <c r="AX229" i="4"/>
  <c r="AW229" i="4"/>
  <c r="BA228" i="4"/>
  <c r="AY228" i="4"/>
  <c r="AX228" i="4"/>
  <c r="AW228" i="4"/>
  <c r="BA227" i="4"/>
  <c r="AY227" i="4"/>
  <c r="AX227" i="4"/>
  <c r="AW227" i="4"/>
  <c r="BA226" i="4"/>
  <c r="AY226" i="4"/>
  <c r="AX226" i="4"/>
  <c r="AW226" i="4"/>
  <c r="BA225" i="4"/>
  <c r="AY225" i="4"/>
  <c r="AX225" i="4"/>
  <c r="AW225" i="4"/>
  <c r="BA224" i="4"/>
  <c r="AY224" i="4"/>
  <c r="AX224" i="4"/>
  <c r="AW224" i="4"/>
  <c r="BA223" i="4"/>
  <c r="AY223" i="4"/>
  <c r="AX223" i="4"/>
  <c r="AW223" i="4"/>
  <c r="BA222" i="4"/>
  <c r="AY222" i="4"/>
  <c r="AX222" i="4"/>
  <c r="AW222" i="4"/>
  <c r="BA221" i="4"/>
  <c r="AY221" i="4"/>
  <c r="AX221" i="4"/>
  <c r="AW221" i="4"/>
  <c r="BA220" i="4"/>
  <c r="AZ220" i="4"/>
  <c r="AY220" i="4"/>
  <c r="AX220" i="4"/>
  <c r="AW220" i="4"/>
  <c r="BA219" i="4"/>
  <c r="AZ219" i="4"/>
  <c r="AY219" i="4"/>
  <c r="AX219" i="4"/>
  <c r="AW219" i="4"/>
  <c r="BA218" i="4"/>
  <c r="AZ218" i="4"/>
  <c r="AY218" i="4"/>
  <c r="AX218" i="4"/>
  <c r="AW218" i="4"/>
  <c r="BA217" i="4"/>
  <c r="AZ217" i="4"/>
  <c r="AY217" i="4"/>
  <c r="AX217" i="4"/>
  <c r="AW217" i="4"/>
  <c r="BA216" i="4"/>
  <c r="AZ216" i="4"/>
  <c r="AY216" i="4"/>
  <c r="AX216" i="4"/>
  <c r="AW216" i="4"/>
  <c r="BA215" i="4"/>
  <c r="AZ215" i="4"/>
  <c r="AY215" i="4"/>
  <c r="AX215" i="4"/>
  <c r="AW215" i="4"/>
  <c r="BA214" i="4"/>
  <c r="AZ214" i="4"/>
  <c r="AY214" i="4"/>
  <c r="AX214" i="4"/>
  <c r="AW214" i="4"/>
  <c r="BA213" i="4"/>
  <c r="AZ213" i="4"/>
  <c r="AY213" i="4"/>
  <c r="AX213" i="4"/>
  <c r="AW213" i="4"/>
  <c r="BA212" i="4"/>
  <c r="AZ212" i="4"/>
  <c r="AY212" i="4"/>
  <c r="AX212" i="4"/>
  <c r="AW212" i="4"/>
  <c r="BA211" i="4"/>
  <c r="AZ211" i="4"/>
  <c r="AY211" i="4"/>
  <c r="AX211" i="4"/>
  <c r="AW211" i="4"/>
  <c r="BA210" i="4"/>
  <c r="AZ210" i="4"/>
  <c r="AY210" i="4"/>
  <c r="AX210" i="4"/>
  <c r="AW210" i="4"/>
  <c r="BA209" i="4"/>
  <c r="AY209" i="4"/>
  <c r="AX209" i="4"/>
  <c r="AW209" i="4"/>
  <c r="BA208" i="4"/>
  <c r="AZ208" i="4"/>
  <c r="AY208" i="4"/>
  <c r="AX208" i="4"/>
  <c r="AW208" i="4"/>
  <c r="BA207" i="4"/>
  <c r="AZ207" i="4"/>
  <c r="AY207" i="4"/>
  <c r="AX207" i="4"/>
  <c r="AW207" i="4"/>
  <c r="BA206" i="4"/>
  <c r="AZ206" i="4"/>
  <c r="AY206" i="4"/>
  <c r="AX206" i="4"/>
  <c r="AW206" i="4"/>
  <c r="BA205" i="4"/>
  <c r="AZ205" i="4"/>
  <c r="AY205" i="4"/>
  <c r="AX205" i="4"/>
  <c r="AW205" i="4"/>
  <c r="BA204" i="4"/>
  <c r="AZ204" i="4"/>
  <c r="AY204" i="4"/>
  <c r="AX204" i="4"/>
  <c r="AW204" i="4"/>
  <c r="BA203" i="4"/>
  <c r="AZ203" i="4"/>
  <c r="AY203" i="4"/>
  <c r="AX203" i="4"/>
  <c r="AW203" i="4"/>
  <c r="BA202" i="4"/>
  <c r="AZ202" i="4"/>
  <c r="AY202" i="4"/>
  <c r="AX202" i="4"/>
  <c r="AW202" i="4"/>
  <c r="BA201" i="4"/>
  <c r="AZ201" i="4"/>
  <c r="AY201" i="4"/>
  <c r="AX201" i="4"/>
  <c r="AW201" i="4"/>
  <c r="BA200" i="4"/>
  <c r="AZ200" i="4"/>
  <c r="AY200" i="4"/>
  <c r="AX200" i="4"/>
  <c r="AW200" i="4"/>
  <c r="BA199" i="4"/>
  <c r="AZ199" i="4"/>
  <c r="AY199" i="4"/>
  <c r="AX199" i="4"/>
  <c r="AW199" i="4"/>
  <c r="BA198" i="4"/>
  <c r="AZ198" i="4"/>
  <c r="AY198" i="4"/>
  <c r="AX198" i="4"/>
  <c r="AW198" i="4"/>
  <c r="BA197" i="4"/>
  <c r="AZ197" i="4"/>
  <c r="AY197" i="4"/>
  <c r="AX197" i="4"/>
  <c r="AW197" i="4"/>
  <c r="BA196" i="4"/>
  <c r="AZ196" i="4"/>
  <c r="AY196" i="4"/>
  <c r="AX196" i="4"/>
  <c r="AW196" i="4"/>
  <c r="BA195" i="4"/>
  <c r="AZ195" i="4"/>
  <c r="AY195" i="4"/>
  <c r="AX195" i="4"/>
  <c r="AW195" i="4"/>
  <c r="BA194" i="4"/>
  <c r="AZ194" i="4"/>
  <c r="AY194" i="4"/>
  <c r="AX194" i="4"/>
  <c r="AW194" i="4"/>
  <c r="BA193" i="4"/>
  <c r="AZ193" i="4"/>
  <c r="AY193" i="4"/>
  <c r="AX193" i="4"/>
  <c r="AW193" i="4"/>
  <c r="BA192" i="4"/>
  <c r="AZ192" i="4"/>
  <c r="AY192" i="4"/>
  <c r="AX192" i="4"/>
  <c r="AW192" i="4"/>
  <c r="BA191" i="4"/>
  <c r="AZ191" i="4"/>
  <c r="AY191" i="4"/>
  <c r="AX191" i="4"/>
  <c r="AW191" i="4"/>
  <c r="BA190" i="4"/>
  <c r="AZ190" i="4"/>
  <c r="AY190" i="4"/>
  <c r="AX190" i="4"/>
  <c r="AW190" i="4"/>
  <c r="BA189" i="4"/>
  <c r="AZ189" i="4"/>
  <c r="AY189" i="4"/>
  <c r="AX189" i="4"/>
  <c r="AW189" i="4"/>
  <c r="BA188" i="4"/>
  <c r="AZ188" i="4"/>
  <c r="AY188" i="4"/>
  <c r="AX188" i="4"/>
  <c r="AW188" i="4"/>
  <c r="BA187" i="4"/>
  <c r="AZ187" i="4"/>
  <c r="AY187" i="4"/>
  <c r="AX187" i="4"/>
  <c r="AW187" i="4"/>
  <c r="BA186" i="4"/>
  <c r="AZ186" i="4"/>
  <c r="AY186" i="4"/>
  <c r="AX186" i="4"/>
  <c r="AW186" i="4"/>
  <c r="BA185" i="4"/>
  <c r="AZ185" i="4"/>
  <c r="AY185" i="4"/>
  <c r="AX185" i="4"/>
  <c r="AW185" i="4"/>
  <c r="BA184" i="4"/>
  <c r="AZ184" i="4"/>
  <c r="AY184" i="4"/>
  <c r="AX184" i="4"/>
  <c r="AW184" i="4"/>
  <c r="BA183" i="4"/>
  <c r="AZ183" i="4"/>
  <c r="AY183" i="4"/>
  <c r="AX183" i="4"/>
  <c r="AW183" i="4"/>
  <c r="BA182" i="4"/>
  <c r="AZ182" i="4"/>
  <c r="AY182" i="4"/>
  <c r="AX182" i="4"/>
  <c r="AW182" i="4"/>
  <c r="BA181" i="4"/>
  <c r="AZ181" i="4"/>
  <c r="AY181" i="4"/>
  <c r="AX181" i="4"/>
  <c r="AW181" i="4"/>
  <c r="BA180" i="4"/>
  <c r="AZ180" i="4"/>
  <c r="AY180" i="4"/>
  <c r="AX180" i="4"/>
  <c r="AW180" i="4"/>
  <c r="BA179" i="4"/>
  <c r="AZ179" i="4"/>
  <c r="AY179" i="4"/>
  <c r="AX179" i="4"/>
  <c r="AW179" i="4"/>
  <c r="BA178" i="4"/>
  <c r="AZ178" i="4"/>
  <c r="AY178" i="4"/>
  <c r="AX178" i="4"/>
  <c r="AW178" i="4"/>
  <c r="BA177" i="4"/>
  <c r="AZ177" i="4"/>
  <c r="AY177" i="4"/>
  <c r="AX177" i="4"/>
  <c r="AW177" i="4"/>
  <c r="BA176" i="4"/>
  <c r="AZ176" i="4"/>
  <c r="AY176" i="4"/>
  <c r="AX176" i="4"/>
  <c r="AW176" i="4"/>
  <c r="BA175" i="4"/>
  <c r="AZ175" i="4"/>
  <c r="AY175" i="4"/>
  <c r="AX175" i="4"/>
  <c r="AW175" i="4"/>
  <c r="BA174" i="4"/>
  <c r="AZ174" i="4"/>
  <c r="AY174" i="4"/>
  <c r="AX174" i="4"/>
  <c r="AW174" i="4"/>
  <c r="BA173" i="4"/>
  <c r="AZ173" i="4"/>
  <c r="AY173" i="4"/>
  <c r="AX173" i="4"/>
  <c r="AW173" i="4"/>
  <c r="BA172" i="4"/>
  <c r="AZ172" i="4"/>
  <c r="AY172" i="4"/>
  <c r="AX172" i="4"/>
  <c r="AW172" i="4"/>
  <c r="BA171" i="4"/>
  <c r="AZ171" i="4"/>
  <c r="AY171" i="4"/>
  <c r="AX171" i="4"/>
  <c r="AW171" i="4"/>
  <c r="BA170" i="4"/>
  <c r="AZ170" i="4"/>
  <c r="AY170" i="4"/>
  <c r="AX170" i="4"/>
  <c r="AW170" i="4"/>
  <c r="BA169" i="4"/>
  <c r="AZ169" i="4"/>
  <c r="AY169" i="4"/>
  <c r="AX169" i="4"/>
  <c r="AW169" i="4"/>
  <c r="BA168" i="4"/>
  <c r="AZ168" i="4"/>
  <c r="AY168" i="4"/>
  <c r="AX168" i="4"/>
  <c r="AW168" i="4"/>
  <c r="BA167" i="4"/>
  <c r="AZ167" i="4"/>
  <c r="AY167" i="4"/>
  <c r="AX167" i="4"/>
  <c r="AW167" i="4"/>
  <c r="BA166" i="4"/>
  <c r="AZ166" i="4"/>
  <c r="AY166" i="4"/>
  <c r="AX166" i="4"/>
  <c r="AW166" i="4"/>
  <c r="BA165" i="4"/>
  <c r="AZ165" i="4"/>
  <c r="AY165" i="4"/>
  <c r="AX165" i="4"/>
  <c r="AW165" i="4"/>
  <c r="BA164" i="4"/>
  <c r="AZ164" i="4"/>
  <c r="AY164" i="4"/>
  <c r="AX164" i="4"/>
  <c r="AW164" i="4"/>
  <c r="BA163" i="4"/>
  <c r="AZ163" i="4"/>
  <c r="AY163" i="4"/>
  <c r="AX163" i="4"/>
  <c r="AW163" i="4"/>
  <c r="BA162" i="4"/>
  <c r="AZ162" i="4"/>
  <c r="AY162" i="4"/>
  <c r="AX162" i="4"/>
  <c r="AW162" i="4"/>
  <c r="BA161" i="4"/>
  <c r="AZ161" i="4"/>
  <c r="AY161" i="4"/>
  <c r="AX161" i="4"/>
  <c r="AW161" i="4"/>
  <c r="BA160" i="4"/>
  <c r="AZ160" i="4"/>
  <c r="AY160" i="4"/>
  <c r="AX160" i="4"/>
  <c r="AW160" i="4"/>
  <c r="BA159" i="4"/>
  <c r="AZ159" i="4"/>
  <c r="AY159" i="4"/>
  <c r="AX159" i="4"/>
  <c r="AW159" i="4"/>
  <c r="BA158" i="4"/>
  <c r="AZ158" i="4"/>
  <c r="AY158" i="4"/>
  <c r="AX158" i="4"/>
  <c r="AW158" i="4"/>
  <c r="BA157" i="4"/>
  <c r="AZ157" i="4"/>
  <c r="AY157" i="4"/>
  <c r="AX157" i="4"/>
  <c r="AW157" i="4"/>
  <c r="BA156" i="4"/>
  <c r="AZ156" i="4"/>
  <c r="AY156" i="4"/>
  <c r="AX156" i="4"/>
  <c r="AW156" i="4"/>
  <c r="BA155" i="4"/>
  <c r="AZ155" i="4"/>
  <c r="AY155" i="4"/>
  <c r="AX155" i="4"/>
  <c r="AW155" i="4"/>
  <c r="BA154" i="4"/>
  <c r="AZ154" i="4"/>
  <c r="AY154" i="4"/>
  <c r="AX154" i="4"/>
  <c r="AW154" i="4"/>
  <c r="BA153" i="4"/>
  <c r="AZ153" i="4"/>
  <c r="AY153" i="4"/>
  <c r="AX153" i="4"/>
  <c r="AW153" i="4"/>
  <c r="BA152" i="4"/>
  <c r="AZ152" i="4"/>
  <c r="AY152" i="4"/>
  <c r="AX152" i="4"/>
  <c r="AW152" i="4"/>
  <c r="BA151" i="4"/>
  <c r="AZ151" i="4"/>
  <c r="AY151" i="4"/>
  <c r="AX151" i="4"/>
  <c r="AW151" i="4"/>
  <c r="BA150" i="4"/>
  <c r="AZ150" i="4"/>
  <c r="AY150" i="4"/>
  <c r="AX150" i="4"/>
  <c r="AW150" i="4"/>
  <c r="BA149" i="4"/>
  <c r="AZ149" i="4"/>
  <c r="AY149" i="4"/>
  <c r="AX149" i="4"/>
  <c r="AW149" i="4"/>
  <c r="BA148" i="4"/>
  <c r="AZ148" i="4"/>
  <c r="AY148" i="4"/>
  <c r="AX148" i="4"/>
  <c r="AW148" i="4"/>
  <c r="BA147" i="4"/>
  <c r="AY147" i="4"/>
  <c r="AX147" i="4"/>
  <c r="AW147" i="4"/>
  <c r="BA146" i="4"/>
  <c r="AZ146" i="4"/>
  <c r="AY146" i="4"/>
  <c r="AX146" i="4"/>
  <c r="AW146" i="4"/>
  <c r="BA145" i="4"/>
  <c r="AZ145" i="4"/>
  <c r="AY145" i="4"/>
  <c r="AX145" i="4"/>
  <c r="AW145" i="4"/>
  <c r="BA144" i="4"/>
  <c r="AZ144" i="4"/>
  <c r="AY144" i="4"/>
  <c r="AX144" i="4"/>
  <c r="AW144" i="4"/>
  <c r="BA143" i="4"/>
  <c r="AZ143" i="4"/>
  <c r="AY143" i="4"/>
  <c r="AX143" i="4"/>
  <c r="AW143" i="4"/>
  <c r="BA142" i="4"/>
  <c r="AZ142" i="4"/>
  <c r="AY142" i="4"/>
  <c r="AX142" i="4"/>
  <c r="AW142" i="4"/>
  <c r="BA141" i="4"/>
  <c r="AZ141" i="4"/>
  <c r="AY141" i="4"/>
  <c r="AX141" i="4"/>
  <c r="AW141" i="4"/>
  <c r="BA140" i="4"/>
  <c r="AY140" i="4"/>
  <c r="AX140" i="4"/>
  <c r="AW140" i="4"/>
  <c r="BA139" i="4"/>
  <c r="AZ139" i="4"/>
  <c r="AY139" i="4"/>
  <c r="AX139" i="4"/>
  <c r="AW139" i="4"/>
  <c r="BA138" i="4"/>
  <c r="AZ138" i="4"/>
  <c r="AY138" i="4"/>
  <c r="AX138" i="4"/>
  <c r="AW138" i="4"/>
  <c r="BA137" i="4"/>
  <c r="AZ137" i="4"/>
  <c r="AY137" i="4"/>
  <c r="AX137" i="4"/>
  <c r="AW137" i="4"/>
  <c r="BA136" i="4"/>
  <c r="AZ136" i="4"/>
  <c r="AY136" i="4"/>
  <c r="AX136" i="4"/>
  <c r="AW136" i="4"/>
  <c r="BA135" i="4"/>
  <c r="AZ135" i="4"/>
  <c r="AY135" i="4"/>
  <c r="AX135" i="4"/>
  <c r="AW135" i="4"/>
  <c r="BA134" i="4"/>
  <c r="AZ134" i="4"/>
  <c r="AY134" i="4"/>
  <c r="AX134" i="4"/>
  <c r="AW134" i="4"/>
  <c r="BA133" i="4"/>
  <c r="AZ133" i="4"/>
  <c r="AY133" i="4"/>
  <c r="AX133" i="4"/>
  <c r="AW133" i="4"/>
  <c r="BA132" i="4"/>
  <c r="AZ132" i="4"/>
  <c r="AY132" i="4"/>
  <c r="AX132" i="4"/>
  <c r="AW132" i="4"/>
  <c r="BA131" i="4"/>
  <c r="AZ131" i="4"/>
  <c r="AY131" i="4"/>
  <c r="AX131" i="4"/>
  <c r="AW131" i="4"/>
  <c r="BA130" i="4"/>
  <c r="AZ130" i="4"/>
  <c r="AY130" i="4"/>
  <c r="AX130" i="4"/>
  <c r="AW130" i="4"/>
  <c r="BA129" i="4"/>
  <c r="AZ129" i="4"/>
  <c r="AY129" i="4"/>
  <c r="AX129" i="4"/>
  <c r="AW129" i="4"/>
  <c r="BA128" i="4"/>
  <c r="AZ128" i="4"/>
  <c r="AY128" i="4"/>
  <c r="AX128" i="4"/>
  <c r="AW128" i="4"/>
  <c r="BA127" i="4"/>
  <c r="AZ127" i="4"/>
  <c r="AY127" i="4"/>
  <c r="AX127" i="4"/>
  <c r="AW127" i="4"/>
  <c r="BA126" i="4"/>
  <c r="AZ126" i="4"/>
  <c r="AY126" i="4"/>
  <c r="AX126" i="4"/>
  <c r="AW126" i="4"/>
  <c r="BA125" i="4"/>
  <c r="AZ125" i="4"/>
  <c r="AY125" i="4"/>
  <c r="AX125" i="4"/>
  <c r="AW125" i="4"/>
  <c r="BA124" i="4"/>
  <c r="AZ124" i="4"/>
  <c r="AY124" i="4"/>
  <c r="AX124" i="4"/>
  <c r="AW124" i="4"/>
  <c r="BA123" i="4"/>
  <c r="AZ123" i="4"/>
  <c r="AY123" i="4"/>
  <c r="AX123" i="4"/>
  <c r="AW123" i="4"/>
  <c r="BA122" i="4"/>
  <c r="AZ122" i="4"/>
  <c r="AY122" i="4"/>
  <c r="AX122" i="4"/>
  <c r="AW122" i="4"/>
  <c r="BA121" i="4"/>
  <c r="AZ121" i="4"/>
  <c r="AY121" i="4"/>
  <c r="AX121" i="4"/>
  <c r="AW121" i="4"/>
  <c r="BA120" i="4"/>
  <c r="AZ120" i="4"/>
  <c r="AY120" i="4"/>
  <c r="AX120" i="4"/>
  <c r="AW120" i="4"/>
  <c r="BA119" i="4"/>
  <c r="AZ119" i="4"/>
  <c r="AY119" i="4"/>
  <c r="AX119" i="4"/>
  <c r="AW119" i="4"/>
  <c r="BA118" i="4"/>
  <c r="AZ118" i="4"/>
  <c r="AY118" i="4"/>
  <c r="AX118" i="4"/>
  <c r="AW118" i="4"/>
  <c r="BA117" i="4"/>
  <c r="AZ117" i="4"/>
  <c r="AY117" i="4"/>
  <c r="BA116" i="4"/>
  <c r="AZ116" i="4"/>
  <c r="AY116" i="4"/>
  <c r="AX116" i="4"/>
  <c r="AW116" i="4"/>
  <c r="BA115" i="4"/>
  <c r="AZ115" i="4"/>
  <c r="AY115" i="4"/>
  <c r="AX115" i="4"/>
  <c r="AW115" i="4"/>
  <c r="BA114" i="4"/>
  <c r="AZ114" i="4"/>
  <c r="AY114" i="4"/>
  <c r="AX114" i="4"/>
  <c r="AW114" i="4"/>
  <c r="BA113" i="4"/>
  <c r="AZ113" i="4"/>
  <c r="AY113" i="4"/>
  <c r="AX113" i="4"/>
  <c r="AW113" i="4"/>
  <c r="BA112" i="4"/>
  <c r="AZ112" i="4"/>
  <c r="AY112" i="4"/>
  <c r="AX112" i="4"/>
  <c r="AW112" i="4"/>
  <c r="BA111" i="4"/>
  <c r="AZ111" i="4"/>
  <c r="AY111" i="4"/>
  <c r="AX111" i="4"/>
  <c r="AW111" i="4"/>
  <c r="BA110" i="4"/>
  <c r="AZ110" i="4"/>
  <c r="AY110" i="4"/>
  <c r="AX110" i="4"/>
  <c r="AW110" i="4"/>
  <c r="BA109" i="4"/>
  <c r="AZ109" i="4"/>
  <c r="AY109" i="4"/>
  <c r="AX109" i="4"/>
  <c r="AW109" i="4"/>
  <c r="BA108" i="4"/>
  <c r="AZ108" i="4"/>
  <c r="AY108" i="4"/>
  <c r="AX108" i="4"/>
  <c r="AW108" i="4"/>
  <c r="BA107" i="4"/>
  <c r="AZ107" i="4"/>
  <c r="AY107" i="4"/>
  <c r="AX107" i="4"/>
  <c r="AW107" i="4"/>
  <c r="BA106" i="4"/>
  <c r="AZ106" i="4"/>
  <c r="AY106" i="4"/>
  <c r="AX106" i="4"/>
  <c r="AW106" i="4"/>
  <c r="BA105" i="4"/>
  <c r="AZ105" i="4"/>
  <c r="AY105" i="4"/>
  <c r="AX105" i="4"/>
  <c r="AW105" i="4"/>
  <c r="BA104" i="4"/>
  <c r="AZ104" i="4"/>
  <c r="AY104" i="4"/>
  <c r="AX104" i="4"/>
  <c r="AW104" i="4"/>
  <c r="BA103" i="4"/>
  <c r="AZ103" i="4"/>
  <c r="AY103" i="4"/>
  <c r="AX103" i="4"/>
  <c r="AW103" i="4"/>
  <c r="BA102" i="4"/>
  <c r="AZ102" i="4"/>
  <c r="AY102" i="4"/>
  <c r="AX102" i="4"/>
  <c r="AW102" i="4"/>
  <c r="BA101" i="4"/>
  <c r="AZ101" i="4"/>
  <c r="AY101" i="4"/>
  <c r="AX101" i="4"/>
  <c r="AW101" i="4"/>
  <c r="BA100" i="4"/>
  <c r="AZ100" i="4"/>
  <c r="AY100" i="4"/>
  <c r="AX100" i="4"/>
  <c r="AW100" i="4"/>
  <c r="BA99" i="4"/>
  <c r="AZ99" i="4"/>
  <c r="AY99" i="4"/>
  <c r="AX99" i="4"/>
  <c r="AW99" i="4"/>
  <c r="BA98" i="4"/>
  <c r="AZ98" i="4"/>
  <c r="AY98" i="4"/>
  <c r="AX98" i="4"/>
  <c r="AW98" i="4"/>
  <c r="BA97" i="4"/>
  <c r="AZ97" i="4"/>
  <c r="AY97" i="4"/>
  <c r="AX97" i="4"/>
  <c r="AW97" i="4"/>
  <c r="BA96" i="4"/>
  <c r="AZ96" i="4"/>
  <c r="AY96" i="4"/>
  <c r="AX96" i="4"/>
  <c r="AW96" i="4"/>
  <c r="BA95" i="4"/>
  <c r="AZ95" i="4"/>
  <c r="AY95" i="4"/>
  <c r="AX95" i="4"/>
  <c r="AW95" i="4"/>
  <c r="BA94" i="4"/>
  <c r="AZ94" i="4"/>
  <c r="AY94" i="4"/>
  <c r="AX94" i="4"/>
  <c r="AW94" i="4"/>
  <c r="BA93" i="4"/>
  <c r="AZ93" i="4"/>
  <c r="AY93" i="4"/>
  <c r="AX93" i="4"/>
  <c r="AW93" i="4"/>
  <c r="BA92" i="4"/>
  <c r="AZ92" i="4"/>
  <c r="AY92" i="4"/>
  <c r="AX92" i="4"/>
  <c r="AW92" i="4"/>
  <c r="BA91" i="4"/>
  <c r="AZ91" i="4"/>
  <c r="AY91" i="4"/>
  <c r="AX91" i="4"/>
  <c r="AW91" i="4"/>
  <c r="BA90" i="4"/>
  <c r="AZ90" i="4"/>
  <c r="AY90" i="4"/>
  <c r="AX90" i="4"/>
  <c r="AW90" i="4"/>
  <c r="BA89" i="4"/>
  <c r="AZ89" i="4"/>
  <c r="AY89" i="4"/>
  <c r="AX89" i="4"/>
  <c r="AW89" i="4"/>
  <c r="BA88" i="4"/>
  <c r="AZ88" i="4"/>
  <c r="AY88" i="4"/>
  <c r="AX88" i="4"/>
  <c r="AW88" i="4"/>
  <c r="BA87" i="4"/>
  <c r="AZ87" i="4"/>
  <c r="AY87" i="4"/>
  <c r="AX87" i="4"/>
  <c r="AW87" i="4"/>
  <c r="BA86" i="4"/>
  <c r="AZ86" i="4"/>
  <c r="AY86" i="4"/>
  <c r="AX86" i="4"/>
  <c r="AW86" i="4"/>
  <c r="BA85" i="4"/>
  <c r="AZ85" i="4"/>
  <c r="AY85" i="4"/>
  <c r="AX85" i="4"/>
  <c r="AW85" i="4"/>
  <c r="BA84" i="4"/>
  <c r="AZ84" i="4"/>
  <c r="AY84" i="4"/>
  <c r="AX84" i="4"/>
  <c r="AW84" i="4"/>
  <c r="BA83" i="4"/>
  <c r="AZ83" i="4"/>
  <c r="AY83" i="4"/>
  <c r="AX83" i="4"/>
  <c r="AW83" i="4"/>
  <c r="BA82" i="4"/>
  <c r="AZ82" i="4"/>
  <c r="AY82" i="4"/>
  <c r="AX82" i="4"/>
  <c r="AW82" i="4"/>
  <c r="BA81" i="4"/>
  <c r="AZ81" i="4"/>
  <c r="AY81" i="4"/>
  <c r="AX81" i="4"/>
  <c r="AW81" i="4"/>
  <c r="BA80" i="4"/>
  <c r="AZ80" i="4"/>
  <c r="AY80" i="4"/>
  <c r="AX80" i="4"/>
  <c r="AW80" i="4"/>
  <c r="BA79" i="4"/>
  <c r="AZ79" i="4"/>
  <c r="AY79" i="4"/>
  <c r="AX79" i="4"/>
  <c r="AW79" i="4"/>
  <c r="BA78" i="4"/>
  <c r="AZ78" i="4"/>
  <c r="AY78" i="4"/>
  <c r="AX78" i="4"/>
  <c r="AW78" i="4"/>
  <c r="BA77" i="4"/>
  <c r="AZ77" i="4"/>
  <c r="AY77" i="4"/>
  <c r="AX77" i="4"/>
  <c r="AW77" i="4"/>
  <c r="BA76" i="4"/>
  <c r="AZ76" i="4"/>
  <c r="AY76" i="4"/>
  <c r="AX76" i="4"/>
  <c r="AW76" i="4"/>
  <c r="BA75" i="4"/>
  <c r="AZ75" i="4"/>
  <c r="AY75" i="4"/>
  <c r="AX75" i="4"/>
  <c r="AW75" i="4"/>
  <c r="BA74" i="4"/>
  <c r="AZ74" i="4"/>
  <c r="AY74" i="4"/>
  <c r="AX74" i="4"/>
  <c r="AW74" i="4"/>
  <c r="BA73" i="4"/>
  <c r="AZ73" i="4"/>
  <c r="AY73" i="4"/>
  <c r="AX73" i="4"/>
  <c r="AW73" i="4"/>
  <c r="BA72" i="4"/>
  <c r="AZ72" i="4"/>
  <c r="AY72" i="4"/>
  <c r="AX72" i="4"/>
  <c r="AW72" i="4"/>
  <c r="BA71" i="4"/>
  <c r="AZ71" i="4"/>
  <c r="AY71" i="4"/>
  <c r="AX71" i="4"/>
  <c r="AW71" i="4"/>
  <c r="BA70" i="4"/>
  <c r="AZ70" i="4"/>
  <c r="AY70" i="4"/>
  <c r="AX70" i="4"/>
  <c r="AW70" i="4"/>
  <c r="BA69" i="4"/>
  <c r="AZ69" i="4"/>
  <c r="AY69" i="4"/>
  <c r="AX69" i="4"/>
  <c r="AW69" i="4"/>
  <c r="BA68" i="4"/>
  <c r="AZ68" i="4"/>
  <c r="AY68" i="4"/>
  <c r="AX68" i="4"/>
  <c r="AW68" i="4"/>
  <c r="BA67" i="4"/>
  <c r="AZ67" i="4"/>
  <c r="AY67" i="4"/>
  <c r="AX67" i="4"/>
  <c r="AW67" i="4"/>
  <c r="BA66" i="4"/>
  <c r="AZ66" i="4"/>
  <c r="AY66" i="4"/>
  <c r="AX66" i="4"/>
  <c r="AW66" i="4"/>
  <c r="BA65" i="4"/>
  <c r="AZ65" i="4"/>
  <c r="AY65" i="4"/>
  <c r="AX65" i="4"/>
  <c r="AW65" i="4"/>
  <c r="BA64" i="4"/>
  <c r="AZ64" i="4"/>
  <c r="AY64" i="4"/>
  <c r="AX64" i="4"/>
  <c r="AW64" i="4"/>
  <c r="BA63" i="4"/>
  <c r="AZ63" i="4"/>
  <c r="AY63" i="4"/>
  <c r="AX63" i="4"/>
  <c r="AW63" i="4"/>
  <c r="BA62" i="4"/>
  <c r="AZ62" i="4"/>
  <c r="AY62" i="4"/>
  <c r="AX62" i="4"/>
  <c r="AW62" i="4"/>
  <c r="BA61" i="4"/>
  <c r="AZ61" i="4"/>
  <c r="AY61" i="4"/>
  <c r="AX61" i="4"/>
  <c r="AW61" i="4"/>
  <c r="BA60" i="4"/>
  <c r="AZ60" i="4"/>
  <c r="AY60" i="4"/>
  <c r="AX60" i="4"/>
  <c r="AW60" i="4"/>
  <c r="BA59" i="4"/>
  <c r="AZ59" i="4"/>
  <c r="AY59" i="4"/>
  <c r="AX59" i="4"/>
  <c r="AW59" i="4"/>
  <c r="BA58" i="4"/>
  <c r="AZ58" i="4"/>
  <c r="AY58" i="4"/>
  <c r="AX58" i="4"/>
  <c r="AW58" i="4"/>
  <c r="BA57" i="4"/>
  <c r="AZ57" i="4"/>
  <c r="AY57" i="4"/>
  <c r="AX57" i="4"/>
  <c r="AW57" i="4"/>
  <c r="BA56" i="4"/>
  <c r="AZ56" i="4"/>
  <c r="AY56" i="4"/>
  <c r="AX56" i="4"/>
  <c r="AW56" i="4"/>
  <c r="BA55" i="4"/>
  <c r="AZ55" i="4"/>
  <c r="AY55" i="4"/>
  <c r="AX55" i="4"/>
  <c r="AW55" i="4"/>
  <c r="BA54" i="4"/>
  <c r="AZ54" i="4"/>
  <c r="AY54" i="4"/>
  <c r="AX54" i="4"/>
  <c r="AW54" i="4"/>
  <c r="BA53" i="4"/>
  <c r="AZ53" i="4"/>
  <c r="AY53" i="4"/>
  <c r="AX53" i="4"/>
  <c r="AW53" i="4"/>
  <c r="BA52" i="4"/>
  <c r="AZ52" i="4"/>
  <c r="AY52" i="4"/>
  <c r="AX52" i="4"/>
  <c r="AW52" i="4"/>
  <c r="BA51" i="4"/>
  <c r="AZ51" i="4"/>
  <c r="AY51" i="4"/>
  <c r="AX51" i="4"/>
  <c r="AW51" i="4"/>
  <c r="BA50" i="4"/>
  <c r="AZ50" i="4"/>
  <c r="AY50" i="4"/>
  <c r="AX50" i="4"/>
  <c r="AW50" i="4"/>
  <c r="BA49" i="4"/>
  <c r="AZ49" i="4"/>
  <c r="AY49" i="4"/>
  <c r="AX49" i="4"/>
  <c r="AW49" i="4"/>
  <c r="BA48" i="4"/>
  <c r="AZ48" i="4"/>
  <c r="AY48" i="4"/>
  <c r="AX48" i="4"/>
  <c r="AW48" i="4"/>
  <c r="BA47" i="4"/>
  <c r="AZ47" i="4"/>
  <c r="AY47" i="4"/>
  <c r="AX47" i="4"/>
  <c r="AW47" i="4"/>
  <c r="BA46" i="4"/>
  <c r="AZ46" i="4"/>
  <c r="AY46" i="4"/>
  <c r="AX46" i="4"/>
  <c r="AW46" i="4"/>
  <c r="BA45" i="4"/>
  <c r="AZ45" i="4"/>
  <c r="AY45" i="4"/>
  <c r="AX45" i="4"/>
  <c r="AW45" i="4"/>
  <c r="BA44" i="4"/>
  <c r="AZ44" i="4"/>
  <c r="AY44" i="4"/>
  <c r="AX44" i="4"/>
  <c r="AW44" i="4"/>
  <c r="BA43" i="4"/>
  <c r="AZ43" i="4"/>
  <c r="AY43" i="4"/>
  <c r="AX43" i="4"/>
  <c r="AW43" i="4"/>
  <c r="BA42" i="4"/>
  <c r="AZ42" i="4"/>
  <c r="AY42" i="4"/>
  <c r="AX42" i="4"/>
  <c r="AW42" i="4"/>
  <c r="BA41" i="4"/>
  <c r="AZ41" i="4"/>
  <c r="AY41" i="4"/>
  <c r="AX41" i="4"/>
  <c r="AW41" i="4"/>
  <c r="BA40" i="4"/>
  <c r="AZ40" i="4"/>
  <c r="AY40" i="4"/>
  <c r="AX40" i="4"/>
  <c r="AW40" i="4"/>
  <c r="BA39" i="4"/>
  <c r="AZ39" i="4"/>
  <c r="AY39" i="4"/>
  <c r="AX39" i="4"/>
  <c r="AW39" i="4"/>
  <c r="BA38" i="4"/>
  <c r="AZ38" i="4"/>
  <c r="AY38" i="4"/>
  <c r="AX38" i="4"/>
  <c r="AW38" i="4"/>
  <c r="BA37" i="4"/>
  <c r="AZ37" i="4"/>
  <c r="AY37" i="4"/>
  <c r="AX37" i="4"/>
  <c r="AW37" i="4"/>
  <c r="BA36" i="4"/>
  <c r="AZ36" i="4"/>
  <c r="AY36" i="4"/>
  <c r="AX36" i="4"/>
  <c r="AW36" i="4"/>
  <c r="BA35" i="4"/>
  <c r="AZ35" i="4"/>
  <c r="AY35" i="4"/>
  <c r="AX35" i="4"/>
  <c r="AW35" i="4"/>
  <c r="BA34" i="4"/>
  <c r="AZ34" i="4"/>
  <c r="AY34" i="4"/>
  <c r="AX34" i="4"/>
  <c r="AW34" i="4"/>
  <c r="BA33" i="4"/>
  <c r="AZ33" i="4"/>
  <c r="AY33" i="4"/>
  <c r="AX33" i="4"/>
  <c r="AW33" i="4"/>
  <c r="BA32" i="4"/>
  <c r="AZ32" i="4"/>
  <c r="AY32" i="4"/>
  <c r="AX32" i="4"/>
  <c r="AW32" i="4"/>
  <c r="BA31" i="4"/>
  <c r="AZ31" i="4"/>
  <c r="AY31" i="4"/>
  <c r="AX31" i="4"/>
  <c r="AW31" i="4"/>
  <c r="BA30" i="4"/>
  <c r="AZ30" i="4"/>
  <c r="AY30" i="4"/>
  <c r="AX30" i="4"/>
  <c r="AW30" i="4"/>
  <c r="BA29" i="4"/>
  <c r="AZ29" i="4"/>
  <c r="AY29" i="4"/>
  <c r="AX29" i="4"/>
  <c r="AW29" i="4"/>
  <c r="BA28" i="4"/>
  <c r="AZ28" i="4"/>
  <c r="AY28" i="4"/>
  <c r="AX28" i="4"/>
  <c r="AW28" i="4"/>
  <c r="BA27" i="4"/>
  <c r="AZ27" i="4"/>
  <c r="AY27" i="4"/>
  <c r="AX27" i="4"/>
  <c r="AW27" i="4"/>
  <c r="BA26" i="4"/>
  <c r="AZ26" i="4"/>
  <c r="AY26" i="4"/>
  <c r="AX26" i="4"/>
  <c r="AW26" i="4"/>
  <c r="BA25" i="4"/>
  <c r="AZ25" i="4"/>
  <c r="AY25" i="4"/>
  <c r="AX25" i="4"/>
  <c r="AW25" i="4"/>
  <c r="BA24" i="4"/>
  <c r="AZ24" i="4"/>
  <c r="AY24" i="4"/>
  <c r="AX24" i="4"/>
  <c r="AW24" i="4"/>
  <c r="BA23" i="4"/>
  <c r="AZ23" i="4"/>
  <c r="AY23" i="4"/>
  <c r="AX23" i="4"/>
  <c r="AW23" i="4"/>
  <c r="BA22" i="4"/>
  <c r="AZ22" i="4"/>
  <c r="AY22" i="4"/>
  <c r="AX22" i="4"/>
  <c r="AW22" i="4"/>
  <c r="BA21" i="4"/>
  <c r="AZ21" i="4"/>
  <c r="AY21" i="4"/>
  <c r="AX21" i="4"/>
  <c r="AW21" i="4"/>
  <c r="BA20" i="4"/>
  <c r="AZ20" i="4"/>
  <c r="AY20" i="4"/>
  <c r="AX20" i="4"/>
  <c r="AW20" i="4"/>
  <c r="BA19" i="4"/>
  <c r="AZ19" i="4"/>
  <c r="AY19" i="4"/>
  <c r="AX19" i="4"/>
  <c r="AW19" i="4"/>
  <c r="BA18" i="4"/>
  <c r="AZ18" i="4"/>
  <c r="AY18" i="4"/>
  <c r="AX18" i="4"/>
  <c r="AW18" i="4"/>
  <c r="BA17" i="4"/>
  <c r="AZ17" i="4"/>
  <c r="AY17" i="4"/>
  <c r="AX17" i="4"/>
  <c r="AW17" i="4"/>
  <c r="BA16" i="4"/>
  <c r="AZ16" i="4"/>
  <c r="AY16" i="4"/>
  <c r="AX16" i="4"/>
  <c r="AW16" i="4"/>
  <c r="BA15" i="4"/>
  <c r="AZ15" i="4"/>
  <c r="AY15" i="4"/>
  <c r="AX15" i="4"/>
  <c r="AW15" i="4"/>
  <c r="BA14" i="4"/>
  <c r="AZ14" i="4"/>
  <c r="AY14" i="4"/>
  <c r="AX14" i="4"/>
  <c r="AW14" i="4"/>
  <c r="BA13" i="4"/>
  <c r="AZ13" i="4"/>
  <c r="AY13" i="4"/>
  <c r="AX13" i="4"/>
  <c r="AW13" i="4"/>
  <c r="BA12" i="4"/>
  <c r="AZ12" i="4"/>
  <c r="AY12" i="4"/>
  <c r="AX12" i="4"/>
  <c r="AW12" i="4"/>
  <c r="BA11" i="4"/>
  <c r="AZ11" i="4"/>
  <c r="AY11" i="4"/>
  <c r="AX11" i="4"/>
  <c r="AW11" i="4"/>
  <c r="BA10" i="4"/>
  <c r="AZ10" i="4"/>
  <c r="AY10" i="4"/>
  <c r="AX10" i="4"/>
  <c r="AW10" i="4"/>
  <c r="BA9" i="4"/>
  <c r="AZ9" i="4"/>
  <c r="AY9" i="4"/>
  <c r="AX9" i="4"/>
  <c r="AW9" i="4"/>
  <c r="BA8" i="4"/>
  <c r="AZ8" i="4"/>
  <c r="AY8" i="4"/>
  <c r="AX8" i="4"/>
  <c r="AW8" i="4"/>
  <c r="BA7" i="4"/>
  <c r="AZ7" i="4"/>
  <c r="AY7" i="4"/>
  <c r="AX7" i="4"/>
  <c r="AW7" i="4"/>
  <c r="AS459" i="4"/>
  <c r="AR459" i="4"/>
  <c r="AQ459" i="4"/>
  <c r="AP459" i="4"/>
  <c r="AO459" i="4"/>
  <c r="AN459" i="4"/>
  <c r="AM459" i="4"/>
  <c r="AL459" i="4"/>
  <c r="AK459" i="4"/>
  <c r="AS458" i="4"/>
  <c r="AR458" i="4"/>
  <c r="AQ458" i="4"/>
  <c r="AP458" i="4"/>
  <c r="AO458" i="4"/>
  <c r="AN458" i="4"/>
  <c r="AM458" i="4"/>
  <c r="AL458" i="4"/>
  <c r="AK458" i="4"/>
  <c r="AS457" i="4"/>
  <c r="AR457" i="4"/>
  <c r="AQ457" i="4"/>
  <c r="AP457" i="4"/>
  <c r="AO457" i="4"/>
  <c r="AN457" i="4"/>
  <c r="AM457" i="4"/>
  <c r="AL457" i="4"/>
  <c r="AK457" i="4"/>
  <c r="AS456" i="4"/>
  <c r="AR456" i="4"/>
  <c r="AQ456" i="4"/>
  <c r="AP456" i="4"/>
  <c r="AO456" i="4"/>
  <c r="AN456" i="4"/>
  <c r="AM456" i="4"/>
  <c r="AL456" i="4"/>
  <c r="AK456" i="4"/>
  <c r="AS455" i="4"/>
  <c r="AR455" i="4"/>
  <c r="AQ455" i="4"/>
  <c r="AP455" i="4"/>
  <c r="AO455" i="4"/>
  <c r="AN455" i="4"/>
  <c r="AM455" i="4"/>
  <c r="AL455" i="4"/>
  <c r="AK455" i="4"/>
  <c r="AS454" i="4"/>
  <c r="AR454" i="4"/>
  <c r="AQ454" i="4"/>
  <c r="AP454" i="4"/>
  <c r="AO454" i="4"/>
  <c r="AN454" i="4"/>
  <c r="AM454" i="4"/>
  <c r="AL454" i="4"/>
  <c r="AK454" i="4"/>
  <c r="AS453" i="4"/>
  <c r="AR453" i="4"/>
  <c r="AQ453" i="4"/>
  <c r="AP453" i="4"/>
  <c r="AO453" i="4"/>
  <c r="AN453" i="4"/>
  <c r="AM453" i="4"/>
  <c r="AL453" i="4"/>
  <c r="AK453" i="4"/>
  <c r="AS452" i="4"/>
  <c r="AR452" i="4"/>
  <c r="AQ452" i="4"/>
  <c r="AP452" i="4"/>
  <c r="AO452" i="4"/>
  <c r="AN452" i="4"/>
  <c r="AM452" i="4"/>
  <c r="AL452" i="4"/>
  <c r="AK452" i="4"/>
  <c r="AS451" i="4"/>
  <c r="AR451" i="4"/>
  <c r="AQ451" i="4"/>
  <c r="AP451" i="4"/>
  <c r="AO451" i="4"/>
  <c r="AN451" i="4"/>
  <c r="AM451" i="4"/>
  <c r="AL451" i="4"/>
  <c r="AK451" i="4"/>
  <c r="AS450" i="4"/>
  <c r="AR450" i="4"/>
  <c r="AQ450" i="4"/>
  <c r="AP450" i="4"/>
  <c r="AO450" i="4"/>
  <c r="AN450" i="4"/>
  <c r="AM450" i="4"/>
  <c r="AL450" i="4"/>
  <c r="AK450" i="4"/>
  <c r="AS449" i="4"/>
  <c r="AR449" i="4"/>
  <c r="AQ449" i="4"/>
  <c r="AP449" i="4"/>
  <c r="AO449" i="4"/>
  <c r="AN449" i="4"/>
  <c r="AM449" i="4"/>
  <c r="AL449" i="4"/>
  <c r="AK449" i="4"/>
  <c r="AS448" i="4"/>
  <c r="AR448" i="4"/>
  <c r="AQ448" i="4"/>
  <c r="AP448" i="4"/>
  <c r="AO448" i="4"/>
  <c r="AN448" i="4"/>
  <c r="AM448" i="4"/>
  <c r="AL448" i="4"/>
  <c r="AK448" i="4"/>
  <c r="AS447" i="4"/>
  <c r="AR447" i="4"/>
  <c r="AQ447" i="4"/>
  <c r="AP447" i="4"/>
  <c r="AO447" i="4"/>
  <c r="AN447" i="4"/>
  <c r="AM447" i="4"/>
  <c r="AL447" i="4"/>
  <c r="AK447" i="4"/>
  <c r="AS446" i="4"/>
  <c r="AR446" i="4"/>
  <c r="AQ446" i="4"/>
  <c r="AP446" i="4"/>
  <c r="AO446" i="4"/>
  <c r="AN446" i="4"/>
  <c r="AM446" i="4"/>
  <c r="AL446" i="4"/>
  <c r="AK446" i="4"/>
  <c r="AS445" i="4"/>
  <c r="AR445" i="4"/>
  <c r="AQ445" i="4"/>
  <c r="AP445" i="4"/>
  <c r="AO445" i="4"/>
  <c r="AN445" i="4"/>
  <c r="AM445" i="4"/>
  <c r="AL445" i="4"/>
  <c r="AK445" i="4"/>
  <c r="AS444" i="4"/>
  <c r="AR444" i="4"/>
  <c r="AQ444" i="4"/>
  <c r="AP444" i="4"/>
  <c r="AO444" i="4"/>
  <c r="AN444" i="4"/>
  <c r="AM444" i="4"/>
  <c r="AL444" i="4"/>
  <c r="AK444" i="4"/>
  <c r="AS443" i="4"/>
  <c r="AR443" i="4"/>
  <c r="AQ443" i="4"/>
  <c r="AP443" i="4"/>
  <c r="AO443" i="4"/>
  <c r="AN443" i="4"/>
  <c r="AM443" i="4"/>
  <c r="AL443" i="4"/>
  <c r="AK443" i="4"/>
  <c r="AS442" i="4"/>
  <c r="AR442" i="4"/>
  <c r="AQ442" i="4"/>
  <c r="AP442" i="4"/>
  <c r="AO442" i="4"/>
  <c r="AN442" i="4"/>
  <c r="AM442" i="4"/>
  <c r="AL442" i="4"/>
  <c r="AK442" i="4"/>
  <c r="AS441" i="4"/>
  <c r="AR441" i="4"/>
  <c r="AQ441" i="4"/>
  <c r="AP441" i="4"/>
  <c r="AO441" i="4"/>
  <c r="AN441" i="4"/>
  <c r="AM441" i="4"/>
  <c r="AL441" i="4"/>
  <c r="AK441" i="4"/>
  <c r="AS440" i="4"/>
  <c r="AR440" i="4"/>
  <c r="AQ440" i="4"/>
  <c r="AP440" i="4"/>
  <c r="AO440" i="4"/>
  <c r="AN440" i="4"/>
  <c r="AM440" i="4"/>
  <c r="AL440" i="4"/>
  <c r="AK440" i="4"/>
  <c r="AS439" i="4"/>
  <c r="AR439" i="4"/>
  <c r="AQ439" i="4"/>
  <c r="AP439" i="4"/>
  <c r="AO439" i="4"/>
  <c r="AN439" i="4"/>
  <c r="AM439" i="4"/>
  <c r="AL439" i="4"/>
  <c r="AK439" i="4"/>
  <c r="AS438" i="4"/>
  <c r="AR438" i="4"/>
  <c r="AQ438" i="4"/>
  <c r="AP438" i="4"/>
  <c r="AO438" i="4"/>
  <c r="AN438" i="4"/>
  <c r="AM438" i="4"/>
  <c r="AL438" i="4"/>
  <c r="AK438" i="4"/>
  <c r="AS437" i="4"/>
  <c r="AR437" i="4"/>
  <c r="AQ437" i="4"/>
  <c r="AP437" i="4"/>
  <c r="AO437" i="4"/>
  <c r="AN437" i="4"/>
  <c r="AM437" i="4"/>
  <c r="AL437" i="4"/>
  <c r="AK437" i="4"/>
  <c r="AS436" i="4"/>
  <c r="AR436" i="4"/>
  <c r="AQ436" i="4"/>
  <c r="AP436" i="4"/>
  <c r="AO436" i="4"/>
  <c r="AN436" i="4"/>
  <c r="AM436" i="4"/>
  <c r="AL436" i="4"/>
  <c r="AK436" i="4"/>
  <c r="AS435" i="4"/>
  <c r="AR435" i="4"/>
  <c r="AQ435" i="4"/>
  <c r="AP435" i="4"/>
  <c r="AO435" i="4"/>
  <c r="AN435" i="4"/>
  <c r="AM435" i="4"/>
  <c r="AL435" i="4"/>
  <c r="AK435" i="4"/>
  <c r="AS434" i="4"/>
  <c r="AR434" i="4"/>
  <c r="AQ434" i="4"/>
  <c r="AP434" i="4"/>
  <c r="AO434" i="4"/>
  <c r="AN434" i="4"/>
  <c r="AM434" i="4"/>
  <c r="AL434" i="4"/>
  <c r="AK434" i="4"/>
  <c r="AS433" i="4"/>
  <c r="AR433" i="4"/>
  <c r="AQ433" i="4"/>
  <c r="AP433" i="4"/>
  <c r="AO433" i="4"/>
  <c r="AN433" i="4"/>
  <c r="AM433" i="4"/>
  <c r="AL433" i="4"/>
  <c r="AK433" i="4"/>
  <c r="AS432" i="4"/>
  <c r="AR432" i="4"/>
  <c r="AQ432" i="4"/>
  <c r="AP432" i="4"/>
  <c r="AO432" i="4"/>
  <c r="AN432" i="4"/>
  <c r="AM432" i="4"/>
  <c r="AL432" i="4"/>
  <c r="AK432" i="4"/>
  <c r="AS431" i="4"/>
  <c r="AR431" i="4"/>
  <c r="AQ431" i="4"/>
  <c r="AP431" i="4"/>
  <c r="AO431" i="4"/>
  <c r="AN431" i="4"/>
  <c r="AM431" i="4"/>
  <c r="AL431" i="4"/>
  <c r="AK431" i="4"/>
  <c r="AS430" i="4"/>
  <c r="AR430" i="4"/>
  <c r="AQ430" i="4"/>
  <c r="AP430" i="4"/>
  <c r="AO430" i="4"/>
  <c r="AN430" i="4"/>
  <c r="AM430" i="4"/>
  <c r="AL430" i="4"/>
  <c r="AK430" i="4"/>
  <c r="AS429" i="4"/>
  <c r="AR429" i="4"/>
  <c r="AQ429" i="4"/>
  <c r="AP429" i="4"/>
  <c r="AO429" i="4"/>
  <c r="AN429" i="4"/>
  <c r="AM429" i="4"/>
  <c r="AL429" i="4"/>
  <c r="AK429" i="4"/>
  <c r="AS428" i="4"/>
  <c r="AR428" i="4"/>
  <c r="AQ428" i="4"/>
  <c r="AP428" i="4"/>
  <c r="AO428" i="4"/>
  <c r="AN428" i="4"/>
  <c r="AM428" i="4"/>
  <c r="AL428" i="4"/>
  <c r="AK428" i="4"/>
  <c r="AS427" i="4"/>
  <c r="AR427" i="4"/>
  <c r="AQ427" i="4"/>
  <c r="AP427" i="4"/>
  <c r="AO427" i="4"/>
  <c r="AN427" i="4"/>
  <c r="AM427" i="4"/>
  <c r="AL427" i="4"/>
  <c r="AK427" i="4"/>
  <c r="AS426" i="4"/>
  <c r="AR426" i="4"/>
  <c r="AQ426" i="4"/>
  <c r="AP426" i="4"/>
  <c r="AO426" i="4"/>
  <c r="AN426" i="4"/>
  <c r="AM426" i="4"/>
  <c r="AL426" i="4"/>
  <c r="AK426" i="4"/>
  <c r="AS425" i="4"/>
  <c r="AR425" i="4"/>
  <c r="AQ425" i="4"/>
  <c r="AP425" i="4"/>
  <c r="AO425" i="4"/>
  <c r="AN425" i="4"/>
  <c r="AM425" i="4"/>
  <c r="AL425" i="4"/>
  <c r="AK425" i="4"/>
  <c r="AS424" i="4"/>
  <c r="AR424" i="4"/>
  <c r="AQ424" i="4"/>
  <c r="AP424" i="4"/>
  <c r="AO424" i="4"/>
  <c r="AN424" i="4"/>
  <c r="AM424" i="4"/>
  <c r="AL424" i="4"/>
  <c r="AK424" i="4"/>
  <c r="AS423" i="4"/>
  <c r="AR423" i="4"/>
  <c r="AQ423" i="4"/>
  <c r="AP423" i="4"/>
  <c r="AO423" i="4"/>
  <c r="AN423" i="4"/>
  <c r="AM423" i="4"/>
  <c r="AL423" i="4"/>
  <c r="AK423" i="4"/>
  <c r="AS422" i="4"/>
  <c r="AR422" i="4"/>
  <c r="AQ422" i="4"/>
  <c r="AP422" i="4"/>
  <c r="AO422" i="4"/>
  <c r="AN422" i="4"/>
  <c r="AM422" i="4"/>
  <c r="AL422" i="4"/>
  <c r="AK422" i="4"/>
  <c r="AS421" i="4"/>
  <c r="AR421" i="4"/>
  <c r="AQ421" i="4"/>
  <c r="AP421" i="4"/>
  <c r="AO421" i="4"/>
  <c r="AN421" i="4"/>
  <c r="AM421" i="4"/>
  <c r="AL421" i="4"/>
  <c r="AK421" i="4"/>
  <c r="AS420" i="4"/>
  <c r="AR420" i="4"/>
  <c r="AQ420" i="4"/>
  <c r="AP420" i="4"/>
  <c r="AO420" i="4"/>
  <c r="AN420" i="4"/>
  <c r="AM420" i="4"/>
  <c r="AL420" i="4"/>
  <c r="AK420" i="4"/>
  <c r="AS419" i="4"/>
  <c r="AR419" i="4"/>
  <c r="AQ419" i="4"/>
  <c r="AP419" i="4"/>
  <c r="AO419" i="4"/>
  <c r="AN419" i="4"/>
  <c r="AM419" i="4"/>
  <c r="AL419" i="4"/>
  <c r="AK419" i="4"/>
  <c r="AS418" i="4"/>
  <c r="AR418" i="4"/>
  <c r="AQ418" i="4"/>
  <c r="AP418" i="4"/>
  <c r="AO418" i="4"/>
  <c r="AN418" i="4"/>
  <c r="AM418" i="4"/>
  <c r="AL418" i="4"/>
  <c r="AK418" i="4"/>
  <c r="AS417" i="4"/>
  <c r="AR417" i="4"/>
  <c r="AQ417" i="4"/>
  <c r="AP417" i="4"/>
  <c r="AO417" i="4"/>
  <c r="AN417" i="4"/>
  <c r="AM417" i="4"/>
  <c r="AL417" i="4"/>
  <c r="AK417" i="4"/>
  <c r="AS416" i="4"/>
  <c r="AR416" i="4"/>
  <c r="AQ416" i="4"/>
  <c r="AP416" i="4"/>
  <c r="AO416" i="4"/>
  <c r="AN416" i="4"/>
  <c r="AM416" i="4"/>
  <c r="AL416" i="4"/>
  <c r="AK416" i="4"/>
  <c r="AS415" i="4"/>
  <c r="AR415" i="4"/>
  <c r="AQ415" i="4"/>
  <c r="AP415" i="4"/>
  <c r="AO415" i="4"/>
  <c r="AN415" i="4"/>
  <c r="AM415" i="4"/>
  <c r="AL415" i="4"/>
  <c r="AK415" i="4"/>
  <c r="AS414" i="4"/>
  <c r="AR414" i="4"/>
  <c r="AQ414" i="4"/>
  <c r="AP414" i="4"/>
  <c r="AO414" i="4"/>
  <c r="AN414" i="4"/>
  <c r="AM414" i="4"/>
  <c r="AL414" i="4"/>
  <c r="AK414" i="4"/>
  <c r="AS413" i="4"/>
  <c r="AR413" i="4"/>
  <c r="AQ413" i="4"/>
  <c r="AP413" i="4"/>
  <c r="AO413" i="4"/>
  <c r="AN413" i="4"/>
  <c r="AM413" i="4"/>
  <c r="AL413" i="4"/>
  <c r="AK413" i="4"/>
  <c r="AS412" i="4"/>
  <c r="AR412" i="4"/>
  <c r="AQ412" i="4"/>
  <c r="AP412" i="4"/>
  <c r="AO412" i="4"/>
  <c r="AN412" i="4"/>
  <c r="AM412" i="4"/>
  <c r="AL412" i="4"/>
  <c r="AK412" i="4"/>
  <c r="AS411" i="4"/>
  <c r="AR411" i="4"/>
  <c r="AQ411" i="4"/>
  <c r="AP411" i="4"/>
  <c r="AO411" i="4"/>
  <c r="AN411" i="4"/>
  <c r="AM411" i="4"/>
  <c r="AL411" i="4"/>
  <c r="AK411" i="4"/>
  <c r="AS410" i="4"/>
  <c r="AR410" i="4"/>
  <c r="AQ410" i="4"/>
  <c r="AP410" i="4"/>
  <c r="AO410" i="4"/>
  <c r="AN410" i="4"/>
  <c r="AM410" i="4"/>
  <c r="AL410" i="4"/>
  <c r="AK410" i="4"/>
  <c r="AS409" i="4"/>
  <c r="AR409" i="4"/>
  <c r="AQ409" i="4"/>
  <c r="AP409" i="4"/>
  <c r="AO409" i="4"/>
  <c r="AN409" i="4"/>
  <c r="AM409" i="4"/>
  <c r="AL409" i="4"/>
  <c r="AK409" i="4"/>
  <c r="AS408" i="4"/>
  <c r="AR408" i="4"/>
  <c r="AQ408" i="4"/>
  <c r="AP408" i="4"/>
  <c r="AO408" i="4"/>
  <c r="AN408" i="4"/>
  <c r="AM408" i="4"/>
  <c r="AL408" i="4"/>
  <c r="AK408" i="4"/>
  <c r="AS407" i="4"/>
  <c r="AR407" i="4"/>
  <c r="AQ407" i="4"/>
  <c r="AP407" i="4"/>
  <c r="AO407" i="4"/>
  <c r="AN407" i="4"/>
  <c r="AM407" i="4"/>
  <c r="AL407" i="4"/>
  <c r="AK407" i="4"/>
  <c r="AS406" i="4"/>
  <c r="AR406" i="4"/>
  <c r="AQ406" i="4"/>
  <c r="AP406" i="4"/>
  <c r="AO406" i="4"/>
  <c r="AN406" i="4"/>
  <c r="AM406" i="4"/>
  <c r="AL406" i="4"/>
  <c r="AK406" i="4"/>
  <c r="AS405" i="4"/>
  <c r="AR405" i="4"/>
  <c r="AQ405" i="4"/>
  <c r="AP405" i="4"/>
  <c r="AO405" i="4"/>
  <c r="AN405" i="4"/>
  <c r="AM405" i="4"/>
  <c r="AL405" i="4"/>
  <c r="AK405" i="4"/>
  <c r="AS404" i="4"/>
  <c r="AR404" i="4"/>
  <c r="AQ404" i="4"/>
  <c r="AP404" i="4"/>
  <c r="AO404" i="4"/>
  <c r="AN404" i="4"/>
  <c r="AM404" i="4"/>
  <c r="AL404" i="4"/>
  <c r="AK404" i="4"/>
  <c r="AS403" i="4"/>
  <c r="AR403" i="4"/>
  <c r="AQ403" i="4"/>
  <c r="AP403" i="4"/>
  <c r="AO403" i="4"/>
  <c r="AN403" i="4"/>
  <c r="AM403" i="4"/>
  <c r="AL403" i="4"/>
  <c r="AK403" i="4"/>
  <c r="AS402" i="4"/>
  <c r="AR402" i="4"/>
  <c r="AQ402" i="4"/>
  <c r="AP402" i="4"/>
  <c r="AO402" i="4"/>
  <c r="AN402" i="4"/>
  <c r="AM402" i="4"/>
  <c r="AL402" i="4"/>
  <c r="AK402" i="4"/>
  <c r="AS401" i="4"/>
  <c r="AR401" i="4"/>
  <c r="AQ401" i="4"/>
  <c r="AP401" i="4"/>
  <c r="AO401" i="4"/>
  <c r="AN401" i="4"/>
  <c r="AM401" i="4"/>
  <c r="AL401" i="4"/>
  <c r="AK401" i="4"/>
  <c r="AS400" i="4"/>
  <c r="AR400" i="4"/>
  <c r="AQ400" i="4"/>
  <c r="AP400" i="4"/>
  <c r="AO400" i="4"/>
  <c r="AN400" i="4"/>
  <c r="AM400" i="4"/>
  <c r="AL400" i="4"/>
  <c r="AK400" i="4"/>
  <c r="AS399" i="4"/>
  <c r="AR399" i="4"/>
  <c r="AQ399" i="4"/>
  <c r="AP399" i="4"/>
  <c r="AO399" i="4"/>
  <c r="AN399" i="4"/>
  <c r="AM399" i="4"/>
  <c r="AL399" i="4"/>
  <c r="AK399" i="4"/>
  <c r="AS398" i="4"/>
  <c r="AR398" i="4"/>
  <c r="AQ398" i="4"/>
  <c r="AP398" i="4"/>
  <c r="AO398" i="4"/>
  <c r="AN398" i="4"/>
  <c r="AM398" i="4"/>
  <c r="AL398" i="4"/>
  <c r="AK398" i="4"/>
  <c r="AS397" i="4"/>
  <c r="AR397" i="4"/>
  <c r="AQ397" i="4"/>
  <c r="AP397" i="4"/>
  <c r="AO397" i="4"/>
  <c r="AN397" i="4"/>
  <c r="AM397" i="4"/>
  <c r="AL397" i="4"/>
  <c r="AK397" i="4"/>
  <c r="AS396" i="4"/>
  <c r="AR396" i="4"/>
  <c r="AQ396" i="4"/>
  <c r="AP396" i="4"/>
  <c r="AO396" i="4"/>
  <c r="AN396" i="4"/>
  <c r="AM396" i="4"/>
  <c r="AL396" i="4"/>
  <c r="AK396" i="4"/>
  <c r="AS395" i="4"/>
  <c r="AR395" i="4"/>
  <c r="AQ395" i="4"/>
  <c r="AP395" i="4"/>
  <c r="AO395" i="4"/>
  <c r="AN395" i="4"/>
  <c r="AM395" i="4"/>
  <c r="AL395" i="4"/>
  <c r="AK395" i="4"/>
  <c r="AS394" i="4"/>
  <c r="AR394" i="4"/>
  <c r="AQ394" i="4"/>
  <c r="AP394" i="4"/>
  <c r="AO394" i="4"/>
  <c r="AN394" i="4"/>
  <c r="AM394" i="4"/>
  <c r="AL394" i="4"/>
  <c r="AK394" i="4"/>
  <c r="AS393" i="4"/>
  <c r="AR393" i="4"/>
  <c r="AQ393" i="4"/>
  <c r="AP393" i="4"/>
  <c r="AO393" i="4"/>
  <c r="AN393" i="4"/>
  <c r="AM393" i="4"/>
  <c r="AL393" i="4"/>
  <c r="AK393" i="4"/>
  <c r="AS392" i="4"/>
  <c r="AR392" i="4"/>
  <c r="AQ392" i="4"/>
  <c r="AP392" i="4"/>
  <c r="AO392" i="4"/>
  <c r="AN392" i="4"/>
  <c r="AM392" i="4"/>
  <c r="AL392" i="4"/>
  <c r="AK392" i="4"/>
  <c r="AS391" i="4"/>
  <c r="AR391" i="4"/>
  <c r="AQ391" i="4"/>
  <c r="AP391" i="4"/>
  <c r="AO391" i="4"/>
  <c r="AN391" i="4"/>
  <c r="AM391" i="4"/>
  <c r="AL391" i="4"/>
  <c r="AK391" i="4"/>
  <c r="AS390" i="4"/>
  <c r="AR390" i="4"/>
  <c r="AQ390" i="4"/>
  <c r="AP390" i="4"/>
  <c r="AO390" i="4"/>
  <c r="AN390" i="4"/>
  <c r="AM390" i="4"/>
  <c r="AL390" i="4"/>
  <c r="AK390" i="4"/>
  <c r="AS389" i="4"/>
  <c r="AR389" i="4"/>
  <c r="AQ389" i="4"/>
  <c r="AP389" i="4"/>
  <c r="AO389" i="4"/>
  <c r="AN389" i="4"/>
  <c r="AM389" i="4"/>
  <c r="AL389" i="4"/>
  <c r="AK389" i="4"/>
  <c r="AS388" i="4"/>
  <c r="AR388" i="4"/>
  <c r="AQ388" i="4"/>
  <c r="AP388" i="4"/>
  <c r="AO388" i="4"/>
  <c r="AN388" i="4"/>
  <c r="AM388" i="4"/>
  <c r="AL388" i="4"/>
  <c r="AK388" i="4"/>
  <c r="AS387" i="4"/>
  <c r="AR387" i="4"/>
  <c r="AQ387" i="4"/>
  <c r="AP387" i="4"/>
  <c r="AO387" i="4"/>
  <c r="AN387" i="4"/>
  <c r="AM387" i="4"/>
  <c r="AL387" i="4"/>
  <c r="AK387" i="4"/>
  <c r="AS386" i="4"/>
  <c r="AR386" i="4"/>
  <c r="AQ386" i="4"/>
  <c r="AP386" i="4"/>
  <c r="AO386" i="4"/>
  <c r="AN386" i="4"/>
  <c r="AM386" i="4"/>
  <c r="AL386" i="4"/>
  <c r="AK386" i="4"/>
  <c r="AS385" i="4"/>
  <c r="AR385" i="4"/>
  <c r="AQ385" i="4"/>
  <c r="AP385" i="4"/>
  <c r="AO385" i="4"/>
  <c r="AN385" i="4"/>
  <c r="AM385" i="4"/>
  <c r="AL385" i="4"/>
  <c r="AK385" i="4"/>
  <c r="AS384" i="4"/>
  <c r="AR384" i="4"/>
  <c r="AQ384" i="4"/>
  <c r="AP384" i="4"/>
  <c r="AO384" i="4"/>
  <c r="AN384" i="4"/>
  <c r="AM384" i="4"/>
  <c r="AL384" i="4"/>
  <c r="AK384" i="4"/>
  <c r="AS383" i="4"/>
  <c r="AR383" i="4"/>
  <c r="AQ383" i="4"/>
  <c r="AP383" i="4"/>
  <c r="AO383" i="4"/>
  <c r="AN383" i="4"/>
  <c r="AM383" i="4"/>
  <c r="AL383" i="4"/>
  <c r="AK383" i="4"/>
  <c r="AS382" i="4"/>
  <c r="AR382" i="4"/>
  <c r="AQ382" i="4"/>
  <c r="AP382" i="4"/>
  <c r="AO382" i="4"/>
  <c r="AN382" i="4"/>
  <c r="AM382" i="4"/>
  <c r="AL382" i="4"/>
  <c r="AK382" i="4"/>
  <c r="AS381" i="4"/>
  <c r="AR381" i="4"/>
  <c r="AQ381" i="4"/>
  <c r="AP381" i="4"/>
  <c r="AO381" i="4"/>
  <c r="AN381" i="4"/>
  <c r="AM381" i="4"/>
  <c r="AL381" i="4"/>
  <c r="AK381" i="4"/>
  <c r="AS380" i="4"/>
  <c r="AR380" i="4"/>
  <c r="AQ380" i="4"/>
  <c r="AP380" i="4"/>
  <c r="AO380" i="4"/>
  <c r="AN380" i="4"/>
  <c r="AM380" i="4"/>
  <c r="AL380" i="4"/>
  <c r="AK380" i="4"/>
  <c r="AS379" i="4"/>
  <c r="AR379" i="4"/>
  <c r="AQ379" i="4"/>
  <c r="AP379" i="4"/>
  <c r="AO379" i="4"/>
  <c r="AN379" i="4"/>
  <c r="AM379" i="4"/>
  <c r="AL379" i="4"/>
  <c r="AK379" i="4"/>
  <c r="AS378" i="4"/>
  <c r="AR378" i="4"/>
  <c r="AQ378" i="4"/>
  <c r="AP378" i="4"/>
  <c r="AO378" i="4"/>
  <c r="AN378" i="4"/>
  <c r="AM378" i="4"/>
  <c r="AL378" i="4"/>
  <c r="AK378" i="4"/>
  <c r="AS377" i="4"/>
  <c r="AR377" i="4"/>
  <c r="AQ377" i="4"/>
  <c r="AP377" i="4"/>
  <c r="AO377" i="4"/>
  <c r="AN377" i="4"/>
  <c r="AM377" i="4"/>
  <c r="AL377" i="4"/>
  <c r="AK377" i="4"/>
  <c r="AS376" i="4"/>
  <c r="AR376" i="4"/>
  <c r="AQ376" i="4"/>
  <c r="AP376" i="4"/>
  <c r="AO376" i="4"/>
  <c r="AN376" i="4"/>
  <c r="AM376" i="4"/>
  <c r="AL376" i="4"/>
  <c r="AK376" i="4"/>
  <c r="AS375" i="4"/>
  <c r="AR375" i="4"/>
  <c r="AQ375" i="4"/>
  <c r="AP375" i="4"/>
  <c r="AO375" i="4"/>
  <c r="AN375" i="4"/>
  <c r="AM375" i="4"/>
  <c r="AL375" i="4"/>
  <c r="AK375" i="4"/>
  <c r="AS374" i="4"/>
  <c r="AR374" i="4"/>
  <c r="AQ374" i="4"/>
  <c r="AP374" i="4"/>
  <c r="AO374" i="4"/>
  <c r="AN374" i="4"/>
  <c r="AM374" i="4"/>
  <c r="AL374" i="4"/>
  <c r="AK374" i="4"/>
  <c r="AS373" i="4"/>
  <c r="AR373" i="4"/>
  <c r="AQ373" i="4"/>
  <c r="AP373" i="4"/>
  <c r="AO373" i="4"/>
  <c r="AN373" i="4"/>
  <c r="AM373" i="4"/>
  <c r="AL373" i="4"/>
  <c r="AK373" i="4"/>
  <c r="AS372" i="4"/>
  <c r="AR372" i="4"/>
  <c r="AQ372" i="4"/>
  <c r="AP372" i="4"/>
  <c r="AO372" i="4"/>
  <c r="AN372" i="4"/>
  <c r="AM372" i="4"/>
  <c r="AL372" i="4"/>
  <c r="AK372" i="4"/>
  <c r="AS371" i="4"/>
  <c r="AR371" i="4"/>
  <c r="AQ371" i="4"/>
  <c r="AP371" i="4"/>
  <c r="AO371" i="4"/>
  <c r="AN371" i="4"/>
  <c r="AM371" i="4"/>
  <c r="AL371" i="4"/>
  <c r="AK371" i="4"/>
  <c r="AS370" i="4"/>
  <c r="AR370" i="4"/>
  <c r="AQ370" i="4"/>
  <c r="AP370" i="4"/>
  <c r="AO370" i="4"/>
  <c r="AN370" i="4"/>
  <c r="AM370" i="4"/>
  <c r="AL370" i="4"/>
  <c r="AK370" i="4"/>
  <c r="AS369" i="4"/>
  <c r="AR369" i="4"/>
  <c r="AQ369" i="4"/>
  <c r="AP369" i="4"/>
  <c r="AO369" i="4"/>
  <c r="AN369" i="4"/>
  <c r="AM369" i="4"/>
  <c r="AL369" i="4"/>
  <c r="AK369" i="4"/>
  <c r="AS368" i="4"/>
  <c r="AR368" i="4"/>
  <c r="AQ368" i="4"/>
  <c r="AP368" i="4"/>
  <c r="AO368" i="4"/>
  <c r="AN368" i="4"/>
  <c r="AM368" i="4"/>
  <c r="AL368" i="4"/>
  <c r="AK368" i="4"/>
  <c r="AS367" i="4"/>
  <c r="AR367" i="4"/>
  <c r="AQ367" i="4"/>
  <c r="AP367" i="4"/>
  <c r="AO367" i="4"/>
  <c r="AN367" i="4"/>
  <c r="AM367" i="4"/>
  <c r="AL367" i="4"/>
  <c r="AK367" i="4"/>
  <c r="AS366" i="4"/>
  <c r="AR366" i="4"/>
  <c r="AQ366" i="4"/>
  <c r="AP366" i="4"/>
  <c r="AO366" i="4"/>
  <c r="AN366" i="4"/>
  <c r="AM366" i="4"/>
  <c r="AL366" i="4"/>
  <c r="AK366" i="4"/>
  <c r="AS365" i="4"/>
  <c r="AR365" i="4"/>
  <c r="AQ365" i="4"/>
  <c r="AP365" i="4"/>
  <c r="AO365" i="4"/>
  <c r="AN365" i="4"/>
  <c r="AM365" i="4"/>
  <c r="AL365" i="4"/>
  <c r="AK365" i="4"/>
  <c r="AS364" i="4"/>
  <c r="AR364" i="4"/>
  <c r="AQ364" i="4"/>
  <c r="AP364" i="4"/>
  <c r="AO364" i="4"/>
  <c r="AN364" i="4"/>
  <c r="AM364" i="4"/>
  <c r="AL364" i="4"/>
  <c r="AK364" i="4"/>
  <c r="AS363" i="4"/>
  <c r="AR363" i="4"/>
  <c r="AQ363" i="4"/>
  <c r="AP363" i="4"/>
  <c r="AO363" i="4"/>
  <c r="AN363" i="4"/>
  <c r="AM363" i="4"/>
  <c r="AL363" i="4"/>
  <c r="AK363" i="4"/>
  <c r="AS362" i="4"/>
  <c r="AR362" i="4"/>
  <c r="AQ362" i="4"/>
  <c r="AP362" i="4"/>
  <c r="AO362" i="4"/>
  <c r="AN362" i="4"/>
  <c r="AM362" i="4"/>
  <c r="AL362" i="4"/>
  <c r="AK362" i="4"/>
  <c r="AS361" i="4"/>
  <c r="AR361" i="4"/>
  <c r="AQ361" i="4"/>
  <c r="AP361" i="4"/>
  <c r="AO361" i="4"/>
  <c r="AN361" i="4"/>
  <c r="AM361" i="4"/>
  <c r="AL361" i="4"/>
  <c r="AK361" i="4"/>
  <c r="AS360" i="4"/>
  <c r="AR360" i="4"/>
  <c r="AQ360" i="4"/>
  <c r="AP360" i="4"/>
  <c r="AO360" i="4"/>
  <c r="AN360" i="4"/>
  <c r="AM360" i="4"/>
  <c r="AL360" i="4"/>
  <c r="AK360" i="4"/>
  <c r="AS359" i="4"/>
  <c r="AR359" i="4"/>
  <c r="AQ359" i="4"/>
  <c r="AP359" i="4"/>
  <c r="AO359" i="4"/>
  <c r="AN359" i="4"/>
  <c r="AM359" i="4"/>
  <c r="AL359" i="4"/>
  <c r="AK359" i="4"/>
  <c r="AS358" i="4"/>
  <c r="AR358" i="4"/>
  <c r="AQ358" i="4"/>
  <c r="AP358" i="4"/>
  <c r="AO358" i="4"/>
  <c r="AN358" i="4"/>
  <c r="AM358" i="4"/>
  <c r="AL358" i="4"/>
  <c r="AK358" i="4"/>
  <c r="AS357" i="4"/>
  <c r="AR357" i="4"/>
  <c r="AQ357" i="4"/>
  <c r="AP357" i="4"/>
  <c r="AO357" i="4"/>
  <c r="AN357" i="4"/>
  <c r="AM357" i="4"/>
  <c r="AL357" i="4"/>
  <c r="AK357" i="4"/>
  <c r="AS356" i="4"/>
  <c r="AR356" i="4"/>
  <c r="AQ356" i="4"/>
  <c r="AP356" i="4"/>
  <c r="AO356" i="4"/>
  <c r="AN356" i="4"/>
  <c r="AM356" i="4"/>
  <c r="AL356" i="4"/>
  <c r="AK356" i="4"/>
  <c r="AS355" i="4"/>
  <c r="AR355" i="4"/>
  <c r="AQ355" i="4"/>
  <c r="AP355" i="4"/>
  <c r="AO355" i="4"/>
  <c r="AN355" i="4"/>
  <c r="AM355" i="4"/>
  <c r="AL355" i="4"/>
  <c r="AK355" i="4"/>
  <c r="AS354" i="4"/>
  <c r="AR354" i="4"/>
  <c r="AQ354" i="4"/>
  <c r="AP354" i="4"/>
  <c r="AO354" i="4"/>
  <c r="AN354" i="4"/>
  <c r="AM354" i="4"/>
  <c r="AL354" i="4"/>
  <c r="AK354" i="4"/>
  <c r="AS353" i="4"/>
  <c r="AR353" i="4"/>
  <c r="AQ353" i="4"/>
  <c r="AP353" i="4"/>
  <c r="AO353" i="4"/>
  <c r="AN353" i="4"/>
  <c r="AM353" i="4"/>
  <c r="AL353" i="4"/>
  <c r="AK353" i="4"/>
  <c r="AS352" i="4"/>
  <c r="AR352" i="4"/>
  <c r="AQ352" i="4"/>
  <c r="AP352" i="4"/>
  <c r="AO352" i="4"/>
  <c r="AN352" i="4"/>
  <c r="AM352" i="4"/>
  <c r="AL352" i="4"/>
  <c r="AK352" i="4"/>
  <c r="AS351" i="4"/>
  <c r="AR351" i="4"/>
  <c r="AQ351" i="4"/>
  <c r="AP351" i="4"/>
  <c r="AO351" i="4"/>
  <c r="AN351" i="4"/>
  <c r="AM351" i="4"/>
  <c r="AL351" i="4"/>
  <c r="AK351" i="4"/>
  <c r="AS350" i="4"/>
  <c r="AR350" i="4"/>
  <c r="AQ350" i="4"/>
  <c r="AP350" i="4"/>
  <c r="AO350" i="4"/>
  <c r="AN350" i="4"/>
  <c r="AM350" i="4"/>
  <c r="AL350" i="4"/>
  <c r="AK350" i="4"/>
  <c r="AS349" i="4"/>
  <c r="AR349" i="4"/>
  <c r="AQ349" i="4"/>
  <c r="AP349" i="4"/>
  <c r="AO349" i="4"/>
  <c r="AN349" i="4"/>
  <c r="AM349" i="4"/>
  <c r="AL349" i="4"/>
  <c r="AK349" i="4"/>
  <c r="AS348" i="4"/>
  <c r="AR348" i="4"/>
  <c r="AQ348" i="4"/>
  <c r="AP348" i="4"/>
  <c r="AO348" i="4"/>
  <c r="AN348" i="4"/>
  <c r="AM348" i="4"/>
  <c r="AL348" i="4"/>
  <c r="AK348" i="4"/>
  <c r="AS347" i="4"/>
  <c r="AR347" i="4"/>
  <c r="AQ347" i="4"/>
  <c r="AP347" i="4"/>
  <c r="AO347" i="4"/>
  <c r="AN347" i="4"/>
  <c r="AM347" i="4"/>
  <c r="AL347" i="4"/>
  <c r="AK347" i="4"/>
  <c r="AS346" i="4"/>
  <c r="AR346" i="4"/>
  <c r="AQ346" i="4"/>
  <c r="AP346" i="4"/>
  <c r="AO346" i="4"/>
  <c r="AN346" i="4"/>
  <c r="AM346" i="4"/>
  <c r="AL346" i="4"/>
  <c r="AK346" i="4"/>
  <c r="AS345" i="4"/>
  <c r="AR345" i="4"/>
  <c r="AQ345" i="4"/>
  <c r="AP345" i="4"/>
  <c r="AO345" i="4"/>
  <c r="AN345" i="4"/>
  <c r="AM345" i="4"/>
  <c r="AL345" i="4"/>
  <c r="AK345" i="4"/>
  <c r="AS344" i="4"/>
  <c r="AR344" i="4"/>
  <c r="AQ344" i="4"/>
  <c r="AP344" i="4"/>
  <c r="AO344" i="4"/>
  <c r="AN344" i="4"/>
  <c r="AM344" i="4"/>
  <c r="AL344" i="4"/>
  <c r="AK344" i="4"/>
  <c r="AS343" i="4"/>
  <c r="AR343" i="4"/>
  <c r="AQ343" i="4"/>
  <c r="AP343" i="4"/>
  <c r="AO343" i="4"/>
  <c r="AN343" i="4"/>
  <c r="AM343" i="4"/>
  <c r="AL343" i="4"/>
  <c r="AK343" i="4"/>
  <c r="AS342" i="4"/>
  <c r="AR342" i="4"/>
  <c r="AQ342" i="4"/>
  <c r="AP342" i="4"/>
  <c r="AO342" i="4"/>
  <c r="AN342" i="4"/>
  <c r="AM342" i="4"/>
  <c r="AL342" i="4"/>
  <c r="AK342" i="4"/>
  <c r="AS341" i="4"/>
  <c r="AR341" i="4"/>
  <c r="AQ341" i="4"/>
  <c r="AP341" i="4"/>
  <c r="AO341" i="4"/>
  <c r="AN341" i="4"/>
  <c r="AM341" i="4"/>
  <c r="AL341" i="4"/>
  <c r="AK341" i="4"/>
  <c r="AS340" i="4"/>
  <c r="AR340" i="4"/>
  <c r="AQ340" i="4"/>
  <c r="AP340" i="4"/>
  <c r="AO340" i="4"/>
  <c r="AN340" i="4"/>
  <c r="AM340" i="4"/>
  <c r="AL340" i="4"/>
  <c r="AK340" i="4"/>
  <c r="AS339" i="4"/>
  <c r="AR339" i="4"/>
  <c r="AQ339" i="4"/>
  <c r="AP339" i="4"/>
  <c r="AO339" i="4"/>
  <c r="AN339" i="4"/>
  <c r="AM339" i="4"/>
  <c r="AL339" i="4"/>
  <c r="AK339" i="4"/>
  <c r="AS338" i="4"/>
  <c r="AR338" i="4"/>
  <c r="AQ338" i="4"/>
  <c r="AP338" i="4"/>
  <c r="AO338" i="4"/>
  <c r="AN338" i="4"/>
  <c r="AM338" i="4"/>
  <c r="AL338" i="4"/>
  <c r="AK338" i="4"/>
  <c r="AS337" i="4"/>
  <c r="AR337" i="4"/>
  <c r="AQ337" i="4"/>
  <c r="AP337" i="4"/>
  <c r="AO337" i="4"/>
  <c r="AN337" i="4"/>
  <c r="AM337" i="4"/>
  <c r="AL337" i="4"/>
  <c r="AK337" i="4"/>
  <c r="AS336" i="4"/>
  <c r="AR336" i="4"/>
  <c r="AQ336" i="4"/>
  <c r="AP336" i="4"/>
  <c r="AO336" i="4"/>
  <c r="AN336" i="4"/>
  <c r="AM336" i="4"/>
  <c r="AL336" i="4"/>
  <c r="AK336" i="4"/>
  <c r="AS335" i="4"/>
  <c r="AR335" i="4"/>
  <c r="AQ335" i="4"/>
  <c r="AP335" i="4"/>
  <c r="AO335" i="4"/>
  <c r="AN335" i="4"/>
  <c r="AM335" i="4"/>
  <c r="AL335" i="4"/>
  <c r="AK335" i="4"/>
  <c r="AS334" i="4"/>
  <c r="AR334" i="4"/>
  <c r="AQ334" i="4"/>
  <c r="AP334" i="4"/>
  <c r="AO334" i="4"/>
  <c r="AN334" i="4"/>
  <c r="AM334" i="4"/>
  <c r="AL334" i="4"/>
  <c r="AK334" i="4"/>
  <c r="AS333" i="4"/>
  <c r="AR333" i="4"/>
  <c r="AQ333" i="4"/>
  <c r="AP333" i="4"/>
  <c r="AO333" i="4"/>
  <c r="AN333" i="4"/>
  <c r="AM333" i="4"/>
  <c r="AL333" i="4"/>
  <c r="AK333" i="4"/>
  <c r="AS332" i="4"/>
  <c r="AR332" i="4"/>
  <c r="AQ332" i="4"/>
  <c r="AP332" i="4"/>
  <c r="AO332" i="4"/>
  <c r="AN332" i="4"/>
  <c r="AM332" i="4"/>
  <c r="AL332" i="4"/>
  <c r="AK332" i="4"/>
  <c r="AS331" i="4"/>
  <c r="AR331" i="4"/>
  <c r="AQ331" i="4"/>
  <c r="AP331" i="4"/>
  <c r="AO331" i="4"/>
  <c r="AN331" i="4"/>
  <c r="AM331" i="4"/>
  <c r="AL331" i="4"/>
  <c r="AK331" i="4"/>
  <c r="AS330" i="4"/>
  <c r="AR330" i="4"/>
  <c r="AQ330" i="4"/>
  <c r="AP330" i="4"/>
  <c r="AO330" i="4"/>
  <c r="AN330" i="4"/>
  <c r="AM330" i="4"/>
  <c r="AL330" i="4"/>
  <c r="AK330" i="4"/>
  <c r="AS329" i="4"/>
  <c r="AR329" i="4"/>
  <c r="AQ329" i="4"/>
  <c r="AP329" i="4"/>
  <c r="AO329" i="4"/>
  <c r="AN329" i="4"/>
  <c r="AM329" i="4"/>
  <c r="AL329" i="4"/>
  <c r="AK329" i="4"/>
  <c r="AS328" i="4"/>
  <c r="AR328" i="4"/>
  <c r="AQ328" i="4"/>
  <c r="AP328" i="4"/>
  <c r="AO328" i="4"/>
  <c r="AN328" i="4"/>
  <c r="AM328" i="4"/>
  <c r="AL328" i="4"/>
  <c r="AK328" i="4"/>
  <c r="AS327" i="4"/>
  <c r="AR327" i="4"/>
  <c r="AQ327" i="4"/>
  <c r="AP327" i="4"/>
  <c r="AO327" i="4"/>
  <c r="AN327" i="4"/>
  <c r="AM327" i="4"/>
  <c r="AL327" i="4"/>
  <c r="AK327" i="4"/>
  <c r="AS326" i="4"/>
  <c r="AR326" i="4"/>
  <c r="AQ326" i="4"/>
  <c r="AP326" i="4"/>
  <c r="AO326" i="4"/>
  <c r="AN326" i="4"/>
  <c r="AM326" i="4"/>
  <c r="AL326" i="4"/>
  <c r="AK326" i="4"/>
  <c r="AS325" i="4"/>
  <c r="AR325" i="4"/>
  <c r="AQ325" i="4"/>
  <c r="AP325" i="4"/>
  <c r="AO325" i="4"/>
  <c r="AN325" i="4"/>
  <c r="AM325" i="4"/>
  <c r="AL325" i="4"/>
  <c r="AK325" i="4"/>
  <c r="AS324" i="4"/>
  <c r="AR324" i="4"/>
  <c r="AQ324" i="4"/>
  <c r="AP324" i="4"/>
  <c r="AO324" i="4"/>
  <c r="AN324" i="4"/>
  <c r="AM324" i="4"/>
  <c r="AL324" i="4"/>
  <c r="AK324" i="4"/>
  <c r="AS323" i="4"/>
  <c r="AR323" i="4"/>
  <c r="AQ323" i="4"/>
  <c r="AP323" i="4"/>
  <c r="AO323" i="4"/>
  <c r="AN323" i="4"/>
  <c r="AM323" i="4"/>
  <c r="AL323" i="4"/>
  <c r="AK323" i="4"/>
  <c r="AS322" i="4"/>
  <c r="AR322" i="4"/>
  <c r="AQ322" i="4"/>
  <c r="AP322" i="4"/>
  <c r="AO322" i="4"/>
  <c r="AN322" i="4"/>
  <c r="AM322" i="4"/>
  <c r="AL322" i="4"/>
  <c r="AK322" i="4"/>
  <c r="AS321" i="4"/>
  <c r="AR321" i="4"/>
  <c r="AQ321" i="4"/>
  <c r="AP321" i="4"/>
  <c r="AO321" i="4"/>
  <c r="AN321" i="4"/>
  <c r="AM321" i="4"/>
  <c r="AL321" i="4"/>
  <c r="AK321" i="4"/>
  <c r="AS320" i="4"/>
  <c r="AR320" i="4"/>
  <c r="AQ320" i="4"/>
  <c r="AP320" i="4"/>
  <c r="AO320" i="4"/>
  <c r="AN320" i="4"/>
  <c r="AM320" i="4"/>
  <c r="AL320" i="4"/>
  <c r="AK320" i="4"/>
  <c r="AS319" i="4"/>
  <c r="AR319" i="4"/>
  <c r="AQ319" i="4"/>
  <c r="AP319" i="4"/>
  <c r="AO319" i="4"/>
  <c r="AN319" i="4"/>
  <c r="AM319" i="4"/>
  <c r="AL319" i="4"/>
  <c r="AK319" i="4"/>
  <c r="AS318" i="4"/>
  <c r="AR318" i="4"/>
  <c r="AQ318" i="4"/>
  <c r="AP318" i="4"/>
  <c r="AO318" i="4"/>
  <c r="AN318" i="4"/>
  <c r="AM318" i="4"/>
  <c r="AL318" i="4"/>
  <c r="AK318" i="4"/>
  <c r="AS317" i="4"/>
  <c r="AR317" i="4"/>
  <c r="AQ317" i="4"/>
  <c r="AP317" i="4"/>
  <c r="AO317" i="4"/>
  <c r="AN317" i="4"/>
  <c r="AM317" i="4"/>
  <c r="AL317" i="4"/>
  <c r="AK317" i="4"/>
  <c r="AS316" i="4"/>
  <c r="AR316" i="4"/>
  <c r="AQ316" i="4"/>
  <c r="AP316" i="4"/>
  <c r="AO316" i="4"/>
  <c r="AN316" i="4"/>
  <c r="AM316" i="4"/>
  <c r="AL316" i="4"/>
  <c r="AK316" i="4"/>
  <c r="AS315" i="4"/>
  <c r="AR315" i="4"/>
  <c r="AQ315" i="4"/>
  <c r="AP315" i="4"/>
  <c r="AO315" i="4"/>
  <c r="AN315" i="4"/>
  <c r="AM315" i="4"/>
  <c r="AL315" i="4"/>
  <c r="AK315" i="4"/>
  <c r="AS314" i="4"/>
  <c r="AR314" i="4"/>
  <c r="AQ314" i="4"/>
  <c r="AP314" i="4"/>
  <c r="AO314" i="4"/>
  <c r="AN314" i="4"/>
  <c r="AM314" i="4"/>
  <c r="AL314" i="4"/>
  <c r="AK314" i="4"/>
  <c r="AS313" i="4"/>
  <c r="AR313" i="4"/>
  <c r="AQ313" i="4"/>
  <c r="AP313" i="4"/>
  <c r="AO313" i="4"/>
  <c r="AN313" i="4"/>
  <c r="AM313" i="4"/>
  <c r="AL313" i="4"/>
  <c r="AK313" i="4"/>
  <c r="AS312" i="4"/>
  <c r="AR312" i="4"/>
  <c r="AQ312" i="4"/>
  <c r="AP312" i="4"/>
  <c r="AO312" i="4"/>
  <c r="AN312" i="4"/>
  <c r="AM312" i="4"/>
  <c r="AL312" i="4"/>
  <c r="AK312" i="4"/>
  <c r="AS311" i="4"/>
  <c r="AR311" i="4"/>
  <c r="AQ311" i="4"/>
  <c r="AP311" i="4"/>
  <c r="AO311" i="4"/>
  <c r="AN311" i="4"/>
  <c r="AM311" i="4"/>
  <c r="AL311" i="4"/>
  <c r="AK311" i="4"/>
  <c r="AS310" i="4"/>
  <c r="AR310" i="4"/>
  <c r="AQ310" i="4"/>
  <c r="AP310" i="4"/>
  <c r="AO310" i="4"/>
  <c r="AN310" i="4"/>
  <c r="AM310" i="4"/>
  <c r="AL310" i="4"/>
  <c r="AK310" i="4"/>
  <c r="AS309" i="4"/>
  <c r="AR309" i="4"/>
  <c r="AQ309" i="4"/>
  <c r="AP309" i="4"/>
  <c r="AO309" i="4"/>
  <c r="AN309" i="4"/>
  <c r="AM309" i="4"/>
  <c r="AL309" i="4"/>
  <c r="AK309" i="4"/>
  <c r="AS308" i="4"/>
  <c r="AR308" i="4"/>
  <c r="AQ308" i="4"/>
  <c r="AP308" i="4"/>
  <c r="AO308" i="4"/>
  <c r="AN308" i="4"/>
  <c r="AM308" i="4"/>
  <c r="AL308" i="4"/>
  <c r="AK308" i="4"/>
  <c r="AS307" i="4"/>
  <c r="AR307" i="4"/>
  <c r="AQ307" i="4"/>
  <c r="AP307" i="4"/>
  <c r="AO307" i="4"/>
  <c r="AN307" i="4"/>
  <c r="AM307" i="4"/>
  <c r="AL307" i="4"/>
  <c r="AK307" i="4"/>
  <c r="AS306" i="4"/>
  <c r="AR306" i="4"/>
  <c r="AQ306" i="4"/>
  <c r="AP306" i="4"/>
  <c r="AO306" i="4"/>
  <c r="AN306" i="4"/>
  <c r="AM306" i="4"/>
  <c r="AL306" i="4"/>
  <c r="AK306" i="4"/>
  <c r="AS305" i="4"/>
  <c r="AR305" i="4"/>
  <c r="AQ305" i="4"/>
  <c r="AP305" i="4"/>
  <c r="AO305" i="4"/>
  <c r="AN305" i="4"/>
  <c r="AM305" i="4"/>
  <c r="AL305" i="4"/>
  <c r="AK305" i="4"/>
  <c r="AS304" i="4"/>
  <c r="AR304" i="4"/>
  <c r="AQ304" i="4"/>
  <c r="AP304" i="4"/>
  <c r="AO304" i="4"/>
  <c r="AN304" i="4"/>
  <c r="AM304" i="4"/>
  <c r="AL304" i="4"/>
  <c r="AK304" i="4"/>
  <c r="AS303" i="4"/>
  <c r="AR303" i="4"/>
  <c r="AQ303" i="4"/>
  <c r="AP303" i="4"/>
  <c r="AO303" i="4"/>
  <c r="AN303" i="4"/>
  <c r="AM303" i="4"/>
  <c r="AL303" i="4"/>
  <c r="AK303" i="4"/>
  <c r="AS302" i="4"/>
  <c r="AR302" i="4"/>
  <c r="AQ302" i="4"/>
  <c r="AP302" i="4"/>
  <c r="AO302" i="4"/>
  <c r="AN302" i="4"/>
  <c r="AM302" i="4"/>
  <c r="AL302" i="4"/>
  <c r="AK302" i="4"/>
  <c r="AS301" i="4"/>
  <c r="AR301" i="4"/>
  <c r="AQ301" i="4"/>
  <c r="AP301" i="4"/>
  <c r="AO301" i="4"/>
  <c r="AN301" i="4"/>
  <c r="AM301" i="4"/>
  <c r="AL301" i="4"/>
  <c r="AK301" i="4"/>
  <c r="AS300" i="4"/>
  <c r="AR300" i="4"/>
  <c r="AQ300" i="4"/>
  <c r="AP300" i="4"/>
  <c r="AO300" i="4"/>
  <c r="AN300" i="4"/>
  <c r="AM300" i="4"/>
  <c r="AL300" i="4"/>
  <c r="AK300" i="4"/>
  <c r="AS299" i="4"/>
  <c r="AR299" i="4"/>
  <c r="AQ299" i="4"/>
  <c r="AP299" i="4"/>
  <c r="AO299" i="4"/>
  <c r="AN299" i="4"/>
  <c r="AM299" i="4"/>
  <c r="AL299" i="4"/>
  <c r="AK299" i="4"/>
  <c r="AS298" i="4"/>
  <c r="AR298" i="4"/>
  <c r="AQ298" i="4"/>
  <c r="AP298" i="4"/>
  <c r="AO298" i="4"/>
  <c r="AN298" i="4"/>
  <c r="AM298" i="4"/>
  <c r="AL298" i="4"/>
  <c r="AK298" i="4"/>
  <c r="AS297" i="4"/>
  <c r="AR297" i="4"/>
  <c r="AQ297" i="4"/>
  <c r="AP297" i="4"/>
  <c r="AO297" i="4"/>
  <c r="AN297" i="4"/>
  <c r="AM297" i="4"/>
  <c r="AL297" i="4"/>
  <c r="AK297" i="4"/>
  <c r="AS296" i="4"/>
  <c r="AR296" i="4"/>
  <c r="AQ296" i="4"/>
  <c r="AP296" i="4"/>
  <c r="AO296" i="4"/>
  <c r="AN296" i="4"/>
  <c r="AM296" i="4"/>
  <c r="AL296" i="4"/>
  <c r="AK296" i="4"/>
  <c r="AS295" i="4"/>
  <c r="AR295" i="4"/>
  <c r="AQ295" i="4"/>
  <c r="AP295" i="4"/>
  <c r="AO295" i="4"/>
  <c r="AN295" i="4"/>
  <c r="AM295" i="4"/>
  <c r="AL295" i="4"/>
  <c r="AK295" i="4"/>
  <c r="AS294" i="4"/>
  <c r="AR294" i="4"/>
  <c r="AQ294" i="4"/>
  <c r="AP294" i="4"/>
  <c r="AO294" i="4"/>
  <c r="AN294" i="4"/>
  <c r="AM294" i="4"/>
  <c r="AL294" i="4"/>
  <c r="AK294" i="4"/>
  <c r="AS293" i="4"/>
  <c r="AR293" i="4"/>
  <c r="AQ293" i="4"/>
  <c r="AP293" i="4"/>
  <c r="AO293" i="4"/>
  <c r="AN293" i="4"/>
  <c r="AM293" i="4"/>
  <c r="AL293" i="4"/>
  <c r="AK293" i="4"/>
  <c r="AS292" i="4"/>
  <c r="AR292" i="4"/>
  <c r="AQ292" i="4"/>
  <c r="AP292" i="4"/>
  <c r="AO292" i="4"/>
  <c r="AN292" i="4"/>
  <c r="AM292" i="4"/>
  <c r="AL292" i="4"/>
  <c r="AK292" i="4"/>
  <c r="AS291" i="4"/>
  <c r="AR291" i="4"/>
  <c r="AQ291" i="4"/>
  <c r="AP291" i="4"/>
  <c r="AO291" i="4"/>
  <c r="AN291" i="4"/>
  <c r="AM291" i="4"/>
  <c r="AL291" i="4"/>
  <c r="AK291" i="4"/>
  <c r="AS290" i="4"/>
  <c r="AR290" i="4"/>
  <c r="AQ290" i="4"/>
  <c r="AP290" i="4"/>
  <c r="AO290" i="4"/>
  <c r="AN290" i="4"/>
  <c r="AM290" i="4"/>
  <c r="AL290" i="4"/>
  <c r="AK290" i="4"/>
  <c r="AS289" i="4"/>
  <c r="AR289" i="4"/>
  <c r="AQ289" i="4"/>
  <c r="AP289" i="4"/>
  <c r="AO289" i="4"/>
  <c r="AN289" i="4"/>
  <c r="AM289" i="4"/>
  <c r="AL289" i="4"/>
  <c r="AK289" i="4"/>
  <c r="AS288" i="4"/>
  <c r="AR288" i="4"/>
  <c r="AQ288" i="4"/>
  <c r="AP288" i="4"/>
  <c r="AO288" i="4"/>
  <c r="AN288" i="4"/>
  <c r="AM288" i="4"/>
  <c r="AL288" i="4"/>
  <c r="AK288" i="4"/>
  <c r="AS287" i="4"/>
  <c r="AR287" i="4"/>
  <c r="AQ287" i="4"/>
  <c r="AP287" i="4"/>
  <c r="AO287" i="4"/>
  <c r="AN287" i="4"/>
  <c r="AM287" i="4"/>
  <c r="AL287" i="4"/>
  <c r="AK287" i="4"/>
  <c r="AS286" i="4"/>
  <c r="AR286" i="4"/>
  <c r="AQ286" i="4"/>
  <c r="AP286" i="4"/>
  <c r="AO286" i="4"/>
  <c r="AN286" i="4"/>
  <c r="AM286" i="4"/>
  <c r="AL286" i="4"/>
  <c r="AK286" i="4"/>
  <c r="AS285" i="4"/>
  <c r="AR285" i="4"/>
  <c r="AQ285" i="4"/>
  <c r="AP285" i="4"/>
  <c r="AO285" i="4"/>
  <c r="AN285" i="4"/>
  <c r="AM285" i="4"/>
  <c r="AL285" i="4"/>
  <c r="AK285" i="4"/>
  <c r="AS284" i="4"/>
  <c r="AR284" i="4"/>
  <c r="AQ284" i="4"/>
  <c r="AP284" i="4"/>
  <c r="AO284" i="4"/>
  <c r="AN284" i="4"/>
  <c r="AM284" i="4"/>
  <c r="AL284" i="4"/>
  <c r="AK284" i="4"/>
  <c r="AS283" i="4"/>
  <c r="AR283" i="4"/>
  <c r="AQ283" i="4"/>
  <c r="AP283" i="4"/>
  <c r="AO283" i="4"/>
  <c r="AN283" i="4"/>
  <c r="AM283" i="4"/>
  <c r="AL283" i="4"/>
  <c r="AK283" i="4"/>
  <c r="AS282" i="4"/>
  <c r="AR282" i="4"/>
  <c r="AQ282" i="4"/>
  <c r="AP282" i="4"/>
  <c r="AO282" i="4"/>
  <c r="AN282" i="4"/>
  <c r="AL282" i="4"/>
  <c r="AK282" i="4"/>
  <c r="AS281" i="4"/>
  <c r="AR281" i="4"/>
  <c r="AQ281" i="4"/>
  <c r="AP281" i="4"/>
  <c r="AO281" i="4"/>
  <c r="AN281" i="4"/>
  <c r="AM281" i="4"/>
  <c r="AL281" i="4"/>
  <c r="AK281" i="4"/>
  <c r="AS280" i="4"/>
  <c r="AR280" i="4"/>
  <c r="AQ280" i="4"/>
  <c r="AP280" i="4"/>
  <c r="AO280" i="4"/>
  <c r="AN280" i="4"/>
  <c r="AM280" i="4"/>
  <c r="AL280" i="4"/>
  <c r="AK280" i="4"/>
  <c r="AS279" i="4"/>
  <c r="AR279" i="4"/>
  <c r="AQ279" i="4"/>
  <c r="AP279" i="4"/>
  <c r="AO279" i="4"/>
  <c r="AN279" i="4"/>
  <c r="AM279" i="4"/>
  <c r="AL279" i="4"/>
  <c r="AK279" i="4"/>
  <c r="AS278" i="4"/>
  <c r="AR278" i="4"/>
  <c r="AQ278" i="4"/>
  <c r="AP278" i="4"/>
  <c r="AO278" i="4"/>
  <c r="AN278" i="4"/>
  <c r="AM278" i="4"/>
  <c r="AL278" i="4"/>
  <c r="AK278" i="4"/>
  <c r="AS277" i="4"/>
  <c r="AR277" i="4"/>
  <c r="AQ277" i="4"/>
  <c r="AP277" i="4"/>
  <c r="AO277" i="4"/>
  <c r="AN277" i="4"/>
  <c r="AM277" i="4"/>
  <c r="AL277" i="4"/>
  <c r="AK277" i="4"/>
  <c r="AS276" i="4"/>
  <c r="AR276" i="4"/>
  <c r="AQ276" i="4"/>
  <c r="AP276" i="4"/>
  <c r="AO276" i="4"/>
  <c r="AN276" i="4"/>
  <c r="AM276" i="4"/>
  <c r="AL276" i="4"/>
  <c r="AK276" i="4"/>
  <c r="AS275" i="4"/>
  <c r="AR275" i="4"/>
  <c r="AQ275" i="4"/>
  <c r="AP275" i="4"/>
  <c r="AO275" i="4"/>
  <c r="AN275" i="4"/>
  <c r="AM275" i="4"/>
  <c r="AL275" i="4"/>
  <c r="AK275" i="4"/>
  <c r="AS274" i="4"/>
  <c r="AR274" i="4"/>
  <c r="AQ274" i="4"/>
  <c r="AP274" i="4"/>
  <c r="AO274" i="4"/>
  <c r="AN274" i="4"/>
  <c r="AM274" i="4"/>
  <c r="AL274" i="4"/>
  <c r="AK274" i="4"/>
  <c r="AS273" i="4"/>
  <c r="AR273" i="4"/>
  <c r="AQ273" i="4"/>
  <c r="AP273" i="4"/>
  <c r="AO273" i="4"/>
  <c r="AN273" i="4"/>
  <c r="AM273" i="4"/>
  <c r="AL273" i="4"/>
  <c r="AK273" i="4"/>
  <c r="AS272" i="4"/>
  <c r="AR272" i="4"/>
  <c r="AQ272" i="4"/>
  <c r="AP272" i="4"/>
  <c r="AO272" i="4"/>
  <c r="AN272" i="4"/>
  <c r="AM272" i="4"/>
  <c r="AL272" i="4"/>
  <c r="AK272" i="4"/>
  <c r="AS271" i="4"/>
  <c r="AR271" i="4"/>
  <c r="AQ271" i="4"/>
  <c r="AP271" i="4"/>
  <c r="AO271" i="4"/>
  <c r="AN271" i="4"/>
  <c r="AM271" i="4"/>
  <c r="AL271" i="4"/>
  <c r="AK271" i="4"/>
  <c r="AS270" i="4"/>
  <c r="AR270" i="4"/>
  <c r="AQ270" i="4"/>
  <c r="AP270" i="4"/>
  <c r="AO270" i="4"/>
  <c r="AN270" i="4"/>
  <c r="AM270" i="4"/>
  <c r="AL270" i="4"/>
  <c r="AK270" i="4"/>
  <c r="AS269" i="4"/>
  <c r="AR269" i="4"/>
  <c r="AQ269" i="4"/>
  <c r="AP269" i="4"/>
  <c r="AO269" i="4"/>
  <c r="AN269" i="4"/>
  <c r="AM269" i="4"/>
  <c r="AL269" i="4"/>
  <c r="AK269" i="4"/>
  <c r="AS268" i="4"/>
  <c r="AR268" i="4"/>
  <c r="AQ268" i="4"/>
  <c r="AP268" i="4"/>
  <c r="AO268" i="4"/>
  <c r="AN268" i="4"/>
  <c r="AM268" i="4"/>
  <c r="AL268" i="4"/>
  <c r="AK268" i="4"/>
  <c r="AS267" i="4"/>
  <c r="AR267" i="4"/>
  <c r="AQ267" i="4"/>
  <c r="AP267" i="4"/>
  <c r="AO267" i="4"/>
  <c r="AN267" i="4"/>
  <c r="AM267" i="4"/>
  <c r="AL267" i="4"/>
  <c r="AK267" i="4"/>
  <c r="AS266" i="4"/>
  <c r="AR266" i="4"/>
  <c r="AQ266" i="4"/>
  <c r="AP266" i="4"/>
  <c r="AO266" i="4"/>
  <c r="AN266" i="4"/>
  <c r="AM266" i="4"/>
  <c r="AL266" i="4"/>
  <c r="AK266" i="4"/>
  <c r="AS265" i="4"/>
  <c r="AR265" i="4"/>
  <c r="AQ265" i="4"/>
  <c r="AP265" i="4"/>
  <c r="AO265" i="4"/>
  <c r="AN265" i="4"/>
  <c r="AM265" i="4"/>
  <c r="AL265" i="4"/>
  <c r="AK265" i="4"/>
  <c r="AS264" i="4"/>
  <c r="AR264" i="4"/>
  <c r="AQ264" i="4"/>
  <c r="AP264" i="4"/>
  <c r="AO264" i="4"/>
  <c r="AN264" i="4"/>
  <c r="AM264" i="4"/>
  <c r="AL264" i="4"/>
  <c r="AK264" i="4"/>
  <c r="AS263" i="4"/>
  <c r="AR263" i="4"/>
  <c r="AQ263" i="4"/>
  <c r="AP263" i="4"/>
  <c r="AO263" i="4"/>
  <c r="AN263" i="4"/>
  <c r="AM263" i="4"/>
  <c r="AL263" i="4"/>
  <c r="AK263" i="4"/>
  <c r="AS262" i="4"/>
  <c r="AR262" i="4"/>
  <c r="AQ262" i="4"/>
  <c r="AP262" i="4"/>
  <c r="AO262" i="4"/>
  <c r="AN262" i="4"/>
  <c r="AM262" i="4"/>
  <c r="AL262" i="4"/>
  <c r="AK262" i="4"/>
  <c r="AS261" i="4"/>
  <c r="AR261" i="4"/>
  <c r="AQ261" i="4"/>
  <c r="AP261" i="4"/>
  <c r="AO261" i="4"/>
  <c r="AN261" i="4"/>
  <c r="AM261" i="4"/>
  <c r="AL261" i="4"/>
  <c r="AK261" i="4"/>
  <c r="AS260" i="4"/>
  <c r="AR260" i="4"/>
  <c r="AQ260" i="4"/>
  <c r="AP260" i="4"/>
  <c r="AO260" i="4"/>
  <c r="AN260" i="4"/>
  <c r="AM260" i="4"/>
  <c r="AL260" i="4"/>
  <c r="AK260" i="4"/>
  <c r="AS259" i="4"/>
  <c r="AR259" i="4"/>
  <c r="AQ259" i="4"/>
  <c r="AP259" i="4"/>
  <c r="AO259" i="4"/>
  <c r="AN259" i="4"/>
  <c r="AM259" i="4"/>
  <c r="AL259" i="4"/>
  <c r="AK259" i="4"/>
  <c r="AS258" i="4"/>
  <c r="AR258" i="4"/>
  <c r="AQ258" i="4"/>
  <c r="AP258" i="4"/>
  <c r="AO258" i="4"/>
  <c r="AN258" i="4"/>
  <c r="AM258" i="4"/>
  <c r="AL258" i="4"/>
  <c r="AK258" i="4"/>
  <c r="AS257" i="4"/>
  <c r="AR257" i="4"/>
  <c r="AQ257" i="4"/>
  <c r="AP257" i="4"/>
  <c r="AO257" i="4"/>
  <c r="AN257" i="4"/>
  <c r="AM257" i="4"/>
  <c r="AL257" i="4"/>
  <c r="AK257" i="4"/>
  <c r="AS256" i="4"/>
  <c r="AR256" i="4"/>
  <c r="AQ256" i="4"/>
  <c r="AP256" i="4"/>
  <c r="AO256" i="4"/>
  <c r="AN256" i="4"/>
  <c r="AM256" i="4"/>
  <c r="AL256" i="4"/>
  <c r="AK256" i="4"/>
  <c r="AS255" i="4"/>
  <c r="AR255" i="4"/>
  <c r="AQ255" i="4"/>
  <c r="AP255" i="4"/>
  <c r="AO255" i="4"/>
  <c r="AN255" i="4"/>
  <c r="AM255" i="4"/>
  <c r="AL255" i="4"/>
  <c r="AK255" i="4"/>
  <c r="AS254" i="4"/>
  <c r="AR254" i="4"/>
  <c r="AQ254" i="4"/>
  <c r="AP254" i="4"/>
  <c r="AO254" i="4"/>
  <c r="AN254" i="4"/>
  <c r="AM254" i="4"/>
  <c r="AL254" i="4"/>
  <c r="AK254" i="4"/>
  <c r="AS253" i="4"/>
  <c r="AR253" i="4"/>
  <c r="AQ253" i="4"/>
  <c r="AP253" i="4"/>
  <c r="AO253" i="4"/>
  <c r="AN253" i="4"/>
  <c r="AM253" i="4"/>
  <c r="AL253" i="4"/>
  <c r="AK253" i="4"/>
  <c r="AS252" i="4"/>
  <c r="AR252" i="4"/>
  <c r="AQ252" i="4"/>
  <c r="AP252" i="4"/>
  <c r="AO252" i="4"/>
  <c r="AN252" i="4"/>
  <c r="AM252" i="4"/>
  <c r="AL252" i="4"/>
  <c r="AK252" i="4"/>
  <c r="AS251" i="4"/>
  <c r="AR251" i="4"/>
  <c r="AQ251" i="4"/>
  <c r="AP251" i="4"/>
  <c r="AO251" i="4"/>
  <c r="AN251" i="4"/>
  <c r="AM251" i="4"/>
  <c r="AL251" i="4"/>
  <c r="AK251" i="4"/>
  <c r="AS250" i="4"/>
  <c r="AR250" i="4"/>
  <c r="AQ250" i="4"/>
  <c r="AP250" i="4"/>
  <c r="AO250" i="4"/>
  <c r="AN250" i="4"/>
  <c r="AM250" i="4"/>
  <c r="AL250" i="4"/>
  <c r="AK250" i="4"/>
  <c r="AS249" i="4"/>
  <c r="AR249" i="4"/>
  <c r="AQ249" i="4"/>
  <c r="AP249" i="4"/>
  <c r="AO249" i="4"/>
  <c r="AN249" i="4"/>
  <c r="AL249" i="4"/>
  <c r="AK249" i="4"/>
  <c r="AS248" i="4"/>
  <c r="AR248" i="4"/>
  <c r="AQ248" i="4"/>
  <c r="AP248" i="4"/>
  <c r="AO248" i="4"/>
  <c r="AN248" i="4"/>
  <c r="AM248" i="4"/>
  <c r="AL248" i="4"/>
  <c r="AK248" i="4"/>
  <c r="AS247" i="4"/>
  <c r="AR247" i="4"/>
  <c r="AQ247" i="4"/>
  <c r="AP247" i="4"/>
  <c r="AO247" i="4"/>
  <c r="AN247" i="4"/>
  <c r="AM247" i="4"/>
  <c r="AL247" i="4"/>
  <c r="AK247" i="4"/>
  <c r="AS246" i="4"/>
  <c r="AR246" i="4"/>
  <c r="AQ246" i="4"/>
  <c r="AP246" i="4"/>
  <c r="AO246" i="4"/>
  <c r="AN246" i="4"/>
  <c r="AM246" i="4"/>
  <c r="AL246" i="4"/>
  <c r="AK246" i="4"/>
  <c r="AS245" i="4"/>
  <c r="AR245" i="4"/>
  <c r="AQ245" i="4"/>
  <c r="AP245" i="4"/>
  <c r="AO245" i="4"/>
  <c r="AN245" i="4"/>
  <c r="AM245" i="4"/>
  <c r="AL245" i="4"/>
  <c r="AK245" i="4"/>
  <c r="AS244" i="4"/>
  <c r="AR244" i="4"/>
  <c r="AQ244" i="4"/>
  <c r="AP244" i="4"/>
  <c r="AO244" i="4"/>
  <c r="AN244" i="4"/>
  <c r="AM244" i="4"/>
  <c r="AL244" i="4"/>
  <c r="AK244" i="4"/>
  <c r="AS243" i="4"/>
  <c r="AR243" i="4"/>
  <c r="AQ243" i="4"/>
  <c r="AP243" i="4"/>
  <c r="AO243" i="4"/>
  <c r="AN243" i="4"/>
  <c r="AM243" i="4"/>
  <c r="AL243" i="4"/>
  <c r="AK243" i="4"/>
  <c r="AS242" i="4"/>
  <c r="AR242" i="4"/>
  <c r="AQ242" i="4"/>
  <c r="AP242" i="4"/>
  <c r="AO242" i="4"/>
  <c r="AN242" i="4"/>
  <c r="AM242" i="4"/>
  <c r="AL242" i="4"/>
  <c r="AK242" i="4"/>
  <c r="AS241" i="4"/>
  <c r="AR241" i="4"/>
  <c r="AQ241" i="4"/>
  <c r="AP241" i="4"/>
  <c r="AO241" i="4"/>
  <c r="AN241" i="4"/>
  <c r="AM241" i="4"/>
  <c r="AL241" i="4"/>
  <c r="AK241" i="4"/>
  <c r="AS240" i="4"/>
  <c r="AR240" i="4"/>
  <c r="AQ240" i="4"/>
  <c r="AP240" i="4"/>
  <c r="AO240" i="4"/>
  <c r="AN240" i="4"/>
  <c r="AM240" i="4"/>
  <c r="AL240" i="4"/>
  <c r="AK240" i="4"/>
  <c r="AS239" i="4"/>
  <c r="AR239" i="4"/>
  <c r="AQ239" i="4"/>
  <c r="AP239" i="4"/>
  <c r="AO239" i="4"/>
  <c r="AN239" i="4"/>
  <c r="AM239" i="4"/>
  <c r="AL239" i="4"/>
  <c r="AK239" i="4"/>
  <c r="AS238" i="4"/>
  <c r="AR238" i="4"/>
  <c r="AQ238" i="4"/>
  <c r="AP238" i="4"/>
  <c r="AO238" i="4"/>
  <c r="AN238" i="4"/>
  <c r="AM238" i="4"/>
  <c r="AL238" i="4"/>
  <c r="AK238" i="4"/>
  <c r="AS237" i="4"/>
  <c r="AR237" i="4"/>
  <c r="AQ237" i="4"/>
  <c r="AP237" i="4"/>
  <c r="AO237" i="4"/>
  <c r="AN237" i="4"/>
  <c r="AM237" i="4"/>
  <c r="AL237" i="4"/>
  <c r="AK237" i="4"/>
  <c r="AS236" i="4"/>
  <c r="AR236" i="4"/>
  <c r="AQ236" i="4"/>
  <c r="AP236" i="4"/>
  <c r="AO236" i="4"/>
  <c r="AN236" i="4"/>
  <c r="AM236" i="4"/>
  <c r="AL236" i="4"/>
  <c r="AK236" i="4"/>
  <c r="AS235" i="4"/>
  <c r="AR235" i="4"/>
  <c r="AQ235" i="4"/>
  <c r="AP235" i="4"/>
  <c r="AO235" i="4"/>
  <c r="AN235" i="4"/>
  <c r="AM235" i="4"/>
  <c r="AL235" i="4"/>
  <c r="AK235" i="4"/>
  <c r="AS234" i="4"/>
  <c r="AR234" i="4"/>
  <c r="AQ234" i="4"/>
  <c r="AP234" i="4"/>
  <c r="AO234" i="4"/>
  <c r="AN234" i="4"/>
  <c r="AM234" i="4"/>
  <c r="AL234" i="4"/>
  <c r="AK234" i="4"/>
  <c r="AS233" i="4"/>
  <c r="AR233" i="4"/>
  <c r="AQ233" i="4"/>
  <c r="AP233" i="4"/>
  <c r="AO233" i="4"/>
  <c r="AN233" i="4"/>
  <c r="AM233" i="4"/>
  <c r="AL233" i="4"/>
  <c r="AK233" i="4"/>
  <c r="AS232" i="4"/>
  <c r="AR232" i="4"/>
  <c r="AQ232" i="4"/>
  <c r="AP232" i="4"/>
  <c r="AO232" i="4"/>
  <c r="AN232" i="4"/>
  <c r="AM232" i="4"/>
  <c r="AL232" i="4"/>
  <c r="AK232" i="4"/>
  <c r="AS231" i="4"/>
  <c r="AR231" i="4"/>
  <c r="AQ231" i="4"/>
  <c r="AP231" i="4"/>
  <c r="AO231" i="4"/>
  <c r="AN231" i="4"/>
  <c r="AM231" i="4"/>
  <c r="AL231" i="4"/>
  <c r="AK231" i="4"/>
  <c r="AS230" i="4"/>
  <c r="AR230" i="4"/>
  <c r="AQ230" i="4"/>
  <c r="AP230" i="4"/>
  <c r="AO230" i="4"/>
  <c r="AN230" i="4"/>
  <c r="AM230" i="4"/>
  <c r="AL230" i="4"/>
  <c r="AK230" i="4"/>
  <c r="AS229" i="4"/>
  <c r="AR229" i="4"/>
  <c r="AQ229" i="4"/>
  <c r="AP229" i="4"/>
  <c r="AO229" i="4"/>
  <c r="AN229" i="4"/>
  <c r="AM229" i="4"/>
  <c r="AL229" i="4"/>
  <c r="AK229" i="4"/>
  <c r="AS228" i="4"/>
  <c r="AR228" i="4"/>
  <c r="AQ228" i="4"/>
  <c r="AP228" i="4"/>
  <c r="AO228" i="4"/>
  <c r="AN228" i="4"/>
  <c r="AM228" i="4"/>
  <c r="AL228" i="4"/>
  <c r="AK228" i="4"/>
  <c r="AS227" i="4"/>
  <c r="AR227" i="4"/>
  <c r="AQ227" i="4"/>
  <c r="AP227" i="4"/>
  <c r="AO227" i="4"/>
  <c r="AN227" i="4"/>
  <c r="AM227" i="4"/>
  <c r="AL227" i="4"/>
  <c r="AK227" i="4"/>
  <c r="AS226" i="4"/>
  <c r="AR226" i="4"/>
  <c r="AQ226" i="4"/>
  <c r="AP226" i="4"/>
  <c r="AO226" i="4"/>
  <c r="AN226" i="4"/>
  <c r="AM226" i="4"/>
  <c r="AL226" i="4"/>
  <c r="AK226" i="4"/>
  <c r="AS225" i="4"/>
  <c r="AR225" i="4"/>
  <c r="AQ225" i="4"/>
  <c r="AP225" i="4"/>
  <c r="AO225" i="4"/>
  <c r="AN225" i="4"/>
  <c r="AM225" i="4"/>
  <c r="AL225" i="4"/>
  <c r="AK225" i="4"/>
  <c r="AS224" i="4"/>
  <c r="AR224" i="4"/>
  <c r="AQ224" i="4"/>
  <c r="AP224" i="4"/>
  <c r="AO224" i="4"/>
  <c r="AN224" i="4"/>
  <c r="AM224" i="4"/>
  <c r="AL224" i="4"/>
  <c r="AK224" i="4"/>
  <c r="AS223" i="4"/>
  <c r="AR223" i="4"/>
  <c r="AQ223" i="4"/>
  <c r="AP223" i="4"/>
  <c r="AO223" i="4"/>
  <c r="AN223" i="4"/>
  <c r="AM223" i="4"/>
  <c r="AL223" i="4"/>
  <c r="AK223" i="4"/>
  <c r="AS222" i="4"/>
  <c r="AR222" i="4"/>
  <c r="AQ222" i="4"/>
  <c r="AP222" i="4"/>
  <c r="AO222" i="4"/>
  <c r="AN222" i="4"/>
  <c r="AM222" i="4"/>
  <c r="AL222" i="4"/>
  <c r="AK222" i="4"/>
  <c r="AS221" i="4"/>
  <c r="AR221" i="4"/>
  <c r="AQ221" i="4"/>
  <c r="AP221" i="4"/>
  <c r="AO221" i="4"/>
  <c r="AN221" i="4"/>
  <c r="AM221" i="4"/>
  <c r="AL221" i="4"/>
  <c r="AK221" i="4"/>
  <c r="AS220" i="4"/>
  <c r="AR220" i="4"/>
  <c r="AQ220" i="4"/>
  <c r="AP220" i="4"/>
  <c r="AO220" i="4"/>
  <c r="AN220" i="4"/>
  <c r="AM220" i="4"/>
  <c r="AL220" i="4"/>
  <c r="AK220" i="4"/>
  <c r="AS219" i="4"/>
  <c r="AR219" i="4"/>
  <c r="AQ219" i="4"/>
  <c r="AP219" i="4"/>
  <c r="AO219" i="4"/>
  <c r="AN219" i="4"/>
  <c r="AM219" i="4"/>
  <c r="AL219" i="4"/>
  <c r="AK219" i="4"/>
  <c r="AS218" i="4"/>
  <c r="AR218" i="4"/>
  <c r="AQ218" i="4"/>
  <c r="AP218" i="4"/>
  <c r="AO218" i="4"/>
  <c r="AN218" i="4"/>
  <c r="AM218" i="4"/>
  <c r="AL218" i="4"/>
  <c r="AK218" i="4"/>
  <c r="AS217" i="4"/>
  <c r="AR217" i="4"/>
  <c r="AQ217" i="4"/>
  <c r="AP217" i="4"/>
  <c r="AO217" i="4"/>
  <c r="AN217" i="4"/>
  <c r="AM217" i="4"/>
  <c r="AL217" i="4"/>
  <c r="AK217" i="4"/>
  <c r="AS216" i="4"/>
  <c r="AR216" i="4"/>
  <c r="AQ216" i="4"/>
  <c r="AP216" i="4"/>
  <c r="AO216" i="4"/>
  <c r="AN216" i="4"/>
  <c r="AM216" i="4"/>
  <c r="AL216" i="4"/>
  <c r="AK216" i="4"/>
  <c r="AS215" i="4"/>
  <c r="AR215" i="4"/>
  <c r="AQ215" i="4"/>
  <c r="AP215" i="4"/>
  <c r="AO215" i="4"/>
  <c r="AN215" i="4"/>
  <c r="AM215" i="4"/>
  <c r="AL215" i="4"/>
  <c r="AK215" i="4"/>
  <c r="AS214" i="4"/>
  <c r="AR214" i="4"/>
  <c r="AQ214" i="4"/>
  <c r="AP214" i="4"/>
  <c r="AO214" i="4"/>
  <c r="AN214" i="4"/>
  <c r="AM214" i="4"/>
  <c r="AL214" i="4"/>
  <c r="AK214" i="4"/>
  <c r="AS213" i="4"/>
  <c r="AR213" i="4"/>
  <c r="AQ213" i="4"/>
  <c r="AP213" i="4"/>
  <c r="AO213" i="4"/>
  <c r="AN213" i="4"/>
  <c r="AM213" i="4"/>
  <c r="AL213" i="4"/>
  <c r="AK213" i="4"/>
  <c r="AS212" i="4"/>
  <c r="AR212" i="4"/>
  <c r="AQ212" i="4"/>
  <c r="AP212" i="4"/>
  <c r="AO212" i="4"/>
  <c r="AN212" i="4"/>
  <c r="AM212" i="4"/>
  <c r="AL212" i="4"/>
  <c r="AK212" i="4"/>
  <c r="AS211" i="4"/>
  <c r="AR211" i="4"/>
  <c r="AQ211" i="4"/>
  <c r="AP211" i="4"/>
  <c r="AO211" i="4"/>
  <c r="AN211" i="4"/>
  <c r="AM211" i="4"/>
  <c r="AL211" i="4"/>
  <c r="AK211" i="4"/>
  <c r="AS210" i="4"/>
  <c r="AR210" i="4"/>
  <c r="AQ210" i="4"/>
  <c r="AP210" i="4"/>
  <c r="AO210" i="4"/>
  <c r="AN210" i="4"/>
  <c r="AM210" i="4"/>
  <c r="AL210" i="4"/>
  <c r="AK210" i="4"/>
  <c r="AS209" i="4"/>
  <c r="AR209" i="4"/>
  <c r="AQ209" i="4"/>
  <c r="AP209" i="4"/>
  <c r="AO209" i="4"/>
  <c r="AN209" i="4"/>
  <c r="AM209" i="4"/>
  <c r="AL209" i="4"/>
  <c r="AK209" i="4"/>
  <c r="AS208" i="4"/>
  <c r="AR208" i="4"/>
  <c r="AQ208" i="4"/>
  <c r="AP208" i="4"/>
  <c r="AO208" i="4"/>
  <c r="AN208" i="4"/>
  <c r="AM208" i="4"/>
  <c r="AL208" i="4"/>
  <c r="AK208" i="4"/>
  <c r="AS207" i="4"/>
  <c r="AR207" i="4"/>
  <c r="AQ207" i="4"/>
  <c r="AP207" i="4"/>
  <c r="AO207" i="4"/>
  <c r="AN207" i="4"/>
  <c r="AM207" i="4"/>
  <c r="AL207" i="4"/>
  <c r="AK207" i="4"/>
  <c r="AS206" i="4"/>
  <c r="AR206" i="4"/>
  <c r="AQ206" i="4"/>
  <c r="AP206" i="4"/>
  <c r="AO206" i="4"/>
  <c r="AN206" i="4"/>
  <c r="AM206" i="4"/>
  <c r="AL206" i="4"/>
  <c r="AK206" i="4"/>
  <c r="AS205" i="4"/>
  <c r="AR205" i="4"/>
  <c r="AQ205" i="4"/>
  <c r="AP205" i="4"/>
  <c r="AO205" i="4"/>
  <c r="AN205" i="4"/>
  <c r="AM205" i="4"/>
  <c r="AL205" i="4"/>
  <c r="AK205" i="4"/>
  <c r="AS204" i="4"/>
  <c r="AR204" i="4"/>
  <c r="AQ204" i="4"/>
  <c r="AP204" i="4"/>
  <c r="AO204" i="4"/>
  <c r="AN204" i="4"/>
  <c r="AM204" i="4"/>
  <c r="AL204" i="4"/>
  <c r="AK204" i="4"/>
  <c r="AS203" i="4"/>
  <c r="AR203" i="4"/>
  <c r="AQ203" i="4"/>
  <c r="AP203" i="4"/>
  <c r="AO203" i="4"/>
  <c r="AN203" i="4"/>
  <c r="AM203" i="4"/>
  <c r="AL203" i="4"/>
  <c r="AK203" i="4"/>
  <c r="AS202" i="4"/>
  <c r="AR202" i="4"/>
  <c r="AQ202" i="4"/>
  <c r="AP202" i="4"/>
  <c r="AO202" i="4"/>
  <c r="AN202" i="4"/>
  <c r="AM202" i="4"/>
  <c r="AL202" i="4"/>
  <c r="AK202" i="4"/>
  <c r="AS201" i="4"/>
  <c r="AR201" i="4"/>
  <c r="AQ201" i="4"/>
  <c r="AP201" i="4"/>
  <c r="AO201" i="4"/>
  <c r="AN201" i="4"/>
  <c r="AM201" i="4"/>
  <c r="AL201" i="4"/>
  <c r="AK201" i="4"/>
  <c r="AS200" i="4"/>
  <c r="AR200" i="4"/>
  <c r="AQ200" i="4"/>
  <c r="AP200" i="4"/>
  <c r="AO200" i="4"/>
  <c r="AN200" i="4"/>
  <c r="AM200" i="4"/>
  <c r="AL200" i="4"/>
  <c r="AK200" i="4"/>
  <c r="AS199" i="4"/>
  <c r="AR199" i="4"/>
  <c r="AQ199" i="4"/>
  <c r="AP199" i="4"/>
  <c r="AO199" i="4"/>
  <c r="AN199" i="4"/>
  <c r="AM199" i="4"/>
  <c r="AL199" i="4"/>
  <c r="AK199" i="4"/>
  <c r="AS198" i="4"/>
  <c r="AR198" i="4"/>
  <c r="AQ198" i="4"/>
  <c r="AP198" i="4"/>
  <c r="AO198" i="4"/>
  <c r="AN198" i="4"/>
  <c r="AM198" i="4"/>
  <c r="AL198" i="4"/>
  <c r="AK198" i="4"/>
  <c r="AS197" i="4"/>
  <c r="AR197" i="4"/>
  <c r="AQ197" i="4"/>
  <c r="AP197" i="4"/>
  <c r="AO197" i="4"/>
  <c r="AN197" i="4"/>
  <c r="AM197" i="4"/>
  <c r="AL197" i="4"/>
  <c r="AK197" i="4"/>
  <c r="AS196" i="4"/>
  <c r="AR196" i="4"/>
  <c r="AQ196" i="4"/>
  <c r="AP196" i="4"/>
  <c r="AO196" i="4"/>
  <c r="AN196" i="4"/>
  <c r="AM196" i="4"/>
  <c r="AL196" i="4"/>
  <c r="AK196" i="4"/>
  <c r="AS195" i="4"/>
  <c r="AR195" i="4"/>
  <c r="AQ195" i="4"/>
  <c r="AP195" i="4"/>
  <c r="AO195" i="4"/>
  <c r="AN195" i="4"/>
  <c r="AL195" i="4"/>
  <c r="AK195" i="4"/>
  <c r="AS194" i="4"/>
  <c r="AR194" i="4"/>
  <c r="AQ194" i="4"/>
  <c r="AP194" i="4"/>
  <c r="AO194" i="4"/>
  <c r="AN194" i="4"/>
  <c r="AL194" i="4"/>
  <c r="AK194" i="4"/>
  <c r="AS193" i="4"/>
  <c r="AR193" i="4"/>
  <c r="AQ193" i="4"/>
  <c r="AP193" i="4"/>
  <c r="AO193" i="4"/>
  <c r="AN193" i="4"/>
  <c r="AL193" i="4"/>
  <c r="AK193" i="4"/>
  <c r="AS192" i="4"/>
  <c r="AR192" i="4"/>
  <c r="AQ192" i="4"/>
  <c r="AP192" i="4"/>
  <c r="AO192" i="4"/>
  <c r="AN192" i="4"/>
  <c r="AL192" i="4"/>
  <c r="AK192" i="4"/>
  <c r="AS191" i="4"/>
  <c r="AR191" i="4"/>
  <c r="AQ191" i="4"/>
  <c r="AP191" i="4"/>
  <c r="AO191" i="4"/>
  <c r="AN191" i="4"/>
  <c r="AL191" i="4"/>
  <c r="AK191" i="4"/>
  <c r="AS190" i="4"/>
  <c r="AR190" i="4"/>
  <c r="AQ190" i="4"/>
  <c r="AP190" i="4"/>
  <c r="AO190" i="4"/>
  <c r="AN190" i="4"/>
  <c r="AM190" i="4"/>
  <c r="AL190" i="4"/>
  <c r="AK190" i="4"/>
  <c r="AS189" i="4"/>
  <c r="AR189" i="4"/>
  <c r="AQ189" i="4"/>
  <c r="AP189" i="4"/>
  <c r="AO189" i="4"/>
  <c r="AN189" i="4"/>
  <c r="AM189" i="4"/>
  <c r="AL189" i="4"/>
  <c r="AK189" i="4"/>
  <c r="AS188" i="4"/>
  <c r="AR188" i="4"/>
  <c r="AQ188" i="4"/>
  <c r="AP188" i="4"/>
  <c r="AO188" i="4"/>
  <c r="AN188" i="4"/>
  <c r="AM188" i="4"/>
  <c r="AL188" i="4"/>
  <c r="AK188" i="4"/>
  <c r="AS187" i="4"/>
  <c r="AR187" i="4"/>
  <c r="AQ187" i="4"/>
  <c r="AP187" i="4"/>
  <c r="AO187" i="4"/>
  <c r="AN187" i="4"/>
  <c r="AM187" i="4"/>
  <c r="AL187" i="4"/>
  <c r="AK187" i="4"/>
  <c r="AS186" i="4"/>
  <c r="AR186" i="4"/>
  <c r="AQ186" i="4"/>
  <c r="AP186" i="4"/>
  <c r="AO186" i="4"/>
  <c r="AN186" i="4"/>
  <c r="AM186" i="4"/>
  <c r="AL186" i="4"/>
  <c r="AK186" i="4"/>
  <c r="AS185" i="4"/>
  <c r="AR185" i="4"/>
  <c r="AQ185" i="4"/>
  <c r="AP185" i="4"/>
  <c r="AO185" i="4"/>
  <c r="AN185" i="4"/>
  <c r="AM185" i="4"/>
  <c r="AL185" i="4"/>
  <c r="AK185" i="4"/>
  <c r="AS184" i="4"/>
  <c r="AR184" i="4"/>
  <c r="AQ184" i="4"/>
  <c r="AP184" i="4"/>
  <c r="AO184" i="4"/>
  <c r="AN184" i="4"/>
  <c r="AM184" i="4"/>
  <c r="AL184" i="4"/>
  <c r="AK184" i="4"/>
  <c r="AS183" i="4"/>
  <c r="AR183" i="4"/>
  <c r="AQ183" i="4"/>
  <c r="AP183" i="4"/>
  <c r="AO183" i="4"/>
  <c r="AN183" i="4"/>
  <c r="AM183" i="4"/>
  <c r="AL183" i="4"/>
  <c r="AK183" i="4"/>
  <c r="AS182" i="4"/>
  <c r="AR182" i="4"/>
  <c r="AQ182" i="4"/>
  <c r="AP182" i="4"/>
  <c r="AO182" i="4"/>
  <c r="AN182" i="4"/>
  <c r="AM182" i="4"/>
  <c r="AL182" i="4"/>
  <c r="AK182" i="4"/>
  <c r="AS181" i="4"/>
  <c r="AR181" i="4"/>
  <c r="AQ181" i="4"/>
  <c r="AP181" i="4"/>
  <c r="AO181" i="4"/>
  <c r="AN181" i="4"/>
  <c r="AM181" i="4"/>
  <c r="AL181" i="4"/>
  <c r="AK181" i="4"/>
  <c r="AS180" i="4"/>
  <c r="AR180" i="4"/>
  <c r="AQ180" i="4"/>
  <c r="AP180" i="4"/>
  <c r="AO180" i="4"/>
  <c r="AN180" i="4"/>
  <c r="AM180" i="4"/>
  <c r="AL180" i="4"/>
  <c r="AK180" i="4"/>
  <c r="AS179" i="4"/>
  <c r="AR179" i="4"/>
  <c r="AQ179" i="4"/>
  <c r="AP179" i="4"/>
  <c r="AO179" i="4"/>
  <c r="AN179" i="4"/>
  <c r="AM179" i="4"/>
  <c r="AL179" i="4"/>
  <c r="AK179" i="4"/>
  <c r="AS178" i="4"/>
  <c r="AR178" i="4"/>
  <c r="AQ178" i="4"/>
  <c r="AP178" i="4"/>
  <c r="AO178" i="4"/>
  <c r="AN178" i="4"/>
  <c r="AM178" i="4"/>
  <c r="AL178" i="4"/>
  <c r="AK178" i="4"/>
  <c r="AS177" i="4"/>
  <c r="AR177" i="4"/>
  <c r="AQ177" i="4"/>
  <c r="AP177" i="4"/>
  <c r="AO177" i="4"/>
  <c r="AN177" i="4"/>
  <c r="AM177" i="4"/>
  <c r="AL177" i="4"/>
  <c r="AK177" i="4"/>
  <c r="AS176" i="4"/>
  <c r="AR176" i="4"/>
  <c r="AQ176" i="4"/>
  <c r="AP176" i="4"/>
  <c r="AO176" i="4"/>
  <c r="AN176" i="4"/>
  <c r="AM176" i="4"/>
  <c r="AL176" i="4"/>
  <c r="AK176" i="4"/>
  <c r="AS175" i="4"/>
  <c r="AR175" i="4"/>
  <c r="AQ175" i="4"/>
  <c r="AP175" i="4"/>
  <c r="AO175" i="4"/>
  <c r="AN175" i="4"/>
  <c r="AM175" i="4"/>
  <c r="AL175" i="4"/>
  <c r="AK175" i="4"/>
  <c r="AS174" i="4"/>
  <c r="AR174" i="4"/>
  <c r="AQ174" i="4"/>
  <c r="AP174" i="4"/>
  <c r="AO174" i="4"/>
  <c r="AN174" i="4"/>
  <c r="AM174" i="4"/>
  <c r="AL174" i="4"/>
  <c r="AK174" i="4"/>
  <c r="AS173" i="4"/>
  <c r="AR173" i="4"/>
  <c r="AQ173" i="4"/>
  <c r="AP173" i="4"/>
  <c r="AO173" i="4"/>
  <c r="AN173" i="4"/>
  <c r="AM173" i="4"/>
  <c r="AL173" i="4"/>
  <c r="AK173" i="4"/>
  <c r="AS172" i="4"/>
  <c r="AR172" i="4"/>
  <c r="AQ172" i="4"/>
  <c r="AP172" i="4"/>
  <c r="AO172" i="4"/>
  <c r="AN172" i="4"/>
  <c r="AM172" i="4"/>
  <c r="AL172" i="4"/>
  <c r="AK172" i="4"/>
  <c r="AS171" i="4"/>
  <c r="AR171" i="4"/>
  <c r="AQ171" i="4"/>
  <c r="AP171" i="4"/>
  <c r="AO171" i="4"/>
  <c r="AN171" i="4"/>
  <c r="AM171" i="4"/>
  <c r="AL171" i="4"/>
  <c r="AK171" i="4"/>
  <c r="AS170" i="4"/>
  <c r="AR170" i="4"/>
  <c r="AQ170" i="4"/>
  <c r="AP170" i="4"/>
  <c r="AO170" i="4"/>
  <c r="AN170" i="4"/>
  <c r="AM170" i="4"/>
  <c r="AL170" i="4"/>
  <c r="AK170" i="4"/>
  <c r="AS169" i="4"/>
  <c r="AR169" i="4"/>
  <c r="AQ169" i="4"/>
  <c r="AP169" i="4"/>
  <c r="AO169" i="4"/>
  <c r="AN169" i="4"/>
  <c r="AM169" i="4"/>
  <c r="AL169" i="4"/>
  <c r="AK169" i="4"/>
  <c r="AS168" i="4"/>
  <c r="AR168" i="4"/>
  <c r="AQ168" i="4"/>
  <c r="AP168" i="4"/>
  <c r="AO168" i="4"/>
  <c r="AN168" i="4"/>
  <c r="AM168" i="4"/>
  <c r="AL168" i="4"/>
  <c r="AK168" i="4"/>
  <c r="AS167" i="4"/>
  <c r="AR167" i="4"/>
  <c r="AQ167" i="4"/>
  <c r="AP167" i="4"/>
  <c r="AO167" i="4"/>
  <c r="AN167" i="4"/>
  <c r="AM167" i="4"/>
  <c r="AL167" i="4"/>
  <c r="AK167" i="4"/>
  <c r="AS166" i="4"/>
  <c r="AR166" i="4"/>
  <c r="AQ166" i="4"/>
  <c r="AP166" i="4"/>
  <c r="AO166" i="4"/>
  <c r="AN166" i="4"/>
  <c r="AM166" i="4"/>
  <c r="AL166" i="4"/>
  <c r="AK166" i="4"/>
  <c r="AS165" i="4"/>
  <c r="AR165" i="4"/>
  <c r="AQ165" i="4"/>
  <c r="AP165" i="4"/>
  <c r="AO165" i="4"/>
  <c r="AN165" i="4"/>
  <c r="AM165" i="4"/>
  <c r="AL165" i="4"/>
  <c r="AK165" i="4"/>
  <c r="AS164" i="4"/>
  <c r="AR164" i="4"/>
  <c r="AQ164" i="4"/>
  <c r="AP164" i="4"/>
  <c r="AO164" i="4"/>
  <c r="AN164" i="4"/>
  <c r="AM164" i="4"/>
  <c r="AL164" i="4"/>
  <c r="AK164" i="4"/>
  <c r="AS163" i="4"/>
  <c r="AR163" i="4"/>
  <c r="AQ163" i="4"/>
  <c r="AP163" i="4"/>
  <c r="AO163" i="4"/>
  <c r="AN163" i="4"/>
  <c r="AM163" i="4"/>
  <c r="AL163" i="4"/>
  <c r="AK163" i="4"/>
  <c r="AS162" i="4"/>
  <c r="AR162" i="4"/>
  <c r="AQ162" i="4"/>
  <c r="AP162" i="4"/>
  <c r="AO162" i="4"/>
  <c r="AN162" i="4"/>
  <c r="AM162" i="4"/>
  <c r="AL162" i="4"/>
  <c r="AK162" i="4"/>
  <c r="AS161" i="4"/>
  <c r="AR161" i="4"/>
  <c r="AQ161" i="4"/>
  <c r="AP161" i="4"/>
  <c r="AO161" i="4"/>
  <c r="AN161" i="4"/>
  <c r="AM161" i="4"/>
  <c r="AL161" i="4"/>
  <c r="AK161" i="4"/>
  <c r="AS160" i="4"/>
  <c r="AR160" i="4"/>
  <c r="AQ160" i="4"/>
  <c r="AP160" i="4"/>
  <c r="AO160" i="4"/>
  <c r="AN160" i="4"/>
  <c r="AM160" i="4"/>
  <c r="AL160" i="4"/>
  <c r="AK160" i="4"/>
  <c r="AS159" i="4"/>
  <c r="AR159" i="4"/>
  <c r="AQ159" i="4"/>
  <c r="AP159" i="4"/>
  <c r="AO159" i="4"/>
  <c r="AN159" i="4"/>
  <c r="AM159" i="4"/>
  <c r="AL159" i="4"/>
  <c r="AK159" i="4"/>
  <c r="AS158" i="4"/>
  <c r="AR158" i="4"/>
  <c r="AQ158" i="4"/>
  <c r="AP158" i="4"/>
  <c r="AO158" i="4"/>
  <c r="AN158" i="4"/>
  <c r="AM158" i="4"/>
  <c r="AL158" i="4"/>
  <c r="AK158" i="4"/>
  <c r="AS157" i="4"/>
  <c r="AR157" i="4"/>
  <c r="AQ157" i="4"/>
  <c r="AP157" i="4"/>
  <c r="AO157" i="4"/>
  <c r="AN157" i="4"/>
  <c r="AM157" i="4"/>
  <c r="AL157" i="4"/>
  <c r="AK157" i="4"/>
  <c r="AS156" i="4"/>
  <c r="AR156" i="4"/>
  <c r="AQ156" i="4"/>
  <c r="AP156" i="4"/>
  <c r="AO156" i="4"/>
  <c r="AN156" i="4"/>
  <c r="AM156" i="4"/>
  <c r="AL156" i="4"/>
  <c r="AK156" i="4"/>
  <c r="AS155" i="4"/>
  <c r="AR155" i="4"/>
  <c r="AQ155" i="4"/>
  <c r="AP155" i="4"/>
  <c r="AO155" i="4"/>
  <c r="AN155" i="4"/>
  <c r="AM155" i="4"/>
  <c r="AL155" i="4"/>
  <c r="AK155" i="4"/>
  <c r="AS154" i="4"/>
  <c r="AR154" i="4"/>
  <c r="AQ154" i="4"/>
  <c r="AP154" i="4"/>
  <c r="AO154" i="4"/>
  <c r="AN154" i="4"/>
  <c r="AM154" i="4"/>
  <c r="AL154" i="4"/>
  <c r="AK154" i="4"/>
  <c r="AS153" i="4"/>
  <c r="AR153" i="4"/>
  <c r="AQ153" i="4"/>
  <c r="AP153" i="4"/>
  <c r="AO153" i="4"/>
  <c r="AN153" i="4"/>
  <c r="AM153" i="4"/>
  <c r="AL153" i="4"/>
  <c r="AK153" i="4"/>
  <c r="AS152" i="4"/>
  <c r="AR152" i="4"/>
  <c r="AQ152" i="4"/>
  <c r="AP152" i="4"/>
  <c r="AO152" i="4"/>
  <c r="AN152" i="4"/>
  <c r="AM152" i="4"/>
  <c r="AL152" i="4"/>
  <c r="AK152" i="4"/>
  <c r="AS151" i="4"/>
  <c r="AR151" i="4"/>
  <c r="AQ151" i="4"/>
  <c r="AP151" i="4"/>
  <c r="AO151" i="4"/>
  <c r="AN151" i="4"/>
  <c r="AM151" i="4"/>
  <c r="AL151" i="4"/>
  <c r="AK151" i="4"/>
  <c r="AS150" i="4"/>
  <c r="AR150" i="4"/>
  <c r="AQ150" i="4"/>
  <c r="AP150" i="4"/>
  <c r="AO150" i="4"/>
  <c r="AN150" i="4"/>
  <c r="AM150" i="4"/>
  <c r="AL150" i="4"/>
  <c r="AK150" i="4"/>
  <c r="AS149" i="4"/>
  <c r="AR149" i="4"/>
  <c r="AQ149" i="4"/>
  <c r="AP149" i="4"/>
  <c r="AO149" i="4"/>
  <c r="AN149" i="4"/>
  <c r="AM149" i="4"/>
  <c r="AL149" i="4"/>
  <c r="AK149" i="4"/>
  <c r="AS148" i="4"/>
  <c r="AR148" i="4"/>
  <c r="AQ148" i="4"/>
  <c r="AP148" i="4"/>
  <c r="AO148" i="4"/>
  <c r="AN148" i="4"/>
  <c r="AM148" i="4"/>
  <c r="AL148" i="4"/>
  <c r="AK148" i="4"/>
  <c r="AS147" i="4"/>
  <c r="AR147" i="4"/>
  <c r="AQ147" i="4"/>
  <c r="AP147" i="4"/>
  <c r="AO147" i="4"/>
  <c r="AN147" i="4"/>
  <c r="AM147" i="4"/>
  <c r="AL147" i="4"/>
  <c r="AK147" i="4"/>
  <c r="AS146" i="4"/>
  <c r="AR146" i="4"/>
  <c r="AQ146" i="4"/>
  <c r="AP146" i="4"/>
  <c r="AO146" i="4"/>
  <c r="AN146" i="4"/>
  <c r="AM146" i="4"/>
  <c r="AL146" i="4"/>
  <c r="AK146" i="4"/>
  <c r="AS145" i="4"/>
  <c r="AR145" i="4"/>
  <c r="AQ145" i="4"/>
  <c r="AP145" i="4"/>
  <c r="AO145" i="4"/>
  <c r="AN145" i="4"/>
  <c r="AM145" i="4"/>
  <c r="AL145" i="4"/>
  <c r="AK145" i="4"/>
  <c r="AS144" i="4"/>
  <c r="AR144" i="4"/>
  <c r="AQ144" i="4"/>
  <c r="AP144" i="4"/>
  <c r="AO144" i="4"/>
  <c r="AN144" i="4"/>
  <c r="AM144" i="4"/>
  <c r="AL144" i="4"/>
  <c r="AK144" i="4"/>
  <c r="AS143" i="4"/>
  <c r="AR143" i="4"/>
  <c r="AQ143" i="4"/>
  <c r="AP143" i="4"/>
  <c r="AO143" i="4"/>
  <c r="AN143" i="4"/>
  <c r="AM143" i="4"/>
  <c r="AL143" i="4"/>
  <c r="AK143" i="4"/>
  <c r="AS142" i="4"/>
  <c r="AR142" i="4"/>
  <c r="AQ142" i="4"/>
  <c r="AP142" i="4"/>
  <c r="AO142" i="4"/>
  <c r="AN142" i="4"/>
  <c r="AM142" i="4"/>
  <c r="AL142" i="4"/>
  <c r="AK142" i="4"/>
  <c r="AS141" i="4"/>
  <c r="AR141" i="4"/>
  <c r="AQ141" i="4"/>
  <c r="AP141" i="4"/>
  <c r="AO141" i="4"/>
  <c r="AN141" i="4"/>
  <c r="AM141" i="4"/>
  <c r="AL141" i="4"/>
  <c r="AK141" i="4"/>
  <c r="AS140" i="4"/>
  <c r="AR140" i="4"/>
  <c r="AQ140" i="4"/>
  <c r="AP140" i="4"/>
  <c r="AO140" i="4"/>
  <c r="AN140" i="4"/>
  <c r="AM140" i="4"/>
  <c r="AL140" i="4"/>
  <c r="AK140" i="4"/>
  <c r="AS139" i="4"/>
  <c r="AR139" i="4"/>
  <c r="AQ139" i="4"/>
  <c r="AP139" i="4"/>
  <c r="AO139" i="4"/>
  <c r="AN139" i="4"/>
  <c r="AM139" i="4"/>
  <c r="AL139" i="4"/>
  <c r="AK139" i="4"/>
  <c r="AS138" i="4"/>
  <c r="AR138" i="4"/>
  <c r="AQ138" i="4"/>
  <c r="AP138" i="4"/>
  <c r="AO138" i="4"/>
  <c r="AN138" i="4"/>
  <c r="AM138" i="4"/>
  <c r="AL138" i="4"/>
  <c r="AK138" i="4"/>
  <c r="AS137" i="4"/>
  <c r="AR137" i="4"/>
  <c r="AQ137" i="4"/>
  <c r="AP137" i="4"/>
  <c r="AO137" i="4"/>
  <c r="AN137" i="4"/>
  <c r="AM137" i="4"/>
  <c r="AL137" i="4"/>
  <c r="AK137" i="4"/>
  <c r="AS136" i="4"/>
  <c r="AR136" i="4"/>
  <c r="AQ136" i="4"/>
  <c r="AP136" i="4"/>
  <c r="AO136" i="4"/>
  <c r="AN136" i="4"/>
  <c r="AM136" i="4"/>
  <c r="AL136" i="4"/>
  <c r="AK136" i="4"/>
  <c r="AS135" i="4"/>
  <c r="AR135" i="4"/>
  <c r="AQ135" i="4"/>
  <c r="AP135" i="4"/>
  <c r="AO135" i="4"/>
  <c r="AN135" i="4"/>
  <c r="AM135" i="4"/>
  <c r="AL135" i="4"/>
  <c r="AK135" i="4"/>
  <c r="AS134" i="4"/>
  <c r="AR134" i="4"/>
  <c r="AQ134" i="4"/>
  <c r="AP134" i="4"/>
  <c r="AO134" i="4"/>
  <c r="AN134" i="4"/>
  <c r="AL134" i="4"/>
  <c r="AK134" i="4"/>
  <c r="AS133" i="4"/>
  <c r="AR133" i="4"/>
  <c r="AQ133" i="4"/>
  <c r="AP133" i="4"/>
  <c r="AO133" i="4"/>
  <c r="AN133" i="4"/>
  <c r="AM133" i="4"/>
  <c r="AL133" i="4"/>
  <c r="AK133" i="4"/>
  <c r="AS132" i="4"/>
  <c r="AR132" i="4"/>
  <c r="AQ132" i="4"/>
  <c r="AP132" i="4"/>
  <c r="AO132" i="4"/>
  <c r="AN132" i="4"/>
  <c r="AM132" i="4"/>
  <c r="AL132" i="4"/>
  <c r="AK132" i="4"/>
  <c r="AS131" i="4"/>
  <c r="AR131" i="4"/>
  <c r="AQ131" i="4"/>
  <c r="AP131" i="4"/>
  <c r="AO131" i="4"/>
  <c r="AN131" i="4"/>
  <c r="AM131" i="4"/>
  <c r="AL131" i="4"/>
  <c r="AK131" i="4"/>
  <c r="AS130" i="4"/>
  <c r="AR130" i="4"/>
  <c r="AQ130" i="4"/>
  <c r="AP130" i="4"/>
  <c r="AO130" i="4"/>
  <c r="AN130" i="4"/>
  <c r="AM130" i="4"/>
  <c r="AL130" i="4"/>
  <c r="AK130" i="4"/>
  <c r="AS129" i="4"/>
  <c r="AR129" i="4"/>
  <c r="AQ129" i="4"/>
  <c r="AP129" i="4"/>
  <c r="AO129" i="4"/>
  <c r="AN129" i="4"/>
  <c r="AM129" i="4"/>
  <c r="AL129" i="4"/>
  <c r="AK129" i="4"/>
  <c r="AS128" i="4"/>
  <c r="AR128" i="4"/>
  <c r="AQ128" i="4"/>
  <c r="AP128" i="4"/>
  <c r="AO128" i="4"/>
  <c r="AN128" i="4"/>
  <c r="AM128" i="4"/>
  <c r="AL128" i="4"/>
  <c r="AK128" i="4"/>
  <c r="AS127" i="4"/>
  <c r="AR127" i="4"/>
  <c r="AQ127" i="4"/>
  <c r="AP127" i="4"/>
  <c r="AO127" i="4"/>
  <c r="AN127" i="4"/>
  <c r="AM127" i="4"/>
  <c r="AL127" i="4"/>
  <c r="AK127" i="4"/>
  <c r="AS126" i="4"/>
  <c r="AR126" i="4"/>
  <c r="AQ126" i="4"/>
  <c r="AP126" i="4"/>
  <c r="AO126" i="4"/>
  <c r="AN126" i="4"/>
  <c r="AL126" i="4"/>
  <c r="AK126" i="4"/>
  <c r="AS125" i="4"/>
  <c r="AR125" i="4"/>
  <c r="AQ125" i="4"/>
  <c r="AP125" i="4"/>
  <c r="AO125" i="4"/>
  <c r="AN125" i="4"/>
  <c r="AM125" i="4"/>
  <c r="AL125" i="4"/>
  <c r="AK125" i="4"/>
  <c r="AS124" i="4"/>
  <c r="AR124" i="4"/>
  <c r="AQ124" i="4"/>
  <c r="AP124" i="4"/>
  <c r="AO124" i="4"/>
  <c r="AN124" i="4"/>
  <c r="AL124" i="4"/>
  <c r="AK124" i="4"/>
  <c r="AS123" i="4"/>
  <c r="AR123" i="4"/>
  <c r="AQ123" i="4"/>
  <c r="AP123" i="4"/>
  <c r="AO123" i="4"/>
  <c r="AN123" i="4"/>
  <c r="AM123" i="4"/>
  <c r="AL123" i="4"/>
  <c r="AK123" i="4"/>
  <c r="AS122" i="4"/>
  <c r="AR122" i="4"/>
  <c r="AQ122" i="4"/>
  <c r="AP122" i="4"/>
  <c r="AO122" i="4"/>
  <c r="AN122" i="4"/>
  <c r="AM122" i="4"/>
  <c r="AL122" i="4"/>
  <c r="AK122" i="4"/>
  <c r="AS121" i="4"/>
  <c r="AR121" i="4"/>
  <c r="AQ121" i="4"/>
  <c r="AP121" i="4"/>
  <c r="AO121" i="4"/>
  <c r="AN121" i="4"/>
  <c r="AM121" i="4"/>
  <c r="AL121" i="4"/>
  <c r="AK121" i="4"/>
  <c r="AS120" i="4"/>
  <c r="AR120" i="4"/>
  <c r="AQ120" i="4"/>
  <c r="AP120" i="4"/>
  <c r="AO120" i="4"/>
  <c r="AN120" i="4"/>
  <c r="AM120" i="4"/>
  <c r="AL120" i="4"/>
  <c r="AK120" i="4"/>
  <c r="AS119" i="4"/>
  <c r="AR119" i="4"/>
  <c r="AQ119" i="4"/>
  <c r="AP119" i="4"/>
  <c r="AO119" i="4"/>
  <c r="AN119" i="4"/>
  <c r="AM119" i="4"/>
  <c r="AL119" i="4"/>
  <c r="AK119" i="4"/>
  <c r="AS118" i="4"/>
  <c r="AR118" i="4"/>
  <c r="AQ118" i="4"/>
  <c r="AP118" i="4"/>
  <c r="AO118" i="4"/>
  <c r="AN118" i="4"/>
  <c r="AM118" i="4"/>
  <c r="AL118" i="4"/>
  <c r="AK118" i="4"/>
  <c r="AS117" i="4"/>
  <c r="AR117" i="4"/>
  <c r="AQ117" i="4"/>
  <c r="AP117" i="4"/>
  <c r="AO117" i="4"/>
  <c r="AN117" i="4"/>
  <c r="AL117" i="4"/>
  <c r="AK117" i="4"/>
  <c r="AS116" i="4"/>
  <c r="AR116" i="4"/>
  <c r="AQ116" i="4"/>
  <c r="AP116" i="4"/>
  <c r="AO116" i="4"/>
  <c r="AN116" i="4"/>
  <c r="AM116" i="4"/>
  <c r="AL116" i="4"/>
  <c r="AK116" i="4"/>
  <c r="AS115" i="4"/>
  <c r="AR115" i="4"/>
  <c r="AQ115" i="4"/>
  <c r="AP115" i="4"/>
  <c r="AO115" i="4"/>
  <c r="AN115" i="4"/>
  <c r="AM115" i="4"/>
  <c r="AL115" i="4"/>
  <c r="AK115" i="4"/>
  <c r="AS114" i="4"/>
  <c r="AR114" i="4"/>
  <c r="AQ114" i="4"/>
  <c r="AP114" i="4"/>
  <c r="AO114" i="4"/>
  <c r="AN114" i="4"/>
  <c r="AM114" i="4"/>
  <c r="AL114" i="4"/>
  <c r="AK114" i="4"/>
  <c r="AS113" i="4"/>
  <c r="AR113" i="4"/>
  <c r="AQ113" i="4"/>
  <c r="AP113" i="4"/>
  <c r="AO113" i="4"/>
  <c r="AN113" i="4"/>
  <c r="AM113" i="4"/>
  <c r="AL113" i="4"/>
  <c r="AK113" i="4"/>
  <c r="AS112" i="4"/>
  <c r="AR112" i="4"/>
  <c r="AQ112" i="4"/>
  <c r="AP112" i="4"/>
  <c r="AO112" i="4"/>
  <c r="AN112" i="4"/>
  <c r="AM112" i="4"/>
  <c r="AL112" i="4"/>
  <c r="AK112" i="4"/>
  <c r="AS111" i="4"/>
  <c r="AR111" i="4"/>
  <c r="AQ111" i="4"/>
  <c r="AP111" i="4"/>
  <c r="AO111" i="4"/>
  <c r="AN111" i="4"/>
  <c r="AM111" i="4"/>
  <c r="AL111" i="4"/>
  <c r="AK111" i="4"/>
  <c r="AS110" i="4"/>
  <c r="AR110" i="4"/>
  <c r="AQ110" i="4"/>
  <c r="AP110" i="4"/>
  <c r="AO110" i="4"/>
  <c r="AN110" i="4"/>
  <c r="AM110" i="4"/>
  <c r="AL110" i="4"/>
  <c r="AK110" i="4"/>
  <c r="AS109" i="4"/>
  <c r="AR109" i="4"/>
  <c r="AQ109" i="4"/>
  <c r="AP109" i="4"/>
  <c r="AO109" i="4"/>
  <c r="AN109" i="4"/>
  <c r="AM109" i="4"/>
  <c r="AL109" i="4"/>
  <c r="AK109" i="4"/>
  <c r="AS108" i="4"/>
  <c r="AR108" i="4"/>
  <c r="AQ108" i="4"/>
  <c r="AP108" i="4"/>
  <c r="AO108" i="4"/>
  <c r="AN108" i="4"/>
  <c r="AM108" i="4"/>
  <c r="AL108" i="4"/>
  <c r="AK108" i="4"/>
  <c r="AS107" i="4"/>
  <c r="AR107" i="4"/>
  <c r="AQ107" i="4"/>
  <c r="AP107" i="4"/>
  <c r="AO107" i="4"/>
  <c r="AN107" i="4"/>
  <c r="AM107" i="4"/>
  <c r="AL107" i="4"/>
  <c r="AK107" i="4"/>
  <c r="AS106" i="4"/>
  <c r="AR106" i="4"/>
  <c r="AQ106" i="4"/>
  <c r="AP106" i="4"/>
  <c r="AO106" i="4"/>
  <c r="AN106" i="4"/>
  <c r="AM106" i="4"/>
  <c r="AL106" i="4"/>
  <c r="AK106" i="4"/>
  <c r="AS105" i="4"/>
  <c r="AR105" i="4"/>
  <c r="AQ105" i="4"/>
  <c r="AP105" i="4"/>
  <c r="AO105" i="4"/>
  <c r="AN105" i="4"/>
  <c r="AM105" i="4"/>
  <c r="AL105" i="4"/>
  <c r="AK105" i="4"/>
  <c r="AS104" i="4"/>
  <c r="AR104" i="4"/>
  <c r="AQ104" i="4"/>
  <c r="AP104" i="4"/>
  <c r="AO104" i="4"/>
  <c r="AN104" i="4"/>
  <c r="AM104" i="4"/>
  <c r="AL104" i="4"/>
  <c r="AK104" i="4"/>
  <c r="AS103" i="4"/>
  <c r="AR103" i="4"/>
  <c r="AQ103" i="4"/>
  <c r="AP103" i="4"/>
  <c r="AO103" i="4"/>
  <c r="AN103" i="4"/>
  <c r="AM103" i="4"/>
  <c r="AL103" i="4"/>
  <c r="AK103" i="4"/>
  <c r="AS102" i="4"/>
  <c r="AR102" i="4"/>
  <c r="AQ102" i="4"/>
  <c r="AP102" i="4"/>
  <c r="AO102" i="4"/>
  <c r="AN102" i="4"/>
  <c r="AM102" i="4"/>
  <c r="AL102" i="4"/>
  <c r="AK102" i="4"/>
  <c r="AS101" i="4"/>
  <c r="AR101" i="4"/>
  <c r="AQ101" i="4"/>
  <c r="AP101" i="4"/>
  <c r="AO101" i="4"/>
  <c r="AN101" i="4"/>
  <c r="AM101" i="4"/>
  <c r="AL101" i="4"/>
  <c r="AK101" i="4"/>
  <c r="AS100" i="4"/>
  <c r="AR100" i="4"/>
  <c r="AQ100" i="4"/>
  <c r="AP100" i="4"/>
  <c r="AO100" i="4"/>
  <c r="AN100" i="4"/>
  <c r="AM100" i="4"/>
  <c r="AL100" i="4"/>
  <c r="AK100" i="4"/>
  <c r="AS99" i="4"/>
  <c r="AR99" i="4"/>
  <c r="AQ99" i="4"/>
  <c r="AP99" i="4"/>
  <c r="AO99" i="4"/>
  <c r="AN99" i="4"/>
  <c r="AM99" i="4"/>
  <c r="AL99" i="4"/>
  <c r="AK99" i="4"/>
  <c r="AS98" i="4"/>
  <c r="AR98" i="4"/>
  <c r="AQ98" i="4"/>
  <c r="AP98" i="4"/>
  <c r="AO98" i="4"/>
  <c r="AN98" i="4"/>
  <c r="AM98" i="4"/>
  <c r="AL98" i="4"/>
  <c r="AK98" i="4"/>
  <c r="AS97" i="4"/>
  <c r="AR97" i="4"/>
  <c r="AQ97" i="4"/>
  <c r="AP97" i="4"/>
  <c r="AO97" i="4"/>
  <c r="AN97" i="4"/>
  <c r="AM97" i="4"/>
  <c r="AL97" i="4"/>
  <c r="AK97" i="4"/>
  <c r="AS96" i="4"/>
  <c r="AR96" i="4"/>
  <c r="AQ96" i="4"/>
  <c r="AP96" i="4"/>
  <c r="AO96" i="4"/>
  <c r="AN96" i="4"/>
  <c r="AM96" i="4"/>
  <c r="AL96" i="4"/>
  <c r="AK96" i="4"/>
  <c r="AS95" i="4"/>
  <c r="AR95" i="4"/>
  <c r="AQ95" i="4"/>
  <c r="AP95" i="4"/>
  <c r="AO95" i="4"/>
  <c r="AN95" i="4"/>
  <c r="AM95" i="4"/>
  <c r="AL95" i="4"/>
  <c r="AK95" i="4"/>
  <c r="AS94" i="4"/>
  <c r="AR94" i="4"/>
  <c r="AQ94" i="4"/>
  <c r="AP94" i="4"/>
  <c r="AO94" i="4"/>
  <c r="AN94" i="4"/>
  <c r="AM94" i="4"/>
  <c r="AL94" i="4"/>
  <c r="AK94" i="4"/>
  <c r="AS93" i="4"/>
  <c r="AR93" i="4"/>
  <c r="AQ93" i="4"/>
  <c r="AP93" i="4"/>
  <c r="AO93" i="4"/>
  <c r="AN93" i="4"/>
  <c r="AM93" i="4"/>
  <c r="AL93" i="4"/>
  <c r="AK93" i="4"/>
  <c r="AS92" i="4"/>
  <c r="AR92" i="4"/>
  <c r="AQ92" i="4"/>
  <c r="AP92" i="4"/>
  <c r="AO92" i="4"/>
  <c r="AN92" i="4"/>
  <c r="AM92" i="4"/>
  <c r="AL92" i="4"/>
  <c r="AK92" i="4"/>
  <c r="AS91" i="4"/>
  <c r="AR91" i="4"/>
  <c r="AQ91" i="4"/>
  <c r="AP91" i="4"/>
  <c r="AO91" i="4"/>
  <c r="AN91" i="4"/>
  <c r="AM91" i="4"/>
  <c r="AL91" i="4"/>
  <c r="AK91" i="4"/>
  <c r="AS90" i="4"/>
  <c r="AR90" i="4"/>
  <c r="AQ90" i="4"/>
  <c r="AP90" i="4"/>
  <c r="AO90" i="4"/>
  <c r="AN90" i="4"/>
  <c r="AM90" i="4"/>
  <c r="AL90" i="4"/>
  <c r="AK90" i="4"/>
  <c r="AS89" i="4"/>
  <c r="AR89" i="4"/>
  <c r="AQ89" i="4"/>
  <c r="AP89" i="4"/>
  <c r="AO89" i="4"/>
  <c r="AN89" i="4"/>
  <c r="AM89" i="4"/>
  <c r="AL89" i="4"/>
  <c r="AK89" i="4"/>
  <c r="AS88" i="4"/>
  <c r="AR88" i="4"/>
  <c r="AQ88" i="4"/>
  <c r="AP88" i="4"/>
  <c r="AO88" i="4"/>
  <c r="AN88" i="4"/>
  <c r="AM88" i="4"/>
  <c r="AL88" i="4"/>
  <c r="AK88" i="4"/>
  <c r="AS87" i="4"/>
  <c r="AR87" i="4"/>
  <c r="AQ87" i="4"/>
  <c r="AP87" i="4"/>
  <c r="AO87" i="4"/>
  <c r="AN87" i="4"/>
  <c r="AM87" i="4"/>
  <c r="AL87" i="4"/>
  <c r="AK87" i="4"/>
  <c r="AS86" i="4"/>
  <c r="AR86" i="4"/>
  <c r="AQ86" i="4"/>
  <c r="AP86" i="4"/>
  <c r="AO86" i="4"/>
  <c r="AN86" i="4"/>
  <c r="AM86" i="4"/>
  <c r="AL86" i="4"/>
  <c r="AK86" i="4"/>
  <c r="AS85" i="4"/>
  <c r="AR85" i="4"/>
  <c r="AQ85" i="4"/>
  <c r="AP85" i="4"/>
  <c r="AO85" i="4"/>
  <c r="AN85" i="4"/>
  <c r="AM85" i="4"/>
  <c r="AL85" i="4"/>
  <c r="AK85" i="4"/>
  <c r="AS84" i="4"/>
  <c r="AR84" i="4"/>
  <c r="AQ84" i="4"/>
  <c r="AP84" i="4"/>
  <c r="AO84" i="4"/>
  <c r="AN84" i="4"/>
  <c r="AM84" i="4"/>
  <c r="AL84" i="4"/>
  <c r="AK84" i="4"/>
  <c r="AS83" i="4"/>
  <c r="AR83" i="4"/>
  <c r="AQ83" i="4"/>
  <c r="AP83" i="4"/>
  <c r="AO83" i="4"/>
  <c r="AN83" i="4"/>
  <c r="AM83" i="4"/>
  <c r="AL83" i="4"/>
  <c r="AK83" i="4"/>
  <c r="AS82" i="4"/>
  <c r="AR82" i="4"/>
  <c r="AQ82" i="4"/>
  <c r="AP82" i="4"/>
  <c r="AO82" i="4"/>
  <c r="AN82" i="4"/>
  <c r="AM82" i="4"/>
  <c r="AL82" i="4"/>
  <c r="AK82" i="4"/>
  <c r="AS81" i="4"/>
  <c r="AR81" i="4"/>
  <c r="AQ81" i="4"/>
  <c r="AP81" i="4"/>
  <c r="AO81" i="4"/>
  <c r="AN81" i="4"/>
  <c r="AM81" i="4"/>
  <c r="AL81" i="4"/>
  <c r="AK81" i="4"/>
  <c r="AS80" i="4"/>
  <c r="AR80" i="4"/>
  <c r="AQ80" i="4"/>
  <c r="AP80" i="4"/>
  <c r="AO80" i="4"/>
  <c r="AN80" i="4"/>
  <c r="AM80" i="4"/>
  <c r="AL80" i="4"/>
  <c r="AK80" i="4"/>
  <c r="AS79" i="4"/>
  <c r="AR79" i="4"/>
  <c r="AQ79" i="4"/>
  <c r="AP79" i="4"/>
  <c r="AO79" i="4"/>
  <c r="AN79" i="4"/>
  <c r="AM79" i="4"/>
  <c r="AL79" i="4"/>
  <c r="AK79" i="4"/>
  <c r="AS78" i="4"/>
  <c r="AR78" i="4"/>
  <c r="AQ78" i="4"/>
  <c r="AP78" i="4"/>
  <c r="AO78" i="4"/>
  <c r="AN78" i="4"/>
  <c r="AM78" i="4"/>
  <c r="AL78" i="4"/>
  <c r="AK78" i="4"/>
  <c r="AS77" i="4"/>
  <c r="AR77" i="4"/>
  <c r="AQ77" i="4"/>
  <c r="AP77" i="4"/>
  <c r="AO77" i="4"/>
  <c r="AN77" i="4"/>
  <c r="AM77" i="4"/>
  <c r="AL77" i="4"/>
  <c r="AK77" i="4"/>
  <c r="AS76" i="4"/>
  <c r="AR76" i="4"/>
  <c r="AQ76" i="4"/>
  <c r="AP76" i="4"/>
  <c r="AO76" i="4"/>
  <c r="AN76" i="4"/>
  <c r="AM76" i="4"/>
  <c r="AL76" i="4"/>
  <c r="AK76" i="4"/>
  <c r="AS75" i="4"/>
  <c r="AR75" i="4"/>
  <c r="AQ75" i="4"/>
  <c r="AP75" i="4"/>
  <c r="AO75" i="4"/>
  <c r="AN75" i="4"/>
  <c r="AM75" i="4"/>
  <c r="AL75" i="4"/>
  <c r="AK75" i="4"/>
  <c r="AS74" i="4"/>
  <c r="AR74" i="4"/>
  <c r="AQ74" i="4"/>
  <c r="AP74" i="4"/>
  <c r="AO74" i="4"/>
  <c r="AN74" i="4"/>
  <c r="AM74" i="4"/>
  <c r="AL74" i="4"/>
  <c r="AK74" i="4"/>
  <c r="AS73" i="4"/>
  <c r="AR73" i="4"/>
  <c r="AQ73" i="4"/>
  <c r="AP73" i="4"/>
  <c r="AO73" i="4"/>
  <c r="AN73" i="4"/>
  <c r="AM73" i="4"/>
  <c r="AL73" i="4"/>
  <c r="AK73" i="4"/>
  <c r="AS72" i="4"/>
  <c r="AR72" i="4"/>
  <c r="AQ72" i="4"/>
  <c r="AP72" i="4"/>
  <c r="AO72" i="4"/>
  <c r="AN72" i="4"/>
  <c r="AM72" i="4"/>
  <c r="AL72" i="4"/>
  <c r="AK72" i="4"/>
  <c r="AS71" i="4"/>
  <c r="AR71" i="4"/>
  <c r="AQ71" i="4"/>
  <c r="AP71" i="4"/>
  <c r="AO71" i="4"/>
  <c r="AN71" i="4"/>
  <c r="AM71" i="4"/>
  <c r="AL71" i="4"/>
  <c r="AK71" i="4"/>
  <c r="AS70" i="4"/>
  <c r="AR70" i="4"/>
  <c r="AQ70" i="4"/>
  <c r="AP70" i="4"/>
  <c r="AO70" i="4"/>
  <c r="AN70" i="4"/>
  <c r="AM70" i="4"/>
  <c r="AL70" i="4"/>
  <c r="AK70" i="4"/>
  <c r="AS69" i="4"/>
  <c r="AR69" i="4"/>
  <c r="AQ69" i="4"/>
  <c r="AP69" i="4"/>
  <c r="AO69" i="4"/>
  <c r="AN69" i="4"/>
  <c r="AM69" i="4"/>
  <c r="AL69" i="4"/>
  <c r="AK69" i="4"/>
  <c r="AS68" i="4"/>
  <c r="AR68" i="4"/>
  <c r="AQ68" i="4"/>
  <c r="AP68" i="4"/>
  <c r="AO68" i="4"/>
  <c r="AN68" i="4"/>
  <c r="AM68" i="4"/>
  <c r="AL68" i="4"/>
  <c r="AK68" i="4"/>
  <c r="AS67" i="4"/>
  <c r="AR67" i="4"/>
  <c r="AQ67" i="4"/>
  <c r="AP67" i="4"/>
  <c r="AO67" i="4"/>
  <c r="AN67" i="4"/>
  <c r="AM67" i="4"/>
  <c r="AL67" i="4"/>
  <c r="AK67" i="4"/>
  <c r="AS66" i="4"/>
  <c r="AR66" i="4"/>
  <c r="AQ66" i="4"/>
  <c r="AP66" i="4"/>
  <c r="AO66" i="4"/>
  <c r="AN66" i="4"/>
  <c r="AM66" i="4"/>
  <c r="AL66" i="4"/>
  <c r="AK66" i="4"/>
  <c r="AS65" i="4"/>
  <c r="AR65" i="4"/>
  <c r="AQ65" i="4"/>
  <c r="AP65" i="4"/>
  <c r="AO65" i="4"/>
  <c r="AN65" i="4"/>
  <c r="AM65" i="4"/>
  <c r="AL65" i="4"/>
  <c r="AK65" i="4"/>
  <c r="AS64" i="4"/>
  <c r="AR64" i="4"/>
  <c r="AQ64" i="4"/>
  <c r="AP64" i="4"/>
  <c r="AO64" i="4"/>
  <c r="AN64" i="4"/>
  <c r="AM64" i="4"/>
  <c r="AL64" i="4"/>
  <c r="AK64" i="4"/>
  <c r="AS63" i="4"/>
  <c r="AR63" i="4"/>
  <c r="AQ63" i="4"/>
  <c r="AP63" i="4"/>
  <c r="AO63" i="4"/>
  <c r="AN63" i="4"/>
  <c r="AM63" i="4"/>
  <c r="AL63" i="4"/>
  <c r="AK63" i="4"/>
  <c r="AS62" i="4"/>
  <c r="AR62" i="4"/>
  <c r="AQ62" i="4"/>
  <c r="AP62" i="4"/>
  <c r="AO62" i="4"/>
  <c r="AN62" i="4"/>
  <c r="AM62" i="4"/>
  <c r="AL62" i="4"/>
  <c r="AK62" i="4"/>
  <c r="AS61" i="4"/>
  <c r="AR61" i="4"/>
  <c r="AQ61" i="4"/>
  <c r="AP61" i="4"/>
  <c r="AO61" i="4"/>
  <c r="AN61" i="4"/>
  <c r="AM61" i="4"/>
  <c r="AL61" i="4"/>
  <c r="AK61" i="4"/>
  <c r="AS60" i="4"/>
  <c r="AR60" i="4"/>
  <c r="AQ60" i="4"/>
  <c r="AP60" i="4"/>
  <c r="AO60" i="4"/>
  <c r="AN60" i="4"/>
  <c r="AM60" i="4"/>
  <c r="AL60" i="4"/>
  <c r="AK60" i="4"/>
  <c r="AS59" i="4"/>
  <c r="AR59" i="4"/>
  <c r="AQ59" i="4"/>
  <c r="AP59" i="4"/>
  <c r="AO59" i="4"/>
  <c r="AN59" i="4"/>
  <c r="AM59" i="4"/>
  <c r="AL59" i="4"/>
  <c r="AK59" i="4"/>
  <c r="AS58" i="4"/>
  <c r="AR58" i="4"/>
  <c r="AQ58" i="4"/>
  <c r="AP58" i="4"/>
  <c r="AO58" i="4"/>
  <c r="AN58" i="4"/>
  <c r="AM58" i="4"/>
  <c r="AL58" i="4"/>
  <c r="AK58" i="4"/>
  <c r="AS57" i="4"/>
  <c r="AR57" i="4"/>
  <c r="AQ57" i="4"/>
  <c r="AP57" i="4"/>
  <c r="AO57" i="4"/>
  <c r="AN57" i="4"/>
  <c r="AM57" i="4"/>
  <c r="AL57" i="4"/>
  <c r="AK57" i="4"/>
  <c r="AS56" i="4"/>
  <c r="AR56" i="4"/>
  <c r="AQ56" i="4"/>
  <c r="AP56" i="4"/>
  <c r="AO56" i="4"/>
  <c r="AN56" i="4"/>
  <c r="AM56" i="4"/>
  <c r="AL56" i="4"/>
  <c r="AK56" i="4"/>
  <c r="AS55" i="4"/>
  <c r="AR55" i="4"/>
  <c r="AQ55" i="4"/>
  <c r="AP55" i="4"/>
  <c r="AO55" i="4"/>
  <c r="AN55" i="4"/>
  <c r="AM55" i="4"/>
  <c r="AL55" i="4"/>
  <c r="AK55" i="4"/>
  <c r="AS54" i="4"/>
  <c r="AR54" i="4"/>
  <c r="AQ54" i="4"/>
  <c r="AP54" i="4"/>
  <c r="AO54" i="4"/>
  <c r="AN54" i="4"/>
  <c r="AM54" i="4"/>
  <c r="AL54" i="4"/>
  <c r="AK54" i="4"/>
  <c r="AS53" i="4"/>
  <c r="AR53" i="4"/>
  <c r="AQ53" i="4"/>
  <c r="AP53" i="4"/>
  <c r="AO53" i="4"/>
  <c r="AN53" i="4"/>
  <c r="AM53" i="4"/>
  <c r="AL53" i="4"/>
  <c r="AK53" i="4"/>
  <c r="AS52" i="4"/>
  <c r="AR52" i="4"/>
  <c r="AQ52" i="4"/>
  <c r="AP52" i="4"/>
  <c r="AO52" i="4"/>
  <c r="AN52" i="4"/>
  <c r="AM52" i="4"/>
  <c r="AL52" i="4"/>
  <c r="AK52" i="4"/>
  <c r="AS51" i="4"/>
  <c r="AR51" i="4"/>
  <c r="AQ51" i="4"/>
  <c r="AP51" i="4"/>
  <c r="AO51" i="4"/>
  <c r="AN51" i="4"/>
  <c r="AM51" i="4"/>
  <c r="AL51" i="4"/>
  <c r="AK51" i="4"/>
  <c r="AS50" i="4"/>
  <c r="AR50" i="4"/>
  <c r="AQ50" i="4"/>
  <c r="AP50" i="4"/>
  <c r="AO50" i="4"/>
  <c r="AN50" i="4"/>
  <c r="AM50" i="4"/>
  <c r="AL50" i="4"/>
  <c r="AK50" i="4"/>
  <c r="AS49" i="4"/>
  <c r="AR49" i="4"/>
  <c r="AQ49" i="4"/>
  <c r="AP49" i="4"/>
  <c r="AO49" i="4"/>
  <c r="AN49" i="4"/>
  <c r="AM49" i="4"/>
  <c r="AL49" i="4"/>
  <c r="AK49" i="4"/>
  <c r="AS48" i="4"/>
  <c r="AR48" i="4"/>
  <c r="AQ48" i="4"/>
  <c r="AP48" i="4"/>
  <c r="AO48" i="4"/>
  <c r="AN48" i="4"/>
  <c r="AM48" i="4"/>
  <c r="AL48" i="4"/>
  <c r="AK48" i="4"/>
  <c r="AS47" i="4"/>
  <c r="AR47" i="4"/>
  <c r="AQ47" i="4"/>
  <c r="AP47" i="4"/>
  <c r="AO47" i="4"/>
  <c r="AN47" i="4"/>
  <c r="AM47" i="4"/>
  <c r="AL47" i="4"/>
  <c r="AK47" i="4"/>
  <c r="AS46" i="4"/>
  <c r="AR46" i="4"/>
  <c r="AQ46" i="4"/>
  <c r="AP46" i="4"/>
  <c r="AO46" i="4"/>
  <c r="AN46" i="4"/>
  <c r="AM46" i="4"/>
  <c r="AL46" i="4"/>
  <c r="AK46" i="4"/>
  <c r="AS45" i="4"/>
  <c r="AR45" i="4"/>
  <c r="AQ45" i="4"/>
  <c r="AP45" i="4"/>
  <c r="AO45" i="4"/>
  <c r="AN45" i="4"/>
  <c r="AM45" i="4"/>
  <c r="AL45" i="4"/>
  <c r="AK45" i="4"/>
  <c r="AS44" i="4"/>
  <c r="AR44" i="4"/>
  <c r="AQ44" i="4"/>
  <c r="AP44" i="4"/>
  <c r="AO44" i="4"/>
  <c r="AN44" i="4"/>
  <c r="AM44" i="4"/>
  <c r="AL44" i="4"/>
  <c r="AK44" i="4"/>
  <c r="AS43" i="4"/>
  <c r="AR43" i="4"/>
  <c r="AQ43" i="4"/>
  <c r="AP43" i="4"/>
  <c r="AO43" i="4"/>
  <c r="AN43" i="4"/>
  <c r="AM43" i="4"/>
  <c r="AL43" i="4"/>
  <c r="AK43" i="4"/>
  <c r="AS42" i="4"/>
  <c r="AR42" i="4"/>
  <c r="AQ42" i="4"/>
  <c r="AP42" i="4"/>
  <c r="AO42" i="4"/>
  <c r="AN42" i="4"/>
  <c r="AM42" i="4"/>
  <c r="AL42" i="4"/>
  <c r="AK42" i="4"/>
  <c r="AS41" i="4"/>
  <c r="AR41" i="4"/>
  <c r="AQ41" i="4"/>
  <c r="AP41" i="4"/>
  <c r="AO41" i="4"/>
  <c r="AN41" i="4"/>
  <c r="AM41" i="4"/>
  <c r="AL41" i="4"/>
  <c r="AK41" i="4"/>
  <c r="AS40" i="4"/>
  <c r="AR40" i="4"/>
  <c r="AQ40" i="4"/>
  <c r="AP40" i="4"/>
  <c r="AO40" i="4"/>
  <c r="AN40" i="4"/>
  <c r="AM40" i="4"/>
  <c r="AL40" i="4"/>
  <c r="AK40" i="4"/>
  <c r="AS39" i="4"/>
  <c r="AR39" i="4"/>
  <c r="AQ39" i="4"/>
  <c r="AP39" i="4"/>
  <c r="AO39" i="4"/>
  <c r="AN39" i="4"/>
  <c r="AM39" i="4"/>
  <c r="AL39" i="4"/>
  <c r="AK39" i="4"/>
  <c r="AS38" i="4"/>
  <c r="AR38" i="4"/>
  <c r="AQ38" i="4"/>
  <c r="AP38" i="4"/>
  <c r="AO38" i="4"/>
  <c r="AN38" i="4"/>
  <c r="AM38" i="4"/>
  <c r="AL38" i="4"/>
  <c r="AK38" i="4"/>
  <c r="AS37" i="4"/>
  <c r="AR37" i="4"/>
  <c r="AQ37" i="4"/>
  <c r="AP37" i="4"/>
  <c r="AO37" i="4"/>
  <c r="AN37" i="4"/>
  <c r="AM37" i="4"/>
  <c r="AL37" i="4"/>
  <c r="AK37" i="4"/>
  <c r="AS36" i="4"/>
  <c r="AR36" i="4"/>
  <c r="AQ36" i="4"/>
  <c r="AP36" i="4"/>
  <c r="AO36" i="4"/>
  <c r="AN36" i="4"/>
  <c r="AM36" i="4"/>
  <c r="AL36" i="4"/>
  <c r="AK36" i="4"/>
  <c r="AS35" i="4"/>
  <c r="AR35" i="4"/>
  <c r="AQ35" i="4"/>
  <c r="AP35" i="4"/>
  <c r="AO35" i="4"/>
  <c r="AN35" i="4"/>
  <c r="AM35" i="4"/>
  <c r="AL35" i="4"/>
  <c r="AK35" i="4"/>
  <c r="AS34" i="4"/>
  <c r="AR34" i="4"/>
  <c r="AQ34" i="4"/>
  <c r="AP34" i="4"/>
  <c r="AO34" i="4"/>
  <c r="AN34" i="4"/>
  <c r="AM34" i="4"/>
  <c r="AL34" i="4"/>
  <c r="AK34" i="4"/>
  <c r="AS33" i="4"/>
  <c r="AR33" i="4"/>
  <c r="AQ33" i="4"/>
  <c r="AP33" i="4"/>
  <c r="AO33" i="4"/>
  <c r="AN33" i="4"/>
  <c r="AM33" i="4"/>
  <c r="AL33" i="4"/>
  <c r="AK33" i="4"/>
  <c r="AS32" i="4"/>
  <c r="AR32" i="4"/>
  <c r="AQ32" i="4"/>
  <c r="AP32" i="4"/>
  <c r="AO32" i="4"/>
  <c r="AN32" i="4"/>
  <c r="AM32" i="4"/>
  <c r="AL32" i="4"/>
  <c r="AK32" i="4"/>
  <c r="AS31" i="4"/>
  <c r="AR31" i="4"/>
  <c r="AQ31" i="4"/>
  <c r="AP31" i="4"/>
  <c r="AO31" i="4"/>
  <c r="AN31" i="4"/>
  <c r="AM31" i="4"/>
  <c r="AL31" i="4"/>
  <c r="AK31" i="4"/>
  <c r="AS30" i="4"/>
  <c r="AR30" i="4"/>
  <c r="AQ30" i="4"/>
  <c r="AP30" i="4"/>
  <c r="AO30" i="4"/>
  <c r="AN30" i="4"/>
  <c r="AM30" i="4"/>
  <c r="AL30" i="4"/>
  <c r="AK30" i="4"/>
  <c r="AS29" i="4"/>
  <c r="AR29" i="4"/>
  <c r="AQ29" i="4"/>
  <c r="AP29" i="4"/>
  <c r="AO29" i="4"/>
  <c r="AN29" i="4"/>
  <c r="AM29" i="4"/>
  <c r="AL29" i="4"/>
  <c r="AK29" i="4"/>
  <c r="AS28" i="4"/>
  <c r="AR28" i="4"/>
  <c r="AQ28" i="4"/>
  <c r="AP28" i="4"/>
  <c r="AO28" i="4"/>
  <c r="AN28" i="4"/>
  <c r="AM28" i="4"/>
  <c r="AL28" i="4"/>
  <c r="AK28" i="4"/>
  <c r="AS27" i="4"/>
  <c r="AR27" i="4"/>
  <c r="AQ27" i="4"/>
  <c r="AP27" i="4"/>
  <c r="AO27" i="4"/>
  <c r="AN27" i="4"/>
  <c r="AM27" i="4"/>
  <c r="AL27" i="4"/>
  <c r="AK27" i="4"/>
  <c r="AS26" i="4"/>
  <c r="AR26" i="4"/>
  <c r="AQ26" i="4"/>
  <c r="AP26" i="4"/>
  <c r="AO26" i="4"/>
  <c r="AN26" i="4"/>
  <c r="AM26" i="4"/>
  <c r="AL26" i="4"/>
  <c r="AK26" i="4"/>
  <c r="AS25" i="4"/>
  <c r="AR25" i="4"/>
  <c r="AQ25" i="4"/>
  <c r="AP25" i="4"/>
  <c r="AO25" i="4"/>
  <c r="AN25" i="4"/>
  <c r="AM25" i="4"/>
  <c r="AL25" i="4"/>
  <c r="AK25" i="4"/>
  <c r="AS24" i="4"/>
  <c r="AR24" i="4"/>
  <c r="AQ24" i="4"/>
  <c r="AP24" i="4"/>
  <c r="AO24" i="4"/>
  <c r="AN24" i="4"/>
  <c r="AM24" i="4"/>
  <c r="AL24" i="4"/>
  <c r="AK24" i="4"/>
  <c r="AS23" i="4"/>
  <c r="AR23" i="4"/>
  <c r="AQ23" i="4"/>
  <c r="AP23" i="4"/>
  <c r="AO23" i="4"/>
  <c r="AN23" i="4"/>
  <c r="AM23" i="4"/>
  <c r="AL23" i="4"/>
  <c r="AK23" i="4"/>
  <c r="AS22" i="4"/>
  <c r="AR22" i="4"/>
  <c r="AQ22" i="4"/>
  <c r="AP22" i="4"/>
  <c r="AO22" i="4"/>
  <c r="AN22" i="4"/>
  <c r="AM22" i="4"/>
  <c r="AL22" i="4"/>
  <c r="AK22" i="4"/>
  <c r="AS21" i="4"/>
  <c r="AR21" i="4"/>
  <c r="AQ21" i="4"/>
  <c r="AP21" i="4"/>
  <c r="AO21" i="4"/>
  <c r="AN21" i="4"/>
  <c r="AM21" i="4"/>
  <c r="AL21" i="4"/>
  <c r="AK21" i="4"/>
  <c r="AS20" i="4"/>
  <c r="AR20" i="4"/>
  <c r="AQ20" i="4"/>
  <c r="AP20" i="4"/>
  <c r="AO20" i="4"/>
  <c r="AN20" i="4"/>
  <c r="AM20" i="4"/>
  <c r="AL20" i="4"/>
  <c r="AK20" i="4"/>
  <c r="AS19" i="4"/>
  <c r="AR19" i="4"/>
  <c r="AQ19" i="4"/>
  <c r="AP19" i="4"/>
  <c r="AO19" i="4"/>
  <c r="AN19" i="4"/>
  <c r="AM19" i="4"/>
  <c r="AL19" i="4"/>
  <c r="AK19" i="4"/>
  <c r="AS18" i="4"/>
  <c r="AR18" i="4"/>
  <c r="AQ18" i="4"/>
  <c r="AP18" i="4"/>
  <c r="AO18" i="4"/>
  <c r="AN18" i="4"/>
  <c r="AM18" i="4"/>
  <c r="AL18" i="4"/>
  <c r="AK18" i="4"/>
  <c r="AS17" i="4"/>
  <c r="AR17" i="4"/>
  <c r="AQ17" i="4"/>
  <c r="AP17" i="4"/>
  <c r="AO17" i="4"/>
  <c r="AN17" i="4"/>
  <c r="AM17" i="4"/>
  <c r="AL17" i="4"/>
  <c r="AK17" i="4"/>
  <c r="AS16" i="4"/>
  <c r="AR16" i="4"/>
  <c r="AQ16" i="4"/>
  <c r="AP16" i="4"/>
  <c r="AO16" i="4"/>
  <c r="AN16" i="4"/>
  <c r="AM16" i="4"/>
  <c r="AL16" i="4"/>
  <c r="AK16" i="4"/>
  <c r="AS15" i="4"/>
  <c r="AR15" i="4"/>
  <c r="AQ15" i="4"/>
  <c r="AP15" i="4"/>
  <c r="AO15" i="4"/>
  <c r="AN15" i="4"/>
  <c r="AM15" i="4"/>
  <c r="AL15" i="4"/>
  <c r="AK15" i="4"/>
  <c r="AS14" i="4"/>
  <c r="AR14" i="4"/>
  <c r="AQ14" i="4"/>
  <c r="AP14" i="4"/>
  <c r="AO14" i="4"/>
  <c r="AN14" i="4"/>
  <c r="AM14" i="4"/>
  <c r="AL14" i="4"/>
  <c r="AK14" i="4"/>
  <c r="AS13" i="4"/>
  <c r="AR13" i="4"/>
  <c r="AQ13" i="4"/>
  <c r="AP13" i="4"/>
  <c r="AO13" i="4"/>
  <c r="AN13" i="4"/>
  <c r="AM13" i="4"/>
  <c r="AL13" i="4"/>
  <c r="AK13" i="4"/>
  <c r="AS12" i="4"/>
  <c r="AR12" i="4"/>
  <c r="AQ12" i="4"/>
  <c r="AP12" i="4"/>
  <c r="AO12" i="4"/>
  <c r="AN12" i="4"/>
  <c r="AM12" i="4"/>
  <c r="AL12" i="4"/>
  <c r="AK12" i="4"/>
  <c r="AS11" i="4"/>
  <c r="AR11" i="4"/>
  <c r="AQ11" i="4"/>
  <c r="AP11" i="4"/>
  <c r="AO11" i="4"/>
  <c r="AN11" i="4"/>
  <c r="AM11" i="4"/>
  <c r="AL11" i="4"/>
  <c r="AK11" i="4"/>
  <c r="AS10" i="4"/>
  <c r="AR10" i="4"/>
  <c r="AQ10" i="4"/>
  <c r="AP10" i="4"/>
  <c r="AO10" i="4"/>
  <c r="AN10" i="4"/>
  <c r="AM10" i="4"/>
  <c r="AL10" i="4"/>
  <c r="AK10" i="4"/>
  <c r="AS9" i="4"/>
  <c r="AR9" i="4"/>
  <c r="AQ9" i="4"/>
  <c r="AP9" i="4"/>
  <c r="AO9" i="4"/>
  <c r="AN9" i="4"/>
  <c r="AM9" i="4"/>
  <c r="AL9" i="4"/>
  <c r="AK9" i="4"/>
  <c r="AS8" i="4"/>
  <c r="AR8" i="4"/>
  <c r="AQ8" i="4"/>
  <c r="AP8" i="4"/>
  <c r="AO8" i="4"/>
  <c r="AN8" i="4"/>
  <c r="AM8" i="4"/>
  <c r="AL8" i="4"/>
  <c r="AK8" i="4"/>
  <c r="AS7" i="4"/>
  <c r="AR7" i="4"/>
  <c r="AQ7" i="4"/>
  <c r="AP7" i="4"/>
  <c r="AO7" i="4"/>
  <c r="AN7" i="4"/>
  <c r="AM7" i="4"/>
  <c r="AL7" i="4"/>
  <c r="AK7" i="4"/>
  <c r="AA459" i="4"/>
  <c r="Z459" i="4"/>
  <c r="Y459" i="4"/>
  <c r="AA458" i="4"/>
  <c r="Z458" i="4"/>
  <c r="Y458" i="4"/>
  <c r="AA457" i="4"/>
  <c r="Z457" i="4"/>
  <c r="Y457" i="4"/>
  <c r="AA456" i="4"/>
  <c r="Z456" i="4"/>
  <c r="Y456" i="4"/>
  <c r="AA455" i="4"/>
  <c r="Z455" i="4"/>
  <c r="Y455" i="4"/>
  <c r="AA454" i="4"/>
  <c r="Z454" i="4"/>
  <c r="Y454" i="4"/>
  <c r="AA453" i="4"/>
  <c r="Z453" i="4"/>
  <c r="Y453" i="4"/>
  <c r="AA452" i="4"/>
  <c r="Z452" i="4"/>
  <c r="Y452" i="4"/>
  <c r="AA451" i="4"/>
  <c r="Z451" i="4"/>
  <c r="Y451" i="4"/>
  <c r="AA450" i="4"/>
  <c r="Z450" i="4"/>
  <c r="Y450" i="4"/>
  <c r="AA449" i="4"/>
  <c r="Z449" i="4"/>
  <c r="Y449" i="4"/>
  <c r="AA448" i="4"/>
  <c r="Z448" i="4"/>
  <c r="Y448" i="4"/>
  <c r="AA447" i="4"/>
  <c r="Z447" i="4"/>
  <c r="Y447" i="4"/>
  <c r="AA446" i="4"/>
  <c r="Z446" i="4"/>
  <c r="Y446" i="4"/>
  <c r="AA445" i="4"/>
  <c r="Z445" i="4"/>
  <c r="Y445" i="4"/>
  <c r="AA444" i="4"/>
  <c r="Z444" i="4"/>
  <c r="Y444" i="4"/>
  <c r="AA443" i="4"/>
  <c r="Z443" i="4"/>
  <c r="Y443" i="4"/>
  <c r="AA442" i="4"/>
  <c r="Z442" i="4"/>
  <c r="Y442" i="4"/>
  <c r="AA441" i="4"/>
  <c r="Z441" i="4"/>
  <c r="Y441" i="4"/>
  <c r="AA440" i="4"/>
  <c r="Z440" i="4"/>
  <c r="Y440" i="4"/>
  <c r="AA439" i="4"/>
  <c r="Z439" i="4"/>
  <c r="Y439" i="4"/>
  <c r="AA438" i="4"/>
  <c r="Z438" i="4"/>
  <c r="Y438" i="4"/>
  <c r="AA437" i="4"/>
  <c r="Z437" i="4"/>
  <c r="Y437" i="4"/>
  <c r="AA436" i="4"/>
  <c r="Z436" i="4"/>
  <c r="Y436" i="4"/>
  <c r="AA435" i="4"/>
  <c r="Z435" i="4"/>
  <c r="Y435" i="4"/>
  <c r="AA434" i="4"/>
  <c r="Z434" i="4"/>
  <c r="Y434" i="4"/>
  <c r="AA433" i="4"/>
  <c r="Z433" i="4"/>
  <c r="Y433" i="4"/>
  <c r="AA432" i="4"/>
  <c r="Z432" i="4"/>
  <c r="Y432" i="4"/>
  <c r="AA431" i="4"/>
  <c r="Z431" i="4"/>
  <c r="Y431" i="4"/>
  <c r="AA430" i="4"/>
  <c r="Z430" i="4"/>
  <c r="Y430" i="4"/>
  <c r="AA429" i="4"/>
  <c r="Z429" i="4"/>
  <c r="Y429" i="4"/>
  <c r="AA428" i="4"/>
  <c r="Z428" i="4"/>
  <c r="Y428" i="4"/>
  <c r="AA427" i="4"/>
  <c r="Z427" i="4"/>
  <c r="Y427" i="4"/>
  <c r="AA426" i="4"/>
  <c r="Z426" i="4"/>
  <c r="Y426" i="4"/>
  <c r="AA425" i="4"/>
  <c r="Z425" i="4"/>
  <c r="Y425" i="4"/>
  <c r="AA424" i="4"/>
  <c r="Z424" i="4"/>
  <c r="Y424" i="4"/>
  <c r="AA423" i="4"/>
  <c r="Z423" i="4"/>
  <c r="Y423" i="4"/>
  <c r="AA422" i="4"/>
  <c r="Z422" i="4"/>
  <c r="Y422" i="4"/>
  <c r="AA421" i="4"/>
  <c r="Z421" i="4"/>
  <c r="Y421" i="4"/>
  <c r="AA420" i="4"/>
  <c r="Z420" i="4"/>
  <c r="Y420" i="4"/>
  <c r="AA419" i="4"/>
  <c r="Z419" i="4"/>
  <c r="Y419" i="4"/>
  <c r="AA418" i="4"/>
  <c r="Z418" i="4"/>
  <c r="Y418" i="4"/>
  <c r="AA417" i="4"/>
  <c r="Z417" i="4"/>
  <c r="Y417" i="4"/>
  <c r="AA416" i="4"/>
  <c r="Z416" i="4"/>
  <c r="Y416" i="4"/>
  <c r="AA415" i="4"/>
  <c r="Z415" i="4"/>
  <c r="Y415" i="4"/>
  <c r="AA414" i="4"/>
  <c r="Z414" i="4"/>
  <c r="Y414" i="4"/>
  <c r="AA413" i="4"/>
  <c r="Z413" i="4"/>
  <c r="Y413" i="4"/>
  <c r="AA412" i="4"/>
  <c r="Z412" i="4"/>
  <c r="Y412" i="4"/>
  <c r="AA411" i="4"/>
  <c r="Z411" i="4"/>
  <c r="Y411" i="4"/>
  <c r="AA410" i="4"/>
  <c r="Z410" i="4"/>
  <c r="Y410" i="4"/>
  <c r="AA409" i="4"/>
  <c r="Z409" i="4"/>
  <c r="Y409" i="4"/>
  <c r="AA408" i="4"/>
  <c r="Z408" i="4"/>
  <c r="Y408" i="4"/>
  <c r="AA407" i="4"/>
  <c r="Z407" i="4"/>
  <c r="Y407" i="4"/>
  <c r="AA406" i="4"/>
  <c r="Z406" i="4"/>
  <c r="Y406" i="4"/>
  <c r="AA405" i="4"/>
  <c r="Z405" i="4"/>
  <c r="Y405" i="4"/>
  <c r="AA404" i="4"/>
  <c r="Z404" i="4"/>
  <c r="Y404" i="4"/>
  <c r="AA403" i="4"/>
  <c r="Z403" i="4"/>
  <c r="Y403" i="4"/>
  <c r="AA402" i="4"/>
  <c r="Z402" i="4"/>
  <c r="Y402" i="4"/>
  <c r="AA401" i="4"/>
  <c r="Z401" i="4"/>
  <c r="Y401" i="4"/>
  <c r="AA400" i="4"/>
  <c r="Z400" i="4"/>
  <c r="Y400" i="4"/>
  <c r="AA399" i="4"/>
  <c r="Z399" i="4"/>
  <c r="Y399" i="4"/>
  <c r="AA398" i="4"/>
  <c r="Z398" i="4"/>
  <c r="Y398" i="4"/>
  <c r="AA397" i="4"/>
  <c r="Z397" i="4"/>
  <c r="Y397" i="4"/>
  <c r="AA396" i="4"/>
  <c r="Z396" i="4"/>
  <c r="Y396" i="4"/>
  <c r="AA395" i="4"/>
  <c r="Z395" i="4"/>
  <c r="Y395" i="4"/>
  <c r="AA394" i="4"/>
  <c r="Z394" i="4"/>
  <c r="Y394" i="4"/>
  <c r="AA393" i="4"/>
  <c r="Z393" i="4"/>
  <c r="Y393" i="4"/>
  <c r="AA392" i="4"/>
  <c r="Z392" i="4"/>
  <c r="Y392" i="4"/>
  <c r="AA391" i="4"/>
  <c r="Z391" i="4"/>
  <c r="Y391" i="4"/>
  <c r="AA390" i="4"/>
  <c r="Z390" i="4"/>
  <c r="Y390" i="4"/>
  <c r="AA389" i="4"/>
  <c r="Z389" i="4"/>
  <c r="Y389" i="4"/>
  <c r="AA388" i="4"/>
  <c r="Z388" i="4"/>
  <c r="Y388" i="4"/>
  <c r="AA387" i="4"/>
  <c r="Z387" i="4"/>
  <c r="Y387" i="4"/>
  <c r="AA386" i="4"/>
  <c r="Z386" i="4"/>
  <c r="Y386" i="4"/>
  <c r="AA385" i="4"/>
  <c r="Z385" i="4"/>
  <c r="Y385" i="4"/>
  <c r="AA384" i="4"/>
  <c r="Z384" i="4"/>
  <c r="Y384" i="4"/>
  <c r="AA383" i="4"/>
  <c r="Z383" i="4"/>
  <c r="Y383" i="4"/>
  <c r="AA382" i="4"/>
  <c r="Z382" i="4"/>
  <c r="Y382" i="4"/>
  <c r="AA381" i="4"/>
  <c r="Z381" i="4"/>
  <c r="Y381" i="4"/>
  <c r="AA380" i="4"/>
  <c r="Z380" i="4"/>
  <c r="Y380" i="4"/>
  <c r="AA379" i="4"/>
  <c r="Z379" i="4"/>
  <c r="Y379" i="4"/>
  <c r="AA378" i="4"/>
  <c r="Z378" i="4"/>
  <c r="Y378" i="4"/>
  <c r="AA377" i="4"/>
  <c r="Z377" i="4"/>
  <c r="Y377" i="4"/>
  <c r="AA376" i="4"/>
  <c r="Z376" i="4"/>
  <c r="Y376" i="4"/>
  <c r="AA375" i="4"/>
  <c r="Z375" i="4"/>
  <c r="Y375" i="4"/>
  <c r="AA374" i="4"/>
  <c r="Z374" i="4"/>
  <c r="Y374" i="4"/>
  <c r="AA373" i="4"/>
  <c r="Z373" i="4"/>
  <c r="Y373" i="4"/>
  <c r="AA372" i="4"/>
  <c r="Z372" i="4"/>
  <c r="Y372" i="4"/>
  <c r="AA371" i="4"/>
  <c r="Z371" i="4"/>
  <c r="Y371" i="4"/>
  <c r="AA370" i="4"/>
  <c r="Z370" i="4"/>
  <c r="Y370" i="4"/>
  <c r="AA369" i="4"/>
  <c r="Z369" i="4"/>
  <c r="Y369" i="4"/>
  <c r="AA368" i="4"/>
  <c r="Z368" i="4"/>
  <c r="Y368" i="4"/>
  <c r="AA367" i="4"/>
  <c r="Z367" i="4"/>
  <c r="Y367" i="4"/>
  <c r="AA366" i="4"/>
  <c r="Z366" i="4"/>
  <c r="Y366" i="4"/>
  <c r="AA365" i="4"/>
  <c r="Z365" i="4"/>
  <c r="Y365" i="4"/>
  <c r="AA364" i="4"/>
  <c r="Z364" i="4"/>
  <c r="Y364" i="4"/>
  <c r="AA363" i="4"/>
  <c r="Z363" i="4"/>
  <c r="Y363" i="4"/>
  <c r="AA362" i="4"/>
  <c r="Z362" i="4"/>
  <c r="Y362" i="4"/>
  <c r="AA361" i="4"/>
  <c r="Z361" i="4"/>
  <c r="Y361" i="4"/>
  <c r="AA360" i="4"/>
  <c r="Z360" i="4"/>
  <c r="Y360" i="4"/>
  <c r="AA359" i="4"/>
  <c r="Z359" i="4"/>
  <c r="Y359" i="4"/>
  <c r="AA358" i="4"/>
  <c r="Z358" i="4"/>
  <c r="Y358" i="4"/>
  <c r="AA357" i="4"/>
  <c r="Z357" i="4"/>
  <c r="Y357" i="4"/>
  <c r="AA356" i="4"/>
  <c r="Z356" i="4"/>
  <c r="Y356" i="4"/>
  <c r="AA355" i="4"/>
  <c r="Z355" i="4"/>
  <c r="Y355" i="4"/>
  <c r="AA354" i="4"/>
  <c r="Z354" i="4"/>
  <c r="Y354" i="4"/>
  <c r="AA353" i="4"/>
  <c r="Z353" i="4"/>
  <c r="Y353" i="4"/>
  <c r="AA352" i="4"/>
  <c r="Z352" i="4"/>
  <c r="Y352" i="4"/>
  <c r="AA351" i="4"/>
  <c r="Z351" i="4"/>
  <c r="Y351" i="4"/>
  <c r="AA350" i="4"/>
  <c r="Z350" i="4"/>
  <c r="Y350" i="4"/>
  <c r="AA349" i="4"/>
  <c r="Z349" i="4"/>
  <c r="Y349" i="4"/>
  <c r="AA348" i="4"/>
  <c r="Z348" i="4"/>
  <c r="Y348" i="4"/>
  <c r="AA347" i="4"/>
  <c r="Z347" i="4"/>
  <c r="Y347" i="4"/>
  <c r="AA346" i="4"/>
  <c r="Z346" i="4"/>
  <c r="Y346" i="4"/>
  <c r="AA345" i="4"/>
  <c r="Z345" i="4"/>
  <c r="Y345" i="4"/>
  <c r="AA344" i="4"/>
  <c r="Z344" i="4"/>
  <c r="Y344" i="4"/>
  <c r="AA343" i="4"/>
  <c r="Z343" i="4"/>
  <c r="Y343" i="4"/>
  <c r="AA342" i="4"/>
  <c r="Z342" i="4"/>
  <c r="Y342" i="4"/>
  <c r="AA341" i="4"/>
  <c r="Z341" i="4"/>
  <c r="Y341" i="4"/>
  <c r="AA340" i="4"/>
  <c r="Z340" i="4"/>
  <c r="Y340" i="4"/>
  <c r="AA339" i="4"/>
  <c r="Z339" i="4"/>
  <c r="Y339" i="4"/>
  <c r="AA338" i="4"/>
  <c r="Z338" i="4"/>
  <c r="Y338" i="4"/>
  <c r="AA337" i="4"/>
  <c r="Z337" i="4"/>
  <c r="Y337" i="4"/>
  <c r="AA336" i="4"/>
  <c r="Z336" i="4"/>
  <c r="Y336" i="4"/>
  <c r="AA335" i="4"/>
  <c r="Z335" i="4"/>
  <c r="Y335" i="4"/>
  <c r="AA334" i="4"/>
  <c r="Z334" i="4"/>
  <c r="Y334" i="4"/>
  <c r="AA333" i="4"/>
  <c r="Z333" i="4"/>
  <c r="Y333" i="4"/>
  <c r="AA332" i="4"/>
  <c r="Z332" i="4"/>
  <c r="Y332" i="4"/>
  <c r="AA331" i="4"/>
  <c r="Z331" i="4"/>
  <c r="Y331" i="4"/>
  <c r="AA330" i="4"/>
  <c r="Z330" i="4"/>
  <c r="Y330" i="4"/>
  <c r="AA329" i="4"/>
  <c r="Z329" i="4"/>
  <c r="Y329" i="4"/>
  <c r="AA328" i="4"/>
  <c r="Z328" i="4"/>
  <c r="Y328" i="4"/>
  <c r="AA327" i="4"/>
  <c r="Z327" i="4"/>
  <c r="Y327" i="4"/>
  <c r="AA326" i="4"/>
  <c r="Z326" i="4"/>
  <c r="Y326" i="4"/>
  <c r="AA325" i="4"/>
  <c r="Z325" i="4"/>
  <c r="Y325" i="4"/>
  <c r="AA324" i="4"/>
  <c r="Z324" i="4"/>
  <c r="Y324" i="4"/>
  <c r="AA323" i="4"/>
  <c r="Z323" i="4"/>
  <c r="Y323" i="4"/>
  <c r="AA322" i="4"/>
  <c r="Z322" i="4"/>
  <c r="Y322" i="4"/>
  <c r="AA321" i="4"/>
  <c r="Z321" i="4"/>
  <c r="Y321" i="4"/>
  <c r="AA320" i="4"/>
  <c r="Z320" i="4"/>
  <c r="Y320" i="4"/>
  <c r="AA319" i="4"/>
  <c r="Z319" i="4"/>
  <c r="Y319" i="4"/>
  <c r="AA318" i="4"/>
  <c r="Z318" i="4"/>
  <c r="Y318" i="4"/>
  <c r="AA317" i="4"/>
  <c r="Z317" i="4"/>
  <c r="Y317" i="4"/>
  <c r="AA316" i="4"/>
  <c r="Z316" i="4"/>
  <c r="Y316" i="4"/>
  <c r="AA315" i="4"/>
  <c r="Z315" i="4"/>
  <c r="Y315" i="4"/>
  <c r="AA314" i="4"/>
  <c r="Z314" i="4"/>
  <c r="Y314" i="4"/>
  <c r="AA313" i="4"/>
  <c r="Z313" i="4"/>
  <c r="Y313" i="4"/>
  <c r="AA312" i="4"/>
  <c r="Z312" i="4"/>
  <c r="Y312" i="4"/>
  <c r="AA311" i="4"/>
  <c r="Z311" i="4"/>
  <c r="Y311" i="4"/>
  <c r="AA310" i="4"/>
  <c r="Z310" i="4"/>
  <c r="Y310" i="4"/>
  <c r="AA309" i="4"/>
  <c r="Z309" i="4"/>
  <c r="Y309" i="4"/>
  <c r="AA308" i="4"/>
  <c r="Z308" i="4"/>
  <c r="Y308" i="4"/>
  <c r="AA307" i="4"/>
  <c r="Z307" i="4"/>
  <c r="Y307" i="4"/>
  <c r="AA306" i="4"/>
  <c r="Z306" i="4"/>
  <c r="Y306" i="4"/>
  <c r="AA305" i="4"/>
  <c r="Z305" i="4"/>
  <c r="Y305" i="4"/>
  <c r="AA304" i="4"/>
  <c r="Z304" i="4"/>
  <c r="Y304" i="4"/>
  <c r="AA303" i="4"/>
  <c r="Z303" i="4"/>
  <c r="Y303" i="4"/>
  <c r="AA302" i="4"/>
  <c r="Z302" i="4"/>
  <c r="Y302" i="4"/>
  <c r="AA301" i="4"/>
  <c r="Z301" i="4"/>
  <c r="Y301" i="4"/>
  <c r="AA300" i="4"/>
  <c r="Z300" i="4"/>
  <c r="Y300" i="4"/>
  <c r="AA299" i="4"/>
  <c r="Z299" i="4"/>
  <c r="Y299" i="4"/>
  <c r="AA298" i="4"/>
  <c r="Z298" i="4"/>
  <c r="Y298" i="4"/>
  <c r="AA297" i="4"/>
  <c r="Z297" i="4"/>
  <c r="Y297" i="4"/>
  <c r="AA296" i="4"/>
  <c r="Z296" i="4"/>
  <c r="Y296" i="4"/>
  <c r="AA295" i="4"/>
  <c r="Z295" i="4"/>
  <c r="Y295" i="4"/>
  <c r="AA294" i="4"/>
  <c r="Z294" i="4"/>
  <c r="Y294" i="4"/>
  <c r="AA293" i="4"/>
  <c r="Z293" i="4"/>
  <c r="Y293" i="4"/>
  <c r="AA292" i="4"/>
  <c r="Z292" i="4"/>
  <c r="Y292" i="4"/>
  <c r="AA291" i="4"/>
  <c r="Z291" i="4"/>
  <c r="Y291" i="4"/>
  <c r="AA290" i="4"/>
  <c r="Z290" i="4"/>
  <c r="Y290" i="4"/>
  <c r="AA289" i="4"/>
  <c r="Z289" i="4"/>
  <c r="Y289" i="4"/>
  <c r="AA288" i="4"/>
  <c r="Z288" i="4"/>
  <c r="Y288" i="4"/>
  <c r="AA287" i="4"/>
  <c r="Z287" i="4"/>
  <c r="Y287" i="4"/>
  <c r="AA286" i="4"/>
  <c r="Z286" i="4"/>
  <c r="Y286" i="4"/>
  <c r="AA285" i="4"/>
  <c r="Z285" i="4"/>
  <c r="Y285" i="4"/>
  <c r="AA284" i="4"/>
  <c r="Z284" i="4"/>
  <c r="Y284" i="4"/>
  <c r="AA283" i="4"/>
  <c r="Z283" i="4"/>
  <c r="Y283" i="4"/>
  <c r="AA282" i="4"/>
  <c r="Z282" i="4"/>
  <c r="Y282" i="4"/>
  <c r="AA281" i="4"/>
  <c r="Z281" i="4"/>
  <c r="Y281" i="4"/>
  <c r="AA280" i="4"/>
  <c r="Z280" i="4"/>
  <c r="Y280" i="4"/>
  <c r="AA279" i="4"/>
  <c r="Z279" i="4"/>
  <c r="Y279" i="4"/>
  <c r="AA278" i="4"/>
  <c r="Z278" i="4"/>
  <c r="Y278" i="4"/>
  <c r="AA277" i="4"/>
  <c r="Z277" i="4"/>
  <c r="Y277" i="4"/>
  <c r="AA276" i="4"/>
  <c r="Z276" i="4"/>
  <c r="Y276" i="4"/>
  <c r="AA275" i="4"/>
  <c r="Z275" i="4"/>
  <c r="Y275" i="4"/>
  <c r="AA274" i="4"/>
  <c r="Z274" i="4"/>
  <c r="Y274" i="4"/>
  <c r="AA273" i="4"/>
  <c r="Z273" i="4"/>
  <c r="Y273" i="4"/>
  <c r="AA272" i="4"/>
  <c r="Z272" i="4"/>
  <c r="Y272" i="4"/>
  <c r="AA271" i="4"/>
  <c r="Z271" i="4"/>
  <c r="Y271" i="4"/>
  <c r="AA270" i="4"/>
  <c r="Z270" i="4"/>
  <c r="Y270" i="4"/>
  <c r="AA269" i="4"/>
  <c r="Z269" i="4"/>
  <c r="Y269" i="4"/>
  <c r="AA268" i="4"/>
  <c r="Z268" i="4"/>
  <c r="Y268" i="4"/>
  <c r="AA267" i="4"/>
  <c r="Z267" i="4"/>
  <c r="Y267" i="4"/>
  <c r="AA266" i="4"/>
  <c r="Z266" i="4"/>
  <c r="Y266" i="4"/>
  <c r="AA265" i="4"/>
  <c r="Z265" i="4"/>
  <c r="Y265" i="4"/>
  <c r="AA264" i="4"/>
  <c r="Z264" i="4"/>
  <c r="Y264" i="4"/>
  <c r="AA263" i="4"/>
  <c r="Z263" i="4"/>
  <c r="Y263" i="4"/>
  <c r="AA262" i="4"/>
  <c r="Z262" i="4"/>
  <c r="Y262" i="4"/>
  <c r="AA261" i="4"/>
  <c r="Z261" i="4"/>
  <c r="Y261" i="4"/>
  <c r="AA260" i="4"/>
  <c r="Z260" i="4"/>
  <c r="Y260" i="4"/>
  <c r="AA259" i="4"/>
  <c r="Z259" i="4"/>
  <c r="Y259" i="4"/>
  <c r="AA258" i="4"/>
  <c r="Z258" i="4"/>
  <c r="Y258" i="4"/>
  <c r="AA257" i="4"/>
  <c r="Z257" i="4"/>
  <c r="Y257" i="4"/>
  <c r="AA256" i="4"/>
  <c r="Z256" i="4"/>
  <c r="Y256" i="4"/>
  <c r="AA255" i="4"/>
  <c r="Z255" i="4"/>
  <c r="Y255" i="4"/>
  <c r="AA254" i="4"/>
  <c r="Z254" i="4"/>
  <c r="Y254" i="4"/>
  <c r="AA253" i="4"/>
  <c r="Z253" i="4"/>
  <c r="Y253" i="4"/>
  <c r="AA252" i="4"/>
  <c r="Z252" i="4"/>
  <c r="Y252" i="4"/>
  <c r="AA251" i="4"/>
  <c r="Z251" i="4"/>
  <c r="Y251" i="4"/>
  <c r="AA250" i="4"/>
  <c r="Z250" i="4"/>
  <c r="Y250" i="4"/>
  <c r="AA249" i="4"/>
  <c r="Z249" i="4"/>
  <c r="Y249" i="4"/>
  <c r="AA248" i="4"/>
  <c r="Z248" i="4"/>
  <c r="Y248" i="4"/>
  <c r="AA247" i="4"/>
  <c r="Z247" i="4"/>
  <c r="Y247" i="4"/>
  <c r="AA246" i="4"/>
  <c r="Z246" i="4"/>
  <c r="Y246" i="4"/>
  <c r="AA245" i="4"/>
  <c r="Z245" i="4"/>
  <c r="Y245" i="4"/>
  <c r="AA244" i="4"/>
  <c r="Z244" i="4"/>
  <c r="Y244" i="4"/>
  <c r="AA243" i="4"/>
  <c r="Z243" i="4"/>
  <c r="Y243" i="4"/>
  <c r="AA242" i="4"/>
  <c r="Z242" i="4"/>
  <c r="Y242" i="4"/>
  <c r="AA241" i="4"/>
  <c r="Z241" i="4"/>
  <c r="Y241" i="4"/>
  <c r="AA240" i="4"/>
  <c r="Z240" i="4"/>
  <c r="Y240" i="4"/>
  <c r="AA239" i="4"/>
  <c r="Z239" i="4"/>
  <c r="Y239" i="4"/>
  <c r="AA238" i="4"/>
  <c r="Z238" i="4"/>
  <c r="Y238" i="4"/>
  <c r="AA237" i="4"/>
  <c r="Z237" i="4"/>
  <c r="Y237" i="4"/>
  <c r="AA236" i="4"/>
  <c r="Z236" i="4"/>
  <c r="Y236" i="4"/>
  <c r="AA235" i="4"/>
  <c r="Z235" i="4"/>
  <c r="Y235" i="4"/>
  <c r="AA234" i="4"/>
  <c r="Z234" i="4"/>
  <c r="Y234" i="4"/>
  <c r="AA233" i="4"/>
  <c r="Z233" i="4"/>
  <c r="Y233" i="4"/>
  <c r="AA232" i="4"/>
  <c r="Z232" i="4"/>
  <c r="Y232" i="4"/>
  <c r="AA231" i="4"/>
  <c r="Z231" i="4"/>
  <c r="Y231" i="4"/>
  <c r="AA230" i="4"/>
  <c r="Z230" i="4"/>
  <c r="Y230" i="4"/>
  <c r="AA229" i="4"/>
  <c r="Z229" i="4"/>
  <c r="Y229" i="4"/>
  <c r="AA228" i="4"/>
  <c r="Z228" i="4"/>
  <c r="Y228" i="4"/>
  <c r="AA227" i="4"/>
  <c r="Z227" i="4"/>
  <c r="Y227" i="4"/>
  <c r="AA226" i="4"/>
  <c r="Z226" i="4"/>
  <c r="Y226" i="4"/>
  <c r="AA225" i="4"/>
  <c r="Z225" i="4"/>
  <c r="Y225" i="4"/>
  <c r="AA224" i="4"/>
  <c r="Z224" i="4"/>
  <c r="Y224" i="4"/>
  <c r="AA223" i="4"/>
  <c r="Z223" i="4"/>
  <c r="Y223" i="4"/>
  <c r="AA222" i="4"/>
  <c r="Z222" i="4"/>
  <c r="Y222" i="4"/>
  <c r="AA221" i="4"/>
  <c r="Z221" i="4"/>
  <c r="Y221" i="4"/>
  <c r="AA220" i="4"/>
  <c r="Z220" i="4"/>
  <c r="Y220" i="4"/>
  <c r="AA219" i="4"/>
  <c r="Z219" i="4"/>
  <c r="Y219" i="4"/>
  <c r="AA218" i="4"/>
  <c r="Z218" i="4"/>
  <c r="Y218" i="4"/>
  <c r="AA217" i="4"/>
  <c r="Z217" i="4"/>
  <c r="Y217" i="4"/>
  <c r="AA216" i="4"/>
  <c r="Z216" i="4"/>
  <c r="Y216" i="4"/>
  <c r="AA215" i="4"/>
  <c r="Z215" i="4"/>
  <c r="Y215" i="4"/>
  <c r="AA214" i="4"/>
  <c r="Z214" i="4"/>
  <c r="Y214" i="4"/>
  <c r="AA213" i="4"/>
  <c r="Z213" i="4"/>
  <c r="Y213" i="4"/>
  <c r="AA212" i="4"/>
  <c r="Z212" i="4"/>
  <c r="Y212" i="4"/>
  <c r="AA211" i="4"/>
  <c r="Z211" i="4"/>
  <c r="Y211" i="4"/>
  <c r="AA210" i="4"/>
  <c r="Z210" i="4"/>
  <c r="Y210" i="4"/>
  <c r="AA209" i="4"/>
  <c r="Z209" i="4"/>
  <c r="Y209" i="4"/>
  <c r="AA208" i="4"/>
  <c r="Z208" i="4"/>
  <c r="Y208" i="4"/>
  <c r="AA207" i="4"/>
  <c r="Z207" i="4"/>
  <c r="Y207" i="4"/>
  <c r="AA206" i="4"/>
  <c r="Z206" i="4"/>
  <c r="Y206" i="4"/>
  <c r="AA205" i="4"/>
  <c r="Z205" i="4"/>
  <c r="Y205" i="4"/>
  <c r="AA204" i="4"/>
  <c r="Z204" i="4"/>
  <c r="Y204" i="4"/>
  <c r="AA203" i="4"/>
  <c r="Z203" i="4"/>
  <c r="Y203" i="4"/>
  <c r="AA202" i="4"/>
  <c r="Z202" i="4"/>
  <c r="Y202" i="4"/>
  <c r="AA201" i="4"/>
  <c r="Z201" i="4"/>
  <c r="Y201" i="4"/>
  <c r="AA200" i="4"/>
  <c r="Z200" i="4"/>
  <c r="Y200" i="4"/>
  <c r="AA199" i="4"/>
  <c r="Z199" i="4"/>
  <c r="Y199" i="4"/>
  <c r="AA198" i="4"/>
  <c r="Z198" i="4"/>
  <c r="Y198" i="4"/>
  <c r="AA197" i="4"/>
  <c r="Z197" i="4"/>
  <c r="Y197" i="4"/>
  <c r="AA196" i="4"/>
  <c r="Z196" i="4"/>
  <c r="Y196" i="4"/>
  <c r="AA195" i="4"/>
  <c r="Z195" i="4"/>
  <c r="Y195" i="4"/>
  <c r="AA194" i="4"/>
  <c r="Z194" i="4"/>
  <c r="Y194" i="4"/>
  <c r="AA193" i="4"/>
  <c r="Z193" i="4"/>
  <c r="Y193" i="4"/>
  <c r="AA192" i="4"/>
  <c r="Z192" i="4"/>
  <c r="Y192" i="4"/>
  <c r="AA191" i="4"/>
  <c r="Z191" i="4"/>
  <c r="Y191" i="4"/>
  <c r="AA190" i="4"/>
  <c r="Z190" i="4"/>
  <c r="Y190" i="4"/>
  <c r="AA189" i="4"/>
  <c r="Z189" i="4"/>
  <c r="Y189" i="4"/>
  <c r="AA188" i="4"/>
  <c r="Z188" i="4"/>
  <c r="Y188" i="4"/>
  <c r="AA187" i="4"/>
  <c r="Z187" i="4"/>
  <c r="Y187" i="4"/>
  <c r="AA186" i="4"/>
  <c r="Z186" i="4"/>
  <c r="Y186" i="4"/>
  <c r="AA185" i="4"/>
  <c r="Z185" i="4"/>
  <c r="Y185" i="4"/>
  <c r="AA184" i="4"/>
  <c r="Z184" i="4"/>
  <c r="Y184" i="4"/>
  <c r="AA183" i="4"/>
  <c r="Z183" i="4"/>
  <c r="Y183" i="4"/>
  <c r="AA182" i="4"/>
  <c r="Z182" i="4"/>
  <c r="Y182" i="4"/>
  <c r="AA181" i="4"/>
  <c r="Z181" i="4"/>
  <c r="Y181" i="4"/>
  <c r="AA180" i="4"/>
  <c r="Z180" i="4"/>
  <c r="Y180" i="4"/>
  <c r="AA179" i="4"/>
  <c r="Z179" i="4"/>
  <c r="Y179" i="4"/>
  <c r="AA178" i="4"/>
  <c r="Z178" i="4"/>
  <c r="Y178" i="4"/>
  <c r="AA177" i="4"/>
  <c r="Z177" i="4"/>
  <c r="Y177" i="4"/>
  <c r="AA176" i="4"/>
  <c r="Z176" i="4"/>
  <c r="Y176" i="4"/>
  <c r="AA175" i="4"/>
  <c r="Z175" i="4"/>
  <c r="Y175" i="4"/>
  <c r="AA174" i="4"/>
  <c r="Z174" i="4"/>
  <c r="Y174" i="4"/>
  <c r="AA173" i="4"/>
  <c r="Z173" i="4"/>
  <c r="Y173" i="4"/>
  <c r="AA172" i="4"/>
  <c r="Z172" i="4"/>
  <c r="Y172" i="4"/>
  <c r="AA171" i="4"/>
  <c r="Z171" i="4"/>
  <c r="Y171" i="4"/>
  <c r="AA170" i="4"/>
  <c r="Z170" i="4"/>
  <c r="Y170" i="4"/>
  <c r="AA169" i="4"/>
  <c r="Z169" i="4"/>
  <c r="Y169" i="4"/>
  <c r="AA168" i="4"/>
  <c r="Z168" i="4"/>
  <c r="Y168" i="4"/>
  <c r="AA167" i="4"/>
  <c r="Z167" i="4"/>
  <c r="Y167" i="4"/>
  <c r="AA166" i="4"/>
  <c r="Z166" i="4"/>
  <c r="Y166" i="4"/>
  <c r="AA165" i="4"/>
  <c r="Z165" i="4"/>
  <c r="Y165" i="4"/>
  <c r="AA164" i="4"/>
  <c r="Z164" i="4"/>
  <c r="Y164" i="4"/>
  <c r="AA163" i="4"/>
  <c r="Z163" i="4"/>
  <c r="Y163" i="4"/>
  <c r="AA162" i="4"/>
  <c r="Z162" i="4"/>
  <c r="Y162" i="4"/>
  <c r="AA161" i="4"/>
  <c r="Z161" i="4"/>
  <c r="Y161" i="4"/>
  <c r="AA160" i="4"/>
  <c r="Z160" i="4"/>
  <c r="Y160" i="4"/>
  <c r="AA159" i="4"/>
  <c r="Z159" i="4"/>
  <c r="Y159" i="4"/>
  <c r="AA158" i="4"/>
  <c r="Z158" i="4"/>
  <c r="Y158" i="4"/>
  <c r="AA157" i="4"/>
  <c r="Z157" i="4"/>
  <c r="Y157" i="4"/>
  <c r="AA156" i="4"/>
  <c r="Z156" i="4"/>
  <c r="Y156" i="4"/>
  <c r="AA155" i="4"/>
  <c r="Z155" i="4"/>
  <c r="Y155" i="4"/>
  <c r="AA154" i="4"/>
  <c r="Z154" i="4"/>
  <c r="Y154" i="4"/>
  <c r="AA153" i="4"/>
  <c r="Z153" i="4"/>
  <c r="Y153" i="4"/>
  <c r="AA152" i="4"/>
  <c r="Z152" i="4"/>
  <c r="Y152" i="4"/>
  <c r="AA151" i="4"/>
  <c r="Z151" i="4"/>
  <c r="Y151" i="4"/>
  <c r="AA150" i="4"/>
  <c r="Z150" i="4"/>
  <c r="Y150" i="4"/>
  <c r="AA149" i="4"/>
  <c r="Z149" i="4"/>
  <c r="Y149" i="4"/>
  <c r="AA148" i="4"/>
  <c r="Z148" i="4"/>
  <c r="Y148" i="4"/>
  <c r="AA147" i="4"/>
  <c r="Z147" i="4"/>
  <c r="Y147" i="4"/>
  <c r="AA146" i="4"/>
  <c r="Z146" i="4"/>
  <c r="Y146" i="4"/>
  <c r="AA145" i="4"/>
  <c r="Z145" i="4"/>
  <c r="Y145" i="4"/>
  <c r="AA144" i="4"/>
  <c r="Z144" i="4"/>
  <c r="Y144" i="4"/>
  <c r="AA143" i="4"/>
  <c r="Z143" i="4"/>
  <c r="Y143" i="4"/>
  <c r="AA142" i="4"/>
  <c r="Z142" i="4"/>
  <c r="Y142" i="4"/>
  <c r="AA141" i="4"/>
  <c r="Z141" i="4"/>
  <c r="Y141" i="4"/>
  <c r="AA140" i="4"/>
  <c r="Z140" i="4"/>
  <c r="Y140" i="4"/>
  <c r="AA139" i="4"/>
  <c r="Z139" i="4"/>
  <c r="Y139" i="4"/>
  <c r="AA138" i="4"/>
  <c r="Z138" i="4"/>
  <c r="Y138" i="4"/>
  <c r="AA137" i="4"/>
  <c r="Z137" i="4"/>
  <c r="Y137" i="4"/>
  <c r="AA136" i="4"/>
  <c r="Z136" i="4"/>
  <c r="Y136" i="4"/>
  <c r="AA135" i="4"/>
  <c r="Z135" i="4"/>
  <c r="Y135" i="4"/>
  <c r="AA134" i="4"/>
  <c r="Z134" i="4"/>
  <c r="Y134" i="4"/>
  <c r="AA133" i="4"/>
  <c r="Z133" i="4"/>
  <c r="Y133" i="4"/>
  <c r="AA132" i="4"/>
  <c r="Z132" i="4"/>
  <c r="Y132" i="4"/>
  <c r="AA131" i="4"/>
  <c r="Z131" i="4"/>
  <c r="Y131" i="4"/>
  <c r="AA130" i="4"/>
  <c r="Z130" i="4"/>
  <c r="Y130" i="4"/>
  <c r="AA129" i="4"/>
  <c r="Z129" i="4"/>
  <c r="Y129" i="4"/>
  <c r="AA128" i="4"/>
  <c r="Z128" i="4"/>
  <c r="Y128" i="4"/>
  <c r="AA127" i="4"/>
  <c r="Z127" i="4"/>
  <c r="Y127" i="4"/>
  <c r="AA126" i="4"/>
  <c r="Z126" i="4"/>
  <c r="Y126" i="4"/>
  <c r="AA125" i="4"/>
  <c r="Z125" i="4"/>
  <c r="Y125" i="4"/>
  <c r="AA124" i="4"/>
  <c r="Z124" i="4"/>
  <c r="Y124" i="4"/>
  <c r="AA123" i="4"/>
  <c r="Z123" i="4"/>
  <c r="Y123" i="4"/>
  <c r="AA122" i="4"/>
  <c r="Z122" i="4"/>
  <c r="Y122" i="4"/>
  <c r="AA121" i="4"/>
  <c r="Z121" i="4"/>
  <c r="Y121" i="4"/>
  <c r="AA120" i="4"/>
  <c r="Z120" i="4"/>
  <c r="Y120" i="4"/>
  <c r="AA119" i="4"/>
  <c r="Z119" i="4"/>
  <c r="Y119" i="4"/>
  <c r="AA118" i="4"/>
  <c r="Z118" i="4"/>
  <c r="Y118" i="4"/>
  <c r="AA117" i="4"/>
  <c r="Z117" i="4"/>
  <c r="Y117" i="4"/>
  <c r="AA116" i="4"/>
  <c r="Z116" i="4"/>
  <c r="Y116" i="4"/>
  <c r="AA115" i="4"/>
  <c r="Z115" i="4"/>
  <c r="Y115" i="4"/>
  <c r="AA114" i="4"/>
  <c r="Z114" i="4"/>
  <c r="Y114" i="4"/>
  <c r="AA113" i="4"/>
  <c r="Z113" i="4"/>
  <c r="Y113" i="4"/>
  <c r="AA112" i="4"/>
  <c r="Z112" i="4"/>
  <c r="Y112" i="4"/>
  <c r="AA111" i="4"/>
  <c r="Z111" i="4"/>
  <c r="Y111" i="4"/>
  <c r="AA110" i="4"/>
  <c r="Z110" i="4"/>
  <c r="Y110" i="4"/>
  <c r="AA109" i="4"/>
  <c r="Z109" i="4"/>
  <c r="Y109" i="4"/>
  <c r="AA108" i="4"/>
  <c r="Z108" i="4"/>
  <c r="Y108" i="4"/>
  <c r="AA107" i="4"/>
  <c r="Z107" i="4"/>
  <c r="Y107" i="4"/>
  <c r="AA106" i="4"/>
  <c r="Z106" i="4"/>
  <c r="Y106" i="4"/>
  <c r="AA105" i="4"/>
  <c r="Z105" i="4"/>
  <c r="Y105" i="4"/>
  <c r="AA104" i="4"/>
  <c r="Z104" i="4"/>
  <c r="Y104" i="4"/>
  <c r="AA103" i="4"/>
  <c r="Z103" i="4"/>
  <c r="Y103" i="4"/>
  <c r="AA102" i="4"/>
  <c r="Z102" i="4"/>
  <c r="Y102" i="4"/>
  <c r="AA101" i="4"/>
  <c r="Z101" i="4"/>
  <c r="Y101" i="4"/>
  <c r="AA100" i="4"/>
  <c r="Z100" i="4"/>
  <c r="Y100" i="4"/>
  <c r="AA99" i="4"/>
  <c r="Z99" i="4"/>
  <c r="Y99" i="4"/>
  <c r="AA98" i="4"/>
  <c r="Z98" i="4"/>
  <c r="Y98" i="4"/>
  <c r="AA97" i="4"/>
  <c r="Z97" i="4"/>
  <c r="Y97" i="4"/>
  <c r="AA96" i="4"/>
  <c r="Z96" i="4"/>
  <c r="Y96" i="4"/>
  <c r="AA95" i="4"/>
  <c r="Z95" i="4"/>
  <c r="Y95" i="4"/>
  <c r="AA94" i="4"/>
  <c r="Z94" i="4"/>
  <c r="Y94" i="4"/>
  <c r="AA93" i="4"/>
  <c r="Z93" i="4"/>
  <c r="Y93" i="4"/>
  <c r="AA92" i="4"/>
  <c r="Z92" i="4"/>
  <c r="Y92" i="4"/>
  <c r="AA91" i="4"/>
  <c r="Z91" i="4"/>
  <c r="Y91" i="4"/>
  <c r="AA90" i="4"/>
  <c r="Z90" i="4"/>
  <c r="Y90" i="4"/>
  <c r="AA89" i="4"/>
  <c r="Z89" i="4"/>
  <c r="Y89" i="4"/>
  <c r="AA88" i="4"/>
  <c r="Z88" i="4"/>
  <c r="Y88" i="4"/>
  <c r="AA87" i="4"/>
  <c r="Z87" i="4"/>
  <c r="Y87" i="4"/>
  <c r="AA86" i="4"/>
  <c r="Z86" i="4"/>
  <c r="Y86" i="4"/>
  <c r="AA85" i="4"/>
  <c r="Z85" i="4"/>
  <c r="Y85" i="4"/>
  <c r="AA84" i="4"/>
  <c r="Z84" i="4"/>
  <c r="Y84" i="4"/>
  <c r="AA83" i="4"/>
  <c r="Z83" i="4"/>
  <c r="Y83" i="4"/>
  <c r="AA82" i="4"/>
  <c r="Z82" i="4"/>
  <c r="Y82" i="4"/>
  <c r="AA81" i="4"/>
  <c r="Z81" i="4"/>
  <c r="Y81" i="4"/>
  <c r="AA80" i="4"/>
  <c r="Z80" i="4"/>
  <c r="Y80" i="4"/>
  <c r="AA79" i="4"/>
  <c r="Z79" i="4"/>
  <c r="Y79" i="4"/>
  <c r="AA78" i="4"/>
  <c r="Z78" i="4"/>
  <c r="Y78" i="4"/>
  <c r="AA77" i="4"/>
  <c r="Z77" i="4"/>
  <c r="Y77" i="4"/>
  <c r="AA76" i="4"/>
  <c r="Z76" i="4"/>
  <c r="Y76" i="4"/>
  <c r="AA75" i="4"/>
  <c r="Z75" i="4"/>
  <c r="Y75" i="4"/>
  <c r="AA74" i="4"/>
  <c r="Z74" i="4"/>
  <c r="Y74" i="4"/>
  <c r="AA73" i="4"/>
  <c r="Z73" i="4"/>
  <c r="Y73" i="4"/>
  <c r="AA72" i="4"/>
  <c r="Z72" i="4"/>
  <c r="Y72" i="4"/>
  <c r="AA71" i="4"/>
  <c r="Z71" i="4"/>
  <c r="Y71" i="4"/>
  <c r="AA70" i="4"/>
  <c r="Z70" i="4"/>
  <c r="Y70" i="4"/>
  <c r="AA69" i="4"/>
  <c r="Z69" i="4"/>
  <c r="Y69" i="4"/>
  <c r="AA68" i="4"/>
  <c r="Z68" i="4"/>
  <c r="Y68" i="4"/>
  <c r="AA67" i="4"/>
  <c r="Z67" i="4"/>
  <c r="Y67" i="4"/>
  <c r="AA66" i="4"/>
  <c r="Z66" i="4"/>
  <c r="Y66" i="4"/>
  <c r="AA65" i="4"/>
  <c r="Z65" i="4"/>
  <c r="Y65" i="4"/>
  <c r="AA64" i="4"/>
  <c r="Z64" i="4"/>
  <c r="Y64" i="4"/>
  <c r="AA63" i="4"/>
  <c r="Z63" i="4"/>
  <c r="Y63" i="4"/>
  <c r="AA62" i="4"/>
  <c r="Z62" i="4"/>
  <c r="Y62" i="4"/>
  <c r="AA61" i="4"/>
  <c r="Z61" i="4"/>
  <c r="Y61" i="4"/>
  <c r="AA60" i="4"/>
  <c r="Z60" i="4"/>
  <c r="Y60" i="4"/>
  <c r="AA59" i="4"/>
  <c r="Z59" i="4"/>
  <c r="Y59" i="4"/>
  <c r="AA58" i="4"/>
  <c r="Z58" i="4"/>
  <c r="Y58" i="4"/>
  <c r="AA57" i="4"/>
  <c r="Z57" i="4"/>
  <c r="Y57" i="4"/>
  <c r="AA56" i="4"/>
  <c r="Z56" i="4"/>
  <c r="Y56" i="4"/>
  <c r="AA55" i="4"/>
  <c r="Z55" i="4"/>
  <c r="Y55" i="4"/>
  <c r="AA54" i="4"/>
  <c r="Z54" i="4"/>
  <c r="Y54" i="4"/>
  <c r="AA53" i="4"/>
  <c r="Z53" i="4"/>
  <c r="Y53" i="4"/>
  <c r="AA52" i="4"/>
  <c r="Z52" i="4"/>
  <c r="Y52" i="4"/>
  <c r="AA51" i="4"/>
  <c r="Z51" i="4"/>
  <c r="Y51" i="4"/>
  <c r="AA50" i="4"/>
  <c r="Z50" i="4"/>
  <c r="Y50" i="4"/>
  <c r="AA49" i="4"/>
  <c r="Z49" i="4"/>
  <c r="Y49" i="4"/>
  <c r="AA48" i="4"/>
  <c r="Z48" i="4"/>
  <c r="Y48" i="4"/>
  <c r="AA47" i="4"/>
  <c r="Z47" i="4"/>
  <c r="Y47" i="4"/>
  <c r="AA46" i="4"/>
  <c r="Z46" i="4"/>
  <c r="Y46" i="4"/>
  <c r="AA45" i="4"/>
  <c r="Z45" i="4"/>
  <c r="Y45" i="4"/>
  <c r="AA44" i="4"/>
  <c r="Z44" i="4"/>
  <c r="Y44" i="4"/>
  <c r="AA43" i="4"/>
  <c r="Z43" i="4"/>
  <c r="Y43" i="4"/>
  <c r="AA42" i="4"/>
  <c r="Z42" i="4"/>
  <c r="Y42" i="4"/>
  <c r="AA41" i="4"/>
  <c r="Z41" i="4"/>
  <c r="Y41" i="4"/>
  <c r="AA40" i="4"/>
  <c r="Z40" i="4"/>
  <c r="Y40" i="4"/>
  <c r="AA39" i="4"/>
  <c r="Z39" i="4"/>
  <c r="Y39" i="4"/>
  <c r="AA38" i="4"/>
  <c r="Z38" i="4"/>
  <c r="Y38" i="4"/>
  <c r="AA37" i="4"/>
  <c r="Z37" i="4"/>
  <c r="Y37" i="4"/>
  <c r="AA36" i="4"/>
  <c r="Z36" i="4"/>
  <c r="Y36" i="4"/>
  <c r="AA35" i="4"/>
  <c r="Z35" i="4"/>
  <c r="Y35" i="4"/>
  <c r="AA34" i="4"/>
  <c r="Z34" i="4"/>
  <c r="Y34" i="4"/>
  <c r="AA33" i="4"/>
  <c r="Z33" i="4"/>
  <c r="Y33" i="4"/>
  <c r="AA32" i="4"/>
  <c r="Z32" i="4"/>
  <c r="Y32" i="4"/>
  <c r="AA31" i="4"/>
  <c r="Z31" i="4"/>
  <c r="Y31" i="4"/>
  <c r="AA30" i="4"/>
  <c r="Z30" i="4"/>
  <c r="Y30" i="4"/>
  <c r="AA29" i="4"/>
  <c r="Z29" i="4"/>
  <c r="Y29" i="4"/>
  <c r="AA28" i="4"/>
  <c r="Z28" i="4"/>
  <c r="Y28" i="4"/>
  <c r="AA27" i="4"/>
  <c r="Z27" i="4"/>
  <c r="Y27" i="4"/>
  <c r="AA26" i="4"/>
  <c r="Z26" i="4"/>
  <c r="Y26" i="4"/>
  <c r="AA25" i="4"/>
  <c r="Z25" i="4"/>
  <c r="Y25" i="4"/>
  <c r="AA24" i="4"/>
  <c r="Z24" i="4"/>
  <c r="Y24" i="4"/>
  <c r="AA23" i="4"/>
  <c r="Z23" i="4"/>
  <c r="Y23" i="4"/>
  <c r="AA22" i="4"/>
  <c r="Z22" i="4"/>
  <c r="Y22" i="4"/>
  <c r="AA21" i="4"/>
  <c r="Z21" i="4"/>
  <c r="Y21" i="4"/>
  <c r="AA20" i="4"/>
  <c r="Z20" i="4"/>
  <c r="Y20" i="4"/>
  <c r="AA19" i="4"/>
  <c r="Z19" i="4"/>
  <c r="Y19" i="4"/>
  <c r="AA18" i="4"/>
  <c r="Z18" i="4"/>
  <c r="Y18" i="4"/>
  <c r="AA17" i="4"/>
  <c r="Z17" i="4"/>
  <c r="Y17" i="4"/>
  <c r="AA16" i="4"/>
  <c r="Z16" i="4"/>
  <c r="Y16" i="4"/>
  <c r="AA15" i="4"/>
  <c r="Z15" i="4"/>
  <c r="Y15" i="4"/>
  <c r="AA14" i="4"/>
  <c r="Z14" i="4"/>
  <c r="Y14" i="4"/>
  <c r="AA13" i="4"/>
  <c r="Z13" i="4"/>
  <c r="Y13" i="4"/>
  <c r="AA12" i="4"/>
  <c r="Z12" i="4"/>
  <c r="Y12" i="4"/>
  <c r="AA11" i="4"/>
  <c r="Z11" i="4"/>
  <c r="Y11" i="4"/>
  <c r="AA10" i="4"/>
  <c r="Z10" i="4"/>
  <c r="Y10" i="4"/>
  <c r="AA9" i="4"/>
  <c r="Z9" i="4"/>
  <c r="Y9" i="4"/>
  <c r="AA8" i="4"/>
  <c r="Z8" i="4"/>
  <c r="Y8" i="4"/>
  <c r="AA7" i="4"/>
  <c r="Z7" i="4"/>
  <c r="Y7" i="4"/>
  <c r="M459" i="4"/>
  <c r="L459" i="4"/>
  <c r="K459" i="4"/>
  <c r="J459" i="4"/>
  <c r="I459" i="4"/>
  <c r="H459" i="4"/>
  <c r="G459" i="4"/>
  <c r="M458" i="4"/>
  <c r="L458" i="4"/>
  <c r="K458" i="4"/>
  <c r="J458" i="4"/>
  <c r="I458" i="4"/>
  <c r="H458" i="4"/>
  <c r="G458" i="4"/>
  <c r="M457" i="4"/>
  <c r="L457" i="4"/>
  <c r="K457" i="4"/>
  <c r="J457" i="4"/>
  <c r="I457" i="4"/>
  <c r="H457" i="4"/>
  <c r="G457" i="4"/>
  <c r="M456" i="4"/>
  <c r="L456" i="4"/>
  <c r="K456" i="4"/>
  <c r="J456" i="4"/>
  <c r="I456" i="4"/>
  <c r="H456" i="4"/>
  <c r="G456" i="4"/>
  <c r="M455" i="4"/>
  <c r="L455" i="4"/>
  <c r="K455" i="4"/>
  <c r="J455" i="4"/>
  <c r="I455" i="4"/>
  <c r="H455" i="4"/>
  <c r="G455" i="4"/>
  <c r="M454" i="4"/>
  <c r="L454" i="4"/>
  <c r="K454" i="4"/>
  <c r="J454" i="4"/>
  <c r="I454" i="4"/>
  <c r="H454" i="4"/>
  <c r="G454" i="4"/>
  <c r="M453" i="4"/>
  <c r="L453" i="4"/>
  <c r="K453" i="4"/>
  <c r="J453" i="4"/>
  <c r="I453" i="4"/>
  <c r="H453" i="4"/>
  <c r="G453" i="4"/>
  <c r="M452" i="4"/>
  <c r="L452" i="4"/>
  <c r="K452" i="4"/>
  <c r="J452" i="4"/>
  <c r="I452" i="4"/>
  <c r="H452" i="4"/>
  <c r="G452" i="4"/>
  <c r="M451" i="4"/>
  <c r="L451" i="4"/>
  <c r="K451" i="4"/>
  <c r="J451" i="4"/>
  <c r="I451" i="4"/>
  <c r="H451" i="4"/>
  <c r="G451" i="4"/>
  <c r="M450" i="4"/>
  <c r="L450" i="4"/>
  <c r="K450" i="4"/>
  <c r="J450" i="4"/>
  <c r="I450" i="4"/>
  <c r="H450" i="4"/>
  <c r="G450" i="4"/>
  <c r="M449" i="4"/>
  <c r="L449" i="4"/>
  <c r="K449" i="4"/>
  <c r="J449" i="4"/>
  <c r="I449" i="4"/>
  <c r="H449" i="4"/>
  <c r="G449" i="4"/>
  <c r="M448" i="4"/>
  <c r="L448" i="4"/>
  <c r="K448" i="4"/>
  <c r="J448" i="4"/>
  <c r="I448" i="4"/>
  <c r="H448" i="4"/>
  <c r="G448" i="4"/>
  <c r="M447" i="4"/>
  <c r="L447" i="4"/>
  <c r="K447" i="4"/>
  <c r="J447" i="4"/>
  <c r="I447" i="4"/>
  <c r="H447" i="4"/>
  <c r="G447" i="4"/>
  <c r="M446" i="4"/>
  <c r="L446" i="4"/>
  <c r="K446" i="4"/>
  <c r="J446" i="4"/>
  <c r="I446" i="4"/>
  <c r="H446" i="4"/>
  <c r="G446" i="4"/>
  <c r="M445" i="4"/>
  <c r="L445" i="4"/>
  <c r="K445" i="4"/>
  <c r="J445" i="4"/>
  <c r="I445" i="4"/>
  <c r="H445" i="4"/>
  <c r="G445" i="4"/>
  <c r="M444" i="4"/>
  <c r="L444" i="4"/>
  <c r="K444" i="4"/>
  <c r="J444" i="4"/>
  <c r="I444" i="4"/>
  <c r="H444" i="4"/>
  <c r="G444" i="4"/>
  <c r="M443" i="4"/>
  <c r="L443" i="4"/>
  <c r="K443" i="4"/>
  <c r="J443" i="4"/>
  <c r="I443" i="4"/>
  <c r="H443" i="4"/>
  <c r="G443" i="4"/>
  <c r="M442" i="4"/>
  <c r="L442" i="4"/>
  <c r="K442" i="4"/>
  <c r="J442" i="4"/>
  <c r="I442" i="4"/>
  <c r="H442" i="4"/>
  <c r="G442" i="4"/>
  <c r="M441" i="4"/>
  <c r="L441" i="4"/>
  <c r="K441" i="4"/>
  <c r="J441" i="4"/>
  <c r="I441" i="4"/>
  <c r="H441" i="4"/>
  <c r="G441" i="4"/>
  <c r="M440" i="4"/>
  <c r="L440" i="4"/>
  <c r="K440" i="4"/>
  <c r="J440" i="4"/>
  <c r="I440" i="4"/>
  <c r="H440" i="4"/>
  <c r="G440" i="4"/>
  <c r="M439" i="4"/>
  <c r="L439" i="4"/>
  <c r="K439" i="4"/>
  <c r="J439" i="4"/>
  <c r="I439" i="4"/>
  <c r="H439" i="4"/>
  <c r="G439" i="4"/>
  <c r="M438" i="4"/>
  <c r="L438" i="4"/>
  <c r="K438" i="4"/>
  <c r="J438" i="4"/>
  <c r="I438" i="4"/>
  <c r="H438" i="4"/>
  <c r="G438" i="4"/>
  <c r="M437" i="4"/>
  <c r="L437" i="4"/>
  <c r="K437" i="4"/>
  <c r="J437" i="4"/>
  <c r="I437" i="4"/>
  <c r="H437" i="4"/>
  <c r="G437" i="4"/>
  <c r="M436" i="4"/>
  <c r="L436" i="4"/>
  <c r="K436" i="4"/>
  <c r="J436" i="4"/>
  <c r="I436" i="4"/>
  <c r="H436" i="4"/>
  <c r="G436" i="4"/>
  <c r="M435" i="4"/>
  <c r="L435" i="4"/>
  <c r="K435" i="4"/>
  <c r="J435" i="4"/>
  <c r="I435" i="4"/>
  <c r="H435" i="4"/>
  <c r="G435" i="4"/>
  <c r="M434" i="4"/>
  <c r="L434" i="4"/>
  <c r="K434" i="4"/>
  <c r="J434" i="4"/>
  <c r="I434" i="4"/>
  <c r="H434" i="4"/>
  <c r="G434" i="4"/>
  <c r="M433" i="4"/>
  <c r="L433" i="4"/>
  <c r="K433" i="4"/>
  <c r="J433" i="4"/>
  <c r="I433" i="4"/>
  <c r="H433" i="4"/>
  <c r="G433" i="4"/>
  <c r="M432" i="4"/>
  <c r="L432" i="4"/>
  <c r="K432" i="4"/>
  <c r="J432" i="4"/>
  <c r="I432" i="4"/>
  <c r="H432" i="4"/>
  <c r="G432" i="4"/>
  <c r="M431" i="4"/>
  <c r="L431" i="4"/>
  <c r="K431" i="4"/>
  <c r="J431" i="4"/>
  <c r="I431" i="4"/>
  <c r="H431" i="4"/>
  <c r="G431" i="4"/>
  <c r="M430" i="4"/>
  <c r="L430" i="4"/>
  <c r="K430" i="4"/>
  <c r="J430" i="4"/>
  <c r="I430" i="4"/>
  <c r="H430" i="4"/>
  <c r="G430" i="4"/>
  <c r="M429" i="4"/>
  <c r="L429" i="4"/>
  <c r="K429" i="4"/>
  <c r="J429" i="4"/>
  <c r="I429" i="4"/>
  <c r="H429" i="4"/>
  <c r="G429" i="4"/>
  <c r="M428" i="4"/>
  <c r="L428" i="4"/>
  <c r="K428" i="4"/>
  <c r="J428" i="4"/>
  <c r="I428" i="4"/>
  <c r="H428" i="4"/>
  <c r="G428" i="4"/>
  <c r="M427" i="4"/>
  <c r="L427" i="4"/>
  <c r="K427" i="4"/>
  <c r="J427" i="4"/>
  <c r="I427" i="4"/>
  <c r="H427" i="4"/>
  <c r="G427" i="4"/>
  <c r="M426" i="4"/>
  <c r="L426" i="4"/>
  <c r="K426" i="4"/>
  <c r="J426" i="4"/>
  <c r="I426" i="4"/>
  <c r="H426" i="4"/>
  <c r="G426" i="4"/>
  <c r="M425" i="4"/>
  <c r="L425" i="4"/>
  <c r="K425" i="4"/>
  <c r="J425" i="4"/>
  <c r="I425" i="4"/>
  <c r="H425" i="4"/>
  <c r="G425" i="4"/>
  <c r="M424" i="4"/>
  <c r="L424" i="4"/>
  <c r="K424" i="4"/>
  <c r="J424" i="4"/>
  <c r="I424" i="4"/>
  <c r="H424" i="4"/>
  <c r="G424" i="4"/>
  <c r="M423" i="4"/>
  <c r="L423" i="4"/>
  <c r="K423" i="4"/>
  <c r="J423" i="4"/>
  <c r="I423" i="4"/>
  <c r="H423" i="4"/>
  <c r="G423" i="4"/>
  <c r="M422" i="4"/>
  <c r="L422" i="4"/>
  <c r="K422" i="4"/>
  <c r="J422" i="4"/>
  <c r="I422" i="4"/>
  <c r="H422" i="4"/>
  <c r="G422" i="4"/>
  <c r="M421" i="4"/>
  <c r="L421" i="4"/>
  <c r="K421" i="4"/>
  <c r="J421" i="4"/>
  <c r="I421" i="4"/>
  <c r="H421" i="4"/>
  <c r="G421" i="4"/>
  <c r="M420" i="4"/>
  <c r="L420" i="4"/>
  <c r="K420" i="4"/>
  <c r="J420" i="4"/>
  <c r="I420" i="4"/>
  <c r="H420" i="4"/>
  <c r="G420" i="4"/>
  <c r="M419" i="4"/>
  <c r="L419" i="4"/>
  <c r="K419" i="4"/>
  <c r="J419" i="4"/>
  <c r="I419" i="4"/>
  <c r="H419" i="4"/>
  <c r="G419" i="4"/>
  <c r="M418" i="4"/>
  <c r="L418" i="4"/>
  <c r="K418" i="4"/>
  <c r="J418" i="4"/>
  <c r="I418" i="4"/>
  <c r="H418" i="4"/>
  <c r="G418" i="4"/>
  <c r="M417" i="4"/>
  <c r="L417" i="4"/>
  <c r="K417" i="4"/>
  <c r="J417" i="4"/>
  <c r="I417" i="4"/>
  <c r="H417" i="4"/>
  <c r="G417" i="4"/>
  <c r="M416" i="4"/>
  <c r="L416" i="4"/>
  <c r="K416" i="4"/>
  <c r="J416" i="4"/>
  <c r="I416" i="4"/>
  <c r="H416" i="4"/>
  <c r="G416" i="4"/>
  <c r="M415" i="4"/>
  <c r="L415" i="4"/>
  <c r="K415" i="4"/>
  <c r="J415" i="4"/>
  <c r="I415" i="4"/>
  <c r="H415" i="4"/>
  <c r="G415" i="4"/>
  <c r="M414" i="4"/>
  <c r="L414" i="4"/>
  <c r="K414" i="4"/>
  <c r="J414" i="4"/>
  <c r="I414" i="4"/>
  <c r="H414" i="4"/>
  <c r="G414" i="4"/>
  <c r="M413" i="4"/>
  <c r="L413" i="4"/>
  <c r="K413" i="4"/>
  <c r="J413" i="4"/>
  <c r="I413" i="4"/>
  <c r="H413" i="4"/>
  <c r="G413" i="4"/>
  <c r="M412" i="4"/>
  <c r="L412" i="4"/>
  <c r="K412" i="4"/>
  <c r="J412" i="4"/>
  <c r="I412" i="4"/>
  <c r="H412" i="4"/>
  <c r="G412" i="4"/>
  <c r="M411" i="4"/>
  <c r="L411" i="4"/>
  <c r="K411" i="4"/>
  <c r="J411" i="4"/>
  <c r="I411" i="4"/>
  <c r="H411" i="4"/>
  <c r="G411" i="4"/>
  <c r="M410" i="4"/>
  <c r="L410" i="4"/>
  <c r="K410" i="4"/>
  <c r="J410" i="4"/>
  <c r="I410" i="4"/>
  <c r="H410" i="4"/>
  <c r="G410" i="4"/>
  <c r="M409" i="4"/>
  <c r="L409" i="4"/>
  <c r="K409" i="4"/>
  <c r="J409" i="4"/>
  <c r="I409" i="4"/>
  <c r="H409" i="4"/>
  <c r="G409" i="4"/>
  <c r="M408" i="4"/>
  <c r="L408" i="4"/>
  <c r="K408" i="4"/>
  <c r="J408" i="4"/>
  <c r="I408" i="4"/>
  <c r="H408" i="4"/>
  <c r="G408" i="4"/>
  <c r="M407" i="4"/>
  <c r="L407" i="4"/>
  <c r="K407" i="4"/>
  <c r="J407" i="4"/>
  <c r="I407" i="4"/>
  <c r="H407" i="4"/>
  <c r="G407" i="4"/>
  <c r="M406" i="4"/>
  <c r="L406" i="4"/>
  <c r="K406" i="4"/>
  <c r="J406" i="4"/>
  <c r="I406" i="4"/>
  <c r="H406" i="4"/>
  <c r="G406" i="4"/>
  <c r="M405" i="4"/>
  <c r="L405" i="4"/>
  <c r="K405" i="4"/>
  <c r="J405" i="4"/>
  <c r="I405" i="4"/>
  <c r="H405" i="4"/>
  <c r="G405" i="4"/>
  <c r="M404" i="4"/>
  <c r="L404" i="4"/>
  <c r="K404" i="4"/>
  <c r="J404" i="4"/>
  <c r="I404" i="4"/>
  <c r="H404" i="4"/>
  <c r="G404" i="4"/>
  <c r="M403" i="4"/>
  <c r="L403" i="4"/>
  <c r="K403" i="4"/>
  <c r="J403" i="4"/>
  <c r="I403" i="4"/>
  <c r="H403" i="4"/>
  <c r="G403" i="4"/>
  <c r="M402" i="4"/>
  <c r="L402" i="4"/>
  <c r="K402" i="4"/>
  <c r="J402" i="4"/>
  <c r="I402" i="4"/>
  <c r="H402" i="4"/>
  <c r="G402" i="4"/>
  <c r="M401" i="4"/>
  <c r="L401" i="4"/>
  <c r="K401" i="4"/>
  <c r="J401" i="4"/>
  <c r="I401" i="4"/>
  <c r="H401" i="4"/>
  <c r="G401" i="4"/>
  <c r="M400" i="4"/>
  <c r="L400" i="4"/>
  <c r="K400" i="4"/>
  <c r="J400" i="4"/>
  <c r="I400" i="4"/>
  <c r="H400" i="4"/>
  <c r="G400" i="4"/>
  <c r="M399" i="4"/>
  <c r="L399" i="4"/>
  <c r="K399" i="4"/>
  <c r="J399" i="4"/>
  <c r="I399" i="4"/>
  <c r="H399" i="4"/>
  <c r="G399" i="4"/>
  <c r="M398" i="4"/>
  <c r="L398" i="4"/>
  <c r="K398" i="4"/>
  <c r="J398" i="4"/>
  <c r="I398" i="4"/>
  <c r="H398" i="4"/>
  <c r="G398" i="4"/>
  <c r="M397" i="4"/>
  <c r="L397" i="4"/>
  <c r="K397" i="4"/>
  <c r="J397" i="4"/>
  <c r="I397" i="4"/>
  <c r="H397" i="4"/>
  <c r="G397" i="4"/>
  <c r="M396" i="4"/>
  <c r="L396" i="4"/>
  <c r="K396" i="4"/>
  <c r="J396" i="4"/>
  <c r="I396" i="4"/>
  <c r="H396" i="4"/>
  <c r="G396" i="4"/>
  <c r="M395" i="4"/>
  <c r="L395" i="4"/>
  <c r="K395" i="4"/>
  <c r="J395" i="4"/>
  <c r="I395" i="4"/>
  <c r="H395" i="4"/>
  <c r="G395" i="4"/>
  <c r="M394" i="4"/>
  <c r="L394" i="4"/>
  <c r="K394" i="4"/>
  <c r="J394" i="4"/>
  <c r="I394" i="4"/>
  <c r="H394" i="4"/>
  <c r="G394" i="4"/>
  <c r="M393" i="4"/>
  <c r="L393" i="4"/>
  <c r="K393" i="4"/>
  <c r="J393" i="4"/>
  <c r="I393" i="4"/>
  <c r="H393" i="4"/>
  <c r="G393" i="4"/>
  <c r="M392" i="4"/>
  <c r="L392" i="4"/>
  <c r="K392" i="4"/>
  <c r="J392" i="4"/>
  <c r="I392" i="4"/>
  <c r="H392" i="4"/>
  <c r="G392" i="4"/>
  <c r="M391" i="4"/>
  <c r="L391" i="4"/>
  <c r="K391" i="4"/>
  <c r="J391" i="4"/>
  <c r="I391" i="4"/>
  <c r="H391" i="4"/>
  <c r="G391" i="4"/>
  <c r="M390" i="4"/>
  <c r="L390" i="4"/>
  <c r="K390" i="4"/>
  <c r="J390" i="4"/>
  <c r="I390" i="4"/>
  <c r="H390" i="4"/>
  <c r="G390" i="4"/>
  <c r="M389" i="4"/>
  <c r="L389" i="4"/>
  <c r="K389" i="4"/>
  <c r="J389" i="4"/>
  <c r="I389" i="4"/>
  <c r="H389" i="4"/>
  <c r="G389" i="4"/>
  <c r="M388" i="4"/>
  <c r="L388" i="4"/>
  <c r="K388" i="4"/>
  <c r="J388" i="4"/>
  <c r="I388" i="4"/>
  <c r="H388" i="4"/>
  <c r="G388" i="4"/>
  <c r="M387" i="4"/>
  <c r="L387" i="4"/>
  <c r="K387" i="4"/>
  <c r="J387" i="4"/>
  <c r="I387" i="4"/>
  <c r="H387" i="4"/>
  <c r="G387" i="4"/>
  <c r="M386" i="4"/>
  <c r="L386" i="4"/>
  <c r="K386" i="4"/>
  <c r="J386" i="4"/>
  <c r="I386" i="4"/>
  <c r="H386" i="4"/>
  <c r="G386" i="4"/>
  <c r="M385" i="4"/>
  <c r="L385" i="4"/>
  <c r="K385" i="4"/>
  <c r="J385" i="4"/>
  <c r="I385" i="4"/>
  <c r="H385" i="4"/>
  <c r="G385" i="4"/>
  <c r="M384" i="4"/>
  <c r="L384" i="4"/>
  <c r="K384" i="4"/>
  <c r="J384" i="4"/>
  <c r="I384" i="4"/>
  <c r="H384" i="4"/>
  <c r="G384" i="4"/>
  <c r="M383" i="4"/>
  <c r="L383" i="4"/>
  <c r="K383" i="4"/>
  <c r="J383" i="4"/>
  <c r="I383" i="4"/>
  <c r="H383" i="4"/>
  <c r="G383" i="4"/>
  <c r="M382" i="4"/>
  <c r="L382" i="4"/>
  <c r="K382" i="4"/>
  <c r="J382" i="4"/>
  <c r="I382" i="4"/>
  <c r="H382" i="4"/>
  <c r="G382" i="4"/>
  <c r="M381" i="4"/>
  <c r="L381" i="4"/>
  <c r="K381" i="4"/>
  <c r="J381" i="4"/>
  <c r="I381" i="4"/>
  <c r="H381" i="4"/>
  <c r="G381" i="4"/>
  <c r="M380" i="4"/>
  <c r="L380" i="4"/>
  <c r="K380" i="4"/>
  <c r="J380" i="4"/>
  <c r="I380" i="4"/>
  <c r="H380" i="4"/>
  <c r="G380" i="4"/>
  <c r="M379" i="4"/>
  <c r="L379" i="4"/>
  <c r="K379" i="4"/>
  <c r="J379" i="4"/>
  <c r="I379" i="4"/>
  <c r="H379" i="4"/>
  <c r="G379" i="4"/>
  <c r="M378" i="4"/>
  <c r="L378" i="4"/>
  <c r="K378" i="4"/>
  <c r="J378" i="4"/>
  <c r="I378" i="4"/>
  <c r="H378" i="4"/>
  <c r="G378" i="4"/>
  <c r="M377" i="4"/>
  <c r="L377" i="4"/>
  <c r="K377" i="4"/>
  <c r="J377" i="4"/>
  <c r="I377" i="4"/>
  <c r="H377" i="4"/>
  <c r="G377" i="4"/>
  <c r="M376" i="4"/>
  <c r="L376" i="4"/>
  <c r="K376" i="4"/>
  <c r="J376" i="4"/>
  <c r="I376" i="4"/>
  <c r="H376" i="4"/>
  <c r="G376" i="4"/>
  <c r="M375" i="4"/>
  <c r="L375" i="4"/>
  <c r="K375" i="4"/>
  <c r="J375" i="4"/>
  <c r="I375" i="4"/>
  <c r="H375" i="4"/>
  <c r="G375" i="4"/>
  <c r="M374" i="4"/>
  <c r="L374" i="4"/>
  <c r="K374" i="4"/>
  <c r="J374" i="4"/>
  <c r="I374" i="4"/>
  <c r="H374" i="4"/>
  <c r="G374" i="4"/>
  <c r="M373" i="4"/>
  <c r="L373" i="4"/>
  <c r="K373" i="4"/>
  <c r="J373" i="4"/>
  <c r="I373" i="4"/>
  <c r="H373" i="4"/>
  <c r="G373" i="4"/>
  <c r="M372" i="4"/>
  <c r="L372" i="4"/>
  <c r="K372" i="4"/>
  <c r="J372" i="4"/>
  <c r="I372" i="4"/>
  <c r="H372" i="4"/>
  <c r="G372" i="4"/>
  <c r="M371" i="4"/>
  <c r="L371" i="4"/>
  <c r="K371" i="4"/>
  <c r="J371" i="4"/>
  <c r="I371" i="4"/>
  <c r="H371" i="4"/>
  <c r="G371" i="4"/>
  <c r="M370" i="4"/>
  <c r="L370" i="4"/>
  <c r="K370" i="4"/>
  <c r="J370" i="4"/>
  <c r="I370" i="4"/>
  <c r="H370" i="4"/>
  <c r="G370" i="4"/>
  <c r="M369" i="4"/>
  <c r="L369" i="4"/>
  <c r="K369" i="4"/>
  <c r="J369" i="4"/>
  <c r="I369" i="4"/>
  <c r="H369" i="4"/>
  <c r="G369" i="4"/>
  <c r="M368" i="4"/>
  <c r="L368" i="4"/>
  <c r="K368" i="4"/>
  <c r="J368" i="4"/>
  <c r="I368" i="4"/>
  <c r="H368" i="4"/>
  <c r="G368" i="4"/>
  <c r="M367" i="4"/>
  <c r="L367" i="4"/>
  <c r="K367" i="4"/>
  <c r="J367" i="4"/>
  <c r="I367" i="4"/>
  <c r="H367" i="4"/>
  <c r="G367" i="4"/>
  <c r="M366" i="4"/>
  <c r="L366" i="4"/>
  <c r="K366" i="4"/>
  <c r="J366" i="4"/>
  <c r="I366" i="4"/>
  <c r="H366" i="4"/>
  <c r="G366" i="4"/>
  <c r="M365" i="4"/>
  <c r="L365" i="4"/>
  <c r="K365" i="4"/>
  <c r="J365" i="4"/>
  <c r="I365" i="4"/>
  <c r="H365" i="4"/>
  <c r="G365" i="4"/>
  <c r="M364" i="4"/>
  <c r="L364" i="4"/>
  <c r="K364" i="4"/>
  <c r="J364" i="4"/>
  <c r="I364" i="4"/>
  <c r="H364" i="4"/>
  <c r="G364" i="4"/>
  <c r="M363" i="4"/>
  <c r="L363" i="4"/>
  <c r="K363" i="4"/>
  <c r="J363" i="4"/>
  <c r="I363" i="4"/>
  <c r="H363" i="4"/>
  <c r="G363" i="4"/>
  <c r="M362" i="4"/>
  <c r="L362" i="4"/>
  <c r="K362" i="4"/>
  <c r="J362" i="4"/>
  <c r="I362" i="4"/>
  <c r="H362" i="4"/>
  <c r="G362" i="4"/>
  <c r="M361" i="4"/>
  <c r="L361" i="4"/>
  <c r="K361" i="4"/>
  <c r="J361" i="4"/>
  <c r="I361" i="4"/>
  <c r="H361" i="4"/>
  <c r="G361" i="4"/>
  <c r="M360" i="4"/>
  <c r="L360" i="4"/>
  <c r="K360" i="4"/>
  <c r="J360" i="4"/>
  <c r="I360" i="4"/>
  <c r="H360" i="4"/>
  <c r="G360" i="4"/>
  <c r="M359" i="4"/>
  <c r="L359" i="4"/>
  <c r="K359" i="4"/>
  <c r="J359" i="4"/>
  <c r="I359" i="4"/>
  <c r="H359" i="4"/>
  <c r="G359" i="4"/>
  <c r="M358" i="4"/>
  <c r="L358" i="4"/>
  <c r="K358" i="4"/>
  <c r="J358" i="4"/>
  <c r="I358" i="4"/>
  <c r="H358" i="4"/>
  <c r="G358" i="4"/>
  <c r="M357" i="4"/>
  <c r="L357" i="4"/>
  <c r="K357" i="4"/>
  <c r="J357" i="4"/>
  <c r="I357" i="4"/>
  <c r="H357" i="4"/>
  <c r="G357" i="4"/>
  <c r="M356" i="4"/>
  <c r="L356" i="4"/>
  <c r="K356" i="4"/>
  <c r="J356" i="4"/>
  <c r="I356" i="4"/>
  <c r="H356" i="4"/>
  <c r="G356" i="4"/>
  <c r="M355" i="4"/>
  <c r="L355" i="4"/>
  <c r="K355" i="4"/>
  <c r="J355" i="4"/>
  <c r="I355" i="4"/>
  <c r="H355" i="4"/>
  <c r="G355" i="4"/>
  <c r="M354" i="4"/>
  <c r="L354" i="4"/>
  <c r="K354" i="4"/>
  <c r="J354" i="4"/>
  <c r="I354" i="4"/>
  <c r="H354" i="4"/>
  <c r="G354" i="4"/>
  <c r="M353" i="4"/>
  <c r="L353" i="4"/>
  <c r="K353" i="4"/>
  <c r="J353" i="4"/>
  <c r="I353" i="4"/>
  <c r="H353" i="4"/>
  <c r="G353" i="4"/>
  <c r="M352" i="4"/>
  <c r="L352" i="4"/>
  <c r="K352" i="4"/>
  <c r="J352" i="4"/>
  <c r="I352" i="4"/>
  <c r="H352" i="4"/>
  <c r="G352" i="4"/>
  <c r="M351" i="4"/>
  <c r="L351" i="4"/>
  <c r="K351" i="4"/>
  <c r="J351" i="4"/>
  <c r="I351" i="4"/>
  <c r="H351" i="4"/>
  <c r="G351" i="4"/>
  <c r="M350" i="4"/>
  <c r="L350" i="4"/>
  <c r="K350" i="4"/>
  <c r="J350" i="4"/>
  <c r="I350" i="4"/>
  <c r="H350" i="4"/>
  <c r="G350" i="4"/>
  <c r="M349" i="4"/>
  <c r="L349" i="4"/>
  <c r="K349" i="4"/>
  <c r="J349" i="4"/>
  <c r="I349" i="4"/>
  <c r="H349" i="4"/>
  <c r="G349" i="4"/>
  <c r="M348" i="4"/>
  <c r="L348" i="4"/>
  <c r="K348" i="4"/>
  <c r="J348" i="4"/>
  <c r="I348" i="4"/>
  <c r="H348" i="4"/>
  <c r="G348" i="4"/>
  <c r="M347" i="4"/>
  <c r="L347" i="4"/>
  <c r="K347" i="4"/>
  <c r="J347" i="4"/>
  <c r="I347" i="4"/>
  <c r="H347" i="4"/>
  <c r="G347" i="4"/>
  <c r="M346" i="4"/>
  <c r="L346" i="4"/>
  <c r="K346" i="4"/>
  <c r="J346" i="4"/>
  <c r="I346" i="4"/>
  <c r="H346" i="4"/>
  <c r="G346" i="4"/>
  <c r="M345" i="4"/>
  <c r="L345" i="4"/>
  <c r="K345" i="4"/>
  <c r="J345" i="4"/>
  <c r="I345" i="4"/>
  <c r="H345" i="4"/>
  <c r="G345" i="4"/>
  <c r="M344" i="4"/>
  <c r="L344" i="4"/>
  <c r="K344" i="4"/>
  <c r="J344" i="4"/>
  <c r="I344" i="4"/>
  <c r="H344" i="4"/>
  <c r="G344" i="4"/>
  <c r="M343" i="4"/>
  <c r="L343" i="4"/>
  <c r="K343" i="4"/>
  <c r="J343" i="4"/>
  <c r="I343" i="4"/>
  <c r="H343" i="4"/>
  <c r="G343" i="4"/>
  <c r="M342" i="4"/>
  <c r="L342" i="4"/>
  <c r="K342" i="4"/>
  <c r="J342" i="4"/>
  <c r="I342" i="4"/>
  <c r="H342" i="4"/>
  <c r="G342" i="4"/>
  <c r="M341" i="4"/>
  <c r="L341" i="4"/>
  <c r="K341" i="4"/>
  <c r="J341" i="4"/>
  <c r="I341" i="4"/>
  <c r="H341" i="4"/>
  <c r="G341" i="4"/>
  <c r="M340" i="4"/>
  <c r="L340" i="4"/>
  <c r="K340" i="4"/>
  <c r="J340" i="4"/>
  <c r="I340" i="4"/>
  <c r="H340" i="4"/>
  <c r="G340" i="4"/>
  <c r="M339" i="4"/>
  <c r="L339" i="4"/>
  <c r="K339" i="4"/>
  <c r="J339" i="4"/>
  <c r="I339" i="4"/>
  <c r="H339" i="4"/>
  <c r="G339" i="4"/>
  <c r="M338" i="4"/>
  <c r="L338" i="4"/>
  <c r="K338" i="4"/>
  <c r="J338" i="4"/>
  <c r="I338" i="4"/>
  <c r="H338" i="4"/>
  <c r="G338" i="4"/>
  <c r="M337" i="4"/>
  <c r="L337" i="4"/>
  <c r="K337" i="4"/>
  <c r="J337" i="4"/>
  <c r="I337" i="4"/>
  <c r="H337" i="4"/>
  <c r="G337" i="4"/>
  <c r="M336" i="4"/>
  <c r="L336" i="4"/>
  <c r="K336" i="4"/>
  <c r="J336" i="4"/>
  <c r="I336" i="4"/>
  <c r="H336" i="4"/>
  <c r="G336" i="4"/>
  <c r="M335" i="4"/>
  <c r="L335" i="4"/>
  <c r="K335" i="4"/>
  <c r="J335" i="4"/>
  <c r="I335" i="4"/>
  <c r="H335" i="4"/>
  <c r="G335" i="4"/>
  <c r="M334" i="4"/>
  <c r="L334" i="4"/>
  <c r="K334" i="4"/>
  <c r="J334" i="4"/>
  <c r="I334" i="4"/>
  <c r="H334" i="4"/>
  <c r="G334" i="4"/>
  <c r="M333" i="4"/>
  <c r="L333" i="4"/>
  <c r="K333" i="4"/>
  <c r="J333" i="4"/>
  <c r="I333" i="4"/>
  <c r="H333" i="4"/>
  <c r="G333" i="4"/>
  <c r="M332" i="4"/>
  <c r="L332" i="4"/>
  <c r="K332" i="4"/>
  <c r="J332" i="4"/>
  <c r="I332" i="4"/>
  <c r="H332" i="4"/>
  <c r="G332" i="4"/>
  <c r="M331" i="4"/>
  <c r="L331" i="4"/>
  <c r="K331" i="4"/>
  <c r="J331" i="4"/>
  <c r="I331" i="4"/>
  <c r="H331" i="4"/>
  <c r="G331" i="4"/>
  <c r="M330" i="4"/>
  <c r="L330" i="4"/>
  <c r="K330" i="4"/>
  <c r="J330" i="4"/>
  <c r="I330" i="4"/>
  <c r="H330" i="4"/>
  <c r="G330" i="4"/>
  <c r="M329" i="4"/>
  <c r="L329" i="4"/>
  <c r="K329" i="4"/>
  <c r="J329" i="4"/>
  <c r="I329" i="4"/>
  <c r="H329" i="4"/>
  <c r="G329" i="4"/>
  <c r="M328" i="4"/>
  <c r="L328" i="4"/>
  <c r="K328" i="4"/>
  <c r="J328" i="4"/>
  <c r="I328" i="4"/>
  <c r="H328" i="4"/>
  <c r="G328" i="4"/>
  <c r="M327" i="4"/>
  <c r="L327" i="4"/>
  <c r="K327" i="4"/>
  <c r="J327" i="4"/>
  <c r="I327" i="4"/>
  <c r="H327" i="4"/>
  <c r="G327" i="4"/>
  <c r="M326" i="4"/>
  <c r="L326" i="4"/>
  <c r="K326" i="4"/>
  <c r="J326" i="4"/>
  <c r="I326" i="4"/>
  <c r="H326" i="4"/>
  <c r="G326" i="4"/>
  <c r="M325" i="4"/>
  <c r="L325" i="4"/>
  <c r="K325" i="4"/>
  <c r="J325" i="4"/>
  <c r="I325" i="4"/>
  <c r="H325" i="4"/>
  <c r="G325" i="4"/>
  <c r="M324" i="4"/>
  <c r="L324" i="4"/>
  <c r="K324" i="4"/>
  <c r="J324" i="4"/>
  <c r="I324" i="4"/>
  <c r="H324" i="4"/>
  <c r="G324" i="4"/>
  <c r="M323" i="4"/>
  <c r="L323" i="4"/>
  <c r="K323" i="4"/>
  <c r="J323" i="4"/>
  <c r="I323" i="4"/>
  <c r="H323" i="4"/>
  <c r="G323" i="4"/>
  <c r="M322" i="4"/>
  <c r="L322" i="4"/>
  <c r="K322" i="4"/>
  <c r="J322" i="4"/>
  <c r="I322" i="4"/>
  <c r="H322" i="4"/>
  <c r="G322" i="4"/>
  <c r="M321" i="4"/>
  <c r="L321" i="4"/>
  <c r="K321" i="4"/>
  <c r="J321" i="4"/>
  <c r="I321" i="4"/>
  <c r="H321" i="4"/>
  <c r="G321" i="4"/>
  <c r="M320" i="4"/>
  <c r="L320" i="4"/>
  <c r="K320" i="4"/>
  <c r="J320" i="4"/>
  <c r="I320" i="4"/>
  <c r="H320" i="4"/>
  <c r="G320" i="4"/>
  <c r="M319" i="4"/>
  <c r="L319" i="4"/>
  <c r="K319" i="4"/>
  <c r="J319" i="4"/>
  <c r="I319" i="4"/>
  <c r="H319" i="4"/>
  <c r="G319" i="4"/>
  <c r="M318" i="4"/>
  <c r="L318" i="4"/>
  <c r="K318" i="4"/>
  <c r="J318" i="4"/>
  <c r="I318" i="4"/>
  <c r="H318" i="4"/>
  <c r="G318" i="4"/>
  <c r="M317" i="4"/>
  <c r="L317" i="4"/>
  <c r="K317" i="4"/>
  <c r="J317" i="4"/>
  <c r="I317" i="4"/>
  <c r="H317" i="4"/>
  <c r="G317" i="4"/>
  <c r="M316" i="4"/>
  <c r="L316" i="4"/>
  <c r="K316" i="4"/>
  <c r="J316" i="4"/>
  <c r="I316" i="4"/>
  <c r="H316" i="4"/>
  <c r="G316" i="4"/>
  <c r="M315" i="4"/>
  <c r="L315" i="4"/>
  <c r="K315" i="4"/>
  <c r="J315" i="4"/>
  <c r="I315" i="4"/>
  <c r="H315" i="4"/>
  <c r="G315" i="4"/>
  <c r="M314" i="4"/>
  <c r="L314" i="4"/>
  <c r="K314" i="4"/>
  <c r="J314" i="4"/>
  <c r="I314" i="4"/>
  <c r="H314" i="4"/>
  <c r="G314" i="4"/>
  <c r="M313" i="4"/>
  <c r="L313" i="4"/>
  <c r="K313" i="4"/>
  <c r="J313" i="4"/>
  <c r="I313" i="4"/>
  <c r="H313" i="4"/>
  <c r="G313" i="4"/>
  <c r="M312" i="4"/>
  <c r="L312" i="4"/>
  <c r="K312" i="4"/>
  <c r="J312" i="4"/>
  <c r="I312" i="4"/>
  <c r="H312" i="4"/>
  <c r="G312" i="4"/>
  <c r="M311" i="4"/>
  <c r="L311" i="4"/>
  <c r="K311" i="4"/>
  <c r="J311" i="4"/>
  <c r="I311" i="4"/>
  <c r="H311" i="4"/>
  <c r="G311" i="4"/>
  <c r="M310" i="4"/>
  <c r="L310" i="4"/>
  <c r="K310" i="4"/>
  <c r="J310" i="4"/>
  <c r="I310" i="4"/>
  <c r="H310" i="4"/>
  <c r="G310" i="4"/>
  <c r="M309" i="4"/>
  <c r="L309" i="4"/>
  <c r="K309" i="4"/>
  <c r="J309" i="4"/>
  <c r="I309" i="4"/>
  <c r="H309" i="4"/>
  <c r="G309" i="4"/>
  <c r="M308" i="4"/>
  <c r="L308" i="4"/>
  <c r="K308" i="4"/>
  <c r="J308" i="4"/>
  <c r="I308" i="4"/>
  <c r="H308" i="4"/>
  <c r="G308" i="4"/>
  <c r="M307" i="4"/>
  <c r="L307" i="4"/>
  <c r="K307" i="4"/>
  <c r="J307" i="4"/>
  <c r="I307" i="4"/>
  <c r="H307" i="4"/>
  <c r="G307" i="4"/>
  <c r="M306" i="4"/>
  <c r="L306" i="4"/>
  <c r="K306" i="4"/>
  <c r="J306" i="4"/>
  <c r="I306" i="4"/>
  <c r="H306" i="4"/>
  <c r="G306" i="4"/>
  <c r="M305" i="4"/>
  <c r="L305" i="4"/>
  <c r="K305" i="4"/>
  <c r="J305" i="4"/>
  <c r="I305" i="4"/>
  <c r="H305" i="4"/>
  <c r="G305" i="4"/>
  <c r="M304" i="4"/>
  <c r="L304" i="4"/>
  <c r="K304" i="4"/>
  <c r="J304" i="4"/>
  <c r="I304" i="4"/>
  <c r="H304" i="4"/>
  <c r="G304" i="4"/>
  <c r="M303" i="4"/>
  <c r="L303" i="4"/>
  <c r="K303" i="4"/>
  <c r="J303" i="4"/>
  <c r="I303" i="4"/>
  <c r="H303" i="4"/>
  <c r="G303" i="4"/>
  <c r="M302" i="4"/>
  <c r="L302" i="4"/>
  <c r="K302" i="4"/>
  <c r="J302" i="4"/>
  <c r="I302" i="4"/>
  <c r="H302" i="4"/>
  <c r="G302" i="4"/>
  <c r="M301" i="4"/>
  <c r="L301" i="4"/>
  <c r="K301" i="4"/>
  <c r="J301" i="4"/>
  <c r="I301" i="4"/>
  <c r="H301" i="4"/>
  <c r="G301" i="4"/>
  <c r="M300" i="4"/>
  <c r="L300" i="4"/>
  <c r="K300" i="4"/>
  <c r="J300" i="4"/>
  <c r="I300" i="4"/>
  <c r="H300" i="4"/>
  <c r="G300" i="4"/>
  <c r="M299" i="4"/>
  <c r="L299" i="4"/>
  <c r="K299" i="4"/>
  <c r="J299" i="4"/>
  <c r="I299" i="4"/>
  <c r="H299" i="4"/>
  <c r="G299" i="4"/>
  <c r="M298" i="4"/>
  <c r="L298" i="4"/>
  <c r="K298" i="4"/>
  <c r="J298" i="4"/>
  <c r="I298" i="4"/>
  <c r="H298" i="4"/>
  <c r="G298" i="4"/>
  <c r="M297" i="4"/>
  <c r="L297" i="4"/>
  <c r="K297" i="4"/>
  <c r="J297" i="4"/>
  <c r="I297" i="4"/>
  <c r="H297" i="4"/>
  <c r="G297" i="4"/>
  <c r="M296" i="4"/>
  <c r="L296" i="4"/>
  <c r="K296" i="4"/>
  <c r="J296" i="4"/>
  <c r="I296" i="4"/>
  <c r="H296" i="4"/>
  <c r="G296" i="4"/>
  <c r="M295" i="4"/>
  <c r="L295" i="4"/>
  <c r="K295" i="4"/>
  <c r="J295" i="4"/>
  <c r="I295" i="4"/>
  <c r="H295" i="4"/>
  <c r="G295" i="4"/>
  <c r="M294" i="4"/>
  <c r="L294" i="4"/>
  <c r="K294" i="4"/>
  <c r="J294" i="4"/>
  <c r="I294" i="4"/>
  <c r="H294" i="4"/>
  <c r="G294" i="4"/>
  <c r="M293" i="4"/>
  <c r="L293" i="4"/>
  <c r="K293" i="4"/>
  <c r="J293" i="4"/>
  <c r="I293" i="4"/>
  <c r="H293" i="4"/>
  <c r="G293" i="4"/>
  <c r="M292" i="4"/>
  <c r="L292" i="4"/>
  <c r="K292" i="4"/>
  <c r="J292" i="4"/>
  <c r="I292" i="4"/>
  <c r="H292" i="4"/>
  <c r="G292" i="4"/>
  <c r="M291" i="4"/>
  <c r="L291" i="4"/>
  <c r="K291" i="4"/>
  <c r="J291" i="4"/>
  <c r="I291" i="4"/>
  <c r="H291" i="4"/>
  <c r="G291" i="4"/>
  <c r="M290" i="4"/>
  <c r="L290" i="4"/>
  <c r="K290" i="4"/>
  <c r="J290" i="4"/>
  <c r="I290" i="4"/>
  <c r="H290" i="4"/>
  <c r="G290" i="4"/>
  <c r="M289" i="4"/>
  <c r="L289" i="4"/>
  <c r="K289" i="4"/>
  <c r="J289" i="4"/>
  <c r="I289" i="4"/>
  <c r="H289" i="4"/>
  <c r="G289" i="4"/>
  <c r="M288" i="4"/>
  <c r="L288" i="4"/>
  <c r="K288" i="4"/>
  <c r="J288" i="4"/>
  <c r="I288" i="4"/>
  <c r="H288" i="4"/>
  <c r="G288" i="4"/>
  <c r="M287" i="4"/>
  <c r="L287" i="4"/>
  <c r="K287" i="4"/>
  <c r="J287" i="4"/>
  <c r="I287" i="4"/>
  <c r="H287" i="4"/>
  <c r="G287" i="4"/>
  <c r="M286" i="4"/>
  <c r="L286" i="4"/>
  <c r="K286" i="4"/>
  <c r="J286" i="4"/>
  <c r="I286" i="4"/>
  <c r="H286" i="4"/>
  <c r="G286" i="4"/>
  <c r="M285" i="4"/>
  <c r="L285" i="4"/>
  <c r="K285" i="4"/>
  <c r="J285" i="4"/>
  <c r="I285" i="4"/>
  <c r="H285" i="4"/>
  <c r="G285" i="4"/>
  <c r="M284" i="4"/>
  <c r="L284" i="4"/>
  <c r="K284" i="4"/>
  <c r="J284" i="4"/>
  <c r="I284" i="4"/>
  <c r="H284" i="4"/>
  <c r="G284" i="4"/>
  <c r="M283" i="4"/>
  <c r="L283" i="4"/>
  <c r="K283" i="4"/>
  <c r="J283" i="4"/>
  <c r="I283" i="4"/>
  <c r="H283" i="4"/>
  <c r="G283" i="4"/>
  <c r="M282" i="4"/>
  <c r="L282" i="4"/>
  <c r="K282" i="4"/>
  <c r="J282" i="4"/>
  <c r="I282" i="4"/>
  <c r="H282" i="4"/>
  <c r="G282" i="4"/>
  <c r="M281" i="4"/>
  <c r="L281" i="4"/>
  <c r="K281" i="4"/>
  <c r="J281" i="4"/>
  <c r="I281" i="4"/>
  <c r="H281" i="4"/>
  <c r="G281" i="4"/>
  <c r="M280" i="4"/>
  <c r="L280" i="4"/>
  <c r="K280" i="4"/>
  <c r="J280" i="4"/>
  <c r="I280" i="4"/>
  <c r="H280" i="4"/>
  <c r="G280" i="4"/>
  <c r="M279" i="4"/>
  <c r="L279" i="4"/>
  <c r="K279" i="4"/>
  <c r="J279" i="4"/>
  <c r="I279" i="4"/>
  <c r="H279" i="4"/>
  <c r="G279" i="4"/>
  <c r="M278" i="4"/>
  <c r="L278" i="4"/>
  <c r="K278" i="4"/>
  <c r="J278" i="4"/>
  <c r="I278" i="4"/>
  <c r="H278" i="4"/>
  <c r="G278" i="4"/>
  <c r="M277" i="4"/>
  <c r="L277" i="4"/>
  <c r="K277" i="4"/>
  <c r="J277" i="4"/>
  <c r="I277" i="4"/>
  <c r="H277" i="4"/>
  <c r="G277" i="4"/>
  <c r="M276" i="4"/>
  <c r="L276" i="4"/>
  <c r="K276" i="4"/>
  <c r="J276" i="4"/>
  <c r="I276" i="4"/>
  <c r="H276" i="4"/>
  <c r="G276" i="4"/>
  <c r="M275" i="4"/>
  <c r="L275" i="4"/>
  <c r="K275" i="4"/>
  <c r="J275" i="4"/>
  <c r="I275" i="4"/>
  <c r="H275" i="4"/>
  <c r="G275" i="4"/>
  <c r="M274" i="4"/>
  <c r="L274" i="4"/>
  <c r="K274" i="4"/>
  <c r="J274" i="4"/>
  <c r="I274" i="4"/>
  <c r="H274" i="4"/>
  <c r="G274" i="4"/>
  <c r="M273" i="4"/>
  <c r="L273" i="4"/>
  <c r="K273" i="4"/>
  <c r="J273" i="4"/>
  <c r="I273" i="4"/>
  <c r="H273" i="4"/>
  <c r="G273" i="4"/>
  <c r="M272" i="4"/>
  <c r="L272" i="4"/>
  <c r="K272" i="4"/>
  <c r="J272" i="4"/>
  <c r="I272" i="4"/>
  <c r="H272" i="4"/>
  <c r="G272" i="4"/>
  <c r="M271" i="4"/>
  <c r="L271" i="4"/>
  <c r="K271" i="4"/>
  <c r="J271" i="4"/>
  <c r="I271" i="4"/>
  <c r="H271" i="4"/>
  <c r="G271" i="4"/>
  <c r="M270" i="4"/>
  <c r="L270" i="4"/>
  <c r="K270" i="4"/>
  <c r="J270" i="4"/>
  <c r="I270" i="4"/>
  <c r="H270" i="4"/>
  <c r="G270" i="4"/>
  <c r="M269" i="4"/>
  <c r="L269" i="4"/>
  <c r="K269" i="4"/>
  <c r="J269" i="4"/>
  <c r="I269" i="4"/>
  <c r="H269" i="4"/>
  <c r="G269" i="4"/>
  <c r="M268" i="4"/>
  <c r="L268" i="4"/>
  <c r="K268" i="4"/>
  <c r="J268" i="4"/>
  <c r="I268" i="4"/>
  <c r="H268" i="4"/>
  <c r="G268" i="4"/>
  <c r="M267" i="4"/>
  <c r="L267" i="4"/>
  <c r="K267" i="4"/>
  <c r="J267" i="4"/>
  <c r="I267" i="4"/>
  <c r="H267" i="4"/>
  <c r="G267" i="4"/>
  <c r="M266" i="4"/>
  <c r="L266" i="4"/>
  <c r="K266" i="4"/>
  <c r="J266" i="4"/>
  <c r="I266" i="4"/>
  <c r="H266" i="4"/>
  <c r="G266" i="4"/>
  <c r="M265" i="4"/>
  <c r="L265" i="4"/>
  <c r="K265" i="4"/>
  <c r="J265" i="4"/>
  <c r="I265" i="4"/>
  <c r="H265" i="4"/>
  <c r="G265" i="4"/>
  <c r="M264" i="4"/>
  <c r="L264" i="4"/>
  <c r="K264" i="4"/>
  <c r="J264" i="4"/>
  <c r="I264" i="4"/>
  <c r="H264" i="4"/>
  <c r="G264" i="4"/>
  <c r="M263" i="4"/>
  <c r="L263" i="4"/>
  <c r="K263" i="4"/>
  <c r="J263" i="4"/>
  <c r="I263" i="4"/>
  <c r="H263" i="4"/>
  <c r="G263" i="4"/>
  <c r="M262" i="4"/>
  <c r="L262" i="4"/>
  <c r="K262" i="4"/>
  <c r="J262" i="4"/>
  <c r="I262" i="4"/>
  <c r="H262" i="4"/>
  <c r="G262" i="4"/>
  <c r="M261" i="4"/>
  <c r="L261" i="4"/>
  <c r="K261" i="4"/>
  <c r="J261" i="4"/>
  <c r="I261" i="4"/>
  <c r="H261" i="4"/>
  <c r="G261" i="4"/>
  <c r="M260" i="4"/>
  <c r="L260" i="4"/>
  <c r="K260" i="4"/>
  <c r="J260" i="4"/>
  <c r="I260" i="4"/>
  <c r="H260" i="4"/>
  <c r="G260" i="4"/>
  <c r="M259" i="4"/>
  <c r="L259" i="4"/>
  <c r="K259" i="4"/>
  <c r="J259" i="4"/>
  <c r="I259" i="4"/>
  <c r="H259" i="4"/>
  <c r="G259" i="4"/>
  <c r="M258" i="4"/>
  <c r="L258" i="4"/>
  <c r="K258" i="4"/>
  <c r="J258" i="4"/>
  <c r="I258" i="4"/>
  <c r="H258" i="4"/>
  <c r="G258" i="4"/>
  <c r="M257" i="4"/>
  <c r="L257" i="4"/>
  <c r="K257" i="4"/>
  <c r="J257" i="4"/>
  <c r="I257" i="4"/>
  <c r="H257" i="4"/>
  <c r="G257" i="4"/>
  <c r="M256" i="4"/>
  <c r="L256" i="4"/>
  <c r="K256" i="4"/>
  <c r="J256" i="4"/>
  <c r="I256" i="4"/>
  <c r="H256" i="4"/>
  <c r="G256" i="4"/>
  <c r="M255" i="4"/>
  <c r="L255" i="4"/>
  <c r="K255" i="4"/>
  <c r="J255" i="4"/>
  <c r="I255" i="4"/>
  <c r="H255" i="4"/>
  <c r="G255" i="4"/>
  <c r="M254" i="4"/>
  <c r="L254" i="4"/>
  <c r="K254" i="4"/>
  <c r="J254" i="4"/>
  <c r="I254" i="4"/>
  <c r="H254" i="4"/>
  <c r="G254" i="4"/>
  <c r="M253" i="4"/>
  <c r="L253" i="4"/>
  <c r="K253" i="4"/>
  <c r="J253" i="4"/>
  <c r="I253" i="4"/>
  <c r="H253" i="4"/>
  <c r="G253" i="4"/>
  <c r="M252" i="4"/>
  <c r="L252" i="4"/>
  <c r="K252" i="4"/>
  <c r="J252" i="4"/>
  <c r="I252" i="4"/>
  <c r="H252" i="4"/>
  <c r="G252" i="4"/>
  <c r="M251" i="4"/>
  <c r="L251" i="4"/>
  <c r="K251" i="4"/>
  <c r="J251" i="4"/>
  <c r="I251" i="4"/>
  <c r="H251" i="4"/>
  <c r="G251" i="4"/>
  <c r="M250" i="4"/>
  <c r="L250" i="4"/>
  <c r="K250" i="4"/>
  <c r="J250" i="4"/>
  <c r="I250" i="4"/>
  <c r="H250" i="4"/>
  <c r="G250" i="4"/>
  <c r="M249" i="4"/>
  <c r="L249" i="4"/>
  <c r="K249" i="4"/>
  <c r="J249" i="4"/>
  <c r="I249" i="4"/>
  <c r="H249" i="4"/>
  <c r="G249" i="4"/>
  <c r="M248" i="4"/>
  <c r="L248" i="4"/>
  <c r="K248" i="4"/>
  <c r="J248" i="4"/>
  <c r="I248" i="4"/>
  <c r="H248" i="4"/>
  <c r="G248" i="4"/>
  <c r="M247" i="4"/>
  <c r="L247" i="4"/>
  <c r="K247" i="4"/>
  <c r="J247" i="4"/>
  <c r="I247" i="4"/>
  <c r="H247" i="4"/>
  <c r="G247" i="4"/>
  <c r="M246" i="4"/>
  <c r="L246" i="4"/>
  <c r="K246" i="4"/>
  <c r="J246" i="4"/>
  <c r="I246" i="4"/>
  <c r="H246" i="4"/>
  <c r="G246" i="4"/>
  <c r="M245" i="4"/>
  <c r="L245" i="4"/>
  <c r="K245" i="4"/>
  <c r="J245" i="4"/>
  <c r="I245" i="4"/>
  <c r="H245" i="4"/>
  <c r="G245" i="4"/>
  <c r="M244" i="4"/>
  <c r="L244" i="4"/>
  <c r="K244" i="4"/>
  <c r="J244" i="4"/>
  <c r="I244" i="4"/>
  <c r="H244" i="4"/>
  <c r="G244" i="4"/>
  <c r="M243" i="4"/>
  <c r="L243" i="4"/>
  <c r="K243" i="4"/>
  <c r="J243" i="4"/>
  <c r="I243" i="4"/>
  <c r="H243" i="4"/>
  <c r="G243" i="4"/>
  <c r="M242" i="4"/>
  <c r="L242" i="4"/>
  <c r="K242" i="4"/>
  <c r="J242" i="4"/>
  <c r="I242" i="4"/>
  <c r="H242" i="4"/>
  <c r="G242" i="4"/>
  <c r="M241" i="4"/>
  <c r="L241" i="4"/>
  <c r="K241" i="4"/>
  <c r="J241" i="4"/>
  <c r="I241" i="4"/>
  <c r="H241" i="4"/>
  <c r="G241" i="4"/>
  <c r="M240" i="4"/>
  <c r="L240" i="4"/>
  <c r="K240" i="4"/>
  <c r="J240" i="4"/>
  <c r="I240" i="4"/>
  <c r="H240" i="4"/>
  <c r="G240" i="4"/>
  <c r="M239" i="4"/>
  <c r="L239" i="4"/>
  <c r="K239" i="4"/>
  <c r="J239" i="4"/>
  <c r="I239" i="4"/>
  <c r="H239" i="4"/>
  <c r="G239" i="4"/>
  <c r="M238" i="4"/>
  <c r="L238" i="4"/>
  <c r="K238" i="4"/>
  <c r="J238" i="4"/>
  <c r="I238" i="4"/>
  <c r="H238" i="4"/>
  <c r="G238" i="4"/>
  <c r="M237" i="4"/>
  <c r="L237" i="4"/>
  <c r="K237" i="4"/>
  <c r="J237" i="4"/>
  <c r="I237" i="4"/>
  <c r="H237" i="4"/>
  <c r="G237" i="4"/>
  <c r="M236" i="4"/>
  <c r="L236" i="4"/>
  <c r="K236" i="4"/>
  <c r="J236" i="4"/>
  <c r="I236" i="4"/>
  <c r="H236" i="4"/>
  <c r="G236" i="4"/>
  <c r="M235" i="4"/>
  <c r="L235" i="4"/>
  <c r="K235" i="4"/>
  <c r="J235" i="4"/>
  <c r="I235" i="4"/>
  <c r="H235" i="4"/>
  <c r="G235" i="4"/>
  <c r="M234" i="4"/>
  <c r="L234" i="4"/>
  <c r="K234" i="4"/>
  <c r="J234" i="4"/>
  <c r="I234" i="4"/>
  <c r="H234" i="4"/>
  <c r="G234" i="4"/>
  <c r="M233" i="4"/>
  <c r="L233" i="4"/>
  <c r="K233" i="4"/>
  <c r="J233" i="4"/>
  <c r="I233" i="4"/>
  <c r="H233" i="4"/>
  <c r="G233" i="4"/>
  <c r="M232" i="4"/>
  <c r="L232" i="4"/>
  <c r="K232" i="4"/>
  <c r="J232" i="4"/>
  <c r="I232" i="4"/>
  <c r="H232" i="4"/>
  <c r="G232" i="4"/>
  <c r="M231" i="4"/>
  <c r="L231" i="4"/>
  <c r="K231" i="4"/>
  <c r="J231" i="4"/>
  <c r="I231" i="4"/>
  <c r="H231" i="4"/>
  <c r="G231" i="4"/>
  <c r="M230" i="4"/>
  <c r="L230" i="4"/>
  <c r="K230" i="4"/>
  <c r="J230" i="4"/>
  <c r="I230" i="4"/>
  <c r="H230" i="4"/>
  <c r="G230" i="4"/>
  <c r="M229" i="4"/>
  <c r="L229" i="4"/>
  <c r="K229" i="4"/>
  <c r="J229" i="4"/>
  <c r="I229" i="4"/>
  <c r="H229" i="4"/>
  <c r="G229" i="4"/>
  <c r="M228" i="4"/>
  <c r="L228" i="4"/>
  <c r="K228" i="4"/>
  <c r="J228" i="4"/>
  <c r="I228" i="4"/>
  <c r="H228" i="4"/>
  <c r="G228" i="4"/>
  <c r="M227" i="4"/>
  <c r="L227" i="4"/>
  <c r="K227" i="4"/>
  <c r="J227" i="4"/>
  <c r="I227" i="4"/>
  <c r="H227" i="4"/>
  <c r="G227" i="4"/>
  <c r="M226" i="4"/>
  <c r="L226" i="4"/>
  <c r="K226" i="4"/>
  <c r="J226" i="4"/>
  <c r="I226" i="4"/>
  <c r="H226" i="4"/>
  <c r="G226" i="4"/>
  <c r="M225" i="4"/>
  <c r="L225" i="4"/>
  <c r="K225" i="4"/>
  <c r="J225" i="4"/>
  <c r="I225" i="4"/>
  <c r="H225" i="4"/>
  <c r="G225" i="4"/>
  <c r="M224" i="4"/>
  <c r="L224" i="4"/>
  <c r="K224" i="4"/>
  <c r="J224" i="4"/>
  <c r="I224" i="4"/>
  <c r="H224" i="4"/>
  <c r="G224" i="4"/>
  <c r="M223" i="4"/>
  <c r="L223" i="4"/>
  <c r="K223" i="4"/>
  <c r="J223" i="4"/>
  <c r="I223" i="4"/>
  <c r="H223" i="4"/>
  <c r="G223" i="4"/>
  <c r="M222" i="4"/>
  <c r="L222" i="4"/>
  <c r="K222" i="4"/>
  <c r="J222" i="4"/>
  <c r="I222" i="4"/>
  <c r="H222" i="4"/>
  <c r="G222" i="4"/>
  <c r="M221" i="4"/>
  <c r="L221" i="4"/>
  <c r="K221" i="4"/>
  <c r="J221" i="4"/>
  <c r="I221" i="4"/>
  <c r="H221" i="4"/>
  <c r="G221" i="4"/>
  <c r="M220" i="4"/>
  <c r="L220" i="4"/>
  <c r="K220" i="4"/>
  <c r="J220" i="4"/>
  <c r="I220" i="4"/>
  <c r="H220" i="4"/>
  <c r="G220" i="4"/>
  <c r="M219" i="4"/>
  <c r="L219" i="4"/>
  <c r="K219" i="4"/>
  <c r="J219" i="4"/>
  <c r="I219" i="4"/>
  <c r="H219" i="4"/>
  <c r="G219" i="4"/>
  <c r="M218" i="4"/>
  <c r="L218" i="4"/>
  <c r="K218" i="4"/>
  <c r="J218" i="4"/>
  <c r="I218" i="4"/>
  <c r="H218" i="4"/>
  <c r="G218" i="4"/>
  <c r="M217" i="4"/>
  <c r="L217" i="4"/>
  <c r="K217" i="4"/>
  <c r="J217" i="4"/>
  <c r="I217" i="4"/>
  <c r="H217" i="4"/>
  <c r="G217" i="4"/>
  <c r="M216" i="4"/>
  <c r="L216" i="4"/>
  <c r="K216" i="4"/>
  <c r="J216" i="4"/>
  <c r="I216" i="4"/>
  <c r="H216" i="4"/>
  <c r="G216" i="4"/>
  <c r="M215" i="4"/>
  <c r="L215" i="4"/>
  <c r="K215" i="4"/>
  <c r="J215" i="4"/>
  <c r="I215" i="4"/>
  <c r="H215" i="4"/>
  <c r="G215" i="4"/>
  <c r="M214" i="4"/>
  <c r="L214" i="4"/>
  <c r="K214" i="4"/>
  <c r="J214" i="4"/>
  <c r="I214" i="4"/>
  <c r="H214" i="4"/>
  <c r="G214" i="4"/>
  <c r="M213" i="4"/>
  <c r="L213" i="4"/>
  <c r="K213" i="4"/>
  <c r="J213" i="4"/>
  <c r="I213" i="4"/>
  <c r="H213" i="4"/>
  <c r="G213" i="4"/>
  <c r="M212" i="4"/>
  <c r="L212" i="4"/>
  <c r="K212" i="4"/>
  <c r="J212" i="4"/>
  <c r="I212" i="4"/>
  <c r="H212" i="4"/>
  <c r="G212" i="4"/>
  <c r="M211" i="4"/>
  <c r="L211" i="4"/>
  <c r="K211" i="4"/>
  <c r="J211" i="4"/>
  <c r="I211" i="4"/>
  <c r="H211" i="4"/>
  <c r="G211" i="4"/>
  <c r="M210" i="4"/>
  <c r="L210" i="4"/>
  <c r="K210" i="4"/>
  <c r="J210" i="4"/>
  <c r="I210" i="4"/>
  <c r="H210" i="4"/>
  <c r="G210" i="4"/>
  <c r="M209" i="4"/>
  <c r="L209" i="4"/>
  <c r="K209" i="4"/>
  <c r="J209" i="4"/>
  <c r="I209" i="4"/>
  <c r="H209" i="4"/>
  <c r="G209" i="4"/>
  <c r="M208" i="4"/>
  <c r="L208" i="4"/>
  <c r="K208" i="4"/>
  <c r="J208" i="4"/>
  <c r="I208" i="4"/>
  <c r="H208" i="4"/>
  <c r="G208" i="4"/>
  <c r="M207" i="4"/>
  <c r="L207" i="4"/>
  <c r="K207" i="4"/>
  <c r="J207" i="4"/>
  <c r="I207" i="4"/>
  <c r="H207" i="4"/>
  <c r="G207" i="4"/>
  <c r="M206" i="4"/>
  <c r="L206" i="4"/>
  <c r="K206" i="4"/>
  <c r="J206" i="4"/>
  <c r="I206" i="4"/>
  <c r="H206" i="4"/>
  <c r="G206" i="4"/>
  <c r="M205" i="4"/>
  <c r="L205" i="4"/>
  <c r="K205" i="4"/>
  <c r="J205" i="4"/>
  <c r="I205" i="4"/>
  <c r="H205" i="4"/>
  <c r="G205" i="4"/>
  <c r="M204" i="4"/>
  <c r="L204" i="4"/>
  <c r="K204" i="4"/>
  <c r="J204" i="4"/>
  <c r="I204" i="4"/>
  <c r="H204" i="4"/>
  <c r="G204" i="4"/>
  <c r="M203" i="4"/>
  <c r="L203" i="4"/>
  <c r="K203" i="4"/>
  <c r="J203" i="4"/>
  <c r="I203" i="4"/>
  <c r="H203" i="4"/>
  <c r="G203" i="4"/>
  <c r="M202" i="4"/>
  <c r="L202" i="4"/>
  <c r="K202" i="4"/>
  <c r="J202" i="4"/>
  <c r="I202" i="4"/>
  <c r="H202" i="4"/>
  <c r="G202" i="4"/>
  <c r="M201" i="4"/>
  <c r="L201" i="4"/>
  <c r="K201" i="4"/>
  <c r="J201" i="4"/>
  <c r="I201" i="4"/>
  <c r="H201" i="4"/>
  <c r="G201" i="4"/>
  <c r="M200" i="4"/>
  <c r="L200" i="4"/>
  <c r="K200" i="4"/>
  <c r="J200" i="4"/>
  <c r="I200" i="4"/>
  <c r="H200" i="4"/>
  <c r="G200" i="4"/>
  <c r="M199" i="4"/>
  <c r="L199" i="4"/>
  <c r="K199" i="4"/>
  <c r="J199" i="4"/>
  <c r="I199" i="4"/>
  <c r="H199" i="4"/>
  <c r="G199" i="4"/>
  <c r="M198" i="4"/>
  <c r="L198" i="4"/>
  <c r="K198" i="4"/>
  <c r="J198" i="4"/>
  <c r="I198" i="4"/>
  <c r="H198" i="4"/>
  <c r="G198" i="4"/>
  <c r="M197" i="4"/>
  <c r="L197" i="4"/>
  <c r="K197" i="4"/>
  <c r="J197" i="4"/>
  <c r="I197" i="4"/>
  <c r="H197" i="4"/>
  <c r="G197" i="4"/>
  <c r="M196" i="4"/>
  <c r="L196" i="4"/>
  <c r="K196" i="4"/>
  <c r="J196" i="4"/>
  <c r="I196" i="4"/>
  <c r="H196" i="4"/>
  <c r="G196" i="4"/>
  <c r="M195" i="4"/>
  <c r="L195" i="4"/>
  <c r="K195" i="4"/>
  <c r="J195" i="4"/>
  <c r="I195" i="4"/>
  <c r="H195" i="4"/>
  <c r="G195" i="4"/>
  <c r="M194" i="4"/>
  <c r="L194" i="4"/>
  <c r="K194" i="4"/>
  <c r="J194" i="4"/>
  <c r="I194" i="4"/>
  <c r="H194" i="4"/>
  <c r="G194" i="4"/>
  <c r="M193" i="4"/>
  <c r="L193" i="4"/>
  <c r="K193" i="4"/>
  <c r="J193" i="4"/>
  <c r="I193" i="4"/>
  <c r="H193" i="4"/>
  <c r="G193" i="4"/>
  <c r="M192" i="4"/>
  <c r="L192" i="4"/>
  <c r="K192" i="4"/>
  <c r="J192" i="4"/>
  <c r="I192" i="4"/>
  <c r="H192" i="4"/>
  <c r="G192" i="4"/>
  <c r="M191" i="4"/>
  <c r="L191" i="4"/>
  <c r="K191" i="4"/>
  <c r="J191" i="4"/>
  <c r="I191" i="4"/>
  <c r="H191" i="4"/>
  <c r="G191" i="4"/>
  <c r="M190" i="4"/>
  <c r="L190" i="4"/>
  <c r="K190" i="4"/>
  <c r="J190" i="4"/>
  <c r="I190" i="4"/>
  <c r="H190" i="4"/>
  <c r="G190" i="4"/>
  <c r="M189" i="4"/>
  <c r="L189" i="4"/>
  <c r="K189" i="4"/>
  <c r="J189" i="4"/>
  <c r="I189" i="4"/>
  <c r="H189" i="4"/>
  <c r="G189" i="4"/>
  <c r="M188" i="4"/>
  <c r="L188" i="4"/>
  <c r="K188" i="4"/>
  <c r="J188" i="4"/>
  <c r="I188" i="4"/>
  <c r="H188" i="4"/>
  <c r="G188" i="4"/>
  <c r="M187" i="4"/>
  <c r="L187" i="4"/>
  <c r="K187" i="4"/>
  <c r="J187" i="4"/>
  <c r="I187" i="4"/>
  <c r="H187" i="4"/>
  <c r="G187" i="4"/>
  <c r="M186" i="4"/>
  <c r="L186" i="4"/>
  <c r="K186" i="4"/>
  <c r="J186" i="4"/>
  <c r="I186" i="4"/>
  <c r="H186" i="4"/>
  <c r="G186" i="4"/>
  <c r="M185" i="4"/>
  <c r="L185" i="4"/>
  <c r="K185" i="4"/>
  <c r="J185" i="4"/>
  <c r="I185" i="4"/>
  <c r="H185" i="4"/>
  <c r="G185" i="4"/>
  <c r="M184" i="4"/>
  <c r="L184" i="4"/>
  <c r="K184" i="4"/>
  <c r="J184" i="4"/>
  <c r="I184" i="4"/>
  <c r="H184" i="4"/>
  <c r="G184" i="4"/>
  <c r="M183" i="4"/>
  <c r="L183" i="4"/>
  <c r="K183" i="4"/>
  <c r="J183" i="4"/>
  <c r="I183" i="4"/>
  <c r="H183" i="4"/>
  <c r="G183" i="4"/>
  <c r="M182" i="4"/>
  <c r="L182" i="4"/>
  <c r="K182" i="4"/>
  <c r="J182" i="4"/>
  <c r="I182" i="4"/>
  <c r="H182" i="4"/>
  <c r="G182" i="4"/>
  <c r="M181" i="4"/>
  <c r="L181" i="4"/>
  <c r="K181" i="4"/>
  <c r="J181" i="4"/>
  <c r="I181" i="4"/>
  <c r="H181" i="4"/>
  <c r="G181" i="4"/>
  <c r="M180" i="4"/>
  <c r="L180" i="4"/>
  <c r="K180" i="4"/>
  <c r="J180" i="4"/>
  <c r="I180" i="4"/>
  <c r="H180" i="4"/>
  <c r="G180" i="4"/>
  <c r="M179" i="4"/>
  <c r="L179" i="4"/>
  <c r="K179" i="4"/>
  <c r="J179" i="4"/>
  <c r="I179" i="4"/>
  <c r="H179" i="4"/>
  <c r="G179" i="4"/>
  <c r="M178" i="4"/>
  <c r="L178" i="4"/>
  <c r="K178" i="4"/>
  <c r="J178" i="4"/>
  <c r="I178" i="4"/>
  <c r="H178" i="4"/>
  <c r="G178" i="4"/>
  <c r="M177" i="4"/>
  <c r="L177" i="4"/>
  <c r="K177" i="4"/>
  <c r="J177" i="4"/>
  <c r="I177" i="4"/>
  <c r="H177" i="4"/>
  <c r="G177" i="4"/>
  <c r="M176" i="4"/>
  <c r="L176" i="4"/>
  <c r="K176" i="4"/>
  <c r="J176" i="4"/>
  <c r="I176" i="4"/>
  <c r="H176" i="4"/>
  <c r="G176" i="4"/>
  <c r="M175" i="4"/>
  <c r="L175" i="4"/>
  <c r="K175" i="4"/>
  <c r="J175" i="4"/>
  <c r="I175" i="4"/>
  <c r="H175" i="4"/>
  <c r="G175" i="4"/>
  <c r="M174" i="4"/>
  <c r="L174" i="4"/>
  <c r="K174" i="4"/>
  <c r="J174" i="4"/>
  <c r="I174" i="4"/>
  <c r="H174" i="4"/>
  <c r="G174" i="4"/>
  <c r="M173" i="4"/>
  <c r="L173" i="4"/>
  <c r="K173" i="4"/>
  <c r="J173" i="4"/>
  <c r="I173" i="4"/>
  <c r="H173" i="4"/>
  <c r="G173" i="4"/>
  <c r="M172" i="4"/>
  <c r="L172" i="4"/>
  <c r="K172" i="4"/>
  <c r="J172" i="4"/>
  <c r="I172" i="4"/>
  <c r="H172" i="4"/>
  <c r="G172" i="4"/>
  <c r="M171" i="4"/>
  <c r="L171" i="4"/>
  <c r="K171" i="4"/>
  <c r="J171" i="4"/>
  <c r="I171" i="4"/>
  <c r="H171" i="4"/>
  <c r="G171" i="4"/>
  <c r="M170" i="4"/>
  <c r="L170" i="4"/>
  <c r="K170" i="4"/>
  <c r="J170" i="4"/>
  <c r="I170" i="4"/>
  <c r="H170" i="4"/>
  <c r="G170" i="4"/>
  <c r="M169" i="4"/>
  <c r="L169" i="4"/>
  <c r="K169" i="4"/>
  <c r="J169" i="4"/>
  <c r="I169" i="4"/>
  <c r="H169" i="4"/>
  <c r="G169" i="4"/>
  <c r="M168" i="4"/>
  <c r="L168" i="4"/>
  <c r="K168" i="4"/>
  <c r="J168" i="4"/>
  <c r="I168" i="4"/>
  <c r="H168" i="4"/>
  <c r="G168" i="4"/>
  <c r="M167" i="4"/>
  <c r="L167" i="4"/>
  <c r="K167" i="4"/>
  <c r="J167" i="4"/>
  <c r="I167" i="4"/>
  <c r="H167" i="4"/>
  <c r="G167" i="4"/>
  <c r="M166" i="4"/>
  <c r="L166" i="4"/>
  <c r="K166" i="4"/>
  <c r="J166" i="4"/>
  <c r="I166" i="4"/>
  <c r="H166" i="4"/>
  <c r="G166" i="4"/>
  <c r="M165" i="4"/>
  <c r="L165" i="4"/>
  <c r="K165" i="4"/>
  <c r="J165" i="4"/>
  <c r="I165" i="4"/>
  <c r="H165" i="4"/>
  <c r="G165" i="4"/>
  <c r="M164" i="4"/>
  <c r="L164" i="4"/>
  <c r="K164" i="4"/>
  <c r="J164" i="4"/>
  <c r="I164" i="4"/>
  <c r="H164" i="4"/>
  <c r="G164" i="4"/>
  <c r="M163" i="4"/>
  <c r="L163" i="4"/>
  <c r="K163" i="4"/>
  <c r="J163" i="4"/>
  <c r="I163" i="4"/>
  <c r="H163" i="4"/>
  <c r="G163" i="4"/>
  <c r="M162" i="4"/>
  <c r="L162" i="4"/>
  <c r="K162" i="4"/>
  <c r="J162" i="4"/>
  <c r="I162" i="4"/>
  <c r="H162" i="4"/>
  <c r="G162" i="4"/>
  <c r="M161" i="4"/>
  <c r="L161" i="4"/>
  <c r="K161" i="4"/>
  <c r="J161" i="4"/>
  <c r="I161" i="4"/>
  <c r="H161" i="4"/>
  <c r="G161" i="4"/>
  <c r="M160" i="4"/>
  <c r="L160" i="4"/>
  <c r="K160" i="4"/>
  <c r="J160" i="4"/>
  <c r="I160" i="4"/>
  <c r="H160" i="4"/>
  <c r="G160" i="4"/>
  <c r="M159" i="4"/>
  <c r="L159" i="4"/>
  <c r="K159" i="4"/>
  <c r="J159" i="4"/>
  <c r="I159" i="4"/>
  <c r="H159" i="4"/>
  <c r="G159" i="4"/>
  <c r="M158" i="4"/>
  <c r="L158" i="4"/>
  <c r="K158" i="4"/>
  <c r="J158" i="4"/>
  <c r="I158" i="4"/>
  <c r="H158" i="4"/>
  <c r="G158" i="4"/>
  <c r="M157" i="4"/>
  <c r="L157" i="4"/>
  <c r="K157" i="4"/>
  <c r="J157" i="4"/>
  <c r="I157" i="4"/>
  <c r="H157" i="4"/>
  <c r="G157" i="4"/>
  <c r="M156" i="4"/>
  <c r="L156" i="4"/>
  <c r="K156" i="4"/>
  <c r="J156" i="4"/>
  <c r="I156" i="4"/>
  <c r="H156" i="4"/>
  <c r="G156" i="4"/>
  <c r="M155" i="4"/>
  <c r="L155" i="4"/>
  <c r="K155" i="4"/>
  <c r="J155" i="4"/>
  <c r="I155" i="4"/>
  <c r="H155" i="4"/>
  <c r="G155" i="4"/>
  <c r="M154" i="4"/>
  <c r="L154" i="4"/>
  <c r="K154" i="4"/>
  <c r="J154" i="4"/>
  <c r="I154" i="4"/>
  <c r="H154" i="4"/>
  <c r="G154" i="4"/>
  <c r="M153" i="4"/>
  <c r="L153" i="4"/>
  <c r="K153" i="4"/>
  <c r="J153" i="4"/>
  <c r="I153" i="4"/>
  <c r="H153" i="4"/>
  <c r="G153" i="4"/>
  <c r="M152" i="4"/>
  <c r="L152" i="4"/>
  <c r="K152" i="4"/>
  <c r="J152" i="4"/>
  <c r="I152" i="4"/>
  <c r="H152" i="4"/>
  <c r="G152" i="4"/>
  <c r="M151" i="4"/>
  <c r="L151" i="4"/>
  <c r="K151" i="4"/>
  <c r="J151" i="4"/>
  <c r="I151" i="4"/>
  <c r="H151" i="4"/>
  <c r="G151" i="4"/>
  <c r="M150" i="4"/>
  <c r="L150" i="4"/>
  <c r="K150" i="4"/>
  <c r="J150" i="4"/>
  <c r="I150" i="4"/>
  <c r="H150" i="4"/>
  <c r="G150" i="4"/>
  <c r="M149" i="4"/>
  <c r="L149" i="4"/>
  <c r="K149" i="4"/>
  <c r="J149" i="4"/>
  <c r="I149" i="4"/>
  <c r="H149" i="4"/>
  <c r="G149" i="4"/>
  <c r="M148" i="4"/>
  <c r="L148" i="4"/>
  <c r="K148" i="4"/>
  <c r="J148" i="4"/>
  <c r="I148" i="4"/>
  <c r="H148" i="4"/>
  <c r="G148" i="4"/>
  <c r="M147" i="4"/>
  <c r="L147" i="4"/>
  <c r="K147" i="4"/>
  <c r="J147" i="4"/>
  <c r="I147" i="4"/>
  <c r="H147" i="4"/>
  <c r="G147" i="4"/>
  <c r="M146" i="4"/>
  <c r="L146" i="4"/>
  <c r="K146" i="4"/>
  <c r="J146" i="4"/>
  <c r="I146" i="4"/>
  <c r="H146" i="4"/>
  <c r="G146" i="4"/>
  <c r="M145" i="4"/>
  <c r="L145" i="4"/>
  <c r="K145" i="4"/>
  <c r="J145" i="4"/>
  <c r="I145" i="4"/>
  <c r="H145" i="4"/>
  <c r="G145" i="4"/>
  <c r="M144" i="4"/>
  <c r="L144" i="4"/>
  <c r="K144" i="4"/>
  <c r="J144" i="4"/>
  <c r="I144" i="4"/>
  <c r="H144" i="4"/>
  <c r="G144" i="4"/>
  <c r="M143" i="4"/>
  <c r="L143" i="4"/>
  <c r="K143" i="4"/>
  <c r="J143" i="4"/>
  <c r="I143" i="4"/>
  <c r="H143" i="4"/>
  <c r="G143" i="4"/>
  <c r="M142" i="4"/>
  <c r="L142" i="4"/>
  <c r="K142" i="4"/>
  <c r="J142" i="4"/>
  <c r="I142" i="4"/>
  <c r="H142" i="4"/>
  <c r="G142" i="4"/>
  <c r="M141" i="4"/>
  <c r="L141" i="4"/>
  <c r="K141" i="4"/>
  <c r="J141" i="4"/>
  <c r="I141" i="4"/>
  <c r="H141" i="4"/>
  <c r="G141" i="4"/>
  <c r="M140" i="4"/>
  <c r="L140" i="4"/>
  <c r="K140" i="4"/>
  <c r="J140" i="4"/>
  <c r="I140" i="4"/>
  <c r="H140" i="4"/>
  <c r="G140" i="4"/>
  <c r="M139" i="4"/>
  <c r="L139" i="4"/>
  <c r="K139" i="4"/>
  <c r="J139" i="4"/>
  <c r="I139" i="4"/>
  <c r="H139" i="4"/>
  <c r="G139" i="4"/>
  <c r="M138" i="4"/>
  <c r="L138" i="4"/>
  <c r="K138" i="4"/>
  <c r="J138" i="4"/>
  <c r="I138" i="4"/>
  <c r="H138" i="4"/>
  <c r="G138" i="4"/>
  <c r="M137" i="4"/>
  <c r="L137" i="4"/>
  <c r="K137" i="4"/>
  <c r="J137" i="4"/>
  <c r="I137" i="4"/>
  <c r="H137" i="4"/>
  <c r="G137" i="4"/>
  <c r="M136" i="4"/>
  <c r="L136" i="4"/>
  <c r="K136" i="4"/>
  <c r="J136" i="4"/>
  <c r="I136" i="4"/>
  <c r="H136" i="4"/>
  <c r="G136" i="4"/>
  <c r="M135" i="4"/>
  <c r="L135" i="4"/>
  <c r="K135" i="4"/>
  <c r="J135" i="4"/>
  <c r="I135" i="4"/>
  <c r="H135" i="4"/>
  <c r="G135" i="4"/>
  <c r="M134" i="4"/>
  <c r="L134" i="4"/>
  <c r="K134" i="4"/>
  <c r="J134" i="4"/>
  <c r="I134" i="4"/>
  <c r="H134" i="4"/>
  <c r="G134" i="4"/>
  <c r="M133" i="4"/>
  <c r="L133" i="4"/>
  <c r="K133" i="4"/>
  <c r="J133" i="4"/>
  <c r="I133" i="4"/>
  <c r="H133" i="4"/>
  <c r="G133" i="4"/>
  <c r="M132" i="4"/>
  <c r="L132" i="4"/>
  <c r="K132" i="4"/>
  <c r="J132" i="4"/>
  <c r="I132" i="4"/>
  <c r="H132" i="4"/>
  <c r="G132" i="4"/>
  <c r="M131" i="4"/>
  <c r="L131" i="4"/>
  <c r="K131" i="4"/>
  <c r="J131" i="4"/>
  <c r="I131" i="4"/>
  <c r="H131" i="4"/>
  <c r="G131" i="4"/>
  <c r="M130" i="4"/>
  <c r="L130" i="4"/>
  <c r="K130" i="4"/>
  <c r="J130" i="4"/>
  <c r="I130" i="4"/>
  <c r="H130" i="4"/>
  <c r="G130" i="4"/>
  <c r="M129" i="4"/>
  <c r="L129" i="4"/>
  <c r="K129" i="4"/>
  <c r="J129" i="4"/>
  <c r="I129" i="4"/>
  <c r="H129" i="4"/>
  <c r="G129" i="4"/>
  <c r="M128" i="4"/>
  <c r="L128" i="4"/>
  <c r="K128" i="4"/>
  <c r="J128" i="4"/>
  <c r="I128" i="4"/>
  <c r="H128" i="4"/>
  <c r="G128" i="4"/>
  <c r="M127" i="4"/>
  <c r="L127" i="4"/>
  <c r="K127" i="4"/>
  <c r="J127" i="4"/>
  <c r="I127" i="4"/>
  <c r="H127" i="4"/>
  <c r="G127" i="4"/>
  <c r="M126" i="4"/>
  <c r="L126" i="4"/>
  <c r="K126" i="4"/>
  <c r="J126" i="4"/>
  <c r="I126" i="4"/>
  <c r="H126" i="4"/>
  <c r="G126" i="4"/>
  <c r="M125" i="4"/>
  <c r="L125" i="4"/>
  <c r="K125" i="4"/>
  <c r="J125" i="4"/>
  <c r="I125" i="4"/>
  <c r="H125" i="4"/>
  <c r="G125" i="4"/>
  <c r="M124" i="4"/>
  <c r="L124" i="4"/>
  <c r="K124" i="4"/>
  <c r="J124" i="4"/>
  <c r="I124" i="4"/>
  <c r="H124" i="4"/>
  <c r="G124" i="4"/>
  <c r="M123" i="4"/>
  <c r="L123" i="4"/>
  <c r="K123" i="4"/>
  <c r="J123" i="4"/>
  <c r="I123" i="4"/>
  <c r="H123" i="4"/>
  <c r="G123" i="4"/>
  <c r="M122" i="4"/>
  <c r="L122" i="4"/>
  <c r="K122" i="4"/>
  <c r="J122" i="4"/>
  <c r="I122" i="4"/>
  <c r="H122" i="4"/>
  <c r="G122" i="4"/>
  <c r="M121" i="4"/>
  <c r="L121" i="4"/>
  <c r="K121" i="4"/>
  <c r="J121" i="4"/>
  <c r="I121" i="4"/>
  <c r="H121" i="4"/>
  <c r="G121" i="4"/>
  <c r="M120" i="4"/>
  <c r="L120" i="4"/>
  <c r="K120" i="4"/>
  <c r="J120" i="4"/>
  <c r="I120" i="4"/>
  <c r="H120" i="4"/>
  <c r="G120" i="4"/>
  <c r="M119" i="4"/>
  <c r="L119" i="4"/>
  <c r="K119" i="4"/>
  <c r="J119" i="4"/>
  <c r="I119" i="4"/>
  <c r="H119" i="4"/>
  <c r="G119" i="4"/>
  <c r="M118" i="4"/>
  <c r="L118" i="4"/>
  <c r="K118" i="4"/>
  <c r="J118" i="4"/>
  <c r="I118" i="4"/>
  <c r="H118" i="4"/>
  <c r="G118" i="4"/>
  <c r="M117" i="4"/>
  <c r="L117" i="4"/>
  <c r="K117" i="4"/>
  <c r="J117" i="4"/>
  <c r="I117" i="4"/>
  <c r="H117" i="4"/>
  <c r="G117" i="4"/>
  <c r="M116" i="4"/>
  <c r="L116" i="4"/>
  <c r="K116" i="4"/>
  <c r="J116" i="4"/>
  <c r="I116" i="4"/>
  <c r="H116" i="4"/>
  <c r="G116" i="4"/>
  <c r="M115" i="4"/>
  <c r="L115" i="4"/>
  <c r="K115" i="4"/>
  <c r="J115" i="4"/>
  <c r="I115" i="4"/>
  <c r="H115" i="4"/>
  <c r="G115" i="4"/>
  <c r="M114" i="4"/>
  <c r="L114" i="4"/>
  <c r="K114" i="4"/>
  <c r="J114" i="4"/>
  <c r="I114" i="4"/>
  <c r="H114" i="4"/>
  <c r="G114" i="4"/>
  <c r="M113" i="4"/>
  <c r="L113" i="4"/>
  <c r="K113" i="4"/>
  <c r="J113" i="4"/>
  <c r="I113" i="4"/>
  <c r="H113" i="4"/>
  <c r="G113" i="4"/>
  <c r="M112" i="4"/>
  <c r="L112" i="4"/>
  <c r="K112" i="4"/>
  <c r="J112" i="4"/>
  <c r="I112" i="4"/>
  <c r="H112" i="4"/>
  <c r="G112" i="4"/>
  <c r="M111" i="4"/>
  <c r="L111" i="4"/>
  <c r="K111" i="4"/>
  <c r="J111" i="4"/>
  <c r="I111" i="4"/>
  <c r="H111" i="4"/>
  <c r="G111" i="4"/>
  <c r="M110" i="4"/>
  <c r="L110" i="4"/>
  <c r="K110" i="4"/>
  <c r="J110" i="4"/>
  <c r="I110" i="4"/>
  <c r="H110" i="4"/>
  <c r="G110" i="4"/>
  <c r="M109" i="4"/>
  <c r="L109" i="4"/>
  <c r="K109" i="4"/>
  <c r="J109" i="4"/>
  <c r="I109" i="4"/>
  <c r="H109" i="4"/>
  <c r="G109" i="4"/>
  <c r="M108" i="4"/>
  <c r="L108" i="4"/>
  <c r="K108" i="4"/>
  <c r="J108" i="4"/>
  <c r="I108" i="4"/>
  <c r="H108" i="4"/>
  <c r="G108" i="4"/>
  <c r="M107" i="4"/>
  <c r="L107" i="4"/>
  <c r="K107" i="4"/>
  <c r="J107" i="4"/>
  <c r="I107" i="4"/>
  <c r="H107" i="4"/>
  <c r="G107" i="4"/>
  <c r="M106" i="4"/>
  <c r="L106" i="4"/>
  <c r="K106" i="4"/>
  <c r="J106" i="4"/>
  <c r="I106" i="4"/>
  <c r="H106" i="4"/>
  <c r="G106" i="4"/>
  <c r="M105" i="4"/>
  <c r="L105" i="4"/>
  <c r="K105" i="4"/>
  <c r="J105" i="4"/>
  <c r="I105" i="4"/>
  <c r="H105" i="4"/>
  <c r="G105" i="4"/>
  <c r="M104" i="4"/>
  <c r="L104" i="4"/>
  <c r="K104" i="4"/>
  <c r="J104" i="4"/>
  <c r="I104" i="4"/>
  <c r="H104" i="4"/>
  <c r="G104" i="4"/>
  <c r="M103" i="4"/>
  <c r="L103" i="4"/>
  <c r="K103" i="4"/>
  <c r="J103" i="4"/>
  <c r="I103" i="4"/>
  <c r="H103" i="4"/>
  <c r="G103" i="4"/>
  <c r="M102" i="4"/>
  <c r="L102" i="4"/>
  <c r="K102" i="4"/>
  <c r="J102" i="4"/>
  <c r="I102" i="4"/>
  <c r="H102" i="4"/>
  <c r="G102" i="4"/>
  <c r="M101" i="4"/>
  <c r="L101" i="4"/>
  <c r="K101" i="4"/>
  <c r="J101" i="4"/>
  <c r="I101" i="4"/>
  <c r="H101" i="4"/>
  <c r="G101" i="4"/>
  <c r="M100" i="4"/>
  <c r="L100" i="4"/>
  <c r="K100" i="4"/>
  <c r="J100" i="4"/>
  <c r="I100" i="4"/>
  <c r="H100" i="4"/>
  <c r="G100" i="4"/>
  <c r="M99" i="4"/>
  <c r="L99" i="4"/>
  <c r="K99" i="4"/>
  <c r="J99" i="4"/>
  <c r="I99" i="4"/>
  <c r="H99" i="4"/>
  <c r="G99" i="4"/>
  <c r="M98" i="4"/>
  <c r="L98" i="4"/>
  <c r="K98" i="4"/>
  <c r="J98" i="4"/>
  <c r="I98" i="4"/>
  <c r="H98" i="4"/>
  <c r="G98" i="4"/>
  <c r="M97" i="4"/>
  <c r="L97" i="4"/>
  <c r="K97" i="4"/>
  <c r="J97" i="4"/>
  <c r="I97" i="4"/>
  <c r="H97" i="4"/>
  <c r="G97" i="4"/>
  <c r="M96" i="4"/>
  <c r="L96" i="4"/>
  <c r="K96" i="4"/>
  <c r="J96" i="4"/>
  <c r="I96" i="4"/>
  <c r="H96" i="4"/>
  <c r="G96" i="4"/>
  <c r="M95" i="4"/>
  <c r="L95" i="4"/>
  <c r="K95" i="4"/>
  <c r="J95" i="4"/>
  <c r="I95" i="4"/>
  <c r="H95" i="4"/>
  <c r="G95" i="4"/>
  <c r="M94" i="4"/>
  <c r="L94" i="4"/>
  <c r="K94" i="4"/>
  <c r="J94" i="4"/>
  <c r="I94" i="4"/>
  <c r="H94" i="4"/>
  <c r="G94" i="4"/>
  <c r="M93" i="4"/>
  <c r="L93" i="4"/>
  <c r="K93" i="4"/>
  <c r="J93" i="4"/>
  <c r="I93" i="4"/>
  <c r="H93" i="4"/>
  <c r="G93" i="4"/>
  <c r="M92" i="4"/>
  <c r="L92" i="4"/>
  <c r="K92" i="4"/>
  <c r="J92" i="4"/>
  <c r="I92" i="4"/>
  <c r="H92" i="4"/>
  <c r="G92" i="4"/>
  <c r="M91" i="4"/>
  <c r="L91" i="4"/>
  <c r="K91" i="4"/>
  <c r="J91" i="4"/>
  <c r="I91" i="4"/>
  <c r="H91" i="4"/>
  <c r="G91" i="4"/>
  <c r="M90" i="4"/>
  <c r="L90" i="4"/>
  <c r="K90" i="4"/>
  <c r="J90" i="4"/>
  <c r="I90" i="4"/>
  <c r="H90" i="4"/>
  <c r="G90" i="4"/>
  <c r="M89" i="4"/>
  <c r="L89" i="4"/>
  <c r="K89" i="4"/>
  <c r="J89" i="4"/>
  <c r="I89" i="4"/>
  <c r="H89" i="4"/>
  <c r="G89" i="4"/>
  <c r="M88" i="4"/>
  <c r="L88" i="4"/>
  <c r="K88" i="4"/>
  <c r="J88" i="4"/>
  <c r="I88" i="4"/>
  <c r="H88" i="4"/>
  <c r="G88" i="4"/>
  <c r="M87" i="4"/>
  <c r="L87" i="4"/>
  <c r="K87" i="4"/>
  <c r="J87" i="4"/>
  <c r="I87" i="4"/>
  <c r="H87" i="4"/>
  <c r="G87" i="4"/>
  <c r="M86" i="4"/>
  <c r="L86" i="4"/>
  <c r="K86" i="4"/>
  <c r="J86" i="4"/>
  <c r="I86" i="4"/>
  <c r="H86" i="4"/>
  <c r="G86" i="4"/>
  <c r="M85" i="4"/>
  <c r="L85" i="4"/>
  <c r="K85" i="4"/>
  <c r="J85" i="4"/>
  <c r="I85" i="4"/>
  <c r="H85" i="4"/>
  <c r="G85" i="4"/>
  <c r="M84" i="4"/>
  <c r="L84" i="4"/>
  <c r="K84" i="4"/>
  <c r="J84" i="4"/>
  <c r="I84" i="4"/>
  <c r="H84" i="4"/>
  <c r="G84" i="4"/>
  <c r="M83" i="4"/>
  <c r="L83" i="4"/>
  <c r="K83" i="4"/>
  <c r="J83" i="4"/>
  <c r="I83" i="4"/>
  <c r="H83" i="4"/>
  <c r="G83" i="4"/>
  <c r="M82" i="4"/>
  <c r="L82" i="4"/>
  <c r="K82" i="4"/>
  <c r="J82" i="4"/>
  <c r="I82" i="4"/>
  <c r="H82" i="4"/>
  <c r="G82" i="4"/>
  <c r="M81" i="4"/>
  <c r="L81" i="4"/>
  <c r="K81" i="4"/>
  <c r="J81" i="4"/>
  <c r="I81" i="4"/>
  <c r="H81" i="4"/>
  <c r="G81" i="4"/>
  <c r="M80" i="4"/>
  <c r="L80" i="4"/>
  <c r="K80" i="4"/>
  <c r="J80" i="4"/>
  <c r="I80" i="4"/>
  <c r="H80" i="4"/>
  <c r="G80" i="4"/>
  <c r="M79" i="4"/>
  <c r="L79" i="4"/>
  <c r="K79" i="4"/>
  <c r="J79" i="4"/>
  <c r="I79" i="4"/>
  <c r="H79" i="4"/>
  <c r="G79" i="4"/>
  <c r="M78" i="4"/>
  <c r="L78" i="4"/>
  <c r="K78" i="4"/>
  <c r="J78" i="4"/>
  <c r="I78" i="4"/>
  <c r="H78" i="4"/>
  <c r="G78" i="4"/>
  <c r="M77" i="4"/>
  <c r="L77" i="4"/>
  <c r="K77" i="4"/>
  <c r="J77" i="4"/>
  <c r="I77" i="4"/>
  <c r="H77" i="4"/>
  <c r="G77" i="4"/>
  <c r="M76" i="4"/>
  <c r="L76" i="4"/>
  <c r="K76" i="4"/>
  <c r="J76" i="4"/>
  <c r="I76" i="4"/>
  <c r="H76" i="4"/>
  <c r="G76" i="4"/>
  <c r="M75" i="4"/>
  <c r="L75" i="4"/>
  <c r="K75" i="4"/>
  <c r="J75" i="4"/>
  <c r="I75" i="4"/>
  <c r="H75" i="4"/>
  <c r="G75" i="4"/>
  <c r="M74" i="4"/>
  <c r="L74" i="4"/>
  <c r="K74" i="4"/>
  <c r="J74" i="4"/>
  <c r="I74" i="4"/>
  <c r="H74" i="4"/>
  <c r="G74" i="4"/>
  <c r="M73" i="4"/>
  <c r="L73" i="4"/>
  <c r="K73" i="4"/>
  <c r="J73" i="4"/>
  <c r="I73" i="4"/>
  <c r="H73" i="4"/>
  <c r="G73" i="4"/>
  <c r="M72" i="4"/>
  <c r="L72" i="4"/>
  <c r="K72" i="4"/>
  <c r="J72" i="4"/>
  <c r="I72" i="4"/>
  <c r="H72" i="4"/>
  <c r="G72" i="4"/>
  <c r="M71" i="4"/>
  <c r="L71" i="4"/>
  <c r="K71" i="4"/>
  <c r="J71" i="4"/>
  <c r="I71" i="4"/>
  <c r="H71" i="4"/>
  <c r="G71" i="4"/>
  <c r="M70" i="4"/>
  <c r="L70" i="4"/>
  <c r="K70" i="4"/>
  <c r="J70" i="4"/>
  <c r="I70" i="4"/>
  <c r="H70" i="4"/>
  <c r="G70" i="4"/>
  <c r="M69" i="4"/>
  <c r="L69" i="4"/>
  <c r="K69" i="4"/>
  <c r="J69" i="4"/>
  <c r="I69" i="4"/>
  <c r="H69" i="4"/>
  <c r="G69" i="4"/>
  <c r="M68" i="4"/>
  <c r="L68" i="4"/>
  <c r="K68" i="4"/>
  <c r="J68" i="4"/>
  <c r="I68" i="4"/>
  <c r="H68" i="4"/>
  <c r="G68" i="4"/>
  <c r="M67" i="4"/>
  <c r="L67" i="4"/>
  <c r="K67" i="4"/>
  <c r="J67" i="4"/>
  <c r="I67" i="4"/>
  <c r="H67" i="4"/>
  <c r="G67" i="4"/>
  <c r="M66" i="4"/>
  <c r="L66" i="4"/>
  <c r="K66" i="4"/>
  <c r="J66" i="4"/>
  <c r="I66" i="4"/>
  <c r="H66" i="4"/>
  <c r="G66" i="4"/>
  <c r="M65" i="4"/>
  <c r="L65" i="4"/>
  <c r="K65" i="4"/>
  <c r="J65" i="4"/>
  <c r="I65" i="4"/>
  <c r="H65" i="4"/>
  <c r="G65" i="4"/>
  <c r="M64" i="4"/>
  <c r="L64" i="4"/>
  <c r="K64" i="4"/>
  <c r="J64" i="4"/>
  <c r="I64" i="4"/>
  <c r="H64" i="4"/>
  <c r="G64" i="4"/>
  <c r="M63" i="4"/>
  <c r="L63" i="4"/>
  <c r="K63" i="4"/>
  <c r="J63" i="4"/>
  <c r="I63" i="4"/>
  <c r="H63" i="4"/>
  <c r="G63" i="4"/>
  <c r="M62" i="4"/>
  <c r="L62" i="4"/>
  <c r="K62" i="4"/>
  <c r="J62" i="4"/>
  <c r="I62" i="4"/>
  <c r="H62" i="4"/>
  <c r="G62" i="4"/>
  <c r="M61" i="4"/>
  <c r="L61" i="4"/>
  <c r="K61" i="4"/>
  <c r="J61" i="4"/>
  <c r="I61" i="4"/>
  <c r="H61" i="4"/>
  <c r="G61" i="4"/>
  <c r="M60" i="4"/>
  <c r="L60" i="4"/>
  <c r="K60" i="4"/>
  <c r="J60" i="4"/>
  <c r="I60" i="4"/>
  <c r="H60" i="4"/>
  <c r="G60" i="4"/>
  <c r="M59" i="4"/>
  <c r="L59" i="4"/>
  <c r="K59" i="4"/>
  <c r="J59" i="4"/>
  <c r="I59" i="4"/>
  <c r="H59" i="4"/>
  <c r="G59" i="4"/>
  <c r="M58" i="4"/>
  <c r="L58" i="4"/>
  <c r="K58" i="4"/>
  <c r="J58" i="4"/>
  <c r="I58" i="4"/>
  <c r="H58" i="4"/>
  <c r="G58" i="4"/>
  <c r="M57" i="4"/>
  <c r="L57" i="4"/>
  <c r="K57" i="4"/>
  <c r="J57" i="4"/>
  <c r="I57" i="4"/>
  <c r="H57" i="4"/>
  <c r="G57" i="4"/>
  <c r="M56" i="4"/>
  <c r="L56" i="4"/>
  <c r="K56" i="4"/>
  <c r="J56" i="4"/>
  <c r="I56" i="4"/>
  <c r="H56" i="4"/>
  <c r="G56" i="4"/>
  <c r="M55" i="4"/>
  <c r="L55" i="4"/>
  <c r="K55" i="4"/>
  <c r="J55" i="4"/>
  <c r="I55" i="4"/>
  <c r="H55" i="4"/>
  <c r="G55" i="4"/>
  <c r="M54" i="4"/>
  <c r="L54" i="4"/>
  <c r="K54" i="4"/>
  <c r="J54" i="4"/>
  <c r="I54" i="4"/>
  <c r="H54" i="4"/>
  <c r="G54" i="4"/>
  <c r="M53" i="4"/>
  <c r="L53" i="4"/>
  <c r="K53" i="4"/>
  <c r="J53" i="4"/>
  <c r="I53" i="4"/>
  <c r="H53" i="4"/>
  <c r="G53" i="4"/>
  <c r="M52" i="4"/>
  <c r="L52" i="4"/>
  <c r="K52" i="4"/>
  <c r="J52" i="4"/>
  <c r="I52" i="4"/>
  <c r="H52" i="4"/>
  <c r="G52" i="4"/>
  <c r="M51" i="4"/>
  <c r="L51" i="4"/>
  <c r="K51" i="4"/>
  <c r="J51" i="4"/>
  <c r="I51" i="4"/>
  <c r="H51" i="4"/>
  <c r="G51" i="4"/>
  <c r="M50" i="4"/>
  <c r="L50" i="4"/>
  <c r="K50" i="4"/>
  <c r="J50" i="4"/>
  <c r="I50" i="4"/>
  <c r="H50" i="4"/>
  <c r="G50" i="4"/>
  <c r="M49" i="4"/>
  <c r="L49" i="4"/>
  <c r="K49" i="4"/>
  <c r="J49" i="4"/>
  <c r="I49" i="4"/>
  <c r="H49" i="4"/>
  <c r="G49" i="4"/>
  <c r="M48" i="4"/>
  <c r="L48" i="4"/>
  <c r="K48" i="4"/>
  <c r="J48" i="4"/>
  <c r="I48" i="4"/>
  <c r="H48" i="4"/>
  <c r="G48" i="4"/>
  <c r="M47" i="4"/>
  <c r="L47" i="4"/>
  <c r="K47" i="4"/>
  <c r="J47" i="4"/>
  <c r="I47" i="4"/>
  <c r="H47" i="4"/>
  <c r="G47" i="4"/>
  <c r="M46" i="4"/>
  <c r="L46" i="4"/>
  <c r="K46" i="4"/>
  <c r="J46" i="4"/>
  <c r="I46" i="4"/>
  <c r="H46" i="4"/>
  <c r="G46" i="4"/>
  <c r="M45" i="4"/>
  <c r="L45" i="4"/>
  <c r="K45" i="4"/>
  <c r="J45" i="4"/>
  <c r="I45" i="4"/>
  <c r="H45" i="4"/>
  <c r="G45" i="4"/>
  <c r="M44" i="4"/>
  <c r="L44" i="4"/>
  <c r="K44" i="4"/>
  <c r="J44" i="4"/>
  <c r="I44" i="4"/>
  <c r="H44" i="4"/>
  <c r="G44" i="4"/>
  <c r="M43" i="4"/>
  <c r="L43" i="4"/>
  <c r="K43" i="4"/>
  <c r="J43" i="4"/>
  <c r="I43" i="4"/>
  <c r="H43" i="4"/>
  <c r="G43" i="4"/>
  <c r="M42" i="4"/>
  <c r="L42" i="4"/>
  <c r="K42" i="4"/>
  <c r="J42" i="4"/>
  <c r="I42" i="4"/>
  <c r="H42" i="4"/>
  <c r="G42" i="4"/>
  <c r="M41" i="4"/>
  <c r="L41" i="4"/>
  <c r="K41" i="4"/>
  <c r="J41" i="4"/>
  <c r="I41" i="4"/>
  <c r="H41" i="4"/>
  <c r="G41" i="4"/>
  <c r="M40" i="4"/>
  <c r="L40" i="4"/>
  <c r="K40" i="4"/>
  <c r="J40" i="4"/>
  <c r="I40" i="4"/>
  <c r="H40" i="4"/>
  <c r="G40" i="4"/>
  <c r="M39" i="4"/>
  <c r="L39" i="4"/>
  <c r="K39" i="4"/>
  <c r="J39" i="4"/>
  <c r="I39" i="4"/>
  <c r="H39" i="4"/>
  <c r="G39" i="4"/>
  <c r="M38" i="4"/>
  <c r="L38" i="4"/>
  <c r="K38" i="4"/>
  <c r="J38" i="4"/>
  <c r="I38" i="4"/>
  <c r="H38" i="4"/>
  <c r="G38" i="4"/>
  <c r="M37" i="4"/>
  <c r="L37" i="4"/>
  <c r="K37" i="4"/>
  <c r="J37" i="4"/>
  <c r="I37" i="4"/>
  <c r="H37" i="4"/>
  <c r="G37" i="4"/>
  <c r="M36" i="4"/>
  <c r="L36" i="4"/>
  <c r="K36" i="4"/>
  <c r="J36" i="4"/>
  <c r="I36" i="4"/>
  <c r="H36" i="4"/>
  <c r="G36" i="4"/>
  <c r="M35" i="4"/>
  <c r="L35" i="4"/>
  <c r="K35" i="4"/>
  <c r="J35" i="4"/>
  <c r="I35" i="4"/>
  <c r="H35" i="4"/>
  <c r="G35" i="4"/>
  <c r="M34" i="4"/>
  <c r="L34" i="4"/>
  <c r="K34" i="4"/>
  <c r="J34" i="4"/>
  <c r="I34" i="4"/>
  <c r="H34" i="4"/>
  <c r="G34" i="4"/>
  <c r="M33" i="4"/>
  <c r="L33" i="4"/>
  <c r="K33" i="4"/>
  <c r="J33" i="4"/>
  <c r="I33" i="4"/>
  <c r="H33" i="4"/>
  <c r="G33" i="4"/>
  <c r="M32" i="4"/>
  <c r="L32" i="4"/>
  <c r="K32" i="4"/>
  <c r="J32" i="4"/>
  <c r="I32" i="4"/>
  <c r="H32" i="4"/>
  <c r="G32" i="4"/>
  <c r="M31" i="4"/>
  <c r="L31" i="4"/>
  <c r="K31" i="4"/>
  <c r="J31" i="4"/>
  <c r="I31" i="4"/>
  <c r="H31" i="4"/>
  <c r="G31" i="4"/>
  <c r="M30" i="4"/>
  <c r="L30" i="4"/>
  <c r="K30" i="4"/>
  <c r="J30" i="4"/>
  <c r="I30" i="4"/>
  <c r="H30" i="4"/>
  <c r="G30" i="4"/>
  <c r="M29" i="4"/>
  <c r="L29" i="4"/>
  <c r="K29" i="4"/>
  <c r="J29" i="4"/>
  <c r="I29" i="4"/>
  <c r="H29" i="4"/>
  <c r="G29" i="4"/>
  <c r="M28" i="4"/>
  <c r="L28" i="4"/>
  <c r="K28" i="4"/>
  <c r="J28" i="4"/>
  <c r="I28" i="4"/>
  <c r="H28" i="4"/>
  <c r="G28" i="4"/>
  <c r="M27" i="4"/>
  <c r="L27" i="4"/>
  <c r="K27" i="4"/>
  <c r="J27" i="4"/>
  <c r="I27" i="4"/>
  <c r="H27" i="4"/>
  <c r="G27" i="4"/>
  <c r="M26" i="4"/>
  <c r="L26" i="4"/>
  <c r="K26" i="4"/>
  <c r="J26" i="4"/>
  <c r="I26" i="4"/>
  <c r="H26" i="4"/>
  <c r="G26" i="4"/>
  <c r="M25" i="4"/>
  <c r="L25" i="4"/>
  <c r="K25" i="4"/>
  <c r="J25" i="4"/>
  <c r="I25" i="4"/>
  <c r="H25" i="4"/>
  <c r="G25" i="4"/>
  <c r="M24" i="4"/>
  <c r="L24" i="4"/>
  <c r="K24" i="4"/>
  <c r="J24" i="4"/>
  <c r="I24" i="4"/>
  <c r="H24" i="4"/>
  <c r="G24" i="4"/>
  <c r="M23" i="4"/>
  <c r="L23" i="4"/>
  <c r="K23" i="4"/>
  <c r="J23" i="4"/>
  <c r="I23" i="4"/>
  <c r="H23" i="4"/>
  <c r="G23" i="4"/>
  <c r="M22" i="4"/>
  <c r="L22" i="4"/>
  <c r="K22" i="4"/>
  <c r="J22" i="4"/>
  <c r="I22" i="4"/>
  <c r="H22" i="4"/>
  <c r="G22" i="4"/>
  <c r="M21" i="4"/>
  <c r="L21" i="4"/>
  <c r="K21" i="4"/>
  <c r="J21" i="4"/>
  <c r="I21" i="4"/>
  <c r="H21" i="4"/>
  <c r="G21" i="4"/>
  <c r="M20" i="4"/>
  <c r="L20" i="4"/>
  <c r="K20" i="4"/>
  <c r="J20" i="4"/>
  <c r="I20" i="4"/>
  <c r="H20" i="4"/>
  <c r="G20" i="4"/>
  <c r="M19" i="4"/>
  <c r="L19" i="4"/>
  <c r="K19" i="4"/>
  <c r="J19" i="4"/>
  <c r="I19" i="4"/>
  <c r="H19" i="4"/>
  <c r="G19" i="4"/>
  <c r="M18" i="4"/>
  <c r="L18" i="4"/>
  <c r="K18" i="4"/>
  <c r="J18" i="4"/>
  <c r="I18" i="4"/>
  <c r="H18" i="4"/>
  <c r="G18" i="4"/>
  <c r="M17" i="4"/>
  <c r="L17" i="4"/>
  <c r="K17" i="4"/>
  <c r="J17" i="4"/>
  <c r="I17" i="4"/>
  <c r="H17" i="4"/>
  <c r="G17" i="4"/>
  <c r="M16" i="4"/>
  <c r="L16" i="4"/>
  <c r="K16" i="4"/>
  <c r="J16" i="4"/>
  <c r="I16" i="4"/>
  <c r="H16" i="4"/>
  <c r="G16" i="4"/>
  <c r="M15" i="4"/>
  <c r="L15" i="4"/>
  <c r="K15" i="4"/>
  <c r="J15" i="4"/>
  <c r="I15" i="4"/>
  <c r="H15" i="4"/>
  <c r="G15" i="4"/>
  <c r="M14" i="4"/>
  <c r="L14" i="4"/>
  <c r="K14" i="4"/>
  <c r="J14" i="4"/>
  <c r="I14" i="4"/>
  <c r="H14" i="4"/>
  <c r="G14" i="4"/>
  <c r="M13" i="4"/>
  <c r="L13" i="4"/>
  <c r="K13" i="4"/>
  <c r="J13" i="4"/>
  <c r="I13" i="4"/>
  <c r="H13" i="4"/>
  <c r="G13" i="4"/>
  <c r="M12" i="4"/>
  <c r="L12" i="4"/>
  <c r="K12" i="4"/>
  <c r="J12" i="4"/>
  <c r="I12" i="4"/>
  <c r="H12" i="4"/>
  <c r="G12" i="4"/>
  <c r="M11" i="4"/>
  <c r="L11" i="4"/>
  <c r="K11" i="4"/>
  <c r="J11" i="4"/>
  <c r="I11" i="4"/>
  <c r="H11" i="4"/>
  <c r="G11" i="4"/>
  <c r="M10" i="4"/>
  <c r="L10" i="4"/>
  <c r="K10" i="4"/>
  <c r="J10" i="4"/>
  <c r="I10" i="4"/>
  <c r="H10" i="4"/>
  <c r="G10" i="4"/>
  <c r="M9" i="4"/>
  <c r="L9" i="4"/>
  <c r="K9" i="4"/>
  <c r="J9" i="4"/>
  <c r="I9" i="4"/>
  <c r="H9" i="4"/>
  <c r="G9" i="4"/>
  <c r="M8" i="4"/>
  <c r="L8" i="4"/>
  <c r="K8" i="4"/>
  <c r="J8" i="4"/>
  <c r="I8" i="4"/>
  <c r="H8" i="4"/>
  <c r="G8" i="4"/>
  <c r="M7" i="4"/>
  <c r="L7" i="4"/>
  <c r="K7" i="4"/>
  <c r="J7" i="4"/>
  <c r="I7" i="4"/>
  <c r="H7" i="4"/>
  <c r="G7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C7" i="4"/>
  <c r="D7" i="4"/>
  <c r="E7" i="4"/>
  <c r="F7" i="4"/>
  <c r="N7" i="4"/>
  <c r="O7" i="4"/>
  <c r="P7" i="4"/>
  <c r="Q7" i="4"/>
  <c r="R7" i="4"/>
  <c r="S7" i="4"/>
  <c r="T7" i="4"/>
  <c r="U7" i="4"/>
  <c r="V7" i="4"/>
  <c r="W7" i="4"/>
  <c r="X7" i="4"/>
  <c r="AB7" i="4"/>
  <c r="AC7" i="4"/>
  <c r="AD7" i="4"/>
  <c r="AE7" i="4"/>
  <c r="AF7" i="4"/>
  <c r="AG7" i="4"/>
  <c r="AH7" i="4"/>
  <c r="AI7" i="4"/>
  <c r="AJ7" i="4"/>
  <c r="AT7" i="4"/>
  <c r="AU7" i="4"/>
  <c r="AV7" i="4"/>
  <c r="BB7" i="4"/>
  <c r="BC7" i="4"/>
  <c r="BD7" i="4"/>
  <c r="BE7" i="4"/>
  <c r="BF7" i="4"/>
  <c r="BG7" i="4"/>
  <c r="BH7" i="4"/>
  <c r="BI7" i="4"/>
  <c r="BJ7" i="4"/>
  <c r="BL7" i="4"/>
  <c r="BM7" i="4"/>
  <c r="BN7" i="4"/>
  <c r="BO7" i="4"/>
  <c r="BT7" i="4"/>
  <c r="BU7" i="4"/>
  <c r="BV7" i="4"/>
  <c r="BW7" i="4"/>
  <c r="BX7" i="4"/>
  <c r="BY7" i="4"/>
  <c r="BZ7" i="4"/>
  <c r="CA7" i="4"/>
  <c r="CB7" i="4"/>
  <c r="CC7" i="4"/>
  <c r="CD7" i="4"/>
  <c r="CE7" i="4"/>
  <c r="CG7" i="4"/>
  <c r="CJ7" i="4"/>
  <c r="CK7" i="4"/>
  <c r="CL7" i="4"/>
  <c r="CN7" i="4"/>
  <c r="CP7" i="4"/>
  <c r="CQ7" i="4"/>
  <c r="C8" i="4"/>
  <c r="D8" i="4"/>
  <c r="E8" i="4"/>
  <c r="F8" i="4"/>
  <c r="N8" i="4"/>
  <c r="O8" i="4"/>
  <c r="P8" i="4"/>
  <c r="Q8" i="4"/>
  <c r="R8" i="4"/>
  <c r="S8" i="4"/>
  <c r="T8" i="4"/>
  <c r="U8" i="4"/>
  <c r="V8" i="4"/>
  <c r="W8" i="4"/>
  <c r="X8" i="4"/>
  <c r="AB8" i="4"/>
  <c r="AC8" i="4"/>
  <c r="AD8" i="4"/>
  <c r="AE8" i="4"/>
  <c r="AF8" i="4"/>
  <c r="AG8" i="4"/>
  <c r="AH8" i="4"/>
  <c r="AI8" i="4"/>
  <c r="AJ8" i="4"/>
  <c r="AT8" i="4"/>
  <c r="AU8" i="4"/>
  <c r="AV8" i="4"/>
  <c r="BB8" i="4"/>
  <c r="BC8" i="4"/>
  <c r="BD8" i="4"/>
  <c r="BE8" i="4"/>
  <c r="BF8" i="4"/>
  <c r="BG8" i="4"/>
  <c r="BH8" i="4"/>
  <c r="BI8" i="4"/>
  <c r="BJ8" i="4"/>
  <c r="BL8" i="4"/>
  <c r="BM8" i="4"/>
  <c r="BN8" i="4"/>
  <c r="BO8" i="4"/>
  <c r="BT8" i="4"/>
  <c r="BU8" i="4"/>
  <c r="BV8" i="4"/>
  <c r="BW8" i="4"/>
  <c r="BX8" i="4"/>
  <c r="BY8" i="4"/>
  <c r="BZ8" i="4"/>
  <c r="CA8" i="4"/>
  <c r="CB8" i="4"/>
  <c r="CC8" i="4"/>
  <c r="CD8" i="4"/>
  <c r="CE8" i="4"/>
  <c r="CG8" i="4"/>
  <c r="CJ8" i="4"/>
  <c r="CK8" i="4"/>
  <c r="CL8" i="4"/>
  <c r="CN8" i="4"/>
  <c r="CP8" i="4"/>
  <c r="CQ8" i="4"/>
  <c r="C9" i="4"/>
  <c r="D9" i="4"/>
  <c r="E9" i="4"/>
  <c r="F9" i="4"/>
  <c r="N9" i="4"/>
  <c r="O9" i="4"/>
  <c r="P9" i="4"/>
  <c r="Q9" i="4"/>
  <c r="R9" i="4"/>
  <c r="S9" i="4"/>
  <c r="T9" i="4"/>
  <c r="U9" i="4"/>
  <c r="V9" i="4"/>
  <c r="W9" i="4"/>
  <c r="X9" i="4"/>
  <c r="AB9" i="4"/>
  <c r="AC9" i="4"/>
  <c r="AD9" i="4"/>
  <c r="AE9" i="4"/>
  <c r="AF9" i="4"/>
  <c r="AG9" i="4"/>
  <c r="AH9" i="4"/>
  <c r="AI9" i="4"/>
  <c r="AJ9" i="4"/>
  <c r="AT9" i="4"/>
  <c r="AU9" i="4"/>
  <c r="AV9" i="4"/>
  <c r="BB9" i="4"/>
  <c r="BC9" i="4"/>
  <c r="BD9" i="4"/>
  <c r="BE9" i="4"/>
  <c r="BF9" i="4"/>
  <c r="BG9" i="4"/>
  <c r="BH9" i="4"/>
  <c r="BI9" i="4"/>
  <c r="BJ9" i="4"/>
  <c r="BL9" i="4"/>
  <c r="BM9" i="4"/>
  <c r="BN9" i="4"/>
  <c r="BO9" i="4"/>
  <c r="BT9" i="4"/>
  <c r="BU9" i="4"/>
  <c r="BV9" i="4"/>
  <c r="BW9" i="4"/>
  <c r="BX9" i="4"/>
  <c r="BY9" i="4"/>
  <c r="BZ9" i="4"/>
  <c r="CA9" i="4"/>
  <c r="CB9" i="4"/>
  <c r="CC9" i="4"/>
  <c r="CD9" i="4"/>
  <c r="CE9" i="4"/>
  <c r="CG9" i="4"/>
  <c r="CJ9" i="4"/>
  <c r="CK9" i="4"/>
  <c r="CL9" i="4"/>
  <c r="CN9" i="4"/>
  <c r="CP9" i="4"/>
  <c r="CQ9" i="4"/>
  <c r="C10" i="4"/>
  <c r="D10" i="4"/>
  <c r="E10" i="4"/>
  <c r="F10" i="4"/>
  <c r="N10" i="4"/>
  <c r="O10" i="4"/>
  <c r="P10" i="4"/>
  <c r="Q10" i="4"/>
  <c r="R10" i="4"/>
  <c r="S10" i="4"/>
  <c r="T10" i="4"/>
  <c r="U10" i="4"/>
  <c r="V10" i="4"/>
  <c r="W10" i="4"/>
  <c r="X10" i="4"/>
  <c r="AB10" i="4"/>
  <c r="AC10" i="4"/>
  <c r="AD10" i="4"/>
  <c r="AE10" i="4"/>
  <c r="AF10" i="4"/>
  <c r="AG10" i="4"/>
  <c r="AH10" i="4"/>
  <c r="AI10" i="4"/>
  <c r="AJ10" i="4"/>
  <c r="AT10" i="4"/>
  <c r="AU10" i="4"/>
  <c r="AV10" i="4"/>
  <c r="BB10" i="4"/>
  <c r="BC10" i="4"/>
  <c r="BD10" i="4"/>
  <c r="BE10" i="4"/>
  <c r="BF10" i="4"/>
  <c r="BG10" i="4"/>
  <c r="BH10" i="4"/>
  <c r="BI10" i="4"/>
  <c r="BJ10" i="4"/>
  <c r="BL10" i="4"/>
  <c r="BM10" i="4"/>
  <c r="BN10" i="4"/>
  <c r="BO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G10" i="4"/>
  <c r="CJ10" i="4"/>
  <c r="CK10" i="4"/>
  <c r="CL10" i="4"/>
  <c r="CN10" i="4"/>
  <c r="CP10" i="4"/>
  <c r="CQ10" i="4"/>
  <c r="C11" i="4"/>
  <c r="D11" i="4"/>
  <c r="E11" i="4"/>
  <c r="F11" i="4"/>
  <c r="N11" i="4"/>
  <c r="O11" i="4"/>
  <c r="P11" i="4"/>
  <c r="Q11" i="4"/>
  <c r="R11" i="4"/>
  <c r="S11" i="4"/>
  <c r="T11" i="4"/>
  <c r="U11" i="4"/>
  <c r="V11" i="4"/>
  <c r="W11" i="4"/>
  <c r="X11" i="4"/>
  <c r="AB11" i="4"/>
  <c r="AC11" i="4"/>
  <c r="AD11" i="4"/>
  <c r="AE11" i="4"/>
  <c r="AF11" i="4"/>
  <c r="AG11" i="4"/>
  <c r="AH11" i="4"/>
  <c r="AI11" i="4"/>
  <c r="AJ11" i="4"/>
  <c r="AT11" i="4"/>
  <c r="AU11" i="4"/>
  <c r="AV11" i="4"/>
  <c r="BB11" i="4"/>
  <c r="BC11" i="4"/>
  <c r="BD11" i="4"/>
  <c r="BE11" i="4"/>
  <c r="BF11" i="4"/>
  <c r="BG11" i="4"/>
  <c r="BH11" i="4"/>
  <c r="BI11" i="4"/>
  <c r="BJ11" i="4"/>
  <c r="BL11" i="4"/>
  <c r="BM11" i="4"/>
  <c r="BN11" i="4"/>
  <c r="BO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G11" i="4"/>
  <c r="CJ11" i="4"/>
  <c r="CK11" i="4"/>
  <c r="CL11" i="4"/>
  <c r="CN11" i="4"/>
  <c r="CP11" i="4"/>
  <c r="CQ11" i="4"/>
  <c r="C12" i="4"/>
  <c r="D12" i="4"/>
  <c r="E12" i="4"/>
  <c r="F12" i="4"/>
  <c r="N12" i="4"/>
  <c r="O12" i="4"/>
  <c r="P12" i="4"/>
  <c r="Q12" i="4"/>
  <c r="R12" i="4"/>
  <c r="S12" i="4"/>
  <c r="T12" i="4"/>
  <c r="U12" i="4"/>
  <c r="V12" i="4"/>
  <c r="W12" i="4"/>
  <c r="X12" i="4"/>
  <c r="AB12" i="4"/>
  <c r="AC12" i="4"/>
  <c r="AD12" i="4"/>
  <c r="AE12" i="4"/>
  <c r="AF12" i="4"/>
  <c r="AG12" i="4"/>
  <c r="AH12" i="4"/>
  <c r="AI12" i="4"/>
  <c r="AJ12" i="4"/>
  <c r="AT12" i="4"/>
  <c r="AU12" i="4"/>
  <c r="AV12" i="4"/>
  <c r="BB12" i="4"/>
  <c r="BC12" i="4"/>
  <c r="BD12" i="4"/>
  <c r="BE12" i="4"/>
  <c r="BF12" i="4"/>
  <c r="BG12" i="4"/>
  <c r="BH12" i="4"/>
  <c r="BI12" i="4"/>
  <c r="BJ12" i="4"/>
  <c r="BL12" i="4"/>
  <c r="BM12" i="4"/>
  <c r="BN12" i="4"/>
  <c r="BO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G12" i="4"/>
  <c r="CJ12" i="4"/>
  <c r="CK12" i="4"/>
  <c r="CL12" i="4"/>
  <c r="CN12" i="4"/>
  <c r="CP12" i="4"/>
  <c r="CQ12" i="4"/>
  <c r="C13" i="4"/>
  <c r="D13" i="4"/>
  <c r="E13" i="4"/>
  <c r="F13" i="4"/>
  <c r="N13" i="4"/>
  <c r="O13" i="4"/>
  <c r="P13" i="4"/>
  <c r="Q13" i="4"/>
  <c r="R13" i="4"/>
  <c r="S13" i="4"/>
  <c r="T13" i="4"/>
  <c r="U13" i="4"/>
  <c r="V13" i="4"/>
  <c r="W13" i="4"/>
  <c r="X13" i="4"/>
  <c r="AB13" i="4"/>
  <c r="AC13" i="4"/>
  <c r="AD13" i="4"/>
  <c r="AE13" i="4"/>
  <c r="AF13" i="4"/>
  <c r="AG13" i="4"/>
  <c r="AH13" i="4"/>
  <c r="AI13" i="4"/>
  <c r="AJ13" i="4"/>
  <c r="AT13" i="4"/>
  <c r="AU13" i="4"/>
  <c r="AV13" i="4"/>
  <c r="BB13" i="4"/>
  <c r="BC13" i="4"/>
  <c r="BD13" i="4"/>
  <c r="BE13" i="4"/>
  <c r="BF13" i="4"/>
  <c r="BG13" i="4"/>
  <c r="BH13" i="4"/>
  <c r="BI13" i="4"/>
  <c r="BJ13" i="4"/>
  <c r="BL13" i="4"/>
  <c r="BM13" i="4"/>
  <c r="BN13" i="4"/>
  <c r="BO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G13" i="4"/>
  <c r="CJ13" i="4"/>
  <c r="CK13" i="4"/>
  <c r="CL13" i="4"/>
  <c r="CN13" i="4"/>
  <c r="CP13" i="4"/>
  <c r="CQ13" i="4"/>
  <c r="C14" i="4"/>
  <c r="D14" i="4"/>
  <c r="E14" i="4"/>
  <c r="F14" i="4"/>
  <c r="N14" i="4"/>
  <c r="O14" i="4"/>
  <c r="P14" i="4"/>
  <c r="Q14" i="4"/>
  <c r="R14" i="4"/>
  <c r="S14" i="4"/>
  <c r="T14" i="4"/>
  <c r="U14" i="4"/>
  <c r="V14" i="4"/>
  <c r="W14" i="4"/>
  <c r="X14" i="4"/>
  <c r="AB14" i="4"/>
  <c r="AC14" i="4"/>
  <c r="AD14" i="4"/>
  <c r="AE14" i="4"/>
  <c r="AF14" i="4"/>
  <c r="AG14" i="4"/>
  <c r="AH14" i="4"/>
  <c r="AI14" i="4"/>
  <c r="AJ14" i="4"/>
  <c r="AT14" i="4"/>
  <c r="AU14" i="4"/>
  <c r="AV14" i="4"/>
  <c r="BB14" i="4"/>
  <c r="BC14" i="4"/>
  <c r="BD14" i="4"/>
  <c r="BE14" i="4"/>
  <c r="BF14" i="4"/>
  <c r="BG14" i="4"/>
  <c r="BH14" i="4"/>
  <c r="BI14" i="4"/>
  <c r="BJ14" i="4"/>
  <c r="BL14" i="4"/>
  <c r="BM14" i="4"/>
  <c r="BN14" i="4"/>
  <c r="BO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G14" i="4"/>
  <c r="CJ14" i="4"/>
  <c r="CK14" i="4"/>
  <c r="CL14" i="4"/>
  <c r="CN14" i="4"/>
  <c r="CP14" i="4"/>
  <c r="CQ14" i="4"/>
  <c r="C15" i="4"/>
  <c r="D15" i="4"/>
  <c r="E15" i="4"/>
  <c r="F15" i="4"/>
  <c r="N15" i="4"/>
  <c r="O15" i="4"/>
  <c r="P15" i="4"/>
  <c r="Q15" i="4"/>
  <c r="R15" i="4"/>
  <c r="S15" i="4"/>
  <c r="T15" i="4"/>
  <c r="U15" i="4"/>
  <c r="V15" i="4"/>
  <c r="W15" i="4"/>
  <c r="X15" i="4"/>
  <c r="AB15" i="4"/>
  <c r="AC15" i="4"/>
  <c r="AD15" i="4"/>
  <c r="AE15" i="4"/>
  <c r="AF15" i="4"/>
  <c r="AG15" i="4"/>
  <c r="AH15" i="4"/>
  <c r="AI15" i="4"/>
  <c r="AJ15" i="4"/>
  <c r="AT15" i="4"/>
  <c r="AU15" i="4"/>
  <c r="AV15" i="4"/>
  <c r="BB15" i="4"/>
  <c r="BC15" i="4"/>
  <c r="BD15" i="4"/>
  <c r="BE15" i="4"/>
  <c r="BF15" i="4"/>
  <c r="BG15" i="4"/>
  <c r="BH15" i="4"/>
  <c r="BI15" i="4"/>
  <c r="BJ15" i="4"/>
  <c r="BL15" i="4"/>
  <c r="BM15" i="4"/>
  <c r="BN15" i="4"/>
  <c r="BO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G15" i="4"/>
  <c r="CJ15" i="4"/>
  <c r="CK15" i="4"/>
  <c r="CL15" i="4"/>
  <c r="CN15" i="4"/>
  <c r="CP15" i="4"/>
  <c r="CQ15" i="4"/>
  <c r="C16" i="4"/>
  <c r="D16" i="4"/>
  <c r="E16" i="4"/>
  <c r="F16" i="4"/>
  <c r="N16" i="4"/>
  <c r="O16" i="4"/>
  <c r="P16" i="4"/>
  <c r="Q16" i="4"/>
  <c r="R16" i="4"/>
  <c r="S16" i="4"/>
  <c r="T16" i="4"/>
  <c r="U16" i="4"/>
  <c r="V16" i="4"/>
  <c r="W16" i="4"/>
  <c r="X16" i="4"/>
  <c r="AB16" i="4"/>
  <c r="AC16" i="4"/>
  <c r="AD16" i="4"/>
  <c r="AE16" i="4"/>
  <c r="AF16" i="4"/>
  <c r="AG16" i="4"/>
  <c r="AH16" i="4"/>
  <c r="AI16" i="4"/>
  <c r="AJ16" i="4"/>
  <c r="AT16" i="4"/>
  <c r="AU16" i="4"/>
  <c r="AV16" i="4"/>
  <c r="BB16" i="4"/>
  <c r="BC16" i="4"/>
  <c r="BD16" i="4"/>
  <c r="BE16" i="4"/>
  <c r="BF16" i="4"/>
  <c r="BG16" i="4"/>
  <c r="BH16" i="4"/>
  <c r="BI16" i="4"/>
  <c r="BJ16" i="4"/>
  <c r="BL16" i="4"/>
  <c r="BM16" i="4"/>
  <c r="BN16" i="4"/>
  <c r="BO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G16" i="4"/>
  <c r="CJ16" i="4"/>
  <c r="CK16" i="4"/>
  <c r="CL16" i="4"/>
  <c r="CN16" i="4"/>
  <c r="CP16" i="4"/>
  <c r="CQ16" i="4"/>
  <c r="C17" i="4"/>
  <c r="D17" i="4"/>
  <c r="E17" i="4"/>
  <c r="F17" i="4"/>
  <c r="N17" i="4"/>
  <c r="O17" i="4"/>
  <c r="P17" i="4"/>
  <c r="Q17" i="4"/>
  <c r="R17" i="4"/>
  <c r="S17" i="4"/>
  <c r="T17" i="4"/>
  <c r="U17" i="4"/>
  <c r="V17" i="4"/>
  <c r="W17" i="4"/>
  <c r="X17" i="4"/>
  <c r="AB17" i="4"/>
  <c r="AC17" i="4"/>
  <c r="AD17" i="4"/>
  <c r="AE17" i="4"/>
  <c r="AF17" i="4"/>
  <c r="AG17" i="4"/>
  <c r="AH17" i="4"/>
  <c r="AI17" i="4"/>
  <c r="AJ17" i="4"/>
  <c r="AT17" i="4"/>
  <c r="AU17" i="4"/>
  <c r="AV17" i="4"/>
  <c r="BB17" i="4"/>
  <c r="BC17" i="4"/>
  <c r="BD17" i="4"/>
  <c r="BE17" i="4"/>
  <c r="BF17" i="4"/>
  <c r="BG17" i="4"/>
  <c r="BH17" i="4"/>
  <c r="BI17" i="4"/>
  <c r="BJ17" i="4"/>
  <c r="BL17" i="4"/>
  <c r="BM17" i="4"/>
  <c r="BN17" i="4"/>
  <c r="BO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G17" i="4"/>
  <c r="CJ17" i="4"/>
  <c r="CK17" i="4"/>
  <c r="CL17" i="4"/>
  <c r="CN17" i="4"/>
  <c r="CP17" i="4"/>
  <c r="CQ17" i="4"/>
  <c r="C18" i="4"/>
  <c r="D18" i="4"/>
  <c r="E18" i="4"/>
  <c r="F18" i="4"/>
  <c r="N18" i="4"/>
  <c r="O18" i="4"/>
  <c r="P18" i="4"/>
  <c r="Q18" i="4"/>
  <c r="R18" i="4"/>
  <c r="S18" i="4"/>
  <c r="T18" i="4"/>
  <c r="U18" i="4"/>
  <c r="V18" i="4"/>
  <c r="W18" i="4"/>
  <c r="X18" i="4"/>
  <c r="AB18" i="4"/>
  <c r="AC18" i="4"/>
  <c r="AD18" i="4"/>
  <c r="AE18" i="4"/>
  <c r="AF18" i="4"/>
  <c r="AG18" i="4"/>
  <c r="AH18" i="4"/>
  <c r="AI18" i="4"/>
  <c r="AJ18" i="4"/>
  <c r="AT18" i="4"/>
  <c r="AU18" i="4"/>
  <c r="AV18" i="4"/>
  <c r="BB18" i="4"/>
  <c r="BC18" i="4"/>
  <c r="BD18" i="4"/>
  <c r="BE18" i="4"/>
  <c r="BF18" i="4"/>
  <c r="BG18" i="4"/>
  <c r="BH18" i="4"/>
  <c r="BI18" i="4"/>
  <c r="BJ18" i="4"/>
  <c r="BL18" i="4"/>
  <c r="BM18" i="4"/>
  <c r="BN18" i="4"/>
  <c r="BO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G18" i="4"/>
  <c r="CJ18" i="4"/>
  <c r="CK18" i="4"/>
  <c r="CL18" i="4"/>
  <c r="CN18" i="4"/>
  <c r="CP18" i="4"/>
  <c r="CQ18" i="4"/>
  <c r="C19" i="4"/>
  <c r="D19" i="4"/>
  <c r="E19" i="4"/>
  <c r="F19" i="4"/>
  <c r="N19" i="4"/>
  <c r="O19" i="4"/>
  <c r="P19" i="4"/>
  <c r="Q19" i="4"/>
  <c r="R19" i="4"/>
  <c r="S19" i="4"/>
  <c r="T19" i="4"/>
  <c r="U19" i="4"/>
  <c r="V19" i="4"/>
  <c r="W19" i="4"/>
  <c r="X19" i="4"/>
  <c r="AB19" i="4"/>
  <c r="AC19" i="4"/>
  <c r="AD19" i="4"/>
  <c r="AE19" i="4"/>
  <c r="AF19" i="4"/>
  <c r="AG19" i="4"/>
  <c r="AH19" i="4"/>
  <c r="AI19" i="4"/>
  <c r="AJ19" i="4"/>
  <c r="AT19" i="4"/>
  <c r="AU19" i="4"/>
  <c r="AV19" i="4"/>
  <c r="BB19" i="4"/>
  <c r="BC19" i="4"/>
  <c r="BD19" i="4"/>
  <c r="BE19" i="4"/>
  <c r="BF19" i="4"/>
  <c r="BG19" i="4"/>
  <c r="BH19" i="4"/>
  <c r="BI19" i="4"/>
  <c r="BJ19" i="4"/>
  <c r="BL19" i="4"/>
  <c r="BM19" i="4"/>
  <c r="BN19" i="4"/>
  <c r="BO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G19" i="4"/>
  <c r="CJ19" i="4"/>
  <c r="CK19" i="4"/>
  <c r="CL19" i="4"/>
  <c r="CN19" i="4"/>
  <c r="CP19" i="4"/>
  <c r="CQ19" i="4"/>
  <c r="C20" i="4"/>
  <c r="D20" i="4"/>
  <c r="E20" i="4"/>
  <c r="F20" i="4"/>
  <c r="N20" i="4"/>
  <c r="O20" i="4"/>
  <c r="P20" i="4"/>
  <c r="Q20" i="4"/>
  <c r="R20" i="4"/>
  <c r="S20" i="4"/>
  <c r="T20" i="4"/>
  <c r="U20" i="4"/>
  <c r="V20" i="4"/>
  <c r="W20" i="4"/>
  <c r="X20" i="4"/>
  <c r="AB20" i="4"/>
  <c r="AC20" i="4"/>
  <c r="AD20" i="4"/>
  <c r="AE20" i="4"/>
  <c r="AF20" i="4"/>
  <c r="AG20" i="4"/>
  <c r="AH20" i="4"/>
  <c r="AI20" i="4"/>
  <c r="AJ20" i="4"/>
  <c r="AT20" i="4"/>
  <c r="AU20" i="4"/>
  <c r="AV20" i="4"/>
  <c r="BB20" i="4"/>
  <c r="BC20" i="4"/>
  <c r="BD20" i="4"/>
  <c r="BE20" i="4"/>
  <c r="BF20" i="4"/>
  <c r="BG20" i="4"/>
  <c r="BH20" i="4"/>
  <c r="BI20" i="4"/>
  <c r="BJ20" i="4"/>
  <c r="BL20" i="4"/>
  <c r="BM20" i="4"/>
  <c r="BN20" i="4"/>
  <c r="BO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G20" i="4"/>
  <c r="CJ20" i="4"/>
  <c r="CK20" i="4"/>
  <c r="CL20" i="4"/>
  <c r="CN20" i="4"/>
  <c r="CP20" i="4"/>
  <c r="CQ20" i="4"/>
  <c r="C21" i="4"/>
  <c r="D21" i="4"/>
  <c r="E21" i="4"/>
  <c r="F21" i="4"/>
  <c r="N21" i="4"/>
  <c r="O21" i="4"/>
  <c r="P21" i="4"/>
  <c r="Q21" i="4"/>
  <c r="R21" i="4"/>
  <c r="S21" i="4"/>
  <c r="T21" i="4"/>
  <c r="U21" i="4"/>
  <c r="V21" i="4"/>
  <c r="W21" i="4"/>
  <c r="X21" i="4"/>
  <c r="AB21" i="4"/>
  <c r="AC21" i="4"/>
  <c r="AD21" i="4"/>
  <c r="AE21" i="4"/>
  <c r="AF21" i="4"/>
  <c r="AG21" i="4"/>
  <c r="AH21" i="4"/>
  <c r="AI21" i="4"/>
  <c r="AJ21" i="4"/>
  <c r="AT21" i="4"/>
  <c r="AU21" i="4"/>
  <c r="AV21" i="4"/>
  <c r="BB21" i="4"/>
  <c r="BC21" i="4"/>
  <c r="BD21" i="4"/>
  <c r="BE21" i="4"/>
  <c r="BF21" i="4"/>
  <c r="BG21" i="4"/>
  <c r="BH21" i="4"/>
  <c r="BI21" i="4"/>
  <c r="BJ21" i="4"/>
  <c r="BL21" i="4"/>
  <c r="BM21" i="4"/>
  <c r="BN21" i="4"/>
  <c r="BO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G21" i="4"/>
  <c r="CJ21" i="4"/>
  <c r="CK21" i="4"/>
  <c r="CL21" i="4"/>
  <c r="CN21" i="4"/>
  <c r="CP21" i="4"/>
  <c r="CQ21" i="4"/>
  <c r="C22" i="4"/>
  <c r="D22" i="4"/>
  <c r="E22" i="4"/>
  <c r="F22" i="4"/>
  <c r="N22" i="4"/>
  <c r="O22" i="4"/>
  <c r="P22" i="4"/>
  <c r="Q22" i="4"/>
  <c r="R22" i="4"/>
  <c r="S22" i="4"/>
  <c r="T22" i="4"/>
  <c r="U22" i="4"/>
  <c r="V22" i="4"/>
  <c r="W22" i="4"/>
  <c r="X22" i="4"/>
  <c r="AB22" i="4"/>
  <c r="AC22" i="4"/>
  <c r="AD22" i="4"/>
  <c r="AE22" i="4"/>
  <c r="AF22" i="4"/>
  <c r="AG22" i="4"/>
  <c r="AH22" i="4"/>
  <c r="AI22" i="4"/>
  <c r="AJ22" i="4"/>
  <c r="AT22" i="4"/>
  <c r="AU22" i="4"/>
  <c r="AV22" i="4"/>
  <c r="BB22" i="4"/>
  <c r="BC22" i="4"/>
  <c r="BD22" i="4"/>
  <c r="BE22" i="4"/>
  <c r="BF22" i="4"/>
  <c r="BG22" i="4"/>
  <c r="BH22" i="4"/>
  <c r="BI22" i="4"/>
  <c r="BJ22" i="4"/>
  <c r="BL22" i="4"/>
  <c r="BM22" i="4"/>
  <c r="BN22" i="4"/>
  <c r="BO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G22" i="4"/>
  <c r="CJ22" i="4"/>
  <c r="CK22" i="4"/>
  <c r="CL22" i="4"/>
  <c r="CN22" i="4"/>
  <c r="CP22" i="4"/>
  <c r="CQ22" i="4"/>
  <c r="C23" i="4"/>
  <c r="D23" i="4"/>
  <c r="E23" i="4"/>
  <c r="F23" i="4"/>
  <c r="N23" i="4"/>
  <c r="O23" i="4"/>
  <c r="P23" i="4"/>
  <c r="Q23" i="4"/>
  <c r="R23" i="4"/>
  <c r="S23" i="4"/>
  <c r="T23" i="4"/>
  <c r="U23" i="4"/>
  <c r="V23" i="4"/>
  <c r="W23" i="4"/>
  <c r="X23" i="4"/>
  <c r="AB23" i="4"/>
  <c r="AC23" i="4"/>
  <c r="AD23" i="4"/>
  <c r="AE23" i="4"/>
  <c r="AF23" i="4"/>
  <c r="AG23" i="4"/>
  <c r="AH23" i="4"/>
  <c r="AI23" i="4"/>
  <c r="AJ23" i="4"/>
  <c r="AT23" i="4"/>
  <c r="AU23" i="4"/>
  <c r="AV23" i="4"/>
  <c r="BB23" i="4"/>
  <c r="BC23" i="4"/>
  <c r="BD23" i="4"/>
  <c r="BE23" i="4"/>
  <c r="BF23" i="4"/>
  <c r="BG23" i="4"/>
  <c r="BH23" i="4"/>
  <c r="BI23" i="4"/>
  <c r="BJ23" i="4"/>
  <c r="BL23" i="4"/>
  <c r="BM23" i="4"/>
  <c r="BN23" i="4"/>
  <c r="BO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G23" i="4"/>
  <c r="CJ23" i="4"/>
  <c r="CK23" i="4"/>
  <c r="CL23" i="4"/>
  <c r="CN23" i="4"/>
  <c r="CP23" i="4"/>
  <c r="CQ23" i="4"/>
  <c r="C24" i="4"/>
  <c r="D24" i="4"/>
  <c r="E24" i="4"/>
  <c r="F24" i="4"/>
  <c r="N24" i="4"/>
  <c r="O24" i="4"/>
  <c r="P24" i="4"/>
  <c r="Q24" i="4"/>
  <c r="R24" i="4"/>
  <c r="S24" i="4"/>
  <c r="T24" i="4"/>
  <c r="U24" i="4"/>
  <c r="V24" i="4"/>
  <c r="W24" i="4"/>
  <c r="X24" i="4"/>
  <c r="AB24" i="4"/>
  <c r="AC24" i="4"/>
  <c r="AD24" i="4"/>
  <c r="AE24" i="4"/>
  <c r="AF24" i="4"/>
  <c r="AG24" i="4"/>
  <c r="AH24" i="4"/>
  <c r="AI24" i="4"/>
  <c r="AJ24" i="4"/>
  <c r="AT24" i="4"/>
  <c r="AU24" i="4"/>
  <c r="AV24" i="4"/>
  <c r="BB24" i="4"/>
  <c r="BC24" i="4"/>
  <c r="BD24" i="4"/>
  <c r="BE24" i="4"/>
  <c r="BF24" i="4"/>
  <c r="BG24" i="4"/>
  <c r="BH24" i="4"/>
  <c r="BI24" i="4"/>
  <c r="BJ24" i="4"/>
  <c r="BL24" i="4"/>
  <c r="BM24" i="4"/>
  <c r="BN24" i="4"/>
  <c r="BO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G24" i="4"/>
  <c r="CJ24" i="4"/>
  <c r="CK24" i="4"/>
  <c r="CL24" i="4"/>
  <c r="CN24" i="4"/>
  <c r="CP24" i="4"/>
  <c r="CQ24" i="4"/>
  <c r="C25" i="4"/>
  <c r="D25" i="4"/>
  <c r="E25" i="4"/>
  <c r="F25" i="4"/>
  <c r="N25" i="4"/>
  <c r="O25" i="4"/>
  <c r="P25" i="4"/>
  <c r="Q25" i="4"/>
  <c r="R25" i="4"/>
  <c r="S25" i="4"/>
  <c r="T25" i="4"/>
  <c r="U25" i="4"/>
  <c r="V25" i="4"/>
  <c r="W25" i="4"/>
  <c r="X25" i="4"/>
  <c r="AB25" i="4"/>
  <c r="AC25" i="4"/>
  <c r="AD25" i="4"/>
  <c r="AE25" i="4"/>
  <c r="AF25" i="4"/>
  <c r="AG25" i="4"/>
  <c r="AH25" i="4"/>
  <c r="AI25" i="4"/>
  <c r="AJ25" i="4"/>
  <c r="AT25" i="4"/>
  <c r="AU25" i="4"/>
  <c r="AV25" i="4"/>
  <c r="BB25" i="4"/>
  <c r="BC25" i="4"/>
  <c r="BD25" i="4"/>
  <c r="BE25" i="4"/>
  <c r="BF25" i="4"/>
  <c r="BG25" i="4"/>
  <c r="BH25" i="4"/>
  <c r="BI25" i="4"/>
  <c r="BJ25" i="4"/>
  <c r="BL25" i="4"/>
  <c r="BM25" i="4"/>
  <c r="BN25" i="4"/>
  <c r="BO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G25" i="4"/>
  <c r="CJ25" i="4"/>
  <c r="CK25" i="4"/>
  <c r="CL25" i="4"/>
  <c r="CN25" i="4"/>
  <c r="CP25" i="4"/>
  <c r="CQ25" i="4"/>
  <c r="C26" i="4"/>
  <c r="D26" i="4"/>
  <c r="E26" i="4"/>
  <c r="F26" i="4"/>
  <c r="N26" i="4"/>
  <c r="O26" i="4"/>
  <c r="P26" i="4"/>
  <c r="Q26" i="4"/>
  <c r="R26" i="4"/>
  <c r="S26" i="4"/>
  <c r="T26" i="4"/>
  <c r="U26" i="4"/>
  <c r="V26" i="4"/>
  <c r="W26" i="4"/>
  <c r="X26" i="4"/>
  <c r="AB26" i="4"/>
  <c r="AC26" i="4"/>
  <c r="AD26" i="4"/>
  <c r="AE26" i="4"/>
  <c r="AF26" i="4"/>
  <c r="AG26" i="4"/>
  <c r="AH26" i="4"/>
  <c r="AI26" i="4"/>
  <c r="AJ26" i="4"/>
  <c r="AT26" i="4"/>
  <c r="AU26" i="4"/>
  <c r="AV26" i="4"/>
  <c r="BB26" i="4"/>
  <c r="BC26" i="4"/>
  <c r="BD26" i="4"/>
  <c r="BE26" i="4"/>
  <c r="BF26" i="4"/>
  <c r="BG26" i="4"/>
  <c r="BH26" i="4"/>
  <c r="BI26" i="4"/>
  <c r="BJ26" i="4"/>
  <c r="BL26" i="4"/>
  <c r="BM26" i="4"/>
  <c r="BN26" i="4"/>
  <c r="BO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G26" i="4"/>
  <c r="CJ26" i="4"/>
  <c r="CK26" i="4"/>
  <c r="CL26" i="4"/>
  <c r="CN26" i="4"/>
  <c r="CP26" i="4"/>
  <c r="CQ26" i="4"/>
  <c r="C27" i="4"/>
  <c r="D27" i="4"/>
  <c r="E27" i="4"/>
  <c r="F27" i="4"/>
  <c r="N27" i="4"/>
  <c r="O27" i="4"/>
  <c r="P27" i="4"/>
  <c r="Q27" i="4"/>
  <c r="R27" i="4"/>
  <c r="S27" i="4"/>
  <c r="T27" i="4"/>
  <c r="U27" i="4"/>
  <c r="V27" i="4"/>
  <c r="W27" i="4"/>
  <c r="X27" i="4"/>
  <c r="AB27" i="4"/>
  <c r="AC27" i="4"/>
  <c r="AD27" i="4"/>
  <c r="AE27" i="4"/>
  <c r="AF27" i="4"/>
  <c r="AG27" i="4"/>
  <c r="AH27" i="4"/>
  <c r="AI27" i="4"/>
  <c r="AJ27" i="4"/>
  <c r="AT27" i="4"/>
  <c r="AU27" i="4"/>
  <c r="AV27" i="4"/>
  <c r="BB27" i="4"/>
  <c r="BC27" i="4"/>
  <c r="BD27" i="4"/>
  <c r="BE27" i="4"/>
  <c r="BF27" i="4"/>
  <c r="BG27" i="4"/>
  <c r="BH27" i="4"/>
  <c r="BI27" i="4"/>
  <c r="BJ27" i="4"/>
  <c r="BL27" i="4"/>
  <c r="BM27" i="4"/>
  <c r="BN27" i="4"/>
  <c r="BO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G27" i="4"/>
  <c r="CJ27" i="4"/>
  <c r="CK27" i="4"/>
  <c r="CL27" i="4"/>
  <c r="CN27" i="4"/>
  <c r="CP27" i="4"/>
  <c r="CQ27" i="4"/>
  <c r="C28" i="4"/>
  <c r="D28" i="4"/>
  <c r="E28" i="4"/>
  <c r="F28" i="4"/>
  <c r="N28" i="4"/>
  <c r="O28" i="4"/>
  <c r="P28" i="4"/>
  <c r="Q28" i="4"/>
  <c r="R28" i="4"/>
  <c r="S28" i="4"/>
  <c r="T28" i="4"/>
  <c r="U28" i="4"/>
  <c r="V28" i="4"/>
  <c r="W28" i="4"/>
  <c r="X28" i="4"/>
  <c r="AB28" i="4"/>
  <c r="AC28" i="4"/>
  <c r="AD28" i="4"/>
  <c r="AE28" i="4"/>
  <c r="AF28" i="4"/>
  <c r="AG28" i="4"/>
  <c r="AH28" i="4"/>
  <c r="AI28" i="4"/>
  <c r="AJ28" i="4"/>
  <c r="AT28" i="4"/>
  <c r="AU28" i="4"/>
  <c r="AV28" i="4"/>
  <c r="BB28" i="4"/>
  <c r="BC28" i="4"/>
  <c r="BD28" i="4"/>
  <c r="BE28" i="4"/>
  <c r="BF28" i="4"/>
  <c r="BG28" i="4"/>
  <c r="BH28" i="4"/>
  <c r="BI28" i="4"/>
  <c r="BJ28" i="4"/>
  <c r="BL28" i="4"/>
  <c r="BM28" i="4"/>
  <c r="BN28" i="4"/>
  <c r="BO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G28" i="4"/>
  <c r="CJ28" i="4"/>
  <c r="CK28" i="4"/>
  <c r="CL28" i="4"/>
  <c r="CN28" i="4"/>
  <c r="CP28" i="4"/>
  <c r="CQ28" i="4"/>
  <c r="C29" i="4"/>
  <c r="D29" i="4"/>
  <c r="E29" i="4"/>
  <c r="F29" i="4"/>
  <c r="N29" i="4"/>
  <c r="O29" i="4"/>
  <c r="P29" i="4"/>
  <c r="Q29" i="4"/>
  <c r="R29" i="4"/>
  <c r="S29" i="4"/>
  <c r="T29" i="4"/>
  <c r="U29" i="4"/>
  <c r="V29" i="4"/>
  <c r="W29" i="4"/>
  <c r="X29" i="4"/>
  <c r="AB29" i="4"/>
  <c r="AC29" i="4"/>
  <c r="AD29" i="4"/>
  <c r="AE29" i="4"/>
  <c r="AF29" i="4"/>
  <c r="AG29" i="4"/>
  <c r="AH29" i="4"/>
  <c r="AI29" i="4"/>
  <c r="AJ29" i="4"/>
  <c r="AT29" i="4"/>
  <c r="AU29" i="4"/>
  <c r="AV29" i="4"/>
  <c r="BB29" i="4"/>
  <c r="BC29" i="4"/>
  <c r="BD29" i="4"/>
  <c r="BE29" i="4"/>
  <c r="BF29" i="4"/>
  <c r="BG29" i="4"/>
  <c r="BH29" i="4"/>
  <c r="BI29" i="4"/>
  <c r="BJ29" i="4"/>
  <c r="BL29" i="4"/>
  <c r="BM29" i="4"/>
  <c r="BN29" i="4"/>
  <c r="BO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G29" i="4"/>
  <c r="CJ29" i="4"/>
  <c r="CK29" i="4"/>
  <c r="CL29" i="4"/>
  <c r="CN29" i="4"/>
  <c r="CP29" i="4"/>
  <c r="CQ29" i="4"/>
  <c r="C30" i="4"/>
  <c r="D30" i="4"/>
  <c r="E30" i="4"/>
  <c r="F30" i="4"/>
  <c r="N30" i="4"/>
  <c r="O30" i="4"/>
  <c r="P30" i="4"/>
  <c r="Q30" i="4"/>
  <c r="R30" i="4"/>
  <c r="S30" i="4"/>
  <c r="T30" i="4"/>
  <c r="U30" i="4"/>
  <c r="V30" i="4"/>
  <c r="W30" i="4"/>
  <c r="X30" i="4"/>
  <c r="AB30" i="4"/>
  <c r="AC30" i="4"/>
  <c r="AD30" i="4"/>
  <c r="AE30" i="4"/>
  <c r="AF30" i="4"/>
  <c r="AG30" i="4"/>
  <c r="AH30" i="4"/>
  <c r="AI30" i="4"/>
  <c r="AJ30" i="4"/>
  <c r="AT30" i="4"/>
  <c r="AU30" i="4"/>
  <c r="AV30" i="4"/>
  <c r="BB30" i="4"/>
  <c r="BC30" i="4"/>
  <c r="BD30" i="4"/>
  <c r="BE30" i="4"/>
  <c r="BF30" i="4"/>
  <c r="BG30" i="4"/>
  <c r="BH30" i="4"/>
  <c r="BI30" i="4"/>
  <c r="BJ30" i="4"/>
  <c r="BL30" i="4"/>
  <c r="BM30" i="4"/>
  <c r="BN30" i="4"/>
  <c r="BO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G30" i="4"/>
  <c r="CJ30" i="4"/>
  <c r="CK30" i="4"/>
  <c r="CL30" i="4"/>
  <c r="CN30" i="4"/>
  <c r="CP30" i="4"/>
  <c r="CQ30" i="4"/>
  <c r="C31" i="4"/>
  <c r="D31" i="4"/>
  <c r="E31" i="4"/>
  <c r="F31" i="4"/>
  <c r="N31" i="4"/>
  <c r="O31" i="4"/>
  <c r="P31" i="4"/>
  <c r="Q31" i="4"/>
  <c r="R31" i="4"/>
  <c r="S31" i="4"/>
  <c r="T31" i="4"/>
  <c r="U31" i="4"/>
  <c r="V31" i="4"/>
  <c r="W31" i="4"/>
  <c r="X31" i="4"/>
  <c r="AB31" i="4"/>
  <c r="AC31" i="4"/>
  <c r="AD31" i="4"/>
  <c r="AE31" i="4"/>
  <c r="AF31" i="4"/>
  <c r="AG31" i="4"/>
  <c r="AH31" i="4"/>
  <c r="AI31" i="4"/>
  <c r="AJ31" i="4"/>
  <c r="AT31" i="4"/>
  <c r="AU31" i="4"/>
  <c r="AV31" i="4"/>
  <c r="BB31" i="4"/>
  <c r="BC31" i="4"/>
  <c r="BD31" i="4"/>
  <c r="BE31" i="4"/>
  <c r="BF31" i="4"/>
  <c r="BG31" i="4"/>
  <c r="BH31" i="4"/>
  <c r="BI31" i="4"/>
  <c r="BJ31" i="4"/>
  <c r="BL31" i="4"/>
  <c r="BM31" i="4"/>
  <c r="BN31" i="4"/>
  <c r="BO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G31" i="4"/>
  <c r="CJ31" i="4"/>
  <c r="CK31" i="4"/>
  <c r="CL31" i="4"/>
  <c r="CN31" i="4"/>
  <c r="CP31" i="4"/>
  <c r="CQ31" i="4"/>
  <c r="C32" i="4"/>
  <c r="D32" i="4"/>
  <c r="E32" i="4"/>
  <c r="F32" i="4"/>
  <c r="N32" i="4"/>
  <c r="O32" i="4"/>
  <c r="P32" i="4"/>
  <c r="Q32" i="4"/>
  <c r="R32" i="4"/>
  <c r="S32" i="4"/>
  <c r="T32" i="4"/>
  <c r="U32" i="4"/>
  <c r="V32" i="4"/>
  <c r="W32" i="4"/>
  <c r="X32" i="4"/>
  <c r="AB32" i="4"/>
  <c r="AC32" i="4"/>
  <c r="AD32" i="4"/>
  <c r="AE32" i="4"/>
  <c r="AF32" i="4"/>
  <c r="AG32" i="4"/>
  <c r="AH32" i="4"/>
  <c r="AI32" i="4"/>
  <c r="AJ32" i="4"/>
  <c r="AT32" i="4"/>
  <c r="AU32" i="4"/>
  <c r="AV32" i="4"/>
  <c r="BB32" i="4"/>
  <c r="BC32" i="4"/>
  <c r="BD32" i="4"/>
  <c r="BE32" i="4"/>
  <c r="BF32" i="4"/>
  <c r="BG32" i="4"/>
  <c r="BH32" i="4"/>
  <c r="BI32" i="4"/>
  <c r="BJ32" i="4"/>
  <c r="BL32" i="4"/>
  <c r="BM32" i="4"/>
  <c r="BN32" i="4"/>
  <c r="BO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G32" i="4"/>
  <c r="CJ32" i="4"/>
  <c r="CK32" i="4"/>
  <c r="CL32" i="4"/>
  <c r="CN32" i="4"/>
  <c r="CP32" i="4"/>
  <c r="CQ32" i="4"/>
  <c r="C33" i="4"/>
  <c r="D33" i="4"/>
  <c r="E33" i="4"/>
  <c r="F33" i="4"/>
  <c r="N33" i="4"/>
  <c r="O33" i="4"/>
  <c r="P33" i="4"/>
  <c r="Q33" i="4"/>
  <c r="R33" i="4"/>
  <c r="S33" i="4"/>
  <c r="T33" i="4"/>
  <c r="U33" i="4"/>
  <c r="V33" i="4"/>
  <c r="W33" i="4"/>
  <c r="X33" i="4"/>
  <c r="AB33" i="4"/>
  <c r="AC33" i="4"/>
  <c r="AD33" i="4"/>
  <c r="AE33" i="4"/>
  <c r="AF33" i="4"/>
  <c r="AG33" i="4"/>
  <c r="AH33" i="4"/>
  <c r="AI33" i="4"/>
  <c r="AJ33" i="4"/>
  <c r="AT33" i="4"/>
  <c r="AU33" i="4"/>
  <c r="AV33" i="4"/>
  <c r="BB33" i="4"/>
  <c r="BC33" i="4"/>
  <c r="BD33" i="4"/>
  <c r="BE33" i="4"/>
  <c r="BF33" i="4"/>
  <c r="BG33" i="4"/>
  <c r="BH33" i="4"/>
  <c r="BI33" i="4"/>
  <c r="BJ33" i="4"/>
  <c r="BL33" i="4"/>
  <c r="BM33" i="4"/>
  <c r="BN33" i="4"/>
  <c r="BO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G33" i="4"/>
  <c r="CJ33" i="4"/>
  <c r="CK33" i="4"/>
  <c r="CL33" i="4"/>
  <c r="CN33" i="4"/>
  <c r="CP33" i="4"/>
  <c r="CQ33" i="4"/>
  <c r="C34" i="4"/>
  <c r="D34" i="4"/>
  <c r="E34" i="4"/>
  <c r="F34" i="4"/>
  <c r="N34" i="4"/>
  <c r="O34" i="4"/>
  <c r="P34" i="4"/>
  <c r="Q34" i="4"/>
  <c r="R34" i="4"/>
  <c r="S34" i="4"/>
  <c r="T34" i="4"/>
  <c r="U34" i="4"/>
  <c r="V34" i="4"/>
  <c r="W34" i="4"/>
  <c r="X34" i="4"/>
  <c r="AB34" i="4"/>
  <c r="AC34" i="4"/>
  <c r="AD34" i="4"/>
  <c r="AE34" i="4"/>
  <c r="AF34" i="4"/>
  <c r="AG34" i="4"/>
  <c r="AH34" i="4"/>
  <c r="AI34" i="4"/>
  <c r="AJ34" i="4"/>
  <c r="AT34" i="4"/>
  <c r="AU34" i="4"/>
  <c r="AV34" i="4"/>
  <c r="BB34" i="4"/>
  <c r="BC34" i="4"/>
  <c r="BD34" i="4"/>
  <c r="BE34" i="4"/>
  <c r="BF34" i="4"/>
  <c r="BG34" i="4"/>
  <c r="BH34" i="4"/>
  <c r="BI34" i="4"/>
  <c r="BJ34" i="4"/>
  <c r="BL34" i="4"/>
  <c r="BM34" i="4"/>
  <c r="BN34" i="4"/>
  <c r="BO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G34" i="4"/>
  <c r="CJ34" i="4"/>
  <c r="CK34" i="4"/>
  <c r="CL34" i="4"/>
  <c r="CN34" i="4"/>
  <c r="CP34" i="4"/>
  <c r="CQ34" i="4"/>
  <c r="C35" i="4"/>
  <c r="D35" i="4"/>
  <c r="E35" i="4"/>
  <c r="F35" i="4"/>
  <c r="N35" i="4"/>
  <c r="O35" i="4"/>
  <c r="P35" i="4"/>
  <c r="Q35" i="4"/>
  <c r="R35" i="4"/>
  <c r="S35" i="4"/>
  <c r="T35" i="4"/>
  <c r="U35" i="4"/>
  <c r="V35" i="4"/>
  <c r="W35" i="4"/>
  <c r="X35" i="4"/>
  <c r="AB35" i="4"/>
  <c r="AC35" i="4"/>
  <c r="AD35" i="4"/>
  <c r="AE35" i="4"/>
  <c r="AF35" i="4"/>
  <c r="AG35" i="4"/>
  <c r="AH35" i="4"/>
  <c r="AI35" i="4"/>
  <c r="AJ35" i="4"/>
  <c r="AT35" i="4"/>
  <c r="AU35" i="4"/>
  <c r="AV35" i="4"/>
  <c r="BB35" i="4"/>
  <c r="BC35" i="4"/>
  <c r="BD35" i="4"/>
  <c r="BE35" i="4"/>
  <c r="BF35" i="4"/>
  <c r="BG35" i="4"/>
  <c r="BH35" i="4"/>
  <c r="BI35" i="4"/>
  <c r="BJ35" i="4"/>
  <c r="BL35" i="4"/>
  <c r="BM35" i="4"/>
  <c r="BN35" i="4"/>
  <c r="BO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G35" i="4"/>
  <c r="CJ35" i="4"/>
  <c r="CK35" i="4"/>
  <c r="CL35" i="4"/>
  <c r="CN35" i="4"/>
  <c r="CP35" i="4"/>
  <c r="CQ35" i="4"/>
  <c r="C36" i="4"/>
  <c r="D36" i="4"/>
  <c r="E36" i="4"/>
  <c r="F36" i="4"/>
  <c r="N36" i="4"/>
  <c r="O36" i="4"/>
  <c r="P36" i="4"/>
  <c r="Q36" i="4"/>
  <c r="R36" i="4"/>
  <c r="S36" i="4"/>
  <c r="T36" i="4"/>
  <c r="U36" i="4"/>
  <c r="V36" i="4"/>
  <c r="W36" i="4"/>
  <c r="X36" i="4"/>
  <c r="AB36" i="4"/>
  <c r="AC36" i="4"/>
  <c r="AD36" i="4"/>
  <c r="AE36" i="4"/>
  <c r="AF36" i="4"/>
  <c r="AG36" i="4"/>
  <c r="AH36" i="4"/>
  <c r="AI36" i="4"/>
  <c r="AJ36" i="4"/>
  <c r="AT36" i="4"/>
  <c r="AU36" i="4"/>
  <c r="AV36" i="4"/>
  <c r="BB36" i="4"/>
  <c r="BC36" i="4"/>
  <c r="BD36" i="4"/>
  <c r="BE36" i="4"/>
  <c r="BF36" i="4"/>
  <c r="BG36" i="4"/>
  <c r="BH36" i="4"/>
  <c r="BI36" i="4"/>
  <c r="BJ36" i="4"/>
  <c r="BL36" i="4"/>
  <c r="BM36" i="4"/>
  <c r="BN36" i="4"/>
  <c r="BO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G36" i="4"/>
  <c r="CJ36" i="4"/>
  <c r="CK36" i="4"/>
  <c r="CL36" i="4"/>
  <c r="CN36" i="4"/>
  <c r="CP36" i="4"/>
  <c r="CQ36" i="4"/>
  <c r="C37" i="4"/>
  <c r="D37" i="4"/>
  <c r="E37" i="4"/>
  <c r="F37" i="4"/>
  <c r="N37" i="4"/>
  <c r="O37" i="4"/>
  <c r="P37" i="4"/>
  <c r="Q37" i="4"/>
  <c r="R37" i="4"/>
  <c r="S37" i="4"/>
  <c r="T37" i="4"/>
  <c r="U37" i="4"/>
  <c r="V37" i="4"/>
  <c r="W37" i="4"/>
  <c r="X37" i="4"/>
  <c r="AB37" i="4"/>
  <c r="AC37" i="4"/>
  <c r="AD37" i="4"/>
  <c r="AE37" i="4"/>
  <c r="AF37" i="4"/>
  <c r="AG37" i="4"/>
  <c r="AH37" i="4"/>
  <c r="AI37" i="4"/>
  <c r="AJ37" i="4"/>
  <c r="AT37" i="4"/>
  <c r="AU37" i="4"/>
  <c r="AV37" i="4"/>
  <c r="BB37" i="4"/>
  <c r="BC37" i="4"/>
  <c r="BD37" i="4"/>
  <c r="BE37" i="4"/>
  <c r="BF37" i="4"/>
  <c r="BG37" i="4"/>
  <c r="BH37" i="4"/>
  <c r="BI37" i="4"/>
  <c r="BJ37" i="4"/>
  <c r="BL37" i="4"/>
  <c r="BM37" i="4"/>
  <c r="BN37" i="4"/>
  <c r="BO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G37" i="4"/>
  <c r="CJ37" i="4"/>
  <c r="CK37" i="4"/>
  <c r="CL37" i="4"/>
  <c r="CN37" i="4"/>
  <c r="CP37" i="4"/>
  <c r="CQ37" i="4"/>
  <c r="C38" i="4"/>
  <c r="D38" i="4"/>
  <c r="E38" i="4"/>
  <c r="F38" i="4"/>
  <c r="N38" i="4"/>
  <c r="O38" i="4"/>
  <c r="P38" i="4"/>
  <c r="Q38" i="4"/>
  <c r="R38" i="4"/>
  <c r="S38" i="4"/>
  <c r="T38" i="4"/>
  <c r="U38" i="4"/>
  <c r="V38" i="4"/>
  <c r="W38" i="4"/>
  <c r="X38" i="4"/>
  <c r="AB38" i="4"/>
  <c r="AC38" i="4"/>
  <c r="AD38" i="4"/>
  <c r="AE38" i="4"/>
  <c r="AF38" i="4"/>
  <c r="AG38" i="4"/>
  <c r="AH38" i="4"/>
  <c r="AI38" i="4"/>
  <c r="AJ38" i="4"/>
  <c r="AT38" i="4"/>
  <c r="AU38" i="4"/>
  <c r="AV38" i="4"/>
  <c r="BB38" i="4"/>
  <c r="BC38" i="4"/>
  <c r="BD38" i="4"/>
  <c r="BE38" i="4"/>
  <c r="BF38" i="4"/>
  <c r="BG38" i="4"/>
  <c r="BH38" i="4"/>
  <c r="BI38" i="4"/>
  <c r="BJ38" i="4"/>
  <c r="BL38" i="4"/>
  <c r="BM38" i="4"/>
  <c r="BN38" i="4"/>
  <c r="BO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G38" i="4"/>
  <c r="CJ38" i="4"/>
  <c r="CK38" i="4"/>
  <c r="CL38" i="4"/>
  <c r="CN38" i="4"/>
  <c r="CP38" i="4"/>
  <c r="CQ38" i="4"/>
  <c r="C39" i="4"/>
  <c r="D39" i="4"/>
  <c r="E39" i="4"/>
  <c r="F39" i="4"/>
  <c r="N39" i="4"/>
  <c r="O39" i="4"/>
  <c r="P39" i="4"/>
  <c r="Q39" i="4"/>
  <c r="R39" i="4"/>
  <c r="S39" i="4"/>
  <c r="T39" i="4"/>
  <c r="U39" i="4"/>
  <c r="V39" i="4"/>
  <c r="W39" i="4"/>
  <c r="X39" i="4"/>
  <c r="AB39" i="4"/>
  <c r="AC39" i="4"/>
  <c r="AD39" i="4"/>
  <c r="AE39" i="4"/>
  <c r="AF39" i="4"/>
  <c r="AG39" i="4"/>
  <c r="AH39" i="4"/>
  <c r="AI39" i="4"/>
  <c r="AJ39" i="4"/>
  <c r="AT39" i="4"/>
  <c r="AU39" i="4"/>
  <c r="AV39" i="4"/>
  <c r="BB39" i="4"/>
  <c r="BC39" i="4"/>
  <c r="BD39" i="4"/>
  <c r="BE39" i="4"/>
  <c r="BF39" i="4"/>
  <c r="BG39" i="4"/>
  <c r="BH39" i="4"/>
  <c r="BI39" i="4"/>
  <c r="BJ39" i="4"/>
  <c r="BL39" i="4"/>
  <c r="BM39" i="4"/>
  <c r="BN39" i="4"/>
  <c r="BO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G39" i="4"/>
  <c r="CJ39" i="4"/>
  <c r="CK39" i="4"/>
  <c r="CL39" i="4"/>
  <c r="CN39" i="4"/>
  <c r="CP39" i="4"/>
  <c r="CQ39" i="4"/>
  <c r="C40" i="4"/>
  <c r="D40" i="4"/>
  <c r="E40" i="4"/>
  <c r="F40" i="4"/>
  <c r="N40" i="4"/>
  <c r="O40" i="4"/>
  <c r="P40" i="4"/>
  <c r="Q40" i="4"/>
  <c r="R40" i="4"/>
  <c r="S40" i="4"/>
  <c r="T40" i="4"/>
  <c r="U40" i="4"/>
  <c r="V40" i="4"/>
  <c r="W40" i="4"/>
  <c r="X40" i="4"/>
  <c r="AB40" i="4"/>
  <c r="AC40" i="4"/>
  <c r="AD40" i="4"/>
  <c r="AE40" i="4"/>
  <c r="AF40" i="4"/>
  <c r="AG40" i="4"/>
  <c r="AH40" i="4"/>
  <c r="AI40" i="4"/>
  <c r="AJ40" i="4"/>
  <c r="AT40" i="4"/>
  <c r="AU40" i="4"/>
  <c r="AV40" i="4"/>
  <c r="BB40" i="4"/>
  <c r="BC40" i="4"/>
  <c r="BD40" i="4"/>
  <c r="BE40" i="4"/>
  <c r="BF40" i="4"/>
  <c r="BG40" i="4"/>
  <c r="BH40" i="4"/>
  <c r="BI40" i="4"/>
  <c r="BJ40" i="4"/>
  <c r="BL40" i="4"/>
  <c r="BM40" i="4"/>
  <c r="BN40" i="4"/>
  <c r="BO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G40" i="4"/>
  <c r="CJ40" i="4"/>
  <c r="CK40" i="4"/>
  <c r="CL40" i="4"/>
  <c r="CN40" i="4"/>
  <c r="CP40" i="4"/>
  <c r="CQ40" i="4"/>
  <c r="C41" i="4"/>
  <c r="D41" i="4"/>
  <c r="E41" i="4"/>
  <c r="F41" i="4"/>
  <c r="N41" i="4"/>
  <c r="O41" i="4"/>
  <c r="P41" i="4"/>
  <c r="Q41" i="4"/>
  <c r="R41" i="4"/>
  <c r="S41" i="4"/>
  <c r="T41" i="4"/>
  <c r="U41" i="4"/>
  <c r="V41" i="4"/>
  <c r="W41" i="4"/>
  <c r="X41" i="4"/>
  <c r="AB41" i="4"/>
  <c r="AC41" i="4"/>
  <c r="AD41" i="4"/>
  <c r="AE41" i="4"/>
  <c r="AF41" i="4"/>
  <c r="AG41" i="4"/>
  <c r="AH41" i="4"/>
  <c r="AI41" i="4"/>
  <c r="AJ41" i="4"/>
  <c r="AT41" i="4"/>
  <c r="AU41" i="4"/>
  <c r="AV41" i="4"/>
  <c r="BB41" i="4"/>
  <c r="BC41" i="4"/>
  <c r="BD41" i="4"/>
  <c r="BE41" i="4"/>
  <c r="BF41" i="4"/>
  <c r="BG41" i="4"/>
  <c r="BH41" i="4"/>
  <c r="BI41" i="4"/>
  <c r="BJ41" i="4"/>
  <c r="BL41" i="4"/>
  <c r="BM41" i="4"/>
  <c r="BN41" i="4"/>
  <c r="BO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G41" i="4"/>
  <c r="CJ41" i="4"/>
  <c r="CK41" i="4"/>
  <c r="CL41" i="4"/>
  <c r="CN41" i="4"/>
  <c r="CP41" i="4"/>
  <c r="CQ41" i="4"/>
  <c r="C42" i="4"/>
  <c r="D42" i="4"/>
  <c r="E42" i="4"/>
  <c r="F42" i="4"/>
  <c r="N42" i="4"/>
  <c r="O42" i="4"/>
  <c r="P42" i="4"/>
  <c r="Q42" i="4"/>
  <c r="R42" i="4"/>
  <c r="S42" i="4"/>
  <c r="T42" i="4"/>
  <c r="U42" i="4"/>
  <c r="V42" i="4"/>
  <c r="W42" i="4"/>
  <c r="X42" i="4"/>
  <c r="AB42" i="4"/>
  <c r="AC42" i="4"/>
  <c r="AD42" i="4"/>
  <c r="AE42" i="4"/>
  <c r="AF42" i="4"/>
  <c r="AG42" i="4"/>
  <c r="AH42" i="4"/>
  <c r="AI42" i="4"/>
  <c r="AJ42" i="4"/>
  <c r="AT42" i="4"/>
  <c r="AU42" i="4"/>
  <c r="AV42" i="4"/>
  <c r="BB42" i="4"/>
  <c r="BC42" i="4"/>
  <c r="BD42" i="4"/>
  <c r="BE42" i="4"/>
  <c r="BF42" i="4"/>
  <c r="BG42" i="4"/>
  <c r="BH42" i="4"/>
  <c r="BI42" i="4"/>
  <c r="BJ42" i="4"/>
  <c r="BL42" i="4"/>
  <c r="BM42" i="4"/>
  <c r="BN42" i="4"/>
  <c r="BO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G42" i="4"/>
  <c r="CJ42" i="4"/>
  <c r="CK42" i="4"/>
  <c r="CL42" i="4"/>
  <c r="CN42" i="4"/>
  <c r="CP42" i="4"/>
  <c r="CQ42" i="4"/>
  <c r="C43" i="4"/>
  <c r="D43" i="4"/>
  <c r="E43" i="4"/>
  <c r="F43" i="4"/>
  <c r="N43" i="4"/>
  <c r="O43" i="4"/>
  <c r="P43" i="4"/>
  <c r="Q43" i="4"/>
  <c r="R43" i="4"/>
  <c r="S43" i="4"/>
  <c r="T43" i="4"/>
  <c r="U43" i="4"/>
  <c r="V43" i="4"/>
  <c r="W43" i="4"/>
  <c r="X43" i="4"/>
  <c r="AB43" i="4"/>
  <c r="AC43" i="4"/>
  <c r="AD43" i="4"/>
  <c r="AE43" i="4"/>
  <c r="AF43" i="4"/>
  <c r="AG43" i="4"/>
  <c r="AH43" i="4"/>
  <c r="AI43" i="4"/>
  <c r="AJ43" i="4"/>
  <c r="AT43" i="4"/>
  <c r="AU43" i="4"/>
  <c r="AV43" i="4"/>
  <c r="BB43" i="4"/>
  <c r="BC43" i="4"/>
  <c r="BD43" i="4"/>
  <c r="BE43" i="4"/>
  <c r="BF43" i="4"/>
  <c r="BG43" i="4"/>
  <c r="BH43" i="4"/>
  <c r="BI43" i="4"/>
  <c r="BJ43" i="4"/>
  <c r="BL43" i="4"/>
  <c r="BM43" i="4"/>
  <c r="BN43" i="4"/>
  <c r="BO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G43" i="4"/>
  <c r="CJ43" i="4"/>
  <c r="CK43" i="4"/>
  <c r="CL43" i="4"/>
  <c r="CN43" i="4"/>
  <c r="CP43" i="4"/>
  <c r="CQ43" i="4"/>
  <c r="C44" i="4"/>
  <c r="D44" i="4"/>
  <c r="E44" i="4"/>
  <c r="F44" i="4"/>
  <c r="N44" i="4"/>
  <c r="O44" i="4"/>
  <c r="P44" i="4"/>
  <c r="Q44" i="4"/>
  <c r="R44" i="4"/>
  <c r="S44" i="4"/>
  <c r="T44" i="4"/>
  <c r="U44" i="4"/>
  <c r="V44" i="4"/>
  <c r="W44" i="4"/>
  <c r="X44" i="4"/>
  <c r="AB44" i="4"/>
  <c r="AC44" i="4"/>
  <c r="AD44" i="4"/>
  <c r="AE44" i="4"/>
  <c r="AF44" i="4"/>
  <c r="AG44" i="4"/>
  <c r="AH44" i="4"/>
  <c r="AI44" i="4"/>
  <c r="AJ44" i="4"/>
  <c r="AT44" i="4"/>
  <c r="AU44" i="4"/>
  <c r="AV44" i="4"/>
  <c r="BB44" i="4"/>
  <c r="BC44" i="4"/>
  <c r="BD44" i="4"/>
  <c r="BE44" i="4"/>
  <c r="BF44" i="4"/>
  <c r="BG44" i="4"/>
  <c r="BH44" i="4"/>
  <c r="BI44" i="4"/>
  <c r="BJ44" i="4"/>
  <c r="BL44" i="4"/>
  <c r="BM44" i="4"/>
  <c r="BN44" i="4"/>
  <c r="BO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G44" i="4"/>
  <c r="CJ44" i="4"/>
  <c r="CK44" i="4"/>
  <c r="CL44" i="4"/>
  <c r="CN44" i="4"/>
  <c r="CP44" i="4"/>
  <c r="CQ44" i="4"/>
  <c r="C45" i="4"/>
  <c r="D45" i="4"/>
  <c r="E45" i="4"/>
  <c r="F45" i="4"/>
  <c r="N45" i="4"/>
  <c r="O45" i="4"/>
  <c r="P45" i="4"/>
  <c r="Q45" i="4"/>
  <c r="R45" i="4"/>
  <c r="S45" i="4"/>
  <c r="T45" i="4"/>
  <c r="U45" i="4"/>
  <c r="V45" i="4"/>
  <c r="W45" i="4"/>
  <c r="X45" i="4"/>
  <c r="AB45" i="4"/>
  <c r="AC45" i="4"/>
  <c r="AD45" i="4"/>
  <c r="AE45" i="4"/>
  <c r="AF45" i="4"/>
  <c r="AG45" i="4"/>
  <c r="AH45" i="4"/>
  <c r="AI45" i="4"/>
  <c r="AJ45" i="4"/>
  <c r="AT45" i="4"/>
  <c r="AU45" i="4"/>
  <c r="AV45" i="4"/>
  <c r="BB45" i="4"/>
  <c r="BC45" i="4"/>
  <c r="BD45" i="4"/>
  <c r="BE45" i="4"/>
  <c r="BF45" i="4"/>
  <c r="BG45" i="4"/>
  <c r="BH45" i="4"/>
  <c r="BI45" i="4"/>
  <c r="BJ45" i="4"/>
  <c r="BL45" i="4"/>
  <c r="BM45" i="4"/>
  <c r="BN45" i="4"/>
  <c r="BO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G45" i="4"/>
  <c r="CJ45" i="4"/>
  <c r="CK45" i="4"/>
  <c r="CL45" i="4"/>
  <c r="CN45" i="4"/>
  <c r="CP45" i="4"/>
  <c r="CQ45" i="4"/>
  <c r="C46" i="4"/>
  <c r="D46" i="4"/>
  <c r="E46" i="4"/>
  <c r="F46" i="4"/>
  <c r="N46" i="4"/>
  <c r="O46" i="4"/>
  <c r="P46" i="4"/>
  <c r="Q46" i="4"/>
  <c r="R46" i="4"/>
  <c r="S46" i="4"/>
  <c r="T46" i="4"/>
  <c r="U46" i="4"/>
  <c r="V46" i="4"/>
  <c r="W46" i="4"/>
  <c r="X46" i="4"/>
  <c r="AB46" i="4"/>
  <c r="AC46" i="4"/>
  <c r="AD46" i="4"/>
  <c r="AE46" i="4"/>
  <c r="AF46" i="4"/>
  <c r="AG46" i="4"/>
  <c r="AH46" i="4"/>
  <c r="AI46" i="4"/>
  <c r="AJ46" i="4"/>
  <c r="AT46" i="4"/>
  <c r="AU46" i="4"/>
  <c r="AV46" i="4"/>
  <c r="BB46" i="4"/>
  <c r="BC46" i="4"/>
  <c r="BD46" i="4"/>
  <c r="BE46" i="4"/>
  <c r="BF46" i="4"/>
  <c r="BG46" i="4"/>
  <c r="BH46" i="4"/>
  <c r="BI46" i="4"/>
  <c r="BJ46" i="4"/>
  <c r="BL46" i="4"/>
  <c r="BM46" i="4"/>
  <c r="BN46" i="4"/>
  <c r="BO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G46" i="4"/>
  <c r="CJ46" i="4"/>
  <c r="CK46" i="4"/>
  <c r="CL46" i="4"/>
  <c r="CN46" i="4"/>
  <c r="CP46" i="4"/>
  <c r="CQ46" i="4"/>
  <c r="C47" i="4"/>
  <c r="D47" i="4"/>
  <c r="E47" i="4"/>
  <c r="F47" i="4"/>
  <c r="N47" i="4"/>
  <c r="O47" i="4"/>
  <c r="P47" i="4"/>
  <c r="Q47" i="4"/>
  <c r="R47" i="4"/>
  <c r="S47" i="4"/>
  <c r="T47" i="4"/>
  <c r="U47" i="4"/>
  <c r="V47" i="4"/>
  <c r="W47" i="4"/>
  <c r="X47" i="4"/>
  <c r="AB47" i="4"/>
  <c r="AC47" i="4"/>
  <c r="AD47" i="4"/>
  <c r="AE47" i="4"/>
  <c r="AF47" i="4"/>
  <c r="AG47" i="4"/>
  <c r="AH47" i="4"/>
  <c r="AI47" i="4"/>
  <c r="AJ47" i="4"/>
  <c r="AT47" i="4"/>
  <c r="AU47" i="4"/>
  <c r="AV47" i="4"/>
  <c r="BB47" i="4"/>
  <c r="BC47" i="4"/>
  <c r="BD47" i="4"/>
  <c r="BE47" i="4"/>
  <c r="BF47" i="4"/>
  <c r="BG47" i="4"/>
  <c r="BH47" i="4"/>
  <c r="BI47" i="4"/>
  <c r="BJ47" i="4"/>
  <c r="BL47" i="4"/>
  <c r="BM47" i="4"/>
  <c r="BN47" i="4"/>
  <c r="BO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G47" i="4"/>
  <c r="CJ47" i="4"/>
  <c r="CK47" i="4"/>
  <c r="CL47" i="4"/>
  <c r="CN47" i="4"/>
  <c r="CP47" i="4"/>
  <c r="CQ47" i="4"/>
  <c r="C48" i="4"/>
  <c r="D48" i="4"/>
  <c r="E48" i="4"/>
  <c r="F48" i="4"/>
  <c r="N48" i="4"/>
  <c r="O48" i="4"/>
  <c r="P48" i="4"/>
  <c r="Q48" i="4"/>
  <c r="R48" i="4"/>
  <c r="S48" i="4"/>
  <c r="T48" i="4"/>
  <c r="U48" i="4"/>
  <c r="V48" i="4"/>
  <c r="W48" i="4"/>
  <c r="X48" i="4"/>
  <c r="AB48" i="4"/>
  <c r="AC48" i="4"/>
  <c r="AD48" i="4"/>
  <c r="AE48" i="4"/>
  <c r="AF48" i="4"/>
  <c r="AG48" i="4"/>
  <c r="AH48" i="4"/>
  <c r="AI48" i="4"/>
  <c r="AJ48" i="4"/>
  <c r="AT48" i="4"/>
  <c r="AU48" i="4"/>
  <c r="AV48" i="4"/>
  <c r="BB48" i="4"/>
  <c r="BC48" i="4"/>
  <c r="BD48" i="4"/>
  <c r="BE48" i="4"/>
  <c r="BF48" i="4"/>
  <c r="BG48" i="4"/>
  <c r="BH48" i="4"/>
  <c r="BI48" i="4"/>
  <c r="BJ48" i="4"/>
  <c r="BL48" i="4"/>
  <c r="BM48" i="4"/>
  <c r="BN48" i="4"/>
  <c r="BO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G48" i="4"/>
  <c r="CJ48" i="4"/>
  <c r="CK48" i="4"/>
  <c r="CL48" i="4"/>
  <c r="CN48" i="4"/>
  <c r="CP48" i="4"/>
  <c r="CQ48" i="4"/>
  <c r="C49" i="4"/>
  <c r="D49" i="4"/>
  <c r="E49" i="4"/>
  <c r="F49" i="4"/>
  <c r="N49" i="4"/>
  <c r="O49" i="4"/>
  <c r="P49" i="4"/>
  <c r="Q49" i="4"/>
  <c r="R49" i="4"/>
  <c r="S49" i="4"/>
  <c r="T49" i="4"/>
  <c r="U49" i="4"/>
  <c r="V49" i="4"/>
  <c r="W49" i="4"/>
  <c r="X49" i="4"/>
  <c r="AB49" i="4"/>
  <c r="AC49" i="4"/>
  <c r="AD49" i="4"/>
  <c r="AE49" i="4"/>
  <c r="AF49" i="4"/>
  <c r="AG49" i="4"/>
  <c r="AH49" i="4"/>
  <c r="AI49" i="4"/>
  <c r="AJ49" i="4"/>
  <c r="AT49" i="4"/>
  <c r="AU49" i="4"/>
  <c r="AV49" i="4"/>
  <c r="BB49" i="4"/>
  <c r="BC49" i="4"/>
  <c r="BD49" i="4"/>
  <c r="BE49" i="4"/>
  <c r="BF49" i="4"/>
  <c r="BG49" i="4"/>
  <c r="BH49" i="4"/>
  <c r="BI49" i="4"/>
  <c r="BJ49" i="4"/>
  <c r="BL49" i="4"/>
  <c r="BM49" i="4"/>
  <c r="BN49" i="4"/>
  <c r="BO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G49" i="4"/>
  <c r="CJ49" i="4"/>
  <c r="CK49" i="4"/>
  <c r="CL49" i="4"/>
  <c r="CN49" i="4"/>
  <c r="CP49" i="4"/>
  <c r="CQ49" i="4"/>
  <c r="C50" i="4"/>
  <c r="D50" i="4"/>
  <c r="E50" i="4"/>
  <c r="F50" i="4"/>
  <c r="N50" i="4"/>
  <c r="O50" i="4"/>
  <c r="P50" i="4"/>
  <c r="Q50" i="4"/>
  <c r="R50" i="4"/>
  <c r="S50" i="4"/>
  <c r="T50" i="4"/>
  <c r="U50" i="4"/>
  <c r="V50" i="4"/>
  <c r="W50" i="4"/>
  <c r="X50" i="4"/>
  <c r="AB50" i="4"/>
  <c r="AC50" i="4"/>
  <c r="AD50" i="4"/>
  <c r="AE50" i="4"/>
  <c r="AF50" i="4"/>
  <c r="AG50" i="4"/>
  <c r="AH50" i="4"/>
  <c r="AI50" i="4"/>
  <c r="AJ50" i="4"/>
  <c r="AT50" i="4"/>
  <c r="AU50" i="4"/>
  <c r="AV50" i="4"/>
  <c r="BB50" i="4"/>
  <c r="BC50" i="4"/>
  <c r="BD50" i="4"/>
  <c r="BE50" i="4"/>
  <c r="BF50" i="4"/>
  <c r="BG50" i="4"/>
  <c r="BH50" i="4"/>
  <c r="BI50" i="4"/>
  <c r="BJ50" i="4"/>
  <c r="BL50" i="4"/>
  <c r="BM50" i="4"/>
  <c r="BN50" i="4"/>
  <c r="BO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G50" i="4"/>
  <c r="CJ50" i="4"/>
  <c r="CK50" i="4"/>
  <c r="CL50" i="4"/>
  <c r="CN50" i="4"/>
  <c r="CP50" i="4"/>
  <c r="CQ50" i="4"/>
  <c r="C51" i="4"/>
  <c r="D51" i="4"/>
  <c r="E51" i="4"/>
  <c r="F51" i="4"/>
  <c r="N51" i="4"/>
  <c r="O51" i="4"/>
  <c r="P51" i="4"/>
  <c r="Q51" i="4"/>
  <c r="R51" i="4"/>
  <c r="S51" i="4"/>
  <c r="T51" i="4"/>
  <c r="U51" i="4"/>
  <c r="V51" i="4"/>
  <c r="W51" i="4"/>
  <c r="X51" i="4"/>
  <c r="AB51" i="4"/>
  <c r="AC51" i="4"/>
  <c r="AD51" i="4"/>
  <c r="AE51" i="4"/>
  <c r="AF51" i="4"/>
  <c r="AG51" i="4"/>
  <c r="AH51" i="4"/>
  <c r="AI51" i="4"/>
  <c r="AJ51" i="4"/>
  <c r="AT51" i="4"/>
  <c r="AU51" i="4"/>
  <c r="AV51" i="4"/>
  <c r="BB51" i="4"/>
  <c r="BC51" i="4"/>
  <c r="BD51" i="4"/>
  <c r="BE51" i="4"/>
  <c r="BF51" i="4"/>
  <c r="BG51" i="4"/>
  <c r="BH51" i="4"/>
  <c r="BI51" i="4"/>
  <c r="BJ51" i="4"/>
  <c r="BL51" i="4"/>
  <c r="BM51" i="4"/>
  <c r="BN51" i="4"/>
  <c r="BO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G51" i="4"/>
  <c r="CJ51" i="4"/>
  <c r="CK51" i="4"/>
  <c r="CL51" i="4"/>
  <c r="CN51" i="4"/>
  <c r="CP51" i="4"/>
  <c r="CQ51" i="4"/>
  <c r="C52" i="4"/>
  <c r="D52" i="4"/>
  <c r="E52" i="4"/>
  <c r="F52" i="4"/>
  <c r="N52" i="4"/>
  <c r="O52" i="4"/>
  <c r="P52" i="4"/>
  <c r="Q52" i="4"/>
  <c r="R52" i="4"/>
  <c r="S52" i="4"/>
  <c r="T52" i="4"/>
  <c r="U52" i="4"/>
  <c r="V52" i="4"/>
  <c r="W52" i="4"/>
  <c r="X52" i="4"/>
  <c r="AB52" i="4"/>
  <c r="AC52" i="4"/>
  <c r="AD52" i="4"/>
  <c r="AE52" i="4"/>
  <c r="AF52" i="4"/>
  <c r="AG52" i="4"/>
  <c r="AH52" i="4"/>
  <c r="AI52" i="4"/>
  <c r="AJ52" i="4"/>
  <c r="AT52" i="4"/>
  <c r="AU52" i="4"/>
  <c r="AV52" i="4"/>
  <c r="BB52" i="4"/>
  <c r="BC52" i="4"/>
  <c r="BD52" i="4"/>
  <c r="BE52" i="4"/>
  <c r="BF52" i="4"/>
  <c r="BG52" i="4"/>
  <c r="BH52" i="4"/>
  <c r="BI52" i="4"/>
  <c r="BJ52" i="4"/>
  <c r="BL52" i="4"/>
  <c r="BM52" i="4"/>
  <c r="BN52" i="4"/>
  <c r="BO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G52" i="4"/>
  <c r="CJ52" i="4"/>
  <c r="CK52" i="4"/>
  <c r="CL52" i="4"/>
  <c r="CN52" i="4"/>
  <c r="CP52" i="4"/>
  <c r="CQ52" i="4"/>
  <c r="C53" i="4"/>
  <c r="D53" i="4"/>
  <c r="E53" i="4"/>
  <c r="F53" i="4"/>
  <c r="N53" i="4"/>
  <c r="O53" i="4"/>
  <c r="P53" i="4"/>
  <c r="Q53" i="4"/>
  <c r="R53" i="4"/>
  <c r="S53" i="4"/>
  <c r="T53" i="4"/>
  <c r="U53" i="4"/>
  <c r="V53" i="4"/>
  <c r="W53" i="4"/>
  <c r="X53" i="4"/>
  <c r="AB53" i="4"/>
  <c r="AC53" i="4"/>
  <c r="AD53" i="4"/>
  <c r="AE53" i="4"/>
  <c r="AF53" i="4"/>
  <c r="AG53" i="4"/>
  <c r="AH53" i="4"/>
  <c r="AI53" i="4"/>
  <c r="AJ53" i="4"/>
  <c r="AT53" i="4"/>
  <c r="AU53" i="4"/>
  <c r="AV53" i="4"/>
  <c r="BB53" i="4"/>
  <c r="BC53" i="4"/>
  <c r="BD53" i="4"/>
  <c r="BE53" i="4"/>
  <c r="BF53" i="4"/>
  <c r="BG53" i="4"/>
  <c r="BH53" i="4"/>
  <c r="BI53" i="4"/>
  <c r="BJ53" i="4"/>
  <c r="BL53" i="4"/>
  <c r="BM53" i="4"/>
  <c r="BN53" i="4"/>
  <c r="BO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G53" i="4"/>
  <c r="CJ53" i="4"/>
  <c r="CK53" i="4"/>
  <c r="CL53" i="4"/>
  <c r="CN53" i="4"/>
  <c r="CP53" i="4"/>
  <c r="CQ53" i="4"/>
  <c r="C54" i="4"/>
  <c r="D54" i="4"/>
  <c r="E54" i="4"/>
  <c r="F54" i="4"/>
  <c r="N54" i="4"/>
  <c r="O54" i="4"/>
  <c r="P54" i="4"/>
  <c r="Q54" i="4"/>
  <c r="R54" i="4"/>
  <c r="S54" i="4"/>
  <c r="T54" i="4"/>
  <c r="U54" i="4"/>
  <c r="V54" i="4"/>
  <c r="W54" i="4"/>
  <c r="X54" i="4"/>
  <c r="AB54" i="4"/>
  <c r="AC54" i="4"/>
  <c r="AD54" i="4"/>
  <c r="AE54" i="4"/>
  <c r="AF54" i="4"/>
  <c r="AG54" i="4"/>
  <c r="AH54" i="4"/>
  <c r="AI54" i="4"/>
  <c r="AJ54" i="4"/>
  <c r="AT54" i="4"/>
  <c r="AU54" i="4"/>
  <c r="AV54" i="4"/>
  <c r="BB54" i="4"/>
  <c r="BC54" i="4"/>
  <c r="BD54" i="4"/>
  <c r="BE54" i="4"/>
  <c r="BF54" i="4"/>
  <c r="BG54" i="4"/>
  <c r="BH54" i="4"/>
  <c r="BI54" i="4"/>
  <c r="BJ54" i="4"/>
  <c r="BL54" i="4"/>
  <c r="BM54" i="4"/>
  <c r="BN54" i="4"/>
  <c r="BO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G54" i="4"/>
  <c r="CJ54" i="4"/>
  <c r="CK54" i="4"/>
  <c r="CL54" i="4"/>
  <c r="CN54" i="4"/>
  <c r="CP54" i="4"/>
  <c r="CQ54" i="4"/>
  <c r="C55" i="4"/>
  <c r="D55" i="4"/>
  <c r="E55" i="4"/>
  <c r="F55" i="4"/>
  <c r="N55" i="4"/>
  <c r="O55" i="4"/>
  <c r="P55" i="4"/>
  <c r="Q55" i="4"/>
  <c r="R55" i="4"/>
  <c r="S55" i="4"/>
  <c r="T55" i="4"/>
  <c r="U55" i="4"/>
  <c r="V55" i="4"/>
  <c r="W55" i="4"/>
  <c r="X55" i="4"/>
  <c r="AB55" i="4"/>
  <c r="AC55" i="4"/>
  <c r="AD55" i="4"/>
  <c r="AE55" i="4"/>
  <c r="AF55" i="4"/>
  <c r="AG55" i="4"/>
  <c r="AH55" i="4"/>
  <c r="AI55" i="4"/>
  <c r="AJ55" i="4"/>
  <c r="AT55" i="4"/>
  <c r="AU55" i="4"/>
  <c r="AV55" i="4"/>
  <c r="BB55" i="4"/>
  <c r="BC55" i="4"/>
  <c r="BD55" i="4"/>
  <c r="BE55" i="4"/>
  <c r="BF55" i="4"/>
  <c r="BG55" i="4"/>
  <c r="BH55" i="4"/>
  <c r="BI55" i="4"/>
  <c r="BJ55" i="4"/>
  <c r="BL55" i="4"/>
  <c r="BM55" i="4"/>
  <c r="BN55" i="4"/>
  <c r="BO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G55" i="4"/>
  <c r="CJ55" i="4"/>
  <c r="CK55" i="4"/>
  <c r="CL55" i="4"/>
  <c r="CN55" i="4"/>
  <c r="CP55" i="4"/>
  <c r="CQ55" i="4"/>
  <c r="C56" i="4"/>
  <c r="D56" i="4"/>
  <c r="E56" i="4"/>
  <c r="F56" i="4"/>
  <c r="N56" i="4"/>
  <c r="O56" i="4"/>
  <c r="P56" i="4"/>
  <c r="Q56" i="4"/>
  <c r="R56" i="4"/>
  <c r="S56" i="4"/>
  <c r="T56" i="4"/>
  <c r="U56" i="4"/>
  <c r="V56" i="4"/>
  <c r="W56" i="4"/>
  <c r="X56" i="4"/>
  <c r="AB56" i="4"/>
  <c r="AC56" i="4"/>
  <c r="AD56" i="4"/>
  <c r="AE56" i="4"/>
  <c r="AF56" i="4"/>
  <c r="AG56" i="4"/>
  <c r="AH56" i="4"/>
  <c r="AI56" i="4"/>
  <c r="AJ56" i="4"/>
  <c r="AT56" i="4"/>
  <c r="AU56" i="4"/>
  <c r="AV56" i="4"/>
  <c r="BB56" i="4"/>
  <c r="BC56" i="4"/>
  <c r="BD56" i="4"/>
  <c r="BE56" i="4"/>
  <c r="BF56" i="4"/>
  <c r="BG56" i="4"/>
  <c r="BH56" i="4"/>
  <c r="BI56" i="4"/>
  <c r="BJ56" i="4"/>
  <c r="BL56" i="4"/>
  <c r="BM56" i="4"/>
  <c r="BN56" i="4"/>
  <c r="BO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G56" i="4"/>
  <c r="CJ56" i="4"/>
  <c r="CK56" i="4"/>
  <c r="CL56" i="4"/>
  <c r="CN56" i="4"/>
  <c r="CP56" i="4"/>
  <c r="CQ56" i="4"/>
  <c r="C57" i="4"/>
  <c r="D57" i="4"/>
  <c r="E57" i="4"/>
  <c r="F57" i="4"/>
  <c r="N57" i="4"/>
  <c r="O57" i="4"/>
  <c r="P57" i="4"/>
  <c r="Q57" i="4"/>
  <c r="R57" i="4"/>
  <c r="S57" i="4"/>
  <c r="T57" i="4"/>
  <c r="U57" i="4"/>
  <c r="V57" i="4"/>
  <c r="W57" i="4"/>
  <c r="X57" i="4"/>
  <c r="AB57" i="4"/>
  <c r="AC57" i="4"/>
  <c r="AD57" i="4"/>
  <c r="AE57" i="4"/>
  <c r="AF57" i="4"/>
  <c r="AG57" i="4"/>
  <c r="AH57" i="4"/>
  <c r="AI57" i="4"/>
  <c r="AJ57" i="4"/>
  <c r="AT57" i="4"/>
  <c r="AU57" i="4"/>
  <c r="AV57" i="4"/>
  <c r="BB57" i="4"/>
  <c r="BC57" i="4"/>
  <c r="BD57" i="4"/>
  <c r="BE57" i="4"/>
  <c r="BF57" i="4"/>
  <c r="BG57" i="4"/>
  <c r="BH57" i="4"/>
  <c r="BI57" i="4"/>
  <c r="BJ57" i="4"/>
  <c r="BL57" i="4"/>
  <c r="BM57" i="4"/>
  <c r="BN57" i="4"/>
  <c r="BO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G57" i="4"/>
  <c r="CJ57" i="4"/>
  <c r="CK57" i="4"/>
  <c r="CL57" i="4"/>
  <c r="CN57" i="4"/>
  <c r="CP57" i="4"/>
  <c r="CQ57" i="4"/>
  <c r="C58" i="4"/>
  <c r="D58" i="4"/>
  <c r="E58" i="4"/>
  <c r="F58" i="4"/>
  <c r="N58" i="4"/>
  <c r="O58" i="4"/>
  <c r="P58" i="4"/>
  <c r="Q58" i="4"/>
  <c r="R58" i="4"/>
  <c r="S58" i="4"/>
  <c r="T58" i="4"/>
  <c r="U58" i="4"/>
  <c r="V58" i="4"/>
  <c r="W58" i="4"/>
  <c r="X58" i="4"/>
  <c r="AB58" i="4"/>
  <c r="AC58" i="4"/>
  <c r="AD58" i="4"/>
  <c r="AE58" i="4"/>
  <c r="AF58" i="4"/>
  <c r="AG58" i="4"/>
  <c r="AH58" i="4"/>
  <c r="AI58" i="4"/>
  <c r="AJ58" i="4"/>
  <c r="AT58" i="4"/>
  <c r="AU58" i="4"/>
  <c r="AV58" i="4"/>
  <c r="BB58" i="4"/>
  <c r="BC58" i="4"/>
  <c r="BD58" i="4"/>
  <c r="BE58" i="4"/>
  <c r="BF58" i="4"/>
  <c r="BG58" i="4"/>
  <c r="BH58" i="4"/>
  <c r="BI58" i="4"/>
  <c r="BJ58" i="4"/>
  <c r="BL58" i="4"/>
  <c r="BM58" i="4"/>
  <c r="BN58" i="4"/>
  <c r="BO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G58" i="4"/>
  <c r="CJ58" i="4"/>
  <c r="CK58" i="4"/>
  <c r="CL58" i="4"/>
  <c r="CN58" i="4"/>
  <c r="CP58" i="4"/>
  <c r="CQ58" i="4"/>
  <c r="C59" i="4"/>
  <c r="D59" i="4"/>
  <c r="E59" i="4"/>
  <c r="F59" i="4"/>
  <c r="N59" i="4"/>
  <c r="O59" i="4"/>
  <c r="P59" i="4"/>
  <c r="Q59" i="4"/>
  <c r="R59" i="4"/>
  <c r="S59" i="4"/>
  <c r="T59" i="4"/>
  <c r="U59" i="4"/>
  <c r="V59" i="4"/>
  <c r="W59" i="4"/>
  <c r="X59" i="4"/>
  <c r="AB59" i="4"/>
  <c r="AC59" i="4"/>
  <c r="AD59" i="4"/>
  <c r="AE59" i="4"/>
  <c r="AF59" i="4"/>
  <c r="AG59" i="4"/>
  <c r="AH59" i="4"/>
  <c r="AI59" i="4"/>
  <c r="AJ59" i="4"/>
  <c r="AT59" i="4"/>
  <c r="AU59" i="4"/>
  <c r="AV59" i="4"/>
  <c r="BB59" i="4"/>
  <c r="BC59" i="4"/>
  <c r="BD59" i="4"/>
  <c r="BE59" i="4"/>
  <c r="BF59" i="4"/>
  <c r="BG59" i="4"/>
  <c r="BH59" i="4"/>
  <c r="BI59" i="4"/>
  <c r="BJ59" i="4"/>
  <c r="BL59" i="4"/>
  <c r="BM59" i="4"/>
  <c r="BN59" i="4"/>
  <c r="BO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G59" i="4"/>
  <c r="CJ59" i="4"/>
  <c r="CK59" i="4"/>
  <c r="CL59" i="4"/>
  <c r="CN59" i="4"/>
  <c r="CP59" i="4"/>
  <c r="CQ59" i="4"/>
  <c r="C60" i="4"/>
  <c r="D60" i="4"/>
  <c r="E60" i="4"/>
  <c r="F60" i="4"/>
  <c r="N60" i="4"/>
  <c r="O60" i="4"/>
  <c r="P60" i="4"/>
  <c r="Q60" i="4"/>
  <c r="R60" i="4"/>
  <c r="S60" i="4"/>
  <c r="T60" i="4"/>
  <c r="U60" i="4"/>
  <c r="V60" i="4"/>
  <c r="W60" i="4"/>
  <c r="X60" i="4"/>
  <c r="AB60" i="4"/>
  <c r="AC60" i="4"/>
  <c r="AD60" i="4"/>
  <c r="AE60" i="4"/>
  <c r="AF60" i="4"/>
  <c r="AG60" i="4"/>
  <c r="AH60" i="4"/>
  <c r="AI60" i="4"/>
  <c r="AJ60" i="4"/>
  <c r="AT60" i="4"/>
  <c r="AU60" i="4"/>
  <c r="AV60" i="4"/>
  <c r="BB60" i="4"/>
  <c r="BC60" i="4"/>
  <c r="BD60" i="4"/>
  <c r="BE60" i="4"/>
  <c r="BF60" i="4"/>
  <c r="BG60" i="4"/>
  <c r="BH60" i="4"/>
  <c r="BI60" i="4"/>
  <c r="BJ60" i="4"/>
  <c r="BL60" i="4"/>
  <c r="BM60" i="4"/>
  <c r="BN60" i="4"/>
  <c r="BO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G60" i="4"/>
  <c r="CJ60" i="4"/>
  <c r="CK60" i="4"/>
  <c r="CL60" i="4"/>
  <c r="CN60" i="4"/>
  <c r="CP60" i="4"/>
  <c r="CQ60" i="4"/>
  <c r="C61" i="4"/>
  <c r="D61" i="4"/>
  <c r="E61" i="4"/>
  <c r="F61" i="4"/>
  <c r="N61" i="4"/>
  <c r="O61" i="4"/>
  <c r="P61" i="4"/>
  <c r="Q61" i="4"/>
  <c r="R61" i="4"/>
  <c r="S61" i="4"/>
  <c r="T61" i="4"/>
  <c r="U61" i="4"/>
  <c r="V61" i="4"/>
  <c r="W61" i="4"/>
  <c r="X61" i="4"/>
  <c r="AB61" i="4"/>
  <c r="AC61" i="4"/>
  <c r="AD61" i="4"/>
  <c r="AE61" i="4"/>
  <c r="AF61" i="4"/>
  <c r="AG61" i="4"/>
  <c r="AH61" i="4"/>
  <c r="AI61" i="4"/>
  <c r="AJ61" i="4"/>
  <c r="AT61" i="4"/>
  <c r="AU61" i="4"/>
  <c r="AV61" i="4"/>
  <c r="BB61" i="4"/>
  <c r="BC61" i="4"/>
  <c r="BD61" i="4"/>
  <c r="BE61" i="4"/>
  <c r="BF61" i="4"/>
  <c r="BG61" i="4"/>
  <c r="BH61" i="4"/>
  <c r="BI61" i="4"/>
  <c r="BJ61" i="4"/>
  <c r="BL61" i="4"/>
  <c r="BM61" i="4"/>
  <c r="BN61" i="4"/>
  <c r="BO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G61" i="4"/>
  <c r="CJ61" i="4"/>
  <c r="CK61" i="4"/>
  <c r="CL61" i="4"/>
  <c r="CN61" i="4"/>
  <c r="CP61" i="4"/>
  <c r="CQ61" i="4"/>
  <c r="C62" i="4"/>
  <c r="D62" i="4"/>
  <c r="E62" i="4"/>
  <c r="F62" i="4"/>
  <c r="N62" i="4"/>
  <c r="O62" i="4"/>
  <c r="P62" i="4"/>
  <c r="Q62" i="4"/>
  <c r="R62" i="4"/>
  <c r="S62" i="4"/>
  <c r="T62" i="4"/>
  <c r="U62" i="4"/>
  <c r="V62" i="4"/>
  <c r="W62" i="4"/>
  <c r="X62" i="4"/>
  <c r="AB62" i="4"/>
  <c r="AC62" i="4"/>
  <c r="AD62" i="4"/>
  <c r="AE62" i="4"/>
  <c r="AF62" i="4"/>
  <c r="AG62" i="4"/>
  <c r="AH62" i="4"/>
  <c r="AI62" i="4"/>
  <c r="AJ62" i="4"/>
  <c r="AT62" i="4"/>
  <c r="AU62" i="4"/>
  <c r="AV62" i="4"/>
  <c r="BB62" i="4"/>
  <c r="BC62" i="4"/>
  <c r="BD62" i="4"/>
  <c r="BE62" i="4"/>
  <c r="BF62" i="4"/>
  <c r="BG62" i="4"/>
  <c r="BH62" i="4"/>
  <c r="BI62" i="4"/>
  <c r="BJ62" i="4"/>
  <c r="BL62" i="4"/>
  <c r="BM62" i="4"/>
  <c r="BN62" i="4"/>
  <c r="BO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G62" i="4"/>
  <c r="CJ62" i="4"/>
  <c r="CK62" i="4"/>
  <c r="CL62" i="4"/>
  <c r="CN62" i="4"/>
  <c r="CP62" i="4"/>
  <c r="CQ62" i="4"/>
  <c r="C63" i="4"/>
  <c r="D63" i="4"/>
  <c r="E63" i="4"/>
  <c r="F63" i="4"/>
  <c r="N63" i="4"/>
  <c r="O63" i="4"/>
  <c r="P63" i="4"/>
  <c r="Q63" i="4"/>
  <c r="R63" i="4"/>
  <c r="S63" i="4"/>
  <c r="T63" i="4"/>
  <c r="U63" i="4"/>
  <c r="V63" i="4"/>
  <c r="W63" i="4"/>
  <c r="X63" i="4"/>
  <c r="AB63" i="4"/>
  <c r="AC63" i="4"/>
  <c r="AD63" i="4"/>
  <c r="AE63" i="4"/>
  <c r="AF63" i="4"/>
  <c r="AG63" i="4"/>
  <c r="AH63" i="4"/>
  <c r="AI63" i="4"/>
  <c r="AJ63" i="4"/>
  <c r="AT63" i="4"/>
  <c r="AU63" i="4"/>
  <c r="AV63" i="4"/>
  <c r="BB63" i="4"/>
  <c r="BC63" i="4"/>
  <c r="BD63" i="4"/>
  <c r="BE63" i="4"/>
  <c r="BF63" i="4"/>
  <c r="BG63" i="4"/>
  <c r="BH63" i="4"/>
  <c r="BI63" i="4"/>
  <c r="BJ63" i="4"/>
  <c r="BL63" i="4"/>
  <c r="BM63" i="4"/>
  <c r="BN63" i="4"/>
  <c r="BO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G63" i="4"/>
  <c r="CJ63" i="4"/>
  <c r="CK63" i="4"/>
  <c r="CL63" i="4"/>
  <c r="CN63" i="4"/>
  <c r="CP63" i="4"/>
  <c r="CQ63" i="4"/>
  <c r="C64" i="4"/>
  <c r="D64" i="4"/>
  <c r="E64" i="4"/>
  <c r="F64" i="4"/>
  <c r="N64" i="4"/>
  <c r="O64" i="4"/>
  <c r="P64" i="4"/>
  <c r="Q64" i="4"/>
  <c r="R64" i="4"/>
  <c r="S64" i="4"/>
  <c r="T64" i="4"/>
  <c r="U64" i="4"/>
  <c r="V64" i="4"/>
  <c r="W64" i="4"/>
  <c r="X64" i="4"/>
  <c r="AB64" i="4"/>
  <c r="AC64" i="4"/>
  <c r="AD64" i="4"/>
  <c r="AE64" i="4"/>
  <c r="AF64" i="4"/>
  <c r="AG64" i="4"/>
  <c r="AH64" i="4"/>
  <c r="AI64" i="4"/>
  <c r="AJ64" i="4"/>
  <c r="AT64" i="4"/>
  <c r="AU64" i="4"/>
  <c r="AV64" i="4"/>
  <c r="BB64" i="4"/>
  <c r="BC64" i="4"/>
  <c r="BD64" i="4"/>
  <c r="BE64" i="4"/>
  <c r="BF64" i="4"/>
  <c r="BG64" i="4"/>
  <c r="BH64" i="4"/>
  <c r="BI64" i="4"/>
  <c r="BJ64" i="4"/>
  <c r="BL64" i="4"/>
  <c r="BM64" i="4"/>
  <c r="BN64" i="4"/>
  <c r="BO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G64" i="4"/>
  <c r="CJ64" i="4"/>
  <c r="CK64" i="4"/>
  <c r="CL64" i="4"/>
  <c r="CN64" i="4"/>
  <c r="CP64" i="4"/>
  <c r="CQ64" i="4"/>
  <c r="C65" i="4"/>
  <c r="D65" i="4"/>
  <c r="E65" i="4"/>
  <c r="F65" i="4"/>
  <c r="N65" i="4"/>
  <c r="O65" i="4"/>
  <c r="P65" i="4"/>
  <c r="Q65" i="4"/>
  <c r="R65" i="4"/>
  <c r="S65" i="4"/>
  <c r="T65" i="4"/>
  <c r="U65" i="4"/>
  <c r="V65" i="4"/>
  <c r="W65" i="4"/>
  <c r="X65" i="4"/>
  <c r="AB65" i="4"/>
  <c r="AC65" i="4"/>
  <c r="AD65" i="4"/>
  <c r="AE65" i="4"/>
  <c r="AF65" i="4"/>
  <c r="AG65" i="4"/>
  <c r="AH65" i="4"/>
  <c r="AI65" i="4"/>
  <c r="AJ65" i="4"/>
  <c r="AT65" i="4"/>
  <c r="AU65" i="4"/>
  <c r="AV65" i="4"/>
  <c r="BB65" i="4"/>
  <c r="BC65" i="4"/>
  <c r="BD65" i="4"/>
  <c r="BE65" i="4"/>
  <c r="BF65" i="4"/>
  <c r="BG65" i="4"/>
  <c r="BH65" i="4"/>
  <c r="BI65" i="4"/>
  <c r="BJ65" i="4"/>
  <c r="BL65" i="4"/>
  <c r="BM65" i="4"/>
  <c r="BN65" i="4"/>
  <c r="BO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G65" i="4"/>
  <c r="CJ65" i="4"/>
  <c r="CK65" i="4"/>
  <c r="CL65" i="4"/>
  <c r="CN65" i="4"/>
  <c r="CP65" i="4"/>
  <c r="CQ65" i="4"/>
  <c r="C66" i="4"/>
  <c r="D66" i="4"/>
  <c r="E66" i="4"/>
  <c r="F66" i="4"/>
  <c r="N66" i="4"/>
  <c r="O66" i="4"/>
  <c r="P66" i="4"/>
  <c r="Q66" i="4"/>
  <c r="R66" i="4"/>
  <c r="S66" i="4"/>
  <c r="T66" i="4"/>
  <c r="U66" i="4"/>
  <c r="V66" i="4"/>
  <c r="W66" i="4"/>
  <c r="X66" i="4"/>
  <c r="AB66" i="4"/>
  <c r="AC66" i="4"/>
  <c r="AD66" i="4"/>
  <c r="AE66" i="4"/>
  <c r="AF66" i="4"/>
  <c r="AG66" i="4"/>
  <c r="AH66" i="4"/>
  <c r="AI66" i="4"/>
  <c r="AJ66" i="4"/>
  <c r="AT66" i="4"/>
  <c r="AU66" i="4"/>
  <c r="AV66" i="4"/>
  <c r="BB66" i="4"/>
  <c r="BC66" i="4"/>
  <c r="BD66" i="4"/>
  <c r="BE66" i="4"/>
  <c r="BF66" i="4"/>
  <c r="BG66" i="4"/>
  <c r="BH66" i="4"/>
  <c r="BI66" i="4"/>
  <c r="BJ66" i="4"/>
  <c r="BL66" i="4"/>
  <c r="BM66" i="4"/>
  <c r="BN66" i="4"/>
  <c r="BO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G66" i="4"/>
  <c r="CJ66" i="4"/>
  <c r="CK66" i="4"/>
  <c r="CL66" i="4"/>
  <c r="CN66" i="4"/>
  <c r="CP66" i="4"/>
  <c r="CQ66" i="4"/>
  <c r="C67" i="4"/>
  <c r="D67" i="4"/>
  <c r="E67" i="4"/>
  <c r="F67" i="4"/>
  <c r="N67" i="4"/>
  <c r="O67" i="4"/>
  <c r="P67" i="4"/>
  <c r="Q67" i="4"/>
  <c r="R67" i="4"/>
  <c r="S67" i="4"/>
  <c r="T67" i="4"/>
  <c r="U67" i="4"/>
  <c r="V67" i="4"/>
  <c r="W67" i="4"/>
  <c r="X67" i="4"/>
  <c r="AB67" i="4"/>
  <c r="AC67" i="4"/>
  <c r="AD67" i="4"/>
  <c r="AE67" i="4"/>
  <c r="AF67" i="4"/>
  <c r="AG67" i="4"/>
  <c r="AH67" i="4"/>
  <c r="AI67" i="4"/>
  <c r="AJ67" i="4"/>
  <c r="AT67" i="4"/>
  <c r="AU67" i="4"/>
  <c r="AV67" i="4"/>
  <c r="BB67" i="4"/>
  <c r="BC67" i="4"/>
  <c r="BD67" i="4"/>
  <c r="BE67" i="4"/>
  <c r="BF67" i="4"/>
  <c r="BG67" i="4"/>
  <c r="BH67" i="4"/>
  <c r="BI67" i="4"/>
  <c r="BJ67" i="4"/>
  <c r="BL67" i="4"/>
  <c r="BM67" i="4"/>
  <c r="BN67" i="4"/>
  <c r="BO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G67" i="4"/>
  <c r="CJ67" i="4"/>
  <c r="CK67" i="4"/>
  <c r="CL67" i="4"/>
  <c r="CN67" i="4"/>
  <c r="CP67" i="4"/>
  <c r="CQ67" i="4"/>
  <c r="C68" i="4"/>
  <c r="D68" i="4"/>
  <c r="E68" i="4"/>
  <c r="F68" i="4"/>
  <c r="N68" i="4"/>
  <c r="O68" i="4"/>
  <c r="P68" i="4"/>
  <c r="Q68" i="4"/>
  <c r="R68" i="4"/>
  <c r="S68" i="4"/>
  <c r="T68" i="4"/>
  <c r="U68" i="4"/>
  <c r="V68" i="4"/>
  <c r="W68" i="4"/>
  <c r="X68" i="4"/>
  <c r="AB68" i="4"/>
  <c r="AC68" i="4"/>
  <c r="AD68" i="4"/>
  <c r="AE68" i="4"/>
  <c r="AF68" i="4"/>
  <c r="AG68" i="4"/>
  <c r="AH68" i="4"/>
  <c r="AI68" i="4"/>
  <c r="AJ68" i="4"/>
  <c r="AT68" i="4"/>
  <c r="AU68" i="4"/>
  <c r="AV68" i="4"/>
  <c r="BB68" i="4"/>
  <c r="BC68" i="4"/>
  <c r="BD68" i="4"/>
  <c r="BE68" i="4"/>
  <c r="BF68" i="4"/>
  <c r="BG68" i="4"/>
  <c r="BH68" i="4"/>
  <c r="BI68" i="4"/>
  <c r="BJ68" i="4"/>
  <c r="BL68" i="4"/>
  <c r="BM68" i="4"/>
  <c r="BN68" i="4"/>
  <c r="BO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G68" i="4"/>
  <c r="CJ68" i="4"/>
  <c r="CK68" i="4"/>
  <c r="CL68" i="4"/>
  <c r="CN68" i="4"/>
  <c r="CP68" i="4"/>
  <c r="CQ68" i="4"/>
  <c r="C69" i="4"/>
  <c r="D69" i="4"/>
  <c r="E69" i="4"/>
  <c r="F69" i="4"/>
  <c r="N69" i="4"/>
  <c r="O69" i="4"/>
  <c r="P69" i="4"/>
  <c r="Q69" i="4"/>
  <c r="R69" i="4"/>
  <c r="S69" i="4"/>
  <c r="T69" i="4"/>
  <c r="U69" i="4"/>
  <c r="V69" i="4"/>
  <c r="W69" i="4"/>
  <c r="X69" i="4"/>
  <c r="AB69" i="4"/>
  <c r="AC69" i="4"/>
  <c r="AD69" i="4"/>
  <c r="AE69" i="4"/>
  <c r="AF69" i="4"/>
  <c r="AG69" i="4"/>
  <c r="AH69" i="4"/>
  <c r="AI69" i="4"/>
  <c r="AJ69" i="4"/>
  <c r="AT69" i="4"/>
  <c r="AU69" i="4"/>
  <c r="AV69" i="4"/>
  <c r="BB69" i="4"/>
  <c r="BC69" i="4"/>
  <c r="BD69" i="4"/>
  <c r="BE69" i="4"/>
  <c r="BF69" i="4"/>
  <c r="BG69" i="4"/>
  <c r="BH69" i="4"/>
  <c r="BI69" i="4"/>
  <c r="BJ69" i="4"/>
  <c r="BL69" i="4"/>
  <c r="BM69" i="4"/>
  <c r="BN69" i="4"/>
  <c r="BO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G69" i="4"/>
  <c r="CJ69" i="4"/>
  <c r="CK69" i="4"/>
  <c r="CL69" i="4"/>
  <c r="CN69" i="4"/>
  <c r="CP69" i="4"/>
  <c r="CQ69" i="4"/>
  <c r="C70" i="4"/>
  <c r="D70" i="4"/>
  <c r="E70" i="4"/>
  <c r="F70" i="4"/>
  <c r="N70" i="4"/>
  <c r="O70" i="4"/>
  <c r="P70" i="4"/>
  <c r="Q70" i="4"/>
  <c r="R70" i="4"/>
  <c r="S70" i="4"/>
  <c r="T70" i="4"/>
  <c r="U70" i="4"/>
  <c r="V70" i="4"/>
  <c r="W70" i="4"/>
  <c r="X70" i="4"/>
  <c r="AB70" i="4"/>
  <c r="AC70" i="4"/>
  <c r="AD70" i="4"/>
  <c r="AE70" i="4"/>
  <c r="AF70" i="4"/>
  <c r="AG70" i="4"/>
  <c r="AH70" i="4"/>
  <c r="AI70" i="4"/>
  <c r="AJ70" i="4"/>
  <c r="AT70" i="4"/>
  <c r="AU70" i="4"/>
  <c r="AV70" i="4"/>
  <c r="BB70" i="4"/>
  <c r="BC70" i="4"/>
  <c r="BD70" i="4"/>
  <c r="BE70" i="4"/>
  <c r="BF70" i="4"/>
  <c r="BG70" i="4"/>
  <c r="BH70" i="4"/>
  <c r="BI70" i="4"/>
  <c r="BJ70" i="4"/>
  <c r="BL70" i="4"/>
  <c r="BM70" i="4"/>
  <c r="BN70" i="4"/>
  <c r="BO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G70" i="4"/>
  <c r="CJ70" i="4"/>
  <c r="CK70" i="4"/>
  <c r="CL70" i="4"/>
  <c r="CN70" i="4"/>
  <c r="CP70" i="4"/>
  <c r="CQ70" i="4"/>
  <c r="C71" i="4"/>
  <c r="D71" i="4"/>
  <c r="E71" i="4"/>
  <c r="F71" i="4"/>
  <c r="N71" i="4"/>
  <c r="O71" i="4"/>
  <c r="P71" i="4"/>
  <c r="Q71" i="4"/>
  <c r="R71" i="4"/>
  <c r="S71" i="4"/>
  <c r="T71" i="4"/>
  <c r="U71" i="4"/>
  <c r="V71" i="4"/>
  <c r="W71" i="4"/>
  <c r="X71" i="4"/>
  <c r="AB71" i="4"/>
  <c r="AC71" i="4"/>
  <c r="AD71" i="4"/>
  <c r="AE71" i="4"/>
  <c r="AF71" i="4"/>
  <c r="AG71" i="4"/>
  <c r="AH71" i="4"/>
  <c r="AI71" i="4"/>
  <c r="AJ71" i="4"/>
  <c r="AT71" i="4"/>
  <c r="AU71" i="4"/>
  <c r="AV71" i="4"/>
  <c r="BB71" i="4"/>
  <c r="BC71" i="4"/>
  <c r="BD71" i="4"/>
  <c r="BE71" i="4"/>
  <c r="BF71" i="4"/>
  <c r="BG71" i="4"/>
  <c r="BH71" i="4"/>
  <c r="BI71" i="4"/>
  <c r="BJ71" i="4"/>
  <c r="BL71" i="4"/>
  <c r="BM71" i="4"/>
  <c r="BN71" i="4"/>
  <c r="BO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G71" i="4"/>
  <c r="CJ71" i="4"/>
  <c r="CK71" i="4"/>
  <c r="CL71" i="4"/>
  <c r="CN71" i="4"/>
  <c r="CP71" i="4"/>
  <c r="CQ71" i="4"/>
  <c r="C72" i="4"/>
  <c r="D72" i="4"/>
  <c r="E72" i="4"/>
  <c r="F72" i="4"/>
  <c r="N72" i="4"/>
  <c r="O72" i="4"/>
  <c r="P72" i="4"/>
  <c r="Q72" i="4"/>
  <c r="R72" i="4"/>
  <c r="S72" i="4"/>
  <c r="T72" i="4"/>
  <c r="U72" i="4"/>
  <c r="V72" i="4"/>
  <c r="W72" i="4"/>
  <c r="X72" i="4"/>
  <c r="AB72" i="4"/>
  <c r="AC72" i="4"/>
  <c r="AD72" i="4"/>
  <c r="AE72" i="4"/>
  <c r="AF72" i="4"/>
  <c r="AG72" i="4"/>
  <c r="AH72" i="4"/>
  <c r="AI72" i="4"/>
  <c r="AJ72" i="4"/>
  <c r="AT72" i="4"/>
  <c r="AU72" i="4"/>
  <c r="AV72" i="4"/>
  <c r="BB72" i="4"/>
  <c r="BC72" i="4"/>
  <c r="BD72" i="4"/>
  <c r="BE72" i="4"/>
  <c r="BF72" i="4"/>
  <c r="BG72" i="4"/>
  <c r="BH72" i="4"/>
  <c r="BI72" i="4"/>
  <c r="BJ72" i="4"/>
  <c r="BL72" i="4"/>
  <c r="BM72" i="4"/>
  <c r="BN72" i="4"/>
  <c r="BO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G72" i="4"/>
  <c r="CJ72" i="4"/>
  <c r="CK72" i="4"/>
  <c r="CL72" i="4"/>
  <c r="CN72" i="4"/>
  <c r="CP72" i="4"/>
  <c r="CQ72" i="4"/>
  <c r="C73" i="4"/>
  <c r="D73" i="4"/>
  <c r="E73" i="4"/>
  <c r="F73" i="4"/>
  <c r="N73" i="4"/>
  <c r="O73" i="4"/>
  <c r="P73" i="4"/>
  <c r="Q73" i="4"/>
  <c r="R73" i="4"/>
  <c r="S73" i="4"/>
  <c r="T73" i="4"/>
  <c r="U73" i="4"/>
  <c r="V73" i="4"/>
  <c r="W73" i="4"/>
  <c r="X73" i="4"/>
  <c r="AB73" i="4"/>
  <c r="AC73" i="4"/>
  <c r="AD73" i="4"/>
  <c r="AE73" i="4"/>
  <c r="AF73" i="4"/>
  <c r="AG73" i="4"/>
  <c r="AH73" i="4"/>
  <c r="AI73" i="4"/>
  <c r="AJ73" i="4"/>
  <c r="AT73" i="4"/>
  <c r="AU73" i="4"/>
  <c r="AV73" i="4"/>
  <c r="BB73" i="4"/>
  <c r="BC73" i="4"/>
  <c r="BD73" i="4"/>
  <c r="BE73" i="4"/>
  <c r="BF73" i="4"/>
  <c r="BG73" i="4"/>
  <c r="BH73" i="4"/>
  <c r="BI73" i="4"/>
  <c r="BJ73" i="4"/>
  <c r="BL73" i="4"/>
  <c r="BM73" i="4"/>
  <c r="BN73" i="4"/>
  <c r="BO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G73" i="4"/>
  <c r="CJ73" i="4"/>
  <c r="CK73" i="4"/>
  <c r="CL73" i="4"/>
  <c r="CN73" i="4"/>
  <c r="CP73" i="4"/>
  <c r="CQ73" i="4"/>
  <c r="C74" i="4"/>
  <c r="D74" i="4"/>
  <c r="E74" i="4"/>
  <c r="F74" i="4"/>
  <c r="N74" i="4"/>
  <c r="O74" i="4"/>
  <c r="P74" i="4"/>
  <c r="Q74" i="4"/>
  <c r="R74" i="4"/>
  <c r="S74" i="4"/>
  <c r="T74" i="4"/>
  <c r="U74" i="4"/>
  <c r="V74" i="4"/>
  <c r="W74" i="4"/>
  <c r="X74" i="4"/>
  <c r="AB74" i="4"/>
  <c r="AC74" i="4"/>
  <c r="AD74" i="4"/>
  <c r="AE74" i="4"/>
  <c r="AF74" i="4"/>
  <c r="AG74" i="4"/>
  <c r="AH74" i="4"/>
  <c r="AI74" i="4"/>
  <c r="AJ74" i="4"/>
  <c r="AT74" i="4"/>
  <c r="AU74" i="4"/>
  <c r="AV74" i="4"/>
  <c r="BB74" i="4"/>
  <c r="BC74" i="4"/>
  <c r="BD74" i="4"/>
  <c r="BE74" i="4"/>
  <c r="BF74" i="4"/>
  <c r="BG74" i="4"/>
  <c r="BH74" i="4"/>
  <c r="BI74" i="4"/>
  <c r="BJ74" i="4"/>
  <c r="BL74" i="4"/>
  <c r="BM74" i="4"/>
  <c r="BN74" i="4"/>
  <c r="BO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G74" i="4"/>
  <c r="CJ74" i="4"/>
  <c r="CK74" i="4"/>
  <c r="CL74" i="4"/>
  <c r="CN74" i="4"/>
  <c r="CP74" i="4"/>
  <c r="CQ74" i="4"/>
  <c r="C75" i="4"/>
  <c r="D75" i="4"/>
  <c r="E75" i="4"/>
  <c r="F75" i="4"/>
  <c r="N75" i="4"/>
  <c r="O75" i="4"/>
  <c r="P75" i="4"/>
  <c r="Q75" i="4"/>
  <c r="R75" i="4"/>
  <c r="S75" i="4"/>
  <c r="T75" i="4"/>
  <c r="U75" i="4"/>
  <c r="V75" i="4"/>
  <c r="W75" i="4"/>
  <c r="X75" i="4"/>
  <c r="AB75" i="4"/>
  <c r="AC75" i="4"/>
  <c r="AD75" i="4"/>
  <c r="AE75" i="4"/>
  <c r="AF75" i="4"/>
  <c r="AG75" i="4"/>
  <c r="AH75" i="4"/>
  <c r="AI75" i="4"/>
  <c r="AJ75" i="4"/>
  <c r="AT75" i="4"/>
  <c r="AU75" i="4"/>
  <c r="AV75" i="4"/>
  <c r="BB75" i="4"/>
  <c r="BC75" i="4"/>
  <c r="BD75" i="4"/>
  <c r="BE75" i="4"/>
  <c r="BF75" i="4"/>
  <c r="BG75" i="4"/>
  <c r="BH75" i="4"/>
  <c r="BI75" i="4"/>
  <c r="BJ75" i="4"/>
  <c r="BL75" i="4"/>
  <c r="BM75" i="4"/>
  <c r="BN75" i="4"/>
  <c r="BO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G75" i="4"/>
  <c r="CJ75" i="4"/>
  <c r="CK75" i="4"/>
  <c r="CL75" i="4"/>
  <c r="CN75" i="4"/>
  <c r="CP75" i="4"/>
  <c r="CQ75" i="4"/>
  <c r="C76" i="4"/>
  <c r="D76" i="4"/>
  <c r="E76" i="4"/>
  <c r="F76" i="4"/>
  <c r="N76" i="4"/>
  <c r="O76" i="4"/>
  <c r="P76" i="4"/>
  <c r="Q76" i="4"/>
  <c r="R76" i="4"/>
  <c r="S76" i="4"/>
  <c r="T76" i="4"/>
  <c r="U76" i="4"/>
  <c r="V76" i="4"/>
  <c r="W76" i="4"/>
  <c r="X76" i="4"/>
  <c r="AB76" i="4"/>
  <c r="AC76" i="4"/>
  <c r="AD76" i="4"/>
  <c r="AE76" i="4"/>
  <c r="AF76" i="4"/>
  <c r="AG76" i="4"/>
  <c r="AH76" i="4"/>
  <c r="AI76" i="4"/>
  <c r="AJ76" i="4"/>
  <c r="AT76" i="4"/>
  <c r="AU76" i="4"/>
  <c r="AV76" i="4"/>
  <c r="BB76" i="4"/>
  <c r="BC76" i="4"/>
  <c r="BD76" i="4"/>
  <c r="BE76" i="4"/>
  <c r="BF76" i="4"/>
  <c r="BG76" i="4"/>
  <c r="BH76" i="4"/>
  <c r="BI76" i="4"/>
  <c r="BJ76" i="4"/>
  <c r="BL76" i="4"/>
  <c r="BM76" i="4"/>
  <c r="BN76" i="4"/>
  <c r="BO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G76" i="4"/>
  <c r="CJ76" i="4"/>
  <c r="CK76" i="4"/>
  <c r="CL76" i="4"/>
  <c r="CN76" i="4"/>
  <c r="CP76" i="4"/>
  <c r="CQ76" i="4"/>
  <c r="C77" i="4"/>
  <c r="D77" i="4"/>
  <c r="E77" i="4"/>
  <c r="F77" i="4"/>
  <c r="N77" i="4"/>
  <c r="O77" i="4"/>
  <c r="P77" i="4"/>
  <c r="Q77" i="4"/>
  <c r="R77" i="4"/>
  <c r="S77" i="4"/>
  <c r="T77" i="4"/>
  <c r="U77" i="4"/>
  <c r="V77" i="4"/>
  <c r="W77" i="4"/>
  <c r="X77" i="4"/>
  <c r="AB77" i="4"/>
  <c r="AC77" i="4"/>
  <c r="AD77" i="4"/>
  <c r="AE77" i="4"/>
  <c r="AF77" i="4"/>
  <c r="AG77" i="4"/>
  <c r="AH77" i="4"/>
  <c r="AI77" i="4"/>
  <c r="AJ77" i="4"/>
  <c r="AT77" i="4"/>
  <c r="AU77" i="4"/>
  <c r="AV77" i="4"/>
  <c r="BB77" i="4"/>
  <c r="BC77" i="4"/>
  <c r="BD77" i="4"/>
  <c r="BE77" i="4"/>
  <c r="BF77" i="4"/>
  <c r="BG77" i="4"/>
  <c r="BH77" i="4"/>
  <c r="BI77" i="4"/>
  <c r="BJ77" i="4"/>
  <c r="BL77" i="4"/>
  <c r="BM77" i="4"/>
  <c r="BN77" i="4"/>
  <c r="BO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G77" i="4"/>
  <c r="CJ77" i="4"/>
  <c r="CK77" i="4"/>
  <c r="CL77" i="4"/>
  <c r="CN77" i="4"/>
  <c r="CP77" i="4"/>
  <c r="CQ77" i="4"/>
  <c r="C78" i="4"/>
  <c r="D78" i="4"/>
  <c r="E78" i="4"/>
  <c r="F78" i="4"/>
  <c r="N78" i="4"/>
  <c r="O78" i="4"/>
  <c r="P78" i="4"/>
  <c r="Q78" i="4"/>
  <c r="R78" i="4"/>
  <c r="S78" i="4"/>
  <c r="T78" i="4"/>
  <c r="U78" i="4"/>
  <c r="V78" i="4"/>
  <c r="W78" i="4"/>
  <c r="X78" i="4"/>
  <c r="AB78" i="4"/>
  <c r="AC78" i="4"/>
  <c r="AD78" i="4"/>
  <c r="AE78" i="4"/>
  <c r="AF78" i="4"/>
  <c r="AG78" i="4"/>
  <c r="AH78" i="4"/>
  <c r="AI78" i="4"/>
  <c r="AJ78" i="4"/>
  <c r="AT78" i="4"/>
  <c r="AU78" i="4"/>
  <c r="AV78" i="4"/>
  <c r="BB78" i="4"/>
  <c r="BC78" i="4"/>
  <c r="BD78" i="4"/>
  <c r="BE78" i="4"/>
  <c r="BF78" i="4"/>
  <c r="BG78" i="4"/>
  <c r="BH78" i="4"/>
  <c r="BI78" i="4"/>
  <c r="BJ78" i="4"/>
  <c r="BL78" i="4"/>
  <c r="BM78" i="4"/>
  <c r="BN78" i="4"/>
  <c r="BO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G78" i="4"/>
  <c r="CJ78" i="4"/>
  <c r="CK78" i="4"/>
  <c r="CL78" i="4"/>
  <c r="CN78" i="4"/>
  <c r="CP78" i="4"/>
  <c r="CQ78" i="4"/>
  <c r="C79" i="4"/>
  <c r="D79" i="4"/>
  <c r="E79" i="4"/>
  <c r="F79" i="4"/>
  <c r="N79" i="4"/>
  <c r="O79" i="4"/>
  <c r="P79" i="4"/>
  <c r="Q79" i="4"/>
  <c r="R79" i="4"/>
  <c r="S79" i="4"/>
  <c r="T79" i="4"/>
  <c r="U79" i="4"/>
  <c r="V79" i="4"/>
  <c r="W79" i="4"/>
  <c r="X79" i="4"/>
  <c r="AB79" i="4"/>
  <c r="AC79" i="4"/>
  <c r="AD79" i="4"/>
  <c r="AE79" i="4"/>
  <c r="AF79" i="4"/>
  <c r="AG79" i="4"/>
  <c r="AH79" i="4"/>
  <c r="AI79" i="4"/>
  <c r="AJ79" i="4"/>
  <c r="AT79" i="4"/>
  <c r="AU79" i="4"/>
  <c r="AV79" i="4"/>
  <c r="BB79" i="4"/>
  <c r="BC79" i="4"/>
  <c r="BD79" i="4"/>
  <c r="BE79" i="4"/>
  <c r="BF79" i="4"/>
  <c r="BG79" i="4"/>
  <c r="BH79" i="4"/>
  <c r="BI79" i="4"/>
  <c r="BJ79" i="4"/>
  <c r="BL79" i="4"/>
  <c r="BM79" i="4"/>
  <c r="BN79" i="4"/>
  <c r="BO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G79" i="4"/>
  <c r="CJ79" i="4"/>
  <c r="CK79" i="4"/>
  <c r="CL79" i="4"/>
  <c r="CN79" i="4"/>
  <c r="CP79" i="4"/>
  <c r="CQ79" i="4"/>
  <c r="C80" i="4"/>
  <c r="D80" i="4"/>
  <c r="E80" i="4"/>
  <c r="F80" i="4"/>
  <c r="N80" i="4"/>
  <c r="O80" i="4"/>
  <c r="P80" i="4"/>
  <c r="Q80" i="4"/>
  <c r="R80" i="4"/>
  <c r="S80" i="4"/>
  <c r="T80" i="4"/>
  <c r="U80" i="4"/>
  <c r="V80" i="4"/>
  <c r="W80" i="4"/>
  <c r="X80" i="4"/>
  <c r="AB80" i="4"/>
  <c r="AC80" i="4"/>
  <c r="AD80" i="4"/>
  <c r="AE80" i="4"/>
  <c r="AF80" i="4"/>
  <c r="AG80" i="4"/>
  <c r="AH80" i="4"/>
  <c r="AI80" i="4"/>
  <c r="AJ80" i="4"/>
  <c r="AT80" i="4"/>
  <c r="AU80" i="4"/>
  <c r="AV80" i="4"/>
  <c r="BB80" i="4"/>
  <c r="BC80" i="4"/>
  <c r="BD80" i="4"/>
  <c r="BE80" i="4"/>
  <c r="BF80" i="4"/>
  <c r="BG80" i="4"/>
  <c r="BH80" i="4"/>
  <c r="BI80" i="4"/>
  <c r="BJ80" i="4"/>
  <c r="BL80" i="4"/>
  <c r="BM80" i="4"/>
  <c r="BN80" i="4"/>
  <c r="BO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G80" i="4"/>
  <c r="CJ80" i="4"/>
  <c r="CK80" i="4"/>
  <c r="CL80" i="4"/>
  <c r="CN80" i="4"/>
  <c r="CP80" i="4"/>
  <c r="CQ80" i="4"/>
  <c r="C81" i="4"/>
  <c r="D81" i="4"/>
  <c r="E81" i="4"/>
  <c r="F81" i="4"/>
  <c r="N81" i="4"/>
  <c r="O81" i="4"/>
  <c r="P81" i="4"/>
  <c r="Q81" i="4"/>
  <c r="R81" i="4"/>
  <c r="S81" i="4"/>
  <c r="T81" i="4"/>
  <c r="U81" i="4"/>
  <c r="V81" i="4"/>
  <c r="W81" i="4"/>
  <c r="X81" i="4"/>
  <c r="AB81" i="4"/>
  <c r="AC81" i="4"/>
  <c r="AD81" i="4"/>
  <c r="AE81" i="4"/>
  <c r="AF81" i="4"/>
  <c r="AG81" i="4"/>
  <c r="AH81" i="4"/>
  <c r="AI81" i="4"/>
  <c r="AJ81" i="4"/>
  <c r="AT81" i="4"/>
  <c r="AU81" i="4"/>
  <c r="AV81" i="4"/>
  <c r="BB81" i="4"/>
  <c r="BC81" i="4"/>
  <c r="BD81" i="4"/>
  <c r="BE81" i="4"/>
  <c r="BF81" i="4"/>
  <c r="BG81" i="4"/>
  <c r="BH81" i="4"/>
  <c r="BI81" i="4"/>
  <c r="BJ81" i="4"/>
  <c r="BL81" i="4"/>
  <c r="BM81" i="4"/>
  <c r="BN81" i="4"/>
  <c r="BO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G81" i="4"/>
  <c r="CJ81" i="4"/>
  <c r="CK81" i="4"/>
  <c r="CL81" i="4"/>
  <c r="CN81" i="4"/>
  <c r="CP81" i="4"/>
  <c r="CQ81" i="4"/>
  <c r="C82" i="4"/>
  <c r="D82" i="4"/>
  <c r="E82" i="4"/>
  <c r="F82" i="4"/>
  <c r="N82" i="4"/>
  <c r="O82" i="4"/>
  <c r="P82" i="4"/>
  <c r="Q82" i="4"/>
  <c r="R82" i="4"/>
  <c r="S82" i="4"/>
  <c r="T82" i="4"/>
  <c r="U82" i="4"/>
  <c r="V82" i="4"/>
  <c r="W82" i="4"/>
  <c r="X82" i="4"/>
  <c r="AB82" i="4"/>
  <c r="AC82" i="4"/>
  <c r="AD82" i="4"/>
  <c r="AE82" i="4"/>
  <c r="AF82" i="4"/>
  <c r="AG82" i="4"/>
  <c r="AH82" i="4"/>
  <c r="AI82" i="4"/>
  <c r="AJ82" i="4"/>
  <c r="AT82" i="4"/>
  <c r="AU82" i="4"/>
  <c r="AV82" i="4"/>
  <c r="BB82" i="4"/>
  <c r="BC82" i="4"/>
  <c r="BD82" i="4"/>
  <c r="BE82" i="4"/>
  <c r="BF82" i="4"/>
  <c r="BG82" i="4"/>
  <c r="BH82" i="4"/>
  <c r="BI82" i="4"/>
  <c r="BJ82" i="4"/>
  <c r="BL82" i="4"/>
  <c r="BM82" i="4"/>
  <c r="BN82" i="4"/>
  <c r="BO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G82" i="4"/>
  <c r="CJ82" i="4"/>
  <c r="CK82" i="4"/>
  <c r="CL82" i="4"/>
  <c r="CN82" i="4"/>
  <c r="CP82" i="4"/>
  <c r="CQ82" i="4"/>
  <c r="C83" i="4"/>
  <c r="D83" i="4"/>
  <c r="E83" i="4"/>
  <c r="F83" i="4"/>
  <c r="N83" i="4"/>
  <c r="O83" i="4"/>
  <c r="P83" i="4"/>
  <c r="Q83" i="4"/>
  <c r="R83" i="4"/>
  <c r="S83" i="4"/>
  <c r="T83" i="4"/>
  <c r="U83" i="4"/>
  <c r="V83" i="4"/>
  <c r="W83" i="4"/>
  <c r="X83" i="4"/>
  <c r="AB83" i="4"/>
  <c r="AC83" i="4"/>
  <c r="AD83" i="4"/>
  <c r="AE83" i="4"/>
  <c r="AF83" i="4"/>
  <c r="AG83" i="4"/>
  <c r="AH83" i="4"/>
  <c r="AI83" i="4"/>
  <c r="AJ83" i="4"/>
  <c r="AT83" i="4"/>
  <c r="AU83" i="4"/>
  <c r="AV83" i="4"/>
  <c r="BB83" i="4"/>
  <c r="BC83" i="4"/>
  <c r="BD83" i="4"/>
  <c r="BE83" i="4"/>
  <c r="BF83" i="4"/>
  <c r="BG83" i="4"/>
  <c r="BH83" i="4"/>
  <c r="BI83" i="4"/>
  <c r="BJ83" i="4"/>
  <c r="BL83" i="4"/>
  <c r="BM83" i="4"/>
  <c r="BN83" i="4"/>
  <c r="BO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G83" i="4"/>
  <c r="CJ83" i="4"/>
  <c r="CK83" i="4"/>
  <c r="CL83" i="4"/>
  <c r="CN83" i="4"/>
  <c r="CP83" i="4"/>
  <c r="CQ83" i="4"/>
  <c r="C84" i="4"/>
  <c r="D84" i="4"/>
  <c r="E84" i="4"/>
  <c r="F84" i="4"/>
  <c r="N84" i="4"/>
  <c r="O84" i="4"/>
  <c r="P84" i="4"/>
  <c r="Q84" i="4"/>
  <c r="R84" i="4"/>
  <c r="S84" i="4"/>
  <c r="T84" i="4"/>
  <c r="U84" i="4"/>
  <c r="V84" i="4"/>
  <c r="W84" i="4"/>
  <c r="X84" i="4"/>
  <c r="AB84" i="4"/>
  <c r="AC84" i="4"/>
  <c r="AD84" i="4"/>
  <c r="AE84" i="4"/>
  <c r="AF84" i="4"/>
  <c r="AG84" i="4"/>
  <c r="AH84" i="4"/>
  <c r="AI84" i="4"/>
  <c r="AJ84" i="4"/>
  <c r="AT84" i="4"/>
  <c r="AU84" i="4"/>
  <c r="AV84" i="4"/>
  <c r="BB84" i="4"/>
  <c r="BC84" i="4"/>
  <c r="BD84" i="4"/>
  <c r="BE84" i="4"/>
  <c r="BF84" i="4"/>
  <c r="BG84" i="4"/>
  <c r="BH84" i="4"/>
  <c r="BI84" i="4"/>
  <c r="BJ84" i="4"/>
  <c r="BL84" i="4"/>
  <c r="BM84" i="4"/>
  <c r="BN84" i="4"/>
  <c r="BO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G84" i="4"/>
  <c r="CJ84" i="4"/>
  <c r="CK84" i="4"/>
  <c r="CL84" i="4"/>
  <c r="CN84" i="4"/>
  <c r="CP84" i="4"/>
  <c r="CQ84" i="4"/>
  <c r="C85" i="4"/>
  <c r="D85" i="4"/>
  <c r="E85" i="4"/>
  <c r="F85" i="4"/>
  <c r="N85" i="4"/>
  <c r="O85" i="4"/>
  <c r="P85" i="4"/>
  <c r="Q85" i="4"/>
  <c r="R85" i="4"/>
  <c r="S85" i="4"/>
  <c r="T85" i="4"/>
  <c r="U85" i="4"/>
  <c r="V85" i="4"/>
  <c r="W85" i="4"/>
  <c r="X85" i="4"/>
  <c r="AB85" i="4"/>
  <c r="AC85" i="4"/>
  <c r="AD85" i="4"/>
  <c r="AE85" i="4"/>
  <c r="AF85" i="4"/>
  <c r="AG85" i="4"/>
  <c r="AH85" i="4"/>
  <c r="AI85" i="4"/>
  <c r="AJ85" i="4"/>
  <c r="AT85" i="4"/>
  <c r="AU85" i="4"/>
  <c r="AV85" i="4"/>
  <c r="BB85" i="4"/>
  <c r="BC85" i="4"/>
  <c r="BD85" i="4"/>
  <c r="BE85" i="4"/>
  <c r="BF85" i="4"/>
  <c r="BG85" i="4"/>
  <c r="BH85" i="4"/>
  <c r="BI85" i="4"/>
  <c r="BJ85" i="4"/>
  <c r="BL85" i="4"/>
  <c r="BM85" i="4"/>
  <c r="BN85" i="4"/>
  <c r="BO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G85" i="4"/>
  <c r="CJ85" i="4"/>
  <c r="CK85" i="4"/>
  <c r="CL85" i="4"/>
  <c r="CN85" i="4"/>
  <c r="CP85" i="4"/>
  <c r="CQ85" i="4"/>
  <c r="C86" i="4"/>
  <c r="D86" i="4"/>
  <c r="E86" i="4"/>
  <c r="F86" i="4"/>
  <c r="N86" i="4"/>
  <c r="O86" i="4"/>
  <c r="P86" i="4"/>
  <c r="Q86" i="4"/>
  <c r="R86" i="4"/>
  <c r="S86" i="4"/>
  <c r="T86" i="4"/>
  <c r="U86" i="4"/>
  <c r="V86" i="4"/>
  <c r="W86" i="4"/>
  <c r="X86" i="4"/>
  <c r="AB86" i="4"/>
  <c r="AC86" i="4"/>
  <c r="AD86" i="4"/>
  <c r="AE86" i="4"/>
  <c r="AF86" i="4"/>
  <c r="AG86" i="4"/>
  <c r="AH86" i="4"/>
  <c r="AI86" i="4"/>
  <c r="AJ86" i="4"/>
  <c r="AT86" i="4"/>
  <c r="AU86" i="4"/>
  <c r="AV86" i="4"/>
  <c r="BB86" i="4"/>
  <c r="BC86" i="4"/>
  <c r="BD86" i="4"/>
  <c r="BE86" i="4"/>
  <c r="BF86" i="4"/>
  <c r="BG86" i="4"/>
  <c r="BH86" i="4"/>
  <c r="BI86" i="4"/>
  <c r="BJ86" i="4"/>
  <c r="BL86" i="4"/>
  <c r="BM86" i="4"/>
  <c r="BN86" i="4"/>
  <c r="BO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G86" i="4"/>
  <c r="CJ86" i="4"/>
  <c r="CK86" i="4"/>
  <c r="CL86" i="4"/>
  <c r="CN86" i="4"/>
  <c r="CP86" i="4"/>
  <c r="CQ86" i="4"/>
  <c r="C87" i="4"/>
  <c r="D87" i="4"/>
  <c r="E87" i="4"/>
  <c r="F87" i="4"/>
  <c r="N87" i="4"/>
  <c r="O87" i="4"/>
  <c r="P87" i="4"/>
  <c r="Q87" i="4"/>
  <c r="R87" i="4"/>
  <c r="S87" i="4"/>
  <c r="T87" i="4"/>
  <c r="U87" i="4"/>
  <c r="V87" i="4"/>
  <c r="W87" i="4"/>
  <c r="X87" i="4"/>
  <c r="AB87" i="4"/>
  <c r="AC87" i="4"/>
  <c r="AD87" i="4"/>
  <c r="AE87" i="4"/>
  <c r="AF87" i="4"/>
  <c r="AG87" i="4"/>
  <c r="AH87" i="4"/>
  <c r="AI87" i="4"/>
  <c r="AJ87" i="4"/>
  <c r="AT87" i="4"/>
  <c r="AU87" i="4"/>
  <c r="AV87" i="4"/>
  <c r="BB87" i="4"/>
  <c r="BC87" i="4"/>
  <c r="BD87" i="4"/>
  <c r="BE87" i="4"/>
  <c r="BF87" i="4"/>
  <c r="BG87" i="4"/>
  <c r="BH87" i="4"/>
  <c r="BI87" i="4"/>
  <c r="BJ87" i="4"/>
  <c r="BL87" i="4"/>
  <c r="BM87" i="4"/>
  <c r="BN87" i="4"/>
  <c r="BO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G87" i="4"/>
  <c r="CJ87" i="4"/>
  <c r="CK87" i="4"/>
  <c r="CL87" i="4"/>
  <c r="CN87" i="4"/>
  <c r="CP87" i="4"/>
  <c r="CQ87" i="4"/>
  <c r="C88" i="4"/>
  <c r="D88" i="4"/>
  <c r="E88" i="4"/>
  <c r="F88" i="4"/>
  <c r="N88" i="4"/>
  <c r="O88" i="4"/>
  <c r="P88" i="4"/>
  <c r="Q88" i="4"/>
  <c r="R88" i="4"/>
  <c r="S88" i="4"/>
  <c r="T88" i="4"/>
  <c r="U88" i="4"/>
  <c r="V88" i="4"/>
  <c r="W88" i="4"/>
  <c r="X88" i="4"/>
  <c r="AB88" i="4"/>
  <c r="AC88" i="4"/>
  <c r="AD88" i="4"/>
  <c r="AE88" i="4"/>
  <c r="AF88" i="4"/>
  <c r="AG88" i="4"/>
  <c r="AH88" i="4"/>
  <c r="AI88" i="4"/>
  <c r="AJ88" i="4"/>
  <c r="AT88" i="4"/>
  <c r="AU88" i="4"/>
  <c r="AV88" i="4"/>
  <c r="BB88" i="4"/>
  <c r="BC88" i="4"/>
  <c r="BD88" i="4"/>
  <c r="BE88" i="4"/>
  <c r="BF88" i="4"/>
  <c r="BG88" i="4"/>
  <c r="BH88" i="4"/>
  <c r="BI88" i="4"/>
  <c r="BJ88" i="4"/>
  <c r="BL88" i="4"/>
  <c r="BM88" i="4"/>
  <c r="BN88" i="4"/>
  <c r="BO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G88" i="4"/>
  <c r="CJ88" i="4"/>
  <c r="CK88" i="4"/>
  <c r="CL88" i="4"/>
  <c r="CN88" i="4"/>
  <c r="CP88" i="4"/>
  <c r="CQ88" i="4"/>
  <c r="C89" i="4"/>
  <c r="D89" i="4"/>
  <c r="E89" i="4"/>
  <c r="F89" i="4"/>
  <c r="N89" i="4"/>
  <c r="O89" i="4"/>
  <c r="P89" i="4"/>
  <c r="Q89" i="4"/>
  <c r="R89" i="4"/>
  <c r="S89" i="4"/>
  <c r="T89" i="4"/>
  <c r="U89" i="4"/>
  <c r="V89" i="4"/>
  <c r="W89" i="4"/>
  <c r="X89" i="4"/>
  <c r="AB89" i="4"/>
  <c r="AC89" i="4"/>
  <c r="AD89" i="4"/>
  <c r="AE89" i="4"/>
  <c r="AF89" i="4"/>
  <c r="AG89" i="4"/>
  <c r="AH89" i="4"/>
  <c r="AI89" i="4"/>
  <c r="AJ89" i="4"/>
  <c r="AT89" i="4"/>
  <c r="AU89" i="4"/>
  <c r="AV89" i="4"/>
  <c r="BB89" i="4"/>
  <c r="BC89" i="4"/>
  <c r="BD89" i="4"/>
  <c r="BE89" i="4"/>
  <c r="BF89" i="4"/>
  <c r="BG89" i="4"/>
  <c r="BH89" i="4"/>
  <c r="BI89" i="4"/>
  <c r="BJ89" i="4"/>
  <c r="BL89" i="4"/>
  <c r="BM89" i="4"/>
  <c r="BN89" i="4"/>
  <c r="BO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G89" i="4"/>
  <c r="CJ89" i="4"/>
  <c r="CK89" i="4"/>
  <c r="CL89" i="4"/>
  <c r="CN89" i="4"/>
  <c r="CP89" i="4"/>
  <c r="CQ89" i="4"/>
  <c r="C90" i="4"/>
  <c r="D90" i="4"/>
  <c r="E90" i="4"/>
  <c r="F90" i="4"/>
  <c r="N90" i="4"/>
  <c r="O90" i="4"/>
  <c r="P90" i="4"/>
  <c r="Q90" i="4"/>
  <c r="R90" i="4"/>
  <c r="S90" i="4"/>
  <c r="T90" i="4"/>
  <c r="U90" i="4"/>
  <c r="V90" i="4"/>
  <c r="W90" i="4"/>
  <c r="X90" i="4"/>
  <c r="AB90" i="4"/>
  <c r="AC90" i="4"/>
  <c r="AD90" i="4"/>
  <c r="AE90" i="4"/>
  <c r="AF90" i="4"/>
  <c r="AG90" i="4"/>
  <c r="AH90" i="4"/>
  <c r="AI90" i="4"/>
  <c r="AJ90" i="4"/>
  <c r="AT90" i="4"/>
  <c r="AU90" i="4"/>
  <c r="AV90" i="4"/>
  <c r="BB90" i="4"/>
  <c r="BC90" i="4"/>
  <c r="BD90" i="4"/>
  <c r="BE90" i="4"/>
  <c r="BF90" i="4"/>
  <c r="BG90" i="4"/>
  <c r="BH90" i="4"/>
  <c r="BI90" i="4"/>
  <c r="BJ90" i="4"/>
  <c r="BL90" i="4"/>
  <c r="BM90" i="4"/>
  <c r="BN90" i="4"/>
  <c r="BO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G90" i="4"/>
  <c r="CJ90" i="4"/>
  <c r="CK90" i="4"/>
  <c r="CL90" i="4"/>
  <c r="CN90" i="4"/>
  <c r="CP90" i="4"/>
  <c r="CQ90" i="4"/>
  <c r="C91" i="4"/>
  <c r="D91" i="4"/>
  <c r="E91" i="4"/>
  <c r="F91" i="4"/>
  <c r="N91" i="4"/>
  <c r="O91" i="4"/>
  <c r="P91" i="4"/>
  <c r="Q91" i="4"/>
  <c r="R91" i="4"/>
  <c r="S91" i="4"/>
  <c r="T91" i="4"/>
  <c r="U91" i="4"/>
  <c r="V91" i="4"/>
  <c r="W91" i="4"/>
  <c r="X91" i="4"/>
  <c r="AB91" i="4"/>
  <c r="AC91" i="4"/>
  <c r="AD91" i="4"/>
  <c r="AE91" i="4"/>
  <c r="AF91" i="4"/>
  <c r="AG91" i="4"/>
  <c r="AH91" i="4"/>
  <c r="AI91" i="4"/>
  <c r="AJ91" i="4"/>
  <c r="AT91" i="4"/>
  <c r="AU91" i="4"/>
  <c r="AV91" i="4"/>
  <c r="BB91" i="4"/>
  <c r="BC91" i="4"/>
  <c r="BD91" i="4"/>
  <c r="BE91" i="4"/>
  <c r="BF91" i="4"/>
  <c r="BG91" i="4"/>
  <c r="BH91" i="4"/>
  <c r="BI91" i="4"/>
  <c r="BJ91" i="4"/>
  <c r="BL91" i="4"/>
  <c r="BM91" i="4"/>
  <c r="BN91" i="4"/>
  <c r="BO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G91" i="4"/>
  <c r="CJ91" i="4"/>
  <c r="CK91" i="4"/>
  <c r="CL91" i="4"/>
  <c r="CN91" i="4"/>
  <c r="CP91" i="4"/>
  <c r="CQ91" i="4"/>
  <c r="C92" i="4"/>
  <c r="D92" i="4"/>
  <c r="E92" i="4"/>
  <c r="F92" i="4"/>
  <c r="N92" i="4"/>
  <c r="O92" i="4"/>
  <c r="P92" i="4"/>
  <c r="Q92" i="4"/>
  <c r="R92" i="4"/>
  <c r="S92" i="4"/>
  <c r="T92" i="4"/>
  <c r="U92" i="4"/>
  <c r="V92" i="4"/>
  <c r="W92" i="4"/>
  <c r="X92" i="4"/>
  <c r="AB92" i="4"/>
  <c r="AC92" i="4"/>
  <c r="AD92" i="4"/>
  <c r="AE92" i="4"/>
  <c r="AF92" i="4"/>
  <c r="AG92" i="4"/>
  <c r="AH92" i="4"/>
  <c r="AI92" i="4"/>
  <c r="AJ92" i="4"/>
  <c r="AT92" i="4"/>
  <c r="AU92" i="4"/>
  <c r="AV92" i="4"/>
  <c r="BB92" i="4"/>
  <c r="BC92" i="4"/>
  <c r="BD92" i="4"/>
  <c r="BE92" i="4"/>
  <c r="BF92" i="4"/>
  <c r="BG92" i="4"/>
  <c r="BH92" i="4"/>
  <c r="BI92" i="4"/>
  <c r="BJ92" i="4"/>
  <c r="BL92" i="4"/>
  <c r="BM92" i="4"/>
  <c r="BN92" i="4"/>
  <c r="BO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G92" i="4"/>
  <c r="CJ92" i="4"/>
  <c r="CK92" i="4"/>
  <c r="CL92" i="4"/>
  <c r="CN92" i="4"/>
  <c r="CP92" i="4"/>
  <c r="CQ92" i="4"/>
  <c r="C93" i="4"/>
  <c r="D93" i="4"/>
  <c r="E93" i="4"/>
  <c r="F93" i="4"/>
  <c r="N93" i="4"/>
  <c r="O93" i="4"/>
  <c r="P93" i="4"/>
  <c r="Q93" i="4"/>
  <c r="R93" i="4"/>
  <c r="S93" i="4"/>
  <c r="T93" i="4"/>
  <c r="U93" i="4"/>
  <c r="V93" i="4"/>
  <c r="W93" i="4"/>
  <c r="X93" i="4"/>
  <c r="AB93" i="4"/>
  <c r="AC93" i="4"/>
  <c r="AD93" i="4"/>
  <c r="AE93" i="4"/>
  <c r="AF93" i="4"/>
  <c r="AG93" i="4"/>
  <c r="AH93" i="4"/>
  <c r="AI93" i="4"/>
  <c r="AJ93" i="4"/>
  <c r="AT93" i="4"/>
  <c r="AU93" i="4"/>
  <c r="AV93" i="4"/>
  <c r="BB93" i="4"/>
  <c r="BC93" i="4"/>
  <c r="BD93" i="4"/>
  <c r="BE93" i="4"/>
  <c r="BF93" i="4"/>
  <c r="BG93" i="4"/>
  <c r="BH93" i="4"/>
  <c r="BI93" i="4"/>
  <c r="BJ93" i="4"/>
  <c r="BL93" i="4"/>
  <c r="BM93" i="4"/>
  <c r="BN93" i="4"/>
  <c r="BO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G93" i="4"/>
  <c r="CJ93" i="4"/>
  <c r="CK93" i="4"/>
  <c r="CL93" i="4"/>
  <c r="CN93" i="4"/>
  <c r="CP93" i="4"/>
  <c r="CQ93" i="4"/>
  <c r="C94" i="4"/>
  <c r="D94" i="4"/>
  <c r="E94" i="4"/>
  <c r="F94" i="4"/>
  <c r="N94" i="4"/>
  <c r="O94" i="4"/>
  <c r="P94" i="4"/>
  <c r="Q94" i="4"/>
  <c r="R94" i="4"/>
  <c r="S94" i="4"/>
  <c r="T94" i="4"/>
  <c r="U94" i="4"/>
  <c r="V94" i="4"/>
  <c r="W94" i="4"/>
  <c r="X94" i="4"/>
  <c r="AB94" i="4"/>
  <c r="AC94" i="4"/>
  <c r="AD94" i="4"/>
  <c r="AE94" i="4"/>
  <c r="AF94" i="4"/>
  <c r="AG94" i="4"/>
  <c r="AH94" i="4"/>
  <c r="AI94" i="4"/>
  <c r="AJ94" i="4"/>
  <c r="AT94" i="4"/>
  <c r="AU94" i="4"/>
  <c r="AV94" i="4"/>
  <c r="BB94" i="4"/>
  <c r="BC94" i="4"/>
  <c r="BD94" i="4"/>
  <c r="BE94" i="4"/>
  <c r="BF94" i="4"/>
  <c r="BG94" i="4"/>
  <c r="BH94" i="4"/>
  <c r="BI94" i="4"/>
  <c r="BJ94" i="4"/>
  <c r="BL94" i="4"/>
  <c r="BM94" i="4"/>
  <c r="BN94" i="4"/>
  <c r="BO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G94" i="4"/>
  <c r="CJ94" i="4"/>
  <c r="CK94" i="4"/>
  <c r="CL94" i="4"/>
  <c r="CN94" i="4"/>
  <c r="CP94" i="4"/>
  <c r="CQ94" i="4"/>
  <c r="C95" i="4"/>
  <c r="D95" i="4"/>
  <c r="E95" i="4"/>
  <c r="F95" i="4"/>
  <c r="N95" i="4"/>
  <c r="O95" i="4"/>
  <c r="P95" i="4"/>
  <c r="Q95" i="4"/>
  <c r="R95" i="4"/>
  <c r="S95" i="4"/>
  <c r="T95" i="4"/>
  <c r="U95" i="4"/>
  <c r="V95" i="4"/>
  <c r="W95" i="4"/>
  <c r="X95" i="4"/>
  <c r="AB95" i="4"/>
  <c r="AC95" i="4"/>
  <c r="AD95" i="4"/>
  <c r="AE95" i="4"/>
  <c r="AF95" i="4"/>
  <c r="AG95" i="4"/>
  <c r="AH95" i="4"/>
  <c r="AI95" i="4"/>
  <c r="AJ95" i="4"/>
  <c r="AT95" i="4"/>
  <c r="AU95" i="4"/>
  <c r="AV95" i="4"/>
  <c r="BB95" i="4"/>
  <c r="BC95" i="4"/>
  <c r="BD95" i="4"/>
  <c r="BE95" i="4"/>
  <c r="BF95" i="4"/>
  <c r="BG95" i="4"/>
  <c r="BH95" i="4"/>
  <c r="BI95" i="4"/>
  <c r="BJ95" i="4"/>
  <c r="BL95" i="4"/>
  <c r="BM95" i="4"/>
  <c r="BN95" i="4"/>
  <c r="BO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G95" i="4"/>
  <c r="CJ95" i="4"/>
  <c r="CK95" i="4"/>
  <c r="CL95" i="4"/>
  <c r="CN95" i="4"/>
  <c r="CP95" i="4"/>
  <c r="CQ95" i="4"/>
  <c r="C96" i="4"/>
  <c r="D96" i="4"/>
  <c r="E96" i="4"/>
  <c r="F96" i="4"/>
  <c r="N96" i="4"/>
  <c r="O96" i="4"/>
  <c r="P96" i="4"/>
  <c r="Q96" i="4"/>
  <c r="R96" i="4"/>
  <c r="S96" i="4"/>
  <c r="T96" i="4"/>
  <c r="U96" i="4"/>
  <c r="V96" i="4"/>
  <c r="W96" i="4"/>
  <c r="X96" i="4"/>
  <c r="AB96" i="4"/>
  <c r="AC96" i="4"/>
  <c r="AD96" i="4"/>
  <c r="AE96" i="4"/>
  <c r="AF96" i="4"/>
  <c r="AG96" i="4"/>
  <c r="AH96" i="4"/>
  <c r="AI96" i="4"/>
  <c r="AJ96" i="4"/>
  <c r="AT96" i="4"/>
  <c r="AU96" i="4"/>
  <c r="AV96" i="4"/>
  <c r="BB96" i="4"/>
  <c r="BC96" i="4"/>
  <c r="BD96" i="4"/>
  <c r="BE96" i="4"/>
  <c r="BF96" i="4"/>
  <c r="BG96" i="4"/>
  <c r="BH96" i="4"/>
  <c r="BI96" i="4"/>
  <c r="BJ96" i="4"/>
  <c r="BL96" i="4"/>
  <c r="BM96" i="4"/>
  <c r="BN96" i="4"/>
  <c r="BO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G96" i="4"/>
  <c r="CJ96" i="4"/>
  <c r="CK96" i="4"/>
  <c r="CL96" i="4"/>
  <c r="CN96" i="4"/>
  <c r="CP96" i="4"/>
  <c r="CQ96" i="4"/>
  <c r="C97" i="4"/>
  <c r="D97" i="4"/>
  <c r="E97" i="4"/>
  <c r="F97" i="4"/>
  <c r="N97" i="4"/>
  <c r="O97" i="4"/>
  <c r="P97" i="4"/>
  <c r="Q97" i="4"/>
  <c r="R97" i="4"/>
  <c r="S97" i="4"/>
  <c r="T97" i="4"/>
  <c r="U97" i="4"/>
  <c r="V97" i="4"/>
  <c r="W97" i="4"/>
  <c r="X97" i="4"/>
  <c r="AB97" i="4"/>
  <c r="AC97" i="4"/>
  <c r="AD97" i="4"/>
  <c r="AE97" i="4"/>
  <c r="AF97" i="4"/>
  <c r="AG97" i="4"/>
  <c r="AH97" i="4"/>
  <c r="AI97" i="4"/>
  <c r="AJ97" i="4"/>
  <c r="AT97" i="4"/>
  <c r="AU97" i="4"/>
  <c r="AV97" i="4"/>
  <c r="BB97" i="4"/>
  <c r="BC97" i="4"/>
  <c r="BD97" i="4"/>
  <c r="BE97" i="4"/>
  <c r="BF97" i="4"/>
  <c r="BG97" i="4"/>
  <c r="BH97" i="4"/>
  <c r="BI97" i="4"/>
  <c r="BJ97" i="4"/>
  <c r="BL97" i="4"/>
  <c r="BM97" i="4"/>
  <c r="BN97" i="4"/>
  <c r="BO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G97" i="4"/>
  <c r="CJ97" i="4"/>
  <c r="CK97" i="4"/>
  <c r="CL97" i="4"/>
  <c r="CN97" i="4"/>
  <c r="CP97" i="4"/>
  <c r="CQ97" i="4"/>
  <c r="C98" i="4"/>
  <c r="D98" i="4"/>
  <c r="E98" i="4"/>
  <c r="F98" i="4"/>
  <c r="N98" i="4"/>
  <c r="O98" i="4"/>
  <c r="P98" i="4"/>
  <c r="Q98" i="4"/>
  <c r="R98" i="4"/>
  <c r="S98" i="4"/>
  <c r="T98" i="4"/>
  <c r="U98" i="4"/>
  <c r="V98" i="4"/>
  <c r="W98" i="4"/>
  <c r="X98" i="4"/>
  <c r="AB98" i="4"/>
  <c r="AC98" i="4"/>
  <c r="AD98" i="4"/>
  <c r="AE98" i="4"/>
  <c r="AF98" i="4"/>
  <c r="AG98" i="4"/>
  <c r="AH98" i="4"/>
  <c r="AI98" i="4"/>
  <c r="AJ98" i="4"/>
  <c r="AT98" i="4"/>
  <c r="AU98" i="4"/>
  <c r="AV98" i="4"/>
  <c r="BB98" i="4"/>
  <c r="BC98" i="4"/>
  <c r="BD98" i="4"/>
  <c r="BE98" i="4"/>
  <c r="BF98" i="4"/>
  <c r="BG98" i="4"/>
  <c r="BH98" i="4"/>
  <c r="BI98" i="4"/>
  <c r="BJ98" i="4"/>
  <c r="BL98" i="4"/>
  <c r="BM98" i="4"/>
  <c r="BN98" i="4"/>
  <c r="BO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G98" i="4"/>
  <c r="CJ98" i="4"/>
  <c r="CK98" i="4"/>
  <c r="CL98" i="4"/>
  <c r="CN98" i="4"/>
  <c r="CP98" i="4"/>
  <c r="CQ98" i="4"/>
  <c r="C99" i="4"/>
  <c r="D99" i="4"/>
  <c r="E99" i="4"/>
  <c r="F99" i="4"/>
  <c r="N99" i="4"/>
  <c r="O99" i="4"/>
  <c r="P99" i="4"/>
  <c r="Q99" i="4"/>
  <c r="R99" i="4"/>
  <c r="S99" i="4"/>
  <c r="T99" i="4"/>
  <c r="U99" i="4"/>
  <c r="V99" i="4"/>
  <c r="W99" i="4"/>
  <c r="X99" i="4"/>
  <c r="AB99" i="4"/>
  <c r="AC99" i="4"/>
  <c r="AD99" i="4"/>
  <c r="AE99" i="4"/>
  <c r="AF99" i="4"/>
  <c r="AG99" i="4"/>
  <c r="AH99" i="4"/>
  <c r="AI99" i="4"/>
  <c r="AJ99" i="4"/>
  <c r="AT99" i="4"/>
  <c r="AU99" i="4"/>
  <c r="AV99" i="4"/>
  <c r="BB99" i="4"/>
  <c r="BC99" i="4"/>
  <c r="BD99" i="4"/>
  <c r="BE99" i="4"/>
  <c r="BF99" i="4"/>
  <c r="BG99" i="4"/>
  <c r="BH99" i="4"/>
  <c r="BI99" i="4"/>
  <c r="BJ99" i="4"/>
  <c r="BL99" i="4"/>
  <c r="BM99" i="4"/>
  <c r="BN99" i="4"/>
  <c r="BO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G99" i="4"/>
  <c r="CJ99" i="4"/>
  <c r="CK99" i="4"/>
  <c r="CL99" i="4"/>
  <c r="CN99" i="4"/>
  <c r="CP99" i="4"/>
  <c r="CQ99" i="4"/>
  <c r="C100" i="4"/>
  <c r="D100" i="4"/>
  <c r="E100" i="4"/>
  <c r="F100" i="4"/>
  <c r="N100" i="4"/>
  <c r="O100" i="4"/>
  <c r="P100" i="4"/>
  <c r="Q100" i="4"/>
  <c r="R100" i="4"/>
  <c r="S100" i="4"/>
  <c r="T100" i="4"/>
  <c r="U100" i="4"/>
  <c r="V100" i="4"/>
  <c r="W100" i="4"/>
  <c r="X100" i="4"/>
  <c r="AB100" i="4"/>
  <c r="AC100" i="4"/>
  <c r="AD100" i="4"/>
  <c r="AE100" i="4"/>
  <c r="AF100" i="4"/>
  <c r="AG100" i="4"/>
  <c r="AH100" i="4"/>
  <c r="AI100" i="4"/>
  <c r="AJ100" i="4"/>
  <c r="AT100" i="4"/>
  <c r="AU100" i="4"/>
  <c r="AV100" i="4"/>
  <c r="BB100" i="4"/>
  <c r="BC100" i="4"/>
  <c r="BD100" i="4"/>
  <c r="BE100" i="4"/>
  <c r="BF100" i="4"/>
  <c r="BG100" i="4"/>
  <c r="BH100" i="4"/>
  <c r="BI100" i="4"/>
  <c r="BJ100" i="4"/>
  <c r="BL100" i="4"/>
  <c r="BM100" i="4"/>
  <c r="BN100" i="4"/>
  <c r="BO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G100" i="4"/>
  <c r="CJ100" i="4"/>
  <c r="CK100" i="4"/>
  <c r="CL100" i="4"/>
  <c r="CN100" i="4"/>
  <c r="CP100" i="4"/>
  <c r="CQ100" i="4"/>
  <c r="C101" i="4"/>
  <c r="D101" i="4"/>
  <c r="E101" i="4"/>
  <c r="F101" i="4"/>
  <c r="N101" i="4"/>
  <c r="O101" i="4"/>
  <c r="P101" i="4"/>
  <c r="Q101" i="4"/>
  <c r="R101" i="4"/>
  <c r="S101" i="4"/>
  <c r="T101" i="4"/>
  <c r="U101" i="4"/>
  <c r="V101" i="4"/>
  <c r="W101" i="4"/>
  <c r="X101" i="4"/>
  <c r="AB101" i="4"/>
  <c r="AC101" i="4"/>
  <c r="AD101" i="4"/>
  <c r="AE101" i="4"/>
  <c r="AF101" i="4"/>
  <c r="AG101" i="4"/>
  <c r="AH101" i="4"/>
  <c r="AI101" i="4"/>
  <c r="AJ101" i="4"/>
  <c r="AT101" i="4"/>
  <c r="AU101" i="4"/>
  <c r="AV101" i="4"/>
  <c r="BB101" i="4"/>
  <c r="BC101" i="4"/>
  <c r="BD101" i="4"/>
  <c r="BE101" i="4"/>
  <c r="BF101" i="4"/>
  <c r="BG101" i="4"/>
  <c r="BH101" i="4"/>
  <c r="BI101" i="4"/>
  <c r="BJ101" i="4"/>
  <c r="BL101" i="4"/>
  <c r="BM101" i="4"/>
  <c r="BN101" i="4"/>
  <c r="BO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G101" i="4"/>
  <c r="CJ101" i="4"/>
  <c r="CK101" i="4"/>
  <c r="CL101" i="4"/>
  <c r="CN101" i="4"/>
  <c r="CP101" i="4"/>
  <c r="CQ101" i="4"/>
  <c r="C102" i="4"/>
  <c r="D102" i="4"/>
  <c r="E102" i="4"/>
  <c r="F102" i="4"/>
  <c r="N102" i="4"/>
  <c r="O102" i="4"/>
  <c r="P102" i="4"/>
  <c r="Q102" i="4"/>
  <c r="R102" i="4"/>
  <c r="S102" i="4"/>
  <c r="T102" i="4"/>
  <c r="U102" i="4"/>
  <c r="V102" i="4"/>
  <c r="W102" i="4"/>
  <c r="X102" i="4"/>
  <c r="AB102" i="4"/>
  <c r="AC102" i="4"/>
  <c r="AD102" i="4"/>
  <c r="AE102" i="4"/>
  <c r="AF102" i="4"/>
  <c r="AG102" i="4"/>
  <c r="AH102" i="4"/>
  <c r="AI102" i="4"/>
  <c r="AJ102" i="4"/>
  <c r="AT102" i="4"/>
  <c r="AU102" i="4"/>
  <c r="AV102" i="4"/>
  <c r="BB102" i="4"/>
  <c r="BC102" i="4"/>
  <c r="BD102" i="4"/>
  <c r="BE102" i="4"/>
  <c r="BF102" i="4"/>
  <c r="BG102" i="4"/>
  <c r="BH102" i="4"/>
  <c r="BI102" i="4"/>
  <c r="BJ102" i="4"/>
  <c r="BL102" i="4"/>
  <c r="BM102" i="4"/>
  <c r="BN102" i="4"/>
  <c r="BO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G102" i="4"/>
  <c r="CJ102" i="4"/>
  <c r="CK102" i="4"/>
  <c r="CL102" i="4"/>
  <c r="CN102" i="4"/>
  <c r="CP102" i="4"/>
  <c r="CQ102" i="4"/>
  <c r="C103" i="4"/>
  <c r="D103" i="4"/>
  <c r="E103" i="4"/>
  <c r="F103" i="4"/>
  <c r="N103" i="4"/>
  <c r="O103" i="4"/>
  <c r="P103" i="4"/>
  <c r="Q103" i="4"/>
  <c r="R103" i="4"/>
  <c r="S103" i="4"/>
  <c r="T103" i="4"/>
  <c r="U103" i="4"/>
  <c r="V103" i="4"/>
  <c r="W103" i="4"/>
  <c r="X103" i="4"/>
  <c r="AB103" i="4"/>
  <c r="AC103" i="4"/>
  <c r="AD103" i="4"/>
  <c r="AE103" i="4"/>
  <c r="AF103" i="4"/>
  <c r="AG103" i="4"/>
  <c r="AH103" i="4"/>
  <c r="AI103" i="4"/>
  <c r="AJ103" i="4"/>
  <c r="AT103" i="4"/>
  <c r="AU103" i="4"/>
  <c r="AV103" i="4"/>
  <c r="BB103" i="4"/>
  <c r="BC103" i="4"/>
  <c r="BD103" i="4"/>
  <c r="BE103" i="4"/>
  <c r="BF103" i="4"/>
  <c r="BG103" i="4"/>
  <c r="BH103" i="4"/>
  <c r="BI103" i="4"/>
  <c r="BJ103" i="4"/>
  <c r="BL103" i="4"/>
  <c r="BM103" i="4"/>
  <c r="BN103" i="4"/>
  <c r="BO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G103" i="4"/>
  <c r="CJ103" i="4"/>
  <c r="CK103" i="4"/>
  <c r="CL103" i="4"/>
  <c r="CN103" i="4"/>
  <c r="CP103" i="4"/>
  <c r="CQ103" i="4"/>
  <c r="C104" i="4"/>
  <c r="D104" i="4"/>
  <c r="E104" i="4"/>
  <c r="F104" i="4"/>
  <c r="N104" i="4"/>
  <c r="O104" i="4"/>
  <c r="P104" i="4"/>
  <c r="Q104" i="4"/>
  <c r="R104" i="4"/>
  <c r="S104" i="4"/>
  <c r="T104" i="4"/>
  <c r="U104" i="4"/>
  <c r="V104" i="4"/>
  <c r="W104" i="4"/>
  <c r="X104" i="4"/>
  <c r="AB104" i="4"/>
  <c r="AC104" i="4"/>
  <c r="AD104" i="4"/>
  <c r="AE104" i="4"/>
  <c r="AF104" i="4"/>
  <c r="AG104" i="4"/>
  <c r="AH104" i="4"/>
  <c r="AI104" i="4"/>
  <c r="AJ104" i="4"/>
  <c r="AT104" i="4"/>
  <c r="AU104" i="4"/>
  <c r="AV104" i="4"/>
  <c r="BB104" i="4"/>
  <c r="BC104" i="4"/>
  <c r="BD104" i="4"/>
  <c r="BE104" i="4"/>
  <c r="BF104" i="4"/>
  <c r="BG104" i="4"/>
  <c r="BH104" i="4"/>
  <c r="BI104" i="4"/>
  <c r="BJ104" i="4"/>
  <c r="BL104" i="4"/>
  <c r="BM104" i="4"/>
  <c r="BN104" i="4"/>
  <c r="BO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G104" i="4"/>
  <c r="CJ104" i="4"/>
  <c r="CK104" i="4"/>
  <c r="CL104" i="4"/>
  <c r="CN104" i="4"/>
  <c r="CP104" i="4"/>
  <c r="CQ104" i="4"/>
  <c r="C105" i="4"/>
  <c r="D105" i="4"/>
  <c r="E105" i="4"/>
  <c r="F105" i="4"/>
  <c r="N105" i="4"/>
  <c r="O105" i="4"/>
  <c r="P105" i="4"/>
  <c r="Q105" i="4"/>
  <c r="R105" i="4"/>
  <c r="S105" i="4"/>
  <c r="T105" i="4"/>
  <c r="U105" i="4"/>
  <c r="V105" i="4"/>
  <c r="W105" i="4"/>
  <c r="X105" i="4"/>
  <c r="AB105" i="4"/>
  <c r="AC105" i="4"/>
  <c r="AD105" i="4"/>
  <c r="AE105" i="4"/>
  <c r="AF105" i="4"/>
  <c r="AG105" i="4"/>
  <c r="AH105" i="4"/>
  <c r="AI105" i="4"/>
  <c r="AJ105" i="4"/>
  <c r="AT105" i="4"/>
  <c r="AU105" i="4"/>
  <c r="AV105" i="4"/>
  <c r="BB105" i="4"/>
  <c r="BC105" i="4"/>
  <c r="BD105" i="4"/>
  <c r="BE105" i="4"/>
  <c r="BF105" i="4"/>
  <c r="BG105" i="4"/>
  <c r="BH105" i="4"/>
  <c r="BI105" i="4"/>
  <c r="BJ105" i="4"/>
  <c r="BL105" i="4"/>
  <c r="BM105" i="4"/>
  <c r="BN105" i="4"/>
  <c r="BO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G105" i="4"/>
  <c r="CJ105" i="4"/>
  <c r="CK105" i="4"/>
  <c r="CL105" i="4"/>
  <c r="CN105" i="4"/>
  <c r="CP105" i="4"/>
  <c r="CQ105" i="4"/>
  <c r="C106" i="4"/>
  <c r="D106" i="4"/>
  <c r="E106" i="4"/>
  <c r="F106" i="4"/>
  <c r="N106" i="4"/>
  <c r="O106" i="4"/>
  <c r="P106" i="4"/>
  <c r="Q106" i="4"/>
  <c r="R106" i="4"/>
  <c r="S106" i="4"/>
  <c r="T106" i="4"/>
  <c r="U106" i="4"/>
  <c r="V106" i="4"/>
  <c r="W106" i="4"/>
  <c r="X106" i="4"/>
  <c r="AB106" i="4"/>
  <c r="AC106" i="4"/>
  <c r="AD106" i="4"/>
  <c r="AE106" i="4"/>
  <c r="AF106" i="4"/>
  <c r="AG106" i="4"/>
  <c r="AH106" i="4"/>
  <c r="AI106" i="4"/>
  <c r="AJ106" i="4"/>
  <c r="AT106" i="4"/>
  <c r="AU106" i="4"/>
  <c r="AV106" i="4"/>
  <c r="BB106" i="4"/>
  <c r="BC106" i="4"/>
  <c r="BD106" i="4"/>
  <c r="BE106" i="4"/>
  <c r="BF106" i="4"/>
  <c r="BG106" i="4"/>
  <c r="BH106" i="4"/>
  <c r="BI106" i="4"/>
  <c r="BJ106" i="4"/>
  <c r="BL106" i="4"/>
  <c r="BM106" i="4"/>
  <c r="BN106" i="4"/>
  <c r="BO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G106" i="4"/>
  <c r="CJ106" i="4"/>
  <c r="CK106" i="4"/>
  <c r="CL106" i="4"/>
  <c r="CN106" i="4"/>
  <c r="CP106" i="4"/>
  <c r="CQ106" i="4"/>
  <c r="C107" i="4"/>
  <c r="D107" i="4"/>
  <c r="E107" i="4"/>
  <c r="F107" i="4"/>
  <c r="N107" i="4"/>
  <c r="O107" i="4"/>
  <c r="P107" i="4"/>
  <c r="Q107" i="4"/>
  <c r="R107" i="4"/>
  <c r="S107" i="4"/>
  <c r="T107" i="4"/>
  <c r="U107" i="4"/>
  <c r="V107" i="4"/>
  <c r="W107" i="4"/>
  <c r="X107" i="4"/>
  <c r="AB107" i="4"/>
  <c r="AC107" i="4"/>
  <c r="AD107" i="4"/>
  <c r="AE107" i="4"/>
  <c r="AF107" i="4"/>
  <c r="AG107" i="4"/>
  <c r="AH107" i="4"/>
  <c r="AI107" i="4"/>
  <c r="AJ107" i="4"/>
  <c r="AT107" i="4"/>
  <c r="AU107" i="4"/>
  <c r="AV107" i="4"/>
  <c r="BB107" i="4"/>
  <c r="BC107" i="4"/>
  <c r="BD107" i="4"/>
  <c r="BE107" i="4"/>
  <c r="BF107" i="4"/>
  <c r="BG107" i="4"/>
  <c r="BH107" i="4"/>
  <c r="BI107" i="4"/>
  <c r="BJ107" i="4"/>
  <c r="BL107" i="4"/>
  <c r="BM107" i="4"/>
  <c r="BN107" i="4"/>
  <c r="BO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G107" i="4"/>
  <c r="CJ107" i="4"/>
  <c r="CK107" i="4"/>
  <c r="CL107" i="4"/>
  <c r="CN107" i="4"/>
  <c r="CP107" i="4"/>
  <c r="CQ107" i="4"/>
  <c r="C108" i="4"/>
  <c r="D108" i="4"/>
  <c r="E108" i="4"/>
  <c r="F108" i="4"/>
  <c r="N108" i="4"/>
  <c r="O108" i="4"/>
  <c r="P108" i="4"/>
  <c r="Q108" i="4"/>
  <c r="R108" i="4"/>
  <c r="S108" i="4"/>
  <c r="T108" i="4"/>
  <c r="U108" i="4"/>
  <c r="V108" i="4"/>
  <c r="W108" i="4"/>
  <c r="X108" i="4"/>
  <c r="AB108" i="4"/>
  <c r="AC108" i="4"/>
  <c r="AD108" i="4"/>
  <c r="AE108" i="4"/>
  <c r="AF108" i="4"/>
  <c r="AG108" i="4"/>
  <c r="AH108" i="4"/>
  <c r="AI108" i="4"/>
  <c r="AJ108" i="4"/>
  <c r="AT108" i="4"/>
  <c r="AU108" i="4"/>
  <c r="AV108" i="4"/>
  <c r="BB108" i="4"/>
  <c r="BC108" i="4"/>
  <c r="BD108" i="4"/>
  <c r="BE108" i="4"/>
  <c r="BF108" i="4"/>
  <c r="BG108" i="4"/>
  <c r="BH108" i="4"/>
  <c r="BI108" i="4"/>
  <c r="BJ108" i="4"/>
  <c r="BL108" i="4"/>
  <c r="BM108" i="4"/>
  <c r="BN108" i="4"/>
  <c r="BO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G108" i="4"/>
  <c r="CJ108" i="4"/>
  <c r="CK108" i="4"/>
  <c r="CL108" i="4"/>
  <c r="CN108" i="4"/>
  <c r="CP108" i="4"/>
  <c r="CQ108" i="4"/>
  <c r="C109" i="4"/>
  <c r="D109" i="4"/>
  <c r="E109" i="4"/>
  <c r="F109" i="4"/>
  <c r="N109" i="4"/>
  <c r="O109" i="4"/>
  <c r="P109" i="4"/>
  <c r="Q109" i="4"/>
  <c r="R109" i="4"/>
  <c r="S109" i="4"/>
  <c r="T109" i="4"/>
  <c r="U109" i="4"/>
  <c r="V109" i="4"/>
  <c r="W109" i="4"/>
  <c r="X109" i="4"/>
  <c r="AB109" i="4"/>
  <c r="AC109" i="4"/>
  <c r="AD109" i="4"/>
  <c r="AE109" i="4"/>
  <c r="AF109" i="4"/>
  <c r="AG109" i="4"/>
  <c r="AH109" i="4"/>
  <c r="AI109" i="4"/>
  <c r="AJ109" i="4"/>
  <c r="AT109" i="4"/>
  <c r="AU109" i="4"/>
  <c r="AV109" i="4"/>
  <c r="BB109" i="4"/>
  <c r="BC109" i="4"/>
  <c r="BD109" i="4"/>
  <c r="BE109" i="4"/>
  <c r="BF109" i="4"/>
  <c r="BG109" i="4"/>
  <c r="BH109" i="4"/>
  <c r="BI109" i="4"/>
  <c r="BJ109" i="4"/>
  <c r="BL109" i="4"/>
  <c r="BM109" i="4"/>
  <c r="BN109" i="4"/>
  <c r="BO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G109" i="4"/>
  <c r="CJ109" i="4"/>
  <c r="CK109" i="4"/>
  <c r="CL109" i="4"/>
  <c r="CN109" i="4"/>
  <c r="CP109" i="4"/>
  <c r="CQ109" i="4"/>
  <c r="C110" i="4"/>
  <c r="D110" i="4"/>
  <c r="E110" i="4"/>
  <c r="F110" i="4"/>
  <c r="N110" i="4"/>
  <c r="O110" i="4"/>
  <c r="P110" i="4"/>
  <c r="Q110" i="4"/>
  <c r="R110" i="4"/>
  <c r="S110" i="4"/>
  <c r="T110" i="4"/>
  <c r="U110" i="4"/>
  <c r="V110" i="4"/>
  <c r="W110" i="4"/>
  <c r="X110" i="4"/>
  <c r="AB110" i="4"/>
  <c r="AC110" i="4"/>
  <c r="AD110" i="4"/>
  <c r="AE110" i="4"/>
  <c r="AF110" i="4"/>
  <c r="AG110" i="4"/>
  <c r="AH110" i="4"/>
  <c r="AI110" i="4"/>
  <c r="AJ110" i="4"/>
  <c r="AT110" i="4"/>
  <c r="AU110" i="4"/>
  <c r="AV110" i="4"/>
  <c r="BB110" i="4"/>
  <c r="BC110" i="4"/>
  <c r="BD110" i="4"/>
  <c r="BE110" i="4"/>
  <c r="BF110" i="4"/>
  <c r="BG110" i="4"/>
  <c r="BH110" i="4"/>
  <c r="BI110" i="4"/>
  <c r="BJ110" i="4"/>
  <c r="BL110" i="4"/>
  <c r="BM110" i="4"/>
  <c r="BN110" i="4"/>
  <c r="BO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G110" i="4"/>
  <c r="CJ110" i="4"/>
  <c r="CK110" i="4"/>
  <c r="CL110" i="4"/>
  <c r="CN110" i="4"/>
  <c r="CP110" i="4"/>
  <c r="CQ110" i="4"/>
  <c r="C111" i="4"/>
  <c r="D111" i="4"/>
  <c r="E111" i="4"/>
  <c r="F111" i="4"/>
  <c r="N111" i="4"/>
  <c r="O111" i="4"/>
  <c r="P111" i="4"/>
  <c r="Q111" i="4"/>
  <c r="R111" i="4"/>
  <c r="S111" i="4"/>
  <c r="T111" i="4"/>
  <c r="U111" i="4"/>
  <c r="V111" i="4"/>
  <c r="W111" i="4"/>
  <c r="X111" i="4"/>
  <c r="AB111" i="4"/>
  <c r="AC111" i="4"/>
  <c r="AD111" i="4"/>
  <c r="AE111" i="4"/>
  <c r="AF111" i="4"/>
  <c r="AG111" i="4"/>
  <c r="AH111" i="4"/>
  <c r="AI111" i="4"/>
  <c r="AJ111" i="4"/>
  <c r="AT111" i="4"/>
  <c r="AU111" i="4"/>
  <c r="AV111" i="4"/>
  <c r="BB111" i="4"/>
  <c r="BC111" i="4"/>
  <c r="BD111" i="4"/>
  <c r="BE111" i="4"/>
  <c r="BF111" i="4"/>
  <c r="BG111" i="4"/>
  <c r="BH111" i="4"/>
  <c r="BI111" i="4"/>
  <c r="BJ111" i="4"/>
  <c r="BL111" i="4"/>
  <c r="BM111" i="4"/>
  <c r="BN111" i="4"/>
  <c r="BO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G111" i="4"/>
  <c r="CJ111" i="4"/>
  <c r="CK111" i="4"/>
  <c r="CL111" i="4"/>
  <c r="CN111" i="4"/>
  <c r="CP111" i="4"/>
  <c r="CQ111" i="4"/>
  <c r="C112" i="4"/>
  <c r="D112" i="4"/>
  <c r="E112" i="4"/>
  <c r="F112" i="4"/>
  <c r="N112" i="4"/>
  <c r="O112" i="4"/>
  <c r="P112" i="4"/>
  <c r="Q112" i="4"/>
  <c r="R112" i="4"/>
  <c r="S112" i="4"/>
  <c r="T112" i="4"/>
  <c r="U112" i="4"/>
  <c r="V112" i="4"/>
  <c r="W112" i="4"/>
  <c r="X112" i="4"/>
  <c r="AB112" i="4"/>
  <c r="AC112" i="4"/>
  <c r="AD112" i="4"/>
  <c r="AE112" i="4"/>
  <c r="AF112" i="4"/>
  <c r="AG112" i="4"/>
  <c r="AH112" i="4"/>
  <c r="AI112" i="4"/>
  <c r="AJ112" i="4"/>
  <c r="AT112" i="4"/>
  <c r="AU112" i="4"/>
  <c r="AV112" i="4"/>
  <c r="BB112" i="4"/>
  <c r="BC112" i="4"/>
  <c r="BD112" i="4"/>
  <c r="BE112" i="4"/>
  <c r="BF112" i="4"/>
  <c r="BG112" i="4"/>
  <c r="BH112" i="4"/>
  <c r="BI112" i="4"/>
  <c r="BJ112" i="4"/>
  <c r="BL112" i="4"/>
  <c r="BM112" i="4"/>
  <c r="BN112" i="4"/>
  <c r="BO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G112" i="4"/>
  <c r="CJ112" i="4"/>
  <c r="CK112" i="4"/>
  <c r="CL112" i="4"/>
  <c r="CN112" i="4"/>
  <c r="CP112" i="4"/>
  <c r="CQ112" i="4"/>
  <c r="C113" i="4"/>
  <c r="D113" i="4"/>
  <c r="E113" i="4"/>
  <c r="F113" i="4"/>
  <c r="N113" i="4"/>
  <c r="O113" i="4"/>
  <c r="P113" i="4"/>
  <c r="Q113" i="4"/>
  <c r="R113" i="4"/>
  <c r="S113" i="4"/>
  <c r="T113" i="4"/>
  <c r="U113" i="4"/>
  <c r="V113" i="4"/>
  <c r="W113" i="4"/>
  <c r="X113" i="4"/>
  <c r="AB113" i="4"/>
  <c r="AC113" i="4"/>
  <c r="AD113" i="4"/>
  <c r="AE113" i="4"/>
  <c r="AF113" i="4"/>
  <c r="AG113" i="4"/>
  <c r="AH113" i="4"/>
  <c r="AI113" i="4"/>
  <c r="AJ113" i="4"/>
  <c r="AT113" i="4"/>
  <c r="AU113" i="4"/>
  <c r="AV113" i="4"/>
  <c r="BB113" i="4"/>
  <c r="BC113" i="4"/>
  <c r="BD113" i="4"/>
  <c r="BE113" i="4"/>
  <c r="BF113" i="4"/>
  <c r="BG113" i="4"/>
  <c r="BH113" i="4"/>
  <c r="BI113" i="4"/>
  <c r="BJ113" i="4"/>
  <c r="BL113" i="4"/>
  <c r="BM113" i="4"/>
  <c r="BN113" i="4"/>
  <c r="BO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G113" i="4"/>
  <c r="CJ113" i="4"/>
  <c r="CK113" i="4"/>
  <c r="CL113" i="4"/>
  <c r="CN113" i="4"/>
  <c r="CP113" i="4"/>
  <c r="CQ113" i="4"/>
  <c r="C114" i="4"/>
  <c r="D114" i="4"/>
  <c r="E114" i="4"/>
  <c r="F114" i="4"/>
  <c r="N114" i="4"/>
  <c r="O114" i="4"/>
  <c r="P114" i="4"/>
  <c r="Q114" i="4"/>
  <c r="R114" i="4"/>
  <c r="S114" i="4"/>
  <c r="T114" i="4"/>
  <c r="U114" i="4"/>
  <c r="V114" i="4"/>
  <c r="W114" i="4"/>
  <c r="X114" i="4"/>
  <c r="AB114" i="4"/>
  <c r="AC114" i="4"/>
  <c r="AD114" i="4"/>
  <c r="AE114" i="4"/>
  <c r="AF114" i="4"/>
  <c r="AG114" i="4"/>
  <c r="AH114" i="4"/>
  <c r="AI114" i="4"/>
  <c r="AJ114" i="4"/>
  <c r="AT114" i="4"/>
  <c r="AU114" i="4"/>
  <c r="AV114" i="4"/>
  <c r="BB114" i="4"/>
  <c r="BC114" i="4"/>
  <c r="BD114" i="4"/>
  <c r="BE114" i="4"/>
  <c r="BF114" i="4"/>
  <c r="BG114" i="4"/>
  <c r="BH114" i="4"/>
  <c r="BI114" i="4"/>
  <c r="BJ114" i="4"/>
  <c r="BL114" i="4"/>
  <c r="BM114" i="4"/>
  <c r="BN114" i="4"/>
  <c r="BO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G114" i="4"/>
  <c r="CJ114" i="4"/>
  <c r="CK114" i="4"/>
  <c r="CL114" i="4"/>
  <c r="CN114" i="4"/>
  <c r="CP114" i="4"/>
  <c r="CQ114" i="4"/>
  <c r="C115" i="4"/>
  <c r="D115" i="4"/>
  <c r="E115" i="4"/>
  <c r="F115" i="4"/>
  <c r="N115" i="4"/>
  <c r="O115" i="4"/>
  <c r="P115" i="4"/>
  <c r="Q115" i="4"/>
  <c r="R115" i="4"/>
  <c r="S115" i="4"/>
  <c r="T115" i="4"/>
  <c r="U115" i="4"/>
  <c r="V115" i="4"/>
  <c r="W115" i="4"/>
  <c r="X115" i="4"/>
  <c r="AB115" i="4"/>
  <c r="AC115" i="4"/>
  <c r="AD115" i="4"/>
  <c r="AE115" i="4"/>
  <c r="AF115" i="4"/>
  <c r="AG115" i="4"/>
  <c r="AH115" i="4"/>
  <c r="AI115" i="4"/>
  <c r="AJ115" i="4"/>
  <c r="AT115" i="4"/>
  <c r="AU115" i="4"/>
  <c r="AV115" i="4"/>
  <c r="BB115" i="4"/>
  <c r="BC115" i="4"/>
  <c r="BD115" i="4"/>
  <c r="BE115" i="4"/>
  <c r="BF115" i="4"/>
  <c r="BG115" i="4"/>
  <c r="BH115" i="4"/>
  <c r="BI115" i="4"/>
  <c r="BJ115" i="4"/>
  <c r="BL115" i="4"/>
  <c r="BM115" i="4"/>
  <c r="BN115" i="4"/>
  <c r="BO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G115" i="4"/>
  <c r="CJ115" i="4"/>
  <c r="CK115" i="4"/>
  <c r="CL115" i="4"/>
  <c r="CN115" i="4"/>
  <c r="CP115" i="4"/>
  <c r="CQ115" i="4"/>
  <c r="C116" i="4"/>
  <c r="D116" i="4"/>
  <c r="E116" i="4"/>
  <c r="F116" i="4"/>
  <c r="N116" i="4"/>
  <c r="O116" i="4"/>
  <c r="P116" i="4"/>
  <c r="Q116" i="4"/>
  <c r="R116" i="4"/>
  <c r="S116" i="4"/>
  <c r="T116" i="4"/>
  <c r="U116" i="4"/>
  <c r="V116" i="4"/>
  <c r="W116" i="4"/>
  <c r="X116" i="4"/>
  <c r="AB116" i="4"/>
  <c r="AC116" i="4"/>
  <c r="AD116" i="4"/>
  <c r="AE116" i="4"/>
  <c r="AF116" i="4"/>
  <c r="AG116" i="4"/>
  <c r="AH116" i="4"/>
  <c r="AI116" i="4"/>
  <c r="AJ116" i="4"/>
  <c r="AT116" i="4"/>
  <c r="AU116" i="4"/>
  <c r="AV116" i="4"/>
  <c r="BB116" i="4"/>
  <c r="BC116" i="4"/>
  <c r="BD116" i="4"/>
  <c r="BE116" i="4"/>
  <c r="BF116" i="4"/>
  <c r="BG116" i="4"/>
  <c r="BH116" i="4"/>
  <c r="BI116" i="4"/>
  <c r="BJ116" i="4"/>
  <c r="BL116" i="4"/>
  <c r="BM116" i="4"/>
  <c r="BN116" i="4"/>
  <c r="BO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G116" i="4"/>
  <c r="CJ116" i="4"/>
  <c r="CK116" i="4"/>
  <c r="CL116" i="4"/>
  <c r="CN116" i="4"/>
  <c r="CP116" i="4"/>
  <c r="CQ116" i="4"/>
  <c r="C117" i="4"/>
  <c r="D117" i="4"/>
  <c r="E117" i="4"/>
  <c r="F117" i="4"/>
  <c r="N117" i="4"/>
  <c r="O117" i="4"/>
  <c r="P117" i="4"/>
  <c r="Q117" i="4"/>
  <c r="R117" i="4"/>
  <c r="S117" i="4"/>
  <c r="T117" i="4"/>
  <c r="U117" i="4"/>
  <c r="V117" i="4"/>
  <c r="W117" i="4"/>
  <c r="X117" i="4"/>
  <c r="AB117" i="4"/>
  <c r="AC117" i="4"/>
  <c r="AD117" i="4"/>
  <c r="AE117" i="4"/>
  <c r="AF117" i="4"/>
  <c r="AG117" i="4"/>
  <c r="AH117" i="4"/>
  <c r="AI117" i="4"/>
  <c r="AJ117" i="4"/>
  <c r="AT117" i="4"/>
  <c r="AU117" i="4"/>
  <c r="AV117" i="4"/>
  <c r="BB117" i="4"/>
  <c r="BC117" i="4"/>
  <c r="BD117" i="4"/>
  <c r="BE117" i="4"/>
  <c r="BF117" i="4"/>
  <c r="BG117" i="4"/>
  <c r="BH117" i="4"/>
  <c r="BI117" i="4"/>
  <c r="BJ117" i="4"/>
  <c r="BL117" i="4"/>
  <c r="BM117" i="4"/>
  <c r="BN117" i="4"/>
  <c r="BO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G117" i="4"/>
  <c r="CJ117" i="4"/>
  <c r="CK117" i="4"/>
  <c r="CL117" i="4"/>
  <c r="CN117" i="4"/>
  <c r="CP117" i="4"/>
  <c r="CQ117" i="4"/>
  <c r="C118" i="4"/>
  <c r="D118" i="4"/>
  <c r="E118" i="4"/>
  <c r="F118" i="4"/>
  <c r="N118" i="4"/>
  <c r="O118" i="4"/>
  <c r="P118" i="4"/>
  <c r="Q118" i="4"/>
  <c r="R118" i="4"/>
  <c r="S118" i="4"/>
  <c r="T118" i="4"/>
  <c r="U118" i="4"/>
  <c r="V118" i="4"/>
  <c r="W118" i="4"/>
  <c r="X118" i="4"/>
  <c r="AB118" i="4"/>
  <c r="AC118" i="4"/>
  <c r="AD118" i="4"/>
  <c r="AE118" i="4"/>
  <c r="AF118" i="4"/>
  <c r="AG118" i="4"/>
  <c r="AH118" i="4"/>
  <c r="AI118" i="4"/>
  <c r="AJ118" i="4"/>
  <c r="AT118" i="4"/>
  <c r="AU118" i="4"/>
  <c r="AV118" i="4"/>
  <c r="BB118" i="4"/>
  <c r="BC118" i="4"/>
  <c r="BD118" i="4"/>
  <c r="BE118" i="4"/>
  <c r="BF118" i="4"/>
  <c r="BG118" i="4"/>
  <c r="BH118" i="4"/>
  <c r="BI118" i="4"/>
  <c r="BJ118" i="4"/>
  <c r="BL118" i="4"/>
  <c r="BM118" i="4"/>
  <c r="BN118" i="4"/>
  <c r="BO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G118" i="4"/>
  <c r="CJ118" i="4"/>
  <c r="CK118" i="4"/>
  <c r="CL118" i="4"/>
  <c r="CN118" i="4"/>
  <c r="CP118" i="4"/>
  <c r="CQ118" i="4"/>
  <c r="C119" i="4"/>
  <c r="D119" i="4"/>
  <c r="E119" i="4"/>
  <c r="F119" i="4"/>
  <c r="N119" i="4"/>
  <c r="O119" i="4"/>
  <c r="P119" i="4"/>
  <c r="Q119" i="4"/>
  <c r="R119" i="4"/>
  <c r="S119" i="4"/>
  <c r="T119" i="4"/>
  <c r="U119" i="4"/>
  <c r="V119" i="4"/>
  <c r="W119" i="4"/>
  <c r="X119" i="4"/>
  <c r="AB119" i="4"/>
  <c r="AC119" i="4"/>
  <c r="AD119" i="4"/>
  <c r="AE119" i="4"/>
  <c r="AF119" i="4"/>
  <c r="AG119" i="4"/>
  <c r="AH119" i="4"/>
  <c r="AI119" i="4"/>
  <c r="AJ119" i="4"/>
  <c r="AT119" i="4"/>
  <c r="AU119" i="4"/>
  <c r="AV119" i="4"/>
  <c r="BB119" i="4"/>
  <c r="BC119" i="4"/>
  <c r="BD119" i="4"/>
  <c r="BE119" i="4"/>
  <c r="BF119" i="4"/>
  <c r="BG119" i="4"/>
  <c r="BH119" i="4"/>
  <c r="BI119" i="4"/>
  <c r="BJ119" i="4"/>
  <c r="BL119" i="4"/>
  <c r="BM119" i="4"/>
  <c r="BN119" i="4"/>
  <c r="BO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G119" i="4"/>
  <c r="CJ119" i="4"/>
  <c r="CK119" i="4"/>
  <c r="CL119" i="4"/>
  <c r="CN119" i="4"/>
  <c r="CP119" i="4"/>
  <c r="CQ119" i="4"/>
  <c r="C120" i="4"/>
  <c r="D120" i="4"/>
  <c r="E120" i="4"/>
  <c r="F120" i="4"/>
  <c r="N120" i="4"/>
  <c r="O120" i="4"/>
  <c r="P120" i="4"/>
  <c r="Q120" i="4"/>
  <c r="R120" i="4"/>
  <c r="S120" i="4"/>
  <c r="T120" i="4"/>
  <c r="U120" i="4"/>
  <c r="V120" i="4"/>
  <c r="W120" i="4"/>
  <c r="X120" i="4"/>
  <c r="AB120" i="4"/>
  <c r="AC120" i="4"/>
  <c r="AD120" i="4"/>
  <c r="AE120" i="4"/>
  <c r="AF120" i="4"/>
  <c r="AG120" i="4"/>
  <c r="AH120" i="4"/>
  <c r="AI120" i="4"/>
  <c r="AJ120" i="4"/>
  <c r="AT120" i="4"/>
  <c r="AU120" i="4"/>
  <c r="AV120" i="4"/>
  <c r="BB120" i="4"/>
  <c r="BC120" i="4"/>
  <c r="BD120" i="4"/>
  <c r="BE120" i="4"/>
  <c r="BF120" i="4"/>
  <c r="BG120" i="4"/>
  <c r="BH120" i="4"/>
  <c r="BI120" i="4"/>
  <c r="BJ120" i="4"/>
  <c r="BL120" i="4"/>
  <c r="BM120" i="4"/>
  <c r="BN120" i="4"/>
  <c r="BO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G120" i="4"/>
  <c r="CJ120" i="4"/>
  <c r="CK120" i="4"/>
  <c r="CL120" i="4"/>
  <c r="CN120" i="4"/>
  <c r="CP120" i="4"/>
  <c r="CQ120" i="4"/>
  <c r="C121" i="4"/>
  <c r="D121" i="4"/>
  <c r="E121" i="4"/>
  <c r="F121" i="4"/>
  <c r="N121" i="4"/>
  <c r="O121" i="4"/>
  <c r="P121" i="4"/>
  <c r="Q121" i="4"/>
  <c r="R121" i="4"/>
  <c r="S121" i="4"/>
  <c r="T121" i="4"/>
  <c r="U121" i="4"/>
  <c r="V121" i="4"/>
  <c r="W121" i="4"/>
  <c r="X121" i="4"/>
  <c r="AB121" i="4"/>
  <c r="AC121" i="4"/>
  <c r="AD121" i="4"/>
  <c r="AE121" i="4"/>
  <c r="AF121" i="4"/>
  <c r="AG121" i="4"/>
  <c r="AH121" i="4"/>
  <c r="AI121" i="4"/>
  <c r="AJ121" i="4"/>
  <c r="AT121" i="4"/>
  <c r="AU121" i="4"/>
  <c r="AV121" i="4"/>
  <c r="BB121" i="4"/>
  <c r="BC121" i="4"/>
  <c r="BD121" i="4"/>
  <c r="BE121" i="4"/>
  <c r="BF121" i="4"/>
  <c r="BG121" i="4"/>
  <c r="BH121" i="4"/>
  <c r="BI121" i="4"/>
  <c r="BJ121" i="4"/>
  <c r="BL121" i="4"/>
  <c r="BM121" i="4"/>
  <c r="BN121" i="4"/>
  <c r="BO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G121" i="4"/>
  <c r="CJ121" i="4"/>
  <c r="CK121" i="4"/>
  <c r="CL121" i="4"/>
  <c r="CN121" i="4"/>
  <c r="CP121" i="4"/>
  <c r="CQ121" i="4"/>
  <c r="C122" i="4"/>
  <c r="D122" i="4"/>
  <c r="E122" i="4"/>
  <c r="F122" i="4"/>
  <c r="N122" i="4"/>
  <c r="O122" i="4"/>
  <c r="P122" i="4"/>
  <c r="Q122" i="4"/>
  <c r="R122" i="4"/>
  <c r="S122" i="4"/>
  <c r="T122" i="4"/>
  <c r="U122" i="4"/>
  <c r="V122" i="4"/>
  <c r="W122" i="4"/>
  <c r="X122" i="4"/>
  <c r="AB122" i="4"/>
  <c r="AC122" i="4"/>
  <c r="AD122" i="4"/>
  <c r="AE122" i="4"/>
  <c r="AF122" i="4"/>
  <c r="AG122" i="4"/>
  <c r="AH122" i="4"/>
  <c r="AI122" i="4"/>
  <c r="AJ122" i="4"/>
  <c r="AT122" i="4"/>
  <c r="AU122" i="4"/>
  <c r="AV122" i="4"/>
  <c r="BB122" i="4"/>
  <c r="BC122" i="4"/>
  <c r="BD122" i="4"/>
  <c r="BE122" i="4"/>
  <c r="BF122" i="4"/>
  <c r="BG122" i="4"/>
  <c r="BH122" i="4"/>
  <c r="BI122" i="4"/>
  <c r="BJ122" i="4"/>
  <c r="BL122" i="4"/>
  <c r="BM122" i="4"/>
  <c r="BN122" i="4"/>
  <c r="BO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G122" i="4"/>
  <c r="CJ122" i="4"/>
  <c r="CK122" i="4"/>
  <c r="CL122" i="4"/>
  <c r="CN122" i="4"/>
  <c r="CP122" i="4"/>
  <c r="CQ122" i="4"/>
  <c r="C123" i="4"/>
  <c r="D123" i="4"/>
  <c r="E123" i="4"/>
  <c r="F123" i="4"/>
  <c r="N123" i="4"/>
  <c r="O123" i="4"/>
  <c r="P123" i="4"/>
  <c r="Q123" i="4"/>
  <c r="R123" i="4"/>
  <c r="S123" i="4"/>
  <c r="T123" i="4"/>
  <c r="U123" i="4"/>
  <c r="V123" i="4"/>
  <c r="W123" i="4"/>
  <c r="X123" i="4"/>
  <c r="AB123" i="4"/>
  <c r="AC123" i="4"/>
  <c r="AD123" i="4"/>
  <c r="AE123" i="4"/>
  <c r="AF123" i="4"/>
  <c r="AG123" i="4"/>
  <c r="AH123" i="4"/>
  <c r="AI123" i="4"/>
  <c r="AJ123" i="4"/>
  <c r="AT123" i="4"/>
  <c r="AU123" i="4"/>
  <c r="AV123" i="4"/>
  <c r="BB123" i="4"/>
  <c r="BC123" i="4"/>
  <c r="BD123" i="4"/>
  <c r="BE123" i="4"/>
  <c r="BF123" i="4"/>
  <c r="BG123" i="4"/>
  <c r="BH123" i="4"/>
  <c r="BI123" i="4"/>
  <c r="BJ123" i="4"/>
  <c r="BL123" i="4"/>
  <c r="BM123" i="4"/>
  <c r="BN123" i="4"/>
  <c r="BO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G123" i="4"/>
  <c r="CJ123" i="4"/>
  <c r="CK123" i="4"/>
  <c r="CL123" i="4"/>
  <c r="CN123" i="4"/>
  <c r="CP123" i="4"/>
  <c r="CQ123" i="4"/>
  <c r="C124" i="4"/>
  <c r="D124" i="4"/>
  <c r="E124" i="4"/>
  <c r="F124" i="4"/>
  <c r="N124" i="4"/>
  <c r="O124" i="4"/>
  <c r="P124" i="4"/>
  <c r="Q124" i="4"/>
  <c r="R124" i="4"/>
  <c r="S124" i="4"/>
  <c r="T124" i="4"/>
  <c r="U124" i="4"/>
  <c r="V124" i="4"/>
  <c r="W124" i="4"/>
  <c r="X124" i="4"/>
  <c r="AB124" i="4"/>
  <c r="AC124" i="4"/>
  <c r="AD124" i="4"/>
  <c r="AE124" i="4"/>
  <c r="AF124" i="4"/>
  <c r="AG124" i="4"/>
  <c r="AH124" i="4"/>
  <c r="AI124" i="4"/>
  <c r="AJ124" i="4"/>
  <c r="AT124" i="4"/>
  <c r="AU124" i="4"/>
  <c r="AV124" i="4"/>
  <c r="BB124" i="4"/>
  <c r="BC124" i="4"/>
  <c r="BD124" i="4"/>
  <c r="BE124" i="4"/>
  <c r="BF124" i="4"/>
  <c r="BG124" i="4"/>
  <c r="BH124" i="4"/>
  <c r="BI124" i="4"/>
  <c r="BJ124" i="4"/>
  <c r="BL124" i="4"/>
  <c r="BM124" i="4"/>
  <c r="BN124" i="4"/>
  <c r="BO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G124" i="4"/>
  <c r="CJ124" i="4"/>
  <c r="CK124" i="4"/>
  <c r="CL124" i="4"/>
  <c r="CN124" i="4"/>
  <c r="CP124" i="4"/>
  <c r="CQ124" i="4"/>
  <c r="C125" i="4"/>
  <c r="D125" i="4"/>
  <c r="E125" i="4"/>
  <c r="F125" i="4"/>
  <c r="N125" i="4"/>
  <c r="O125" i="4"/>
  <c r="P125" i="4"/>
  <c r="Q125" i="4"/>
  <c r="R125" i="4"/>
  <c r="S125" i="4"/>
  <c r="T125" i="4"/>
  <c r="U125" i="4"/>
  <c r="V125" i="4"/>
  <c r="W125" i="4"/>
  <c r="X125" i="4"/>
  <c r="AB125" i="4"/>
  <c r="AC125" i="4"/>
  <c r="AD125" i="4"/>
  <c r="AE125" i="4"/>
  <c r="AF125" i="4"/>
  <c r="AG125" i="4"/>
  <c r="AH125" i="4"/>
  <c r="AI125" i="4"/>
  <c r="AJ125" i="4"/>
  <c r="AT125" i="4"/>
  <c r="AU125" i="4"/>
  <c r="AV125" i="4"/>
  <c r="BB125" i="4"/>
  <c r="BC125" i="4"/>
  <c r="BD125" i="4"/>
  <c r="BE125" i="4"/>
  <c r="BF125" i="4"/>
  <c r="BG125" i="4"/>
  <c r="BH125" i="4"/>
  <c r="BI125" i="4"/>
  <c r="BJ125" i="4"/>
  <c r="BL125" i="4"/>
  <c r="BM125" i="4"/>
  <c r="BN125" i="4"/>
  <c r="BO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G125" i="4"/>
  <c r="CJ125" i="4"/>
  <c r="CK125" i="4"/>
  <c r="CL125" i="4"/>
  <c r="CN125" i="4"/>
  <c r="CP125" i="4"/>
  <c r="CQ125" i="4"/>
  <c r="C126" i="4"/>
  <c r="D126" i="4"/>
  <c r="E126" i="4"/>
  <c r="F126" i="4"/>
  <c r="N126" i="4"/>
  <c r="O126" i="4"/>
  <c r="P126" i="4"/>
  <c r="Q126" i="4"/>
  <c r="R126" i="4"/>
  <c r="S126" i="4"/>
  <c r="T126" i="4"/>
  <c r="U126" i="4"/>
  <c r="V126" i="4"/>
  <c r="W126" i="4"/>
  <c r="X126" i="4"/>
  <c r="AB126" i="4"/>
  <c r="AC126" i="4"/>
  <c r="AD126" i="4"/>
  <c r="AE126" i="4"/>
  <c r="AF126" i="4"/>
  <c r="AG126" i="4"/>
  <c r="AH126" i="4"/>
  <c r="AI126" i="4"/>
  <c r="AJ126" i="4"/>
  <c r="AT126" i="4"/>
  <c r="AU126" i="4"/>
  <c r="AV126" i="4"/>
  <c r="BB126" i="4"/>
  <c r="BC126" i="4"/>
  <c r="BD126" i="4"/>
  <c r="BE126" i="4"/>
  <c r="BF126" i="4"/>
  <c r="BG126" i="4"/>
  <c r="BH126" i="4"/>
  <c r="BI126" i="4"/>
  <c r="BJ126" i="4"/>
  <c r="BL126" i="4"/>
  <c r="BM126" i="4"/>
  <c r="BN126" i="4"/>
  <c r="BO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G126" i="4"/>
  <c r="CJ126" i="4"/>
  <c r="CK126" i="4"/>
  <c r="CL126" i="4"/>
  <c r="CN126" i="4"/>
  <c r="CP126" i="4"/>
  <c r="CQ126" i="4"/>
  <c r="C127" i="4"/>
  <c r="D127" i="4"/>
  <c r="E127" i="4"/>
  <c r="F127" i="4"/>
  <c r="N127" i="4"/>
  <c r="O127" i="4"/>
  <c r="P127" i="4"/>
  <c r="Q127" i="4"/>
  <c r="R127" i="4"/>
  <c r="S127" i="4"/>
  <c r="T127" i="4"/>
  <c r="U127" i="4"/>
  <c r="V127" i="4"/>
  <c r="W127" i="4"/>
  <c r="X127" i="4"/>
  <c r="AB127" i="4"/>
  <c r="AC127" i="4"/>
  <c r="AD127" i="4"/>
  <c r="AE127" i="4"/>
  <c r="AF127" i="4"/>
  <c r="AG127" i="4"/>
  <c r="AH127" i="4"/>
  <c r="AI127" i="4"/>
  <c r="AJ127" i="4"/>
  <c r="AT127" i="4"/>
  <c r="AU127" i="4"/>
  <c r="AV127" i="4"/>
  <c r="BB127" i="4"/>
  <c r="BC127" i="4"/>
  <c r="BD127" i="4"/>
  <c r="BE127" i="4"/>
  <c r="BF127" i="4"/>
  <c r="BG127" i="4"/>
  <c r="BH127" i="4"/>
  <c r="BI127" i="4"/>
  <c r="BJ127" i="4"/>
  <c r="BL127" i="4"/>
  <c r="BM127" i="4"/>
  <c r="BN127" i="4"/>
  <c r="BO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G127" i="4"/>
  <c r="CJ127" i="4"/>
  <c r="CK127" i="4"/>
  <c r="CL127" i="4"/>
  <c r="CN127" i="4"/>
  <c r="CP127" i="4"/>
  <c r="CQ127" i="4"/>
  <c r="C128" i="4"/>
  <c r="D128" i="4"/>
  <c r="E128" i="4"/>
  <c r="F128" i="4"/>
  <c r="N128" i="4"/>
  <c r="O128" i="4"/>
  <c r="P128" i="4"/>
  <c r="Q128" i="4"/>
  <c r="R128" i="4"/>
  <c r="S128" i="4"/>
  <c r="T128" i="4"/>
  <c r="U128" i="4"/>
  <c r="V128" i="4"/>
  <c r="W128" i="4"/>
  <c r="X128" i="4"/>
  <c r="AB128" i="4"/>
  <c r="AC128" i="4"/>
  <c r="AD128" i="4"/>
  <c r="AE128" i="4"/>
  <c r="AF128" i="4"/>
  <c r="AG128" i="4"/>
  <c r="AH128" i="4"/>
  <c r="AI128" i="4"/>
  <c r="AJ128" i="4"/>
  <c r="AT128" i="4"/>
  <c r="AU128" i="4"/>
  <c r="AV128" i="4"/>
  <c r="BB128" i="4"/>
  <c r="BC128" i="4"/>
  <c r="BD128" i="4"/>
  <c r="BE128" i="4"/>
  <c r="BF128" i="4"/>
  <c r="BG128" i="4"/>
  <c r="BH128" i="4"/>
  <c r="BI128" i="4"/>
  <c r="BJ128" i="4"/>
  <c r="BL128" i="4"/>
  <c r="BM128" i="4"/>
  <c r="BN128" i="4"/>
  <c r="BO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G128" i="4"/>
  <c r="CJ128" i="4"/>
  <c r="CK128" i="4"/>
  <c r="CL128" i="4"/>
  <c r="CN128" i="4"/>
  <c r="CP128" i="4"/>
  <c r="CQ128" i="4"/>
  <c r="C129" i="4"/>
  <c r="D129" i="4"/>
  <c r="E129" i="4"/>
  <c r="F129" i="4"/>
  <c r="N129" i="4"/>
  <c r="O129" i="4"/>
  <c r="P129" i="4"/>
  <c r="Q129" i="4"/>
  <c r="R129" i="4"/>
  <c r="S129" i="4"/>
  <c r="T129" i="4"/>
  <c r="U129" i="4"/>
  <c r="V129" i="4"/>
  <c r="W129" i="4"/>
  <c r="X129" i="4"/>
  <c r="AB129" i="4"/>
  <c r="AC129" i="4"/>
  <c r="AD129" i="4"/>
  <c r="AE129" i="4"/>
  <c r="AF129" i="4"/>
  <c r="AG129" i="4"/>
  <c r="AH129" i="4"/>
  <c r="AI129" i="4"/>
  <c r="AJ129" i="4"/>
  <c r="AT129" i="4"/>
  <c r="AU129" i="4"/>
  <c r="AV129" i="4"/>
  <c r="BB129" i="4"/>
  <c r="BC129" i="4"/>
  <c r="BD129" i="4"/>
  <c r="BE129" i="4"/>
  <c r="BF129" i="4"/>
  <c r="BG129" i="4"/>
  <c r="BH129" i="4"/>
  <c r="BI129" i="4"/>
  <c r="BJ129" i="4"/>
  <c r="BL129" i="4"/>
  <c r="BM129" i="4"/>
  <c r="BN129" i="4"/>
  <c r="BO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CG129" i="4"/>
  <c r="CJ129" i="4"/>
  <c r="CK129" i="4"/>
  <c r="CL129" i="4"/>
  <c r="CN129" i="4"/>
  <c r="CP129" i="4"/>
  <c r="CQ129" i="4"/>
  <c r="C130" i="4"/>
  <c r="D130" i="4"/>
  <c r="E130" i="4"/>
  <c r="F130" i="4"/>
  <c r="N130" i="4"/>
  <c r="O130" i="4"/>
  <c r="P130" i="4"/>
  <c r="Q130" i="4"/>
  <c r="R130" i="4"/>
  <c r="S130" i="4"/>
  <c r="T130" i="4"/>
  <c r="U130" i="4"/>
  <c r="V130" i="4"/>
  <c r="W130" i="4"/>
  <c r="X130" i="4"/>
  <c r="AB130" i="4"/>
  <c r="AC130" i="4"/>
  <c r="AD130" i="4"/>
  <c r="AE130" i="4"/>
  <c r="AF130" i="4"/>
  <c r="AG130" i="4"/>
  <c r="AH130" i="4"/>
  <c r="AI130" i="4"/>
  <c r="AJ130" i="4"/>
  <c r="AT130" i="4"/>
  <c r="AU130" i="4"/>
  <c r="AV130" i="4"/>
  <c r="BB130" i="4"/>
  <c r="BC130" i="4"/>
  <c r="BD130" i="4"/>
  <c r="BE130" i="4"/>
  <c r="BF130" i="4"/>
  <c r="BG130" i="4"/>
  <c r="BH130" i="4"/>
  <c r="BI130" i="4"/>
  <c r="BJ130" i="4"/>
  <c r="BL130" i="4"/>
  <c r="BM130" i="4"/>
  <c r="BN130" i="4"/>
  <c r="BO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G130" i="4"/>
  <c r="CJ130" i="4"/>
  <c r="CK130" i="4"/>
  <c r="CL130" i="4"/>
  <c r="CN130" i="4"/>
  <c r="CP130" i="4"/>
  <c r="CQ130" i="4"/>
  <c r="C131" i="4"/>
  <c r="D131" i="4"/>
  <c r="E131" i="4"/>
  <c r="F131" i="4"/>
  <c r="N131" i="4"/>
  <c r="O131" i="4"/>
  <c r="P131" i="4"/>
  <c r="Q131" i="4"/>
  <c r="R131" i="4"/>
  <c r="S131" i="4"/>
  <c r="T131" i="4"/>
  <c r="U131" i="4"/>
  <c r="V131" i="4"/>
  <c r="W131" i="4"/>
  <c r="X131" i="4"/>
  <c r="AB131" i="4"/>
  <c r="AC131" i="4"/>
  <c r="AD131" i="4"/>
  <c r="AE131" i="4"/>
  <c r="AF131" i="4"/>
  <c r="AG131" i="4"/>
  <c r="AH131" i="4"/>
  <c r="AI131" i="4"/>
  <c r="AJ131" i="4"/>
  <c r="AT131" i="4"/>
  <c r="AU131" i="4"/>
  <c r="AV131" i="4"/>
  <c r="BB131" i="4"/>
  <c r="BC131" i="4"/>
  <c r="BD131" i="4"/>
  <c r="BE131" i="4"/>
  <c r="BF131" i="4"/>
  <c r="BG131" i="4"/>
  <c r="BH131" i="4"/>
  <c r="BI131" i="4"/>
  <c r="BJ131" i="4"/>
  <c r="BL131" i="4"/>
  <c r="BM131" i="4"/>
  <c r="BN131" i="4"/>
  <c r="BO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G131" i="4"/>
  <c r="CJ131" i="4"/>
  <c r="CK131" i="4"/>
  <c r="CL131" i="4"/>
  <c r="CN131" i="4"/>
  <c r="CP131" i="4"/>
  <c r="CQ131" i="4"/>
  <c r="C132" i="4"/>
  <c r="D132" i="4"/>
  <c r="E132" i="4"/>
  <c r="F132" i="4"/>
  <c r="N132" i="4"/>
  <c r="O132" i="4"/>
  <c r="P132" i="4"/>
  <c r="Q132" i="4"/>
  <c r="R132" i="4"/>
  <c r="S132" i="4"/>
  <c r="T132" i="4"/>
  <c r="U132" i="4"/>
  <c r="V132" i="4"/>
  <c r="W132" i="4"/>
  <c r="X132" i="4"/>
  <c r="AB132" i="4"/>
  <c r="AC132" i="4"/>
  <c r="AD132" i="4"/>
  <c r="AE132" i="4"/>
  <c r="AF132" i="4"/>
  <c r="AG132" i="4"/>
  <c r="AH132" i="4"/>
  <c r="AI132" i="4"/>
  <c r="AJ132" i="4"/>
  <c r="AT132" i="4"/>
  <c r="AU132" i="4"/>
  <c r="AV132" i="4"/>
  <c r="BB132" i="4"/>
  <c r="BC132" i="4"/>
  <c r="BD132" i="4"/>
  <c r="BE132" i="4"/>
  <c r="BF132" i="4"/>
  <c r="BG132" i="4"/>
  <c r="BH132" i="4"/>
  <c r="BI132" i="4"/>
  <c r="BJ132" i="4"/>
  <c r="BL132" i="4"/>
  <c r="BM132" i="4"/>
  <c r="BN132" i="4"/>
  <c r="BO132" i="4"/>
  <c r="BT132" i="4"/>
  <c r="BU132" i="4"/>
  <c r="BV132" i="4"/>
  <c r="BW132" i="4"/>
  <c r="BX132" i="4"/>
  <c r="BY132" i="4"/>
  <c r="BZ132" i="4"/>
  <c r="CA132" i="4"/>
  <c r="CB132" i="4"/>
  <c r="CC132" i="4"/>
  <c r="CD132" i="4"/>
  <c r="CE132" i="4"/>
  <c r="CG132" i="4"/>
  <c r="CJ132" i="4"/>
  <c r="CK132" i="4"/>
  <c r="CL132" i="4"/>
  <c r="CN132" i="4"/>
  <c r="CP132" i="4"/>
  <c r="CQ132" i="4"/>
  <c r="C133" i="4"/>
  <c r="D133" i="4"/>
  <c r="E133" i="4"/>
  <c r="F133" i="4"/>
  <c r="N133" i="4"/>
  <c r="O133" i="4"/>
  <c r="P133" i="4"/>
  <c r="Q133" i="4"/>
  <c r="R133" i="4"/>
  <c r="S133" i="4"/>
  <c r="T133" i="4"/>
  <c r="U133" i="4"/>
  <c r="V133" i="4"/>
  <c r="W133" i="4"/>
  <c r="X133" i="4"/>
  <c r="AB133" i="4"/>
  <c r="AC133" i="4"/>
  <c r="AD133" i="4"/>
  <c r="AE133" i="4"/>
  <c r="AF133" i="4"/>
  <c r="AG133" i="4"/>
  <c r="AH133" i="4"/>
  <c r="AI133" i="4"/>
  <c r="AJ133" i="4"/>
  <c r="AT133" i="4"/>
  <c r="AU133" i="4"/>
  <c r="AV133" i="4"/>
  <c r="BB133" i="4"/>
  <c r="BC133" i="4"/>
  <c r="BD133" i="4"/>
  <c r="BE133" i="4"/>
  <c r="BF133" i="4"/>
  <c r="BG133" i="4"/>
  <c r="BH133" i="4"/>
  <c r="BI133" i="4"/>
  <c r="BJ133" i="4"/>
  <c r="BL133" i="4"/>
  <c r="BM133" i="4"/>
  <c r="BN133" i="4"/>
  <c r="BO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G133" i="4"/>
  <c r="CJ133" i="4"/>
  <c r="CK133" i="4"/>
  <c r="CL133" i="4"/>
  <c r="CN133" i="4"/>
  <c r="CP133" i="4"/>
  <c r="CQ133" i="4"/>
  <c r="C134" i="4"/>
  <c r="D134" i="4"/>
  <c r="E134" i="4"/>
  <c r="F134" i="4"/>
  <c r="N134" i="4"/>
  <c r="O134" i="4"/>
  <c r="P134" i="4"/>
  <c r="Q134" i="4"/>
  <c r="R134" i="4"/>
  <c r="S134" i="4"/>
  <c r="T134" i="4"/>
  <c r="U134" i="4"/>
  <c r="V134" i="4"/>
  <c r="W134" i="4"/>
  <c r="X134" i="4"/>
  <c r="AB134" i="4"/>
  <c r="AC134" i="4"/>
  <c r="AD134" i="4"/>
  <c r="AE134" i="4"/>
  <c r="AF134" i="4"/>
  <c r="AG134" i="4"/>
  <c r="AH134" i="4"/>
  <c r="AI134" i="4"/>
  <c r="AJ134" i="4"/>
  <c r="AT134" i="4"/>
  <c r="AU134" i="4"/>
  <c r="AV134" i="4"/>
  <c r="BB134" i="4"/>
  <c r="BC134" i="4"/>
  <c r="BD134" i="4"/>
  <c r="BE134" i="4"/>
  <c r="BF134" i="4"/>
  <c r="BG134" i="4"/>
  <c r="BH134" i="4"/>
  <c r="BI134" i="4"/>
  <c r="BJ134" i="4"/>
  <c r="BL134" i="4"/>
  <c r="BM134" i="4"/>
  <c r="BN134" i="4"/>
  <c r="BO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G134" i="4"/>
  <c r="CJ134" i="4"/>
  <c r="CK134" i="4"/>
  <c r="CL134" i="4"/>
  <c r="CN134" i="4"/>
  <c r="CP134" i="4"/>
  <c r="CQ134" i="4"/>
  <c r="C135" i="4"/>
  <c r="D135" i="4"/>
  <c r="E135" i="4"/>
  <c r="F135" i="4"/>
  <c r="N135" i="4"/>
  <c r="O135" i="4"/>
  <c r="P135" i="4"/>
  <c r="Q135" i="4"/>
  <c r="R135" i="4"/>
  <c r="S135" i="4"/>
  <c r="T135" i="4"/>
  <c r="U135" i="4"/>
  <c r="V135" i="4"/>
  <c r="W135" i="4"/>
  <c r="X135" i="4"/>
  <c r="AB135" i="4"/>
  <c r="AC135" i="4"/>
  <c r="AD135" i="4"/>
  <c r="AE135" i="4"/>
  <c r="AF135" i="4"/>
  <c r="AG135" i="4"/>
  <c r="AH135" i="4"/>
  <c r="AI135" i="4"/>
  <c r="AJ135" i="4"/>
  <c r="AT135" i="4"/>
  <c r="AU135" i="4"/>
  <c r="AV135" i="4"/>
  <c r="BB135" i="4"/>
  <c r="BC135" i="4"/>
  <c r="BD135" i="4"/>
  <c r="BE135" i="4"/>
  <c r="BF135" i="4"/>
  <c r="BG135" i="4"/>
  <c r="BH135" i="4"/>
  <c r="BI135" i="4"/>
  <c r="BJ135" i="4"/>
  <c r="BL135" i="4"/>
  <c r="BM135" i="4"/>
  <c r="BN135" i="4"/>
  <c r="BO135" i="4"/>
  <c r="BT135" i="4"/>
  <c r="BU135" i="4"/>
  <c r="BV135" i="4"/>
  <c r="BW135" i="4"/>
  <c r="BX135" i="4"/>
  <c r="BY135" i="4"/>
  <c r="BZ135" i="4"/>
  <c r="CA135" i="4"/>
  <c r="CB135" i="4"/>
  <c r="CC135" i="4"/>
  <c r="CD135" i="4"/>
  <c r="CE135" i="4"/>
  <c r="CG135" i="4"/>
  <c r="CJ135" i="4"/>
  <c r="CK135" i="4"/>
  <c r="CL135" i="4"/>
  <c r="CN135" i="4"/>
  <c r="CP135" i="4"/>
  <c r="CQ135" i="4"/>
  <c r="C136" i="4"/>
  <c r="D136" i="4"/>
  <c r="E136" i="4"/>
  <c r="F136" i="4"/>
  <c r="N136" i="4"/>
  <c r="O136" i="4"/>
  <c r="P136" i="4"/>
  <c r="Q136" i="4"/>
  <c r="R136" i="4"/>
  <c r="S136" i="4"/>
  <c r="T136" i="4"/>
  <c r="U136" i="4"/>
  <c r="V136" i="4"/>
  <c r="W136" i="4"/>
  <c r="X136" i="4"/>
  <c r="AB136" i="4"/>
  <c r="AC136" i="4"/>
  <c r="AD136" i="4"/>
  <c r="AE136" i="4"/>
  <c r="AF136" i="4"/>
  <c r="AG136" i="4"/>
  <c r="AH136" i="4"/>
  <c r="AI136" i="4"/>
  <c r="AJ136" i="4"/>
  <c r="AT136" i="4"/>
  <c r="AU136" i="4"/>
  <c r="AV136" i="4"/>
  <c r="BB136" i="4"/>
  <c r="BC136" i="4"/>
  <c r="BD136" i="4"/>
  <c r="BE136" i="4"/>
  <c r="BF136" i="4"/>
  <c r="BG136" i="4"/>
  <c r="BH136" i="4"/>
  <c r="BI136" i="4"/>
  <c r="BJ136" i="4"/>
  <c r="BL136" i="4"/>
  <c r="BM136" i="4"/>
  <c r="BN136" i="4"/>
  <c r="BO136" i="4"/>
  <c r="BT136" i="4"/>
  <c r="BU136" i="4"/>
  <c r="BV136" i="4"/>
  <c r="BW136" i="4"/>
  <c r="BX136" i="4"/>
  <c r="BY136" i="4"/>
  <c r="BZ136" i="4"/>
  <c r="CA136" i="4"/>
  <c r="CB136" i="4"/>
  <c r="CC136" i="4"/>
  <c r="CD136" i="4"/>
  <c r="CE136" i="4"/>
  <c r="CG136" i="4"/>
  <c r="CJ136" i="4"/>
  <c r="CK136" i="4"/>
  <c r="CL136" i="4"/>
  <c r="CN136" i="4"/>
  <c r="CP136" i="4"/>
  <c r="CQ136" i="4"/>
  <c r="C137" i="4"/>
  <c r="D137" i="4"/>
  <c r="E137" i="4"/>
  <c r="F137" i="4"/>
  <c r="N137" i="4"/>
  <c r="O137" i="4"/>
  <c r="P137" i="4"/>
  <c r="Q137" i="4"/>
  <c r="R137" i="4"/>
  <c r="S137" i="4"/>
  <c r="T137" i="4"/>
  <c r="U137" i="4"/>
  <c r="V137" i="4"/>
  <c r="W137" i="4"/>
  <c r="X137" i="4"/>
  <c r="AB137" i="4"/>
  <c r="AC137" i="4"/>
  <c r="AD137" i="4"/>
  <c r="AE137" i="4"/>
  <c r="AF137" i="4"/>
  <c r="AG137" i="4"/>
  <c r="AH137" i="4"/>
  <c r="AI137" i="4"/>
  <c r="AJ137" i="4"/>
  <c r="AT137" i="4"/>
  <c r="AU137" i="4"/>
  <c r="AV137" i="4"/>
  <c r="BB137" i="4"/>
  <c r="BC137" i="4"/>
  <c r="BD137" i="4"/>
  <c r="BE137" i="4"/>
  <c r="BF137" i="4"/>
  <c r="BG137" i="4"/>
  <c r="BH137" i="4"/>
  <c r="BI137" i="4"/>
  <c r="BJ137" i="4"/>
  <c r="BL137" i="4"/>
  <c r="BM137" i="4"/>
  <c r="BN137" i="4"/>
  <c r="BO137" i="4"/>
  <c r="BT137" i="4"/>
  <c r="BU137" i="4"/>
  <c r="BV137" i="4"/>
  <c r="BW137" i="4"/>
  <c r="BX137" i="4"/>
  <c r="BY137" i="4"/>
  <c r="BZ137" i="4"/>
  <c r="CA137" i="4"/>
  <c r="CB137" i="4"/>
  <c r="CC137" i="4"/>
  <c r="CD137" i="4"/>
  <c r="CE137" i="4"/>
  <c r="CG137" i="4"/>
  <c r="CJ137" i="4"/>
  <c r="CK137" i="4"/>
  <c r="CL137" i="4"/>
  <c r="CN137" i="4"/>
  <c r="CP137" i="4"/>
  <c r="CQ137" i="4"/>
  <c r="C138" i="4"/>
  <c r="D138" i="4"/>
  <c r="E138" i="4"/>
  <c r="F138" i="4"/>
  <c r="N138" i="4"/>
  <c r="O138" i="4"/>
  <c r="P138" i="4"/>
  <c r="Q138" i="4"/>
  <c r="R138" i="4"/>
  <c r="S138" i="4"/>
  <c r="T138" i="4"/>
  <c r="U138" i="4"/>
  <c r="V138" i="4"/>
  <c r="W138" i="4"/>
  <c r="X138" i="4"/>
  <c r="AB138" i="4"/>
  <c r="AC138" i="4"/>
  <c r="AD138" i="4"/>
  <c r="AE138" i="4"/>
  <c r="AF138" i="4"/>
  <c r="AG138" i="4"/>
  <c r="AH138" i="4"/>
  <c r="AI138" i="4"/>
  <c r="AJ138" i="4"/>
  <c r="AT138" i="4"/>
  <c r="AU138" i="4"/>
  <c r="AV138" i="4"/>
  <c r="BB138" i="4"/>
  <c r="BC138" i="4"/>
  <c r="BD138" i="4"/>
  <c r="BE138" i="4"/>
  <c r="BF138" i="4"/>
  <c r="BG138" i="4"/>
  <c r="BH138" i="4"/>
  <c r="BI138" i="4"/>
  <c r="BJ138" i="4"/>
  <c r="BL138" i="4"/>
  <c r="BM138" i="4"/>
  <c r="BN138" i="4"/>
  <c r="BO138" i="4"/>
  <c r="BT138" i="4"/>
  <c r="BU138" i="4"/>
  <c r="BV138" i="4"/>
  <c r="BW138" i="4"/>
  <c r="BX138" i="4"/>
  <c r="BY138" i="4"/>
  <c r="BZ138" i="4"/>
  <c r="CA138" i="4"/>
  <c r="CB138" i="4"/>
  <c r="CC138" i="4"/>
  <c r="CD138" i="4"/>
  <c r="CE138" i="4"/>
  <c r="CG138" i="4"/>
  <c r="CJ138" i="4"/>
  <c r="CK138" i="4"/>
  <c r="CL138" i="4"/>
  <c r="CN138" i="4"/>
  <c r="CP138" i="4"/>
  <c r="CQ138" i="4"/>
  <c r="C139" i="4"/>
  <c r="D139" i="4"/>
  <c r="E139" i="4"/>
  <c r="F139" i="4"/>
  <c r="N139" i="4"/>
  <c r="O139" i="4"/>
  <c r="P139" i="4"/>
  <c r="Q139" i="4"/>
  <c r="R139" i="4"/>
  <c r="S139" i="4"/>
  <c r="T139" i="4"/>
  <c r="U139" i="4"/>
  <c r="V139" i="4"/>
  <c r="W139" i="4"/>
  <c r="X139" i="4"/>
  <c r="AB139" i="4"/>
  <c r="AC139" i="4"/>
  <c r="AD139" i="4"/>
  <c r="AE139" i="4"/>
  <c r="AF139" i="4"/>
  <c r="AG139" i="4"/>
  <c r="AH139" i="4"/>
  <c r="AI139" i="4"/>
  <c r="AJ139" i="4"/>
  <c r="AT139" i="4"/>
  <c r="AU139" i="4"/>
  <c r="AV139" i="4"/>
  <c r="BB139" i="4"/>
  <c r="BC139" i="4"/>
  <c r="BD139" i="4"/>
  <c r="BE139" i="4"/>
  <c r="BF139" i="4"/>
  <c r="BG139" i="4"/>
  <c r="BH139" i="4"/>
  <c r="BI139" i="4"/>
  <c r="BJ139" i="4"/>
  <c r="BL139" i="4"/>
  <c r="BM139" i="4"/>
  <c r="BN139" i="4"/>
  <c r="BO139" i="4"/>
  <c r="BT139" i="4"/>
  <c r="BU139" i="4"/>
  <c r="BV139" i="4"/>
  <c r="BW139" i="4"/>
  <c r="BX139" i="4"/>
  <c r="BY139" i="4"/>
  <c r="BZ139" i="4"/>
  <c r="CA139" i="4"/>
  <c r="CB139" i="4"/>
  <c r="CC139" i="4"/>
  <c r="CD139" i="4"/>
  <c r="CE139" i="4"/>
  <c r="CG139" i="4"/>
  <c r="CJ139" i="4"/>
  <c r="CK139" i="4"/>
  <c r="CL139" i="4"/>
  <c r="CN139" i="4"/>
  <c r="CP139" i="4"/>
  <c r="CQ139" i="4"/>
  <c r="C140" i="4"/>
  <c r="D140" i="4"/>
  <c r="E140" i="4"/>
  <c r="F140" i="4"/>
  <c r="N140" i="4"/>
  <c r="O140" i="4"/>
  <c r="P140" i="4"/>
  <c r="Q140" i="4"/>
  <c r="R140" i="4"/>
  <c r="S140" i="4"/>
  <c r="T140" i="4"/>
  <c r="U140" i="4"/>
  <c r="V140" i="4"/>
  <c r="W140" i="4"/>
  <c r="X140" i="4"/>
  <c r="AB140" i="4"/>
  <c r="AC140" i="4"/>
  <c r="AD140" i="4"/>
  <c r="AE140" i="4"/>
  <c r="AF140" i="4"/>
  <c r="AG140" i="4"/>
  <c r="AH140" i="4"/>
  <c r="AI140" i="4"/>
  <c r="AJ140" i="4"/>
  <c r="AT140" i="4"/>
  <c r="AU140" i="4"/>
  <c r="AV140" i="4"/>
  <c r="BB140" i="4"/>
  <c r="BC140" i="4"/>
  <c r="BD140" i="4"/>
  <c r="BE140" i="4"/>
  <c r="BF140" i="4"/>
  <c r="BG140" i="4"/>
  <c r="BH140" i="4"/>
  <c r="BI140" i="4"/>
  <c r="BJ140" i="4"/>
  <c r="BL140" i="4"/>
  <c r="BM140" i="4"/>
  <c r="BN140" i="4"/>
  <c r="BO140" i="4"/>
  <c r="BT140" i="4"/>
  <c r="BU140" i="4"/>
  <c r="BV140" i="4"/>
  <c r="BW140" i="4"/>
  <c r="BX140" i="4"/>
  <c r="BY140" i="4"/>
  <c r="BZ140" i="4"/>
  <c r="CA140" i="4"/>
  <c r="CB140" i="4"/>
  <c r="CC140" i="4"/>
  <c r="CD140" i="4"/>
  <c r="CE140" i="4"/>
  <c r="CG140" i="4"/>
  <c r="CJ140" i="4"/>
  <c r="CK140" i="4"/>
  <c r="CL140" i="4"/>
  <c r="CN140" i="4"/>
  <c r="CP140" i="4"/>
  <c r="CQ140" i="4"/>
  <c r="C141" i="4"/>
  <c r="D141" i="4"/>
  <c r="E141" i="4"/>
  <c r="F141" i="4"/>
  <c r="N141" i="4"/>
  <c r="O141" i="4"/>
  <c r="P141" i="4"/>
  <c r="Q141" i="4"/>
  <c r="R141" i="4"/>
  <c r="S141" i="4"/>
  <c r="T141" i="4"/>
  <c r="U141" i="4"/>
  <c r="V141" i="4"/>
  <c r="W141" i="4"/>
  <c r="X141" i="4"/>
  <c r="AB141" i="4"/>
  <c r="AC141" i="4"/>
  <c r="AD141" i="4"/>
  <c r="AE141" i="4"/>
  <c r="AF141" i="4"/>
  <c r="AG141" i="4"/>
  <c r="AH141" i="4"/>
  <c r="AI141" i="4"/>
  <c r="AJ141" i="4"/>
  <c r="AT141" i="4"/>
  <c r="AU141" i="4"/>
  <c r="AV141" i="4"/>
  <c r="BB141" i="4"/>
  <c r="BC141" i="4"/>
  <c r="BD141" i="4"/>
  <c r="BE141" i="4"/>
  <c r="BF141" i="4"/>
  <c r="BG141" i="4"/>
  <c r="BH141" i="4"/>
  <c r="BI141" i="4"/>
  <c r="BJ141" i="4"/>
  <c r="BL141" i="4"/>
  <c r="BM141" i="4"/>
  <c r="BN141" i="4"/>
  <c r="BO141" i="4"/>
  <c r="BT141" i="4"/>
  <c r="BU141" i="4"/>
  <c r="BV141" i="4"/>
  <c r="BW141" i="4"/>
  <c r="BX141" i="4"/>
  <c r="BY141" i="4"/>
  <c r="BZ141" i="4"/>
  <c r="CA141" i="4"/>
  <c r="CB141" i="4"/>
  <c r="CC141" i="4"/>
  <c r="CD141" i="4"/>
  <c r="CE141" i="4"/>
  <c r="CG141" i="4"/>
  <c r="CJ141" i="4"/>
  <c r="CK141" i="4"/>
  <c r="CL141" i="4"/>
  <c r="CN141" i="4"/>
  <c r="CP141" i="4"/>
  <c r="CQ141" i="4"/>
  <c r="C142" i="4"/>
  <c r="D142" i="4"/>
  <c r="E142" i="4"/>
  <c r="F142" i="4"/>
  <c r="N142" i="4"/>
  <c r="O142" i="4"/>
  <c r="P142" i="4"/>
  <c r="Q142" i="4"/>
  <c r="R142" i="4"/>
  <c r="S142" i="4"/>
  <c r="T142" i="4"/>
  <c r="U142" i="4"/>
  <c r="V142" i="4"/>
  <c r="W142" i="4"/>
  <c r="X142" i="4"/>
  <c r="AB142" i="4"/>
  <c r="AC142" i="4"/>
  <c r="AD142" i="4"/>
  <c r="AE142" i="4"/>
  <c r="AF142" i="4"/>
  <c r="AG142" i="4"/>
  <c r="AH142" i="4"/>
  <c r="AI142" i="4"/>
  <c r="AJ142" i="4"/>
  <c r="AT142" i="4"/>
  <c r="AU142" i="4"/>
  <c r="AV142" i="4"/>
  <c r="BB142" i="4"/>
  <c r="BC142" i="4"/>
  <c r="BD142" i="4"/>
  <c r="BE142" i="4"/>
  <c r="BF142" i="4"/>
  <c r="BG142" i="4"/>
  <c r="BH142" i="4"/>
  <c r="BI142" i="4"/>
  <c r="BJ142" i="4"/>
  <c r="BL142" i="4"/>
  <c r="BM142" i="4"/>
  <c r="BN142" i="4"/>
  <c r="BO142" i="4"/>
  <c r="BT142" i="4"/>
  <c r="BU142" i="4"/>
  <c r="BV142" i="4"/>
  <c r="BW142" i="4"/>
  <c r="BX142" i="4"/>
  <c r="BY142" i="4"/>
  <c r="BZ142" i="4"/>
  <c r="CA142" i="4"/>
  <c r="CB142" i="4"/>
  <c r="CC142" i="4"/>
  <c r="CD142" i="4"/>
  <c r="CE142" i="4"/>
  <c r="CG142" i="4"/>
  <c r="CJ142" i="4"/>
  <c r="CK142" i="4"/>
  <c r="CL142" i="4"/>
  <c r="CN142" i="4"/>
  <c r="CP142" i="4"/>
  <c r="CQ142" i="4"/>
  <c r="C143" i="4"/>
  <c r="D143" i="4"/>
  <c r="E143" i="4"/>
  <c r="F143" i="4"/>
  <c r="N143" i="4"/>
  <c r="O143" i="4"/>
  <c r="P143" i="4"/>
  <c r="Q143" i="4"/>
  <c r="R143" i="4"/>
  <c r="S143" i="4"/>
  <c r="T143" i="4"/>
  <c r="U143" i="4"/>
  <c r="V143" i="4"/>
  <c r="W143" i="4"/>
  <c r="X143" i="4"/>
  <c r="AB143" i="4"/>
  <c r="AC143" i="4"/>
  <c r="AD143" i="4"/>
  <c r="AE143" i="4"/>
  <c r="AF143" i="4"/>
  <c r="AG143" i="4"/>
  <c r="AH143" i="4"/>
  <c r="AI143" i="4"/>
  <c r="AJ143" i="4"/>
  <c r="AT143" i="4"/>
  <c r="AU143" i="4"/>
  <c r="AV143" i="4"/>
  <c r="BB143" i="4"/>
  <c r="BC143" i="4"/>
  <c r="BD143" i="4"/>
  <c r="BE143" i="4"/>
  <c r="BF143" i="4"/>
  <c r="BG143" i="4"/>
  <c r="BH143" i="4"/>
  <c r="BI143" i="4"/>
  <c r="BJ143" i="4"/>
  <c r="BL143" i="4"/>
  <c r="BM143" i="4"/>
  <c r="BN143" i="4"/>
  <c r="BO143" i="4"/>
  <c r="BT143" i="4"/>
  <c r="BU143" i="4"/>
  <c r="BV143" i="4"/>
  <c r="BW143" i="4"/>
  <c r="BX143" i="4"/>
  <c r="BY143" i="4"/>
  <c r="BZ143" i="4"/>
  <c r="CA143" i="4"/>
  <c r="CB143" i="4"/>
  <c r="CC143" i="4"/>
  <c r="CD143" i="4"/>
  <c r="CE143" i="4"/>
  <c r="CG143" i="4"/>
  <c r="CJ143" i="4"/>
  <c r="CK143" i="4"/>
  <c r="CL143" i="4"/>
  <c r="CN143" i="4"/>
  <c r="CP143" i="4"/>
  <c r="CQ143" i="4"/>
  <c r="C144" i="4"/>
  <c r="D144" i="4"/>
  <c r="E144" i="4"/>
  <c r="F144" i="4"/>
  <c r="N144" i="4"/>
  <c r="O144" i="4"/>
  <c r="P144" i="4"/>
  <c r="Q144" i="4"/>
  <c r="R144" i="4"/>
  <c r="S144" i="4"/>
  <c r="T144" i="4"/>
  <c r="U144" i="4"/>
  <c r="V144" i="4"/>
  <c r="W144" i="4"/>
  <c r="X144" i="4"/>
  <c r="AB144" i="4"/>
  <c r="AC144" i="4"/>
  <c r="AD144" i="4"/>
  <c r="AE144" i="4"/>
  <c r="AF144" i="4"/>
  <c r="AG144" i="4"/>
  <c r="AH144" i="4"/>
  <c r="AI144" i="4"/>
  <c r="AJ144" i="4"/>
  <c r="AT144" i="4"/>
  <c r="AU144" i="4"/>
  <c r="AV144" i="4"/>
  <c r="BB144" i="4"/>
  <c r="BC144" i="4"/>
  <c r="BD144" i="4"/>
  <c r="BE144" i="4"/>
  <c r="BF144" i="4"/>
  <c r="BG144" i="4"/>
  <c r="BH144" i="4"/>
  <c r="BI144" i="4"/>
  <c r="BJ144" i="4"/>
  <c r="BL144" i="4"/>
  <c r="BM144" i="4"/>
  <c r="BN144" i="4"/>
  <c r="BO144" i="4"/>
  <c r="BT144" i="4"/>
  <c r="BU144" i="4"/>
  <c r="BV144" i="4"/>
  <c r="BW144" i="4"/>
  <c r="BX144" i="4"/>
  <c r="BY144" i="4"/>
  <c r="BZ144" i="4"/>
  <c r="CA144" i="4"/>
  <c r="CB144" i="4"/>
  <c r="CC144" i="4"/>
  <c r="CD144" i="4"/>
  <c r="CE144" i="4"/>
  <c r="CG144" i="4"/>
  <c r="CJ144" i="4"/>
  <c r="CK144" i="4"/>
  <c r="CL144" i="4"/>
  <c r="CN144" i="4"/>
  <c r="CP144" i="4"/>
  <c r="CQ144" i="4"/>
  <c r="C145" i="4"/>
  <c r="D145" i="4"/>
  <c r="E145" i="4"/>
  <c r="F145" i="4"/>
  <c r="N145" i="4"/>
  <c r="O145" i="4"/>
  <c r="P145" i="4"/>
  <c r="Q145" i="4"/>
  <c r="R145" i="4"/>
  <c r="S145" i="4"/>
  <c r="T145" i="4"/>
  <c r="U145" i="4"/>
  <c r="V145" i="4"/>
  <c r="W145" i="4"/>
  <c r="X145" i="4"/>
  <c r="AB145" i="4"/>
  <c r="AC145" i="4"/>
  <c r="AD145" i="4"/>
  <c r="AE145" i="4"/>
  <c r="AF145" i="4"/>
  <c r="AG145" i="4"/>
  <c r="AH145" i="4"/>
  <c r="AI145" i="4"/>
  <c r="AJ145" i="4"/>
  <c r="AT145" i="4"/>
  <c r="AU145" i="4"/>
  <c r="AV145" i="4"/>
  <c r="BB145" i="4"/>
  <c r="BC145" i="4"/>
  <c r="BD145" i="4"/>
  <c r="BE145" i="4"/>
  <c r="BF145" i="4"/>
  <c r="BG145" i="4"/>
  <c r="BH145" i="4"/>
  <c r="BI145" i="4"/>
  <c r="BJ145" i="4"/>
  <c r="BL145" i="4"/>
  <c r="BM145" i="4"/>
  <c r="BN145" i="4"/>
  <c r="BO145" i="4"/>
  <c r="BT145" i="4"/>
  <c r="BU145" i="4"/>
  <c r="BV145" i="4"/>
  <c r="BW145" i="4"/>
  <c r="BX145" i="4"/>
  <c r="BY145" i="4"/>
  <c r="BZ145" i="4"/>
  <c r="CA145" i="4"/>
  <c r="CB145" i="4"/>
  <c r="CC145" i="4"/>
  <c r="CD145" i="4"/>
  <c r="CE145" i="4"/>
  <c r="CG145" i="4"/>
  <c r="CJ145" i="4"/>
  <c r="CK145" i="4"/>
  <c r="CL145" i="4"/>
  <c r="CN145" i="4"/>
  <c r="CP145" i="4"/>
  <c r="CQ145" i="4"/>
  <c r="C146" i="4"/>
  <c r="D146" i="4"/>
  <c r="E146" i="4"/>
  <c r="F146" i="4"/>
  <c r="N146" i="4"/>
  <c r="O146" i="4"/>
  <c r="P146" i="4"/>
  <c r="Q146" i="4"/>
  <c r="R146" i="4"/>
  <c r="S146" i="4"/>
  <c r="T146" i="4"/>
  <c r="U146" i="4"/>
  <c r="V146" i="4"/>
  <c r="W146" i="4"/>
  <c r="X146" i="4"/>
  <c r="AB146" i="4"/>
  <c r="AC146" i="4"/>
  <c r="AD146" i="4"/>
  <c r="AE146" i="4"/>
  <c r="AF146" i="4"/>
  <c r="AG146" i="4"/>
  <c r="AH146" i="4"/>
  <c r="AI146" i="4"/>
  <c r="AJ146" i="4"/>
  <c r="AT146" i="4"/>
  <c r="AU146" i="4"/>
  <c r="AV146" i="4"/>
  <c r="BB146" i="4"/>
  <c r="BC146" i="4"/>
  <c r="BD146" i="4"/>
  <c r="BE146" i="4"/>
  <c r="BF146" i="4"/>
  <c r="BG146" i="4"/>
  <c r="BH146" i="4"/>
  <c r="BI146" i="4"/>
  <c r="BJ146" i="4"/>
  <c r="BL146" i="4"/>
  <c r="BM146" i="4"/>
  <c r="BN146" i="4"/>
  <c r="BO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G146" i="4"/>
  <c r="CJ146" i="4"/>
  <c r="CK146" i="4"/>
  <c r="CL146" i="4"/>
  <c r="CN146" i="4"/>
  <c r="CP146" i="4"/>
  <c r="CQ146" i="4"/>
  <c r="C147" i="4"/>
  <c r="D147" i="4"/>
  <c r="E147" i="4"/>
  <c r="F147" i="4"/>
  <c r="N147" i="4"/>
  <c r="O147" i="4"/>
  <c r="P147" i="4"/>
  <c r="Q147" i="4"/>
  <c r="R147" i="4"/>
  <c r="S147" i="4"/>
  <c r="T147" i="4"/>
  <c r="U147" i="4"/>
  <c r="V147" i="4"/>
  <c r="W147" i="4"/>
  <c r="X147" i="4"/>
  <c r="AB147" i="4"/>
  <c r="AC147" i="4"/>
  <c r="AD147" i="4"/>
  <c r="AE147" i="4"/>
  <c r="AF147" i="4"/>
  <c r="AG147" i="4"/>
  <c r="AH147" i="4"/>
  <c r="AI147" i="4"/>
  <c r="AJ147" i="4"/>
  <c r="AT147" i="4"/>
  <c r="AU147" i="4"/>
  <c r="AV147" i="4"/>
  <c r="BB147" i="4"/>
  <c r="BC147" i="4"/>
  <c r="BD147" i="4"/>
  <c r="BE147" i="4"/>
  <c r="BF147" i="4"/>
  <c r="BG147" i="4"/>
  <c r="BH147" i="4"/>
  <c r="BI147" i="4"/>
  <c r="BJ147" i="4"/>
  <c r="BL147" i="4"/>
  <c r="BM147" i="4"/>
  <c r="BN147" i="4"/>
  <c r="BO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G147" i="4"/>
  <c r="CJ147" i="4"/>
  <c r="CK147" i="4"/>
  <c r="CL147" i="4"/>
  <c r="CN147" i="4"/>
  <c r="CP147" i="4"/>
  <c r="CQ147" i="4"/>
  <c r="C148" i="4"/>
  <c r="D148" i="4"/>
  <c r="E148" i="4"/>
  <c r="F148" i="4"/>
  <c r="N148" i="4"/>
  <c r="O148" i="4"/>
  <c r="P148" i="4"/>
  <c r="Q148" i="4"/>
  <c r="R148" i="4"/>
  <c r="S148" i="4"/>
  <c r="T148" i="4"/>
  <c r="U148" i="4"/>
  <c r="V148" i="4"/>
  <c r="W148" i="4"/>
  <c r="X148" i="4"/>
  <c r="AB148" i="4"/>
  <c r="AC148" i="4"/>
  <c r="AD148" i="4"/>
  <c r="AE148" i="4"/>
  <c r="AF148" i="4"/>
  <c r="AG148" i="4"/>
  <c r="AH148" i="4"/>
  <c r="AI148" i="4"/>
  <c r="AJ148" i="4"/>
  <c r="AT148" i="4"/>
  <c r="AU148" i="4"/>
  <c r="AV148" i="4"/>
  <c r="BB148" i="4"/>
  <c r="BC148" i="4"/>
  <c r="BD148" i="4"/>
  <c r="BE148" i="4"/>
  <c r="BF148" i="4"/>
  <c r="BG148" i="4"/>
  <c r="BH148" i="4"/>
  <c r="BI148" i="4"/>
  <c r="BJ148" i="4"/>
  <c r="BL148" i="4"/>
  <c r="BM148" i="4"/>
  <c r="BN148" i="4"/>
  <c r="BO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G148" i="4"/>
  <c r="CJ148" i="4"/>
  <c r="CK148" i="4"/>
  <c r="CL148" i="4"/>
  <c r="CN148" i="4"/>
  <c r="CP148" i="4"/>
  <c r="CQ148" i="4"/>
  <c r="C149" i="4"/>
  <c r="D149" i="4"/>
  <c r="E149" i="4"/>
  <c r="F149" i="4"/>
  <c r="N149" i="4"/>
  <c r="O149" i="4"/>
  <c r="P149" i="4"/>
  <c r="Q149" i="4"/>
  <c r="R149" i="4"/>
  <c r="S149" i="4"/>
  <c r="T149" i="4"/>
  <c r="U149" i="4"/>
  <c r="V149" i="4"/>
  <c r="W149" i="4"/>
  <c r="X149" i="4"/>
  <c r="AB149" i="4"/>
  <c r="AC149" i="4"/>
  <c r="AD149" i="4"/>
  <c r="AE149" i="4"/>
  <c r="AF149" i="4"/>
  <c r="AG149" i="4"/>
  <c r="AH149" i="4"/>
  <c r="AI149" i="4"/>
  <c r="AJ149" i="4"/>
  <c r="AT149" i="4"/>
  <c r="AU149" i="4"/>
  <c r="AV149" i="4"/>
  <c r="BB149" i="4"/>
  <c r="BC149" i="4"/>
  <c r="BD149" i="4"/>
  <c r="BE149" i="4"/>
  <c r="BF149" i="4"/>
  <c r="BG149" i="4"/>
  <c r="BH149" i="4"/>
  <c r="BI149" i="4"/>
  <c r="BJ149" i="4"/>
  <c r="BL149" i="4"/>
  <c r="BM149" i="4"/>
  <c r="BN149" i="4"/>
  <c r="BO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G149" i="4"/>
  <c r="CJ149" i="4"/>
  <c r="CK149" i="4"/>
  <c r="CL149" i="4"/>
  <c r="CN149" i="4"/>
  <c r="CP149" i="4"/>
  <c r="CQ149" i="4"/>
  <c r="C150" i="4"/>
  <c r="D150" i="4"/>
  <c r="E150" i="4"/>
  <c r="F150" i="4"/>
  <c r="N150" i="4"/>
  <c r="O150" i="4"/>
  <c r="P150" i="4"/>
  <c r="Q150" i="4"/>
  <c r="R150" i="4"/>
  <c r="S150" i="4"/>
  <c r="T150" i="4"/>
  <c r="U150" i="4"/>
  <c r="V150" i="4"/>
  <c r="W150" i="4"/>
  <c r="X150" i="4"/>
  <c r="AB150" i="4"/>
  <c r="AC150" i="4"/>
  <c r="AD150" i="4"/>
  <c r="AE150" i="4"/>
  <c r="AF150" i="4"/>
  <c r="AG150" i="4"/>
  <c r="AH150" i="4"/>
  <c r="AI150" i="4"/>
  <c r="AJ150" i="4"/>
  <c r="AT150" i="4"/>
  <c r="AU150" i="4"/>
  <c r="AV150" i="4"/>
  <c r="BB150" i="4"/>
  <c r="BC150" i="4"/>
  <c r="BD150" i="4"/>
  <c r="BE150" i="4"/>
  <c r="BF150" i="4"/>
  <c r="BG150" i="4"/>
  <c r="BH150" i="4"/>
  <c r="BI150" i="4"/>
  <c r="BJ150" i="4"/>
  <c r="BL150" i="4"/>
  <c r="BM150" i="4"/>
  <c r="BN150" i="4"/>
  <c r="BO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G150" i="4"/>
  <c r="CJ150" i="4"/>
  <c r="CK150" i="4"/>
  <c r="CL150" i="4"/>
  <c r="CN150" i="4"/>
  <c r="CP150" i="4"/>
  <c r="CQ150" i="4"/>
  <c r="C151" i="4"/>
  <c r="D151" i="4"/>
  <c r="E151" i="4"/>
  <c r="F151" i="4"/>
  <c r="N151" i="4"/>
  <c r="O151" i="4"/>
  <c r="P151" i="4"/>
  <c r="Q151" i="4"/>
  <c r="R151" i="4"/>
  <c r="S151" i="4"/>
  <c r="T151" i="4"/>
  <c r="U151" i="4"/>
  <c r="V151" i="4"/>
  <c r="W151" i="4"/>
  <c r="X151" i="4"/>
  <c r="AB151" i="4"/>
  <c r="AC151" i="4"/>
  <c r="AD151" i="4"/>
  <c r="AE151" i="4"/>
  <c r="AF151" i="4"/>
  <c r="AG151" i="4"/>
  <c r="AH151" i="4"/>
  <c r="AI151" i="4"/>
  <c r="AJ151" i="4"/>
  <c r="AT151" i="4"/>
  <c r="AU151" i="4"/>
  <c r="AV151" i="4"/>
  <c r="BB151" i="4"/>
  <c r="BC151" i="4"/>
  <c r="BD151" i="4"/>
  <c r="BE151" i="4"/>
  <c r="BF151" i="4"/>
  <c r="BG151" i="4"/>
  <c r="BH151" i="4"/>
  <c r="BI151" i="4"/>
  <c r="BJ151" i="4"/>
  <c r="BL151" i="4"/>
  <c r="BM151" i="4"/>
  <c r="BN151" i="4"/>
  <c r="BO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G151" i="4"/>
  <c r="CJ151" i="4"/>
  <c r="CK151" i="4"/>
  <c r="CL151" i="4"/>
  <c r="CN151" i="4"/>
  <c r="CP151" i="4"/>
  <c r="CQ151" i="4"/>
  <c r="C152" i="4"/>
  <c r="D152" i="4"/>
  <c r="E152" i="4"/>
  <c r="F152" i="4"/>
  <c r="N152" i="4"/>
  <c r="O152" i="4"/>
  <c r="P152" i="4"/>
  <c r="Q152" i="4"/>
  <c r="R152" i="4"/>
  <c r="S152" i="4"/>
  <c r="T152" i="4"/>
  <c r="U152" i="4"/>
  <c r="V152" i="4"/>
  <c r="W152" i="4"/>
  <c r="X152" i="4"/>
  <c r="AB152" i="4"/>
  <c r="AC152" i="4"/>
  <c r="AD152" i="4"/>
  <c r="AE152" i="4"/>
  <c r="AF152" i="4"/>
  <c r="AG152" i="4"/>
  <c r="AH152" i="4"/>
  <c r="AI152" i="4"/>
  <c r="AJ152" i="4"/>
  <c r="AT152" i="4"/>
  <c r="AU152" i="4"/>
  <c r="AV152" i="4"/>
  <c r="BB152" i="4"/>
  <c r="BC152" i="4"/>
  <c r="BD152" i="4"/>
  <c r="BE152" i="4"/>
  <c r="BF152" i="4"/>
  <c r="BG152" i="4"/>
  <c r="BH152" i="4"/>
  <c r="BI152" i="4"/>
  <c r="BJ152" i="4"/>
  <c r="BL152" i="4"/>
  <c r="BM152" i="4"/>
  <c r="BN152" i="4"/>
  <c r="BO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G152" i="4"/>
  <c r="CJ152" i="4"/>
  <c r="CK152" i="4"/>
  <c r="CL152" i="4"/>
  <c r="CN152" i="4"/>
  <c r="CP152" i="4"/>
  <c r="CQ152" i="4"/>
  <c r="C153" i="4"/>
  <c r="D153" i="4"/>
  <c r="E153" i="4"/>
  <c r="F153" i="4"/>
  <c r="N153" i="4"/>
  <c r="O153" i="4"/>
  <c r="P153" i="4"/>
  <c r="Q153" i="4"/>
  <c r="R153" i="4"/>
  <c r="S153" i="4"/>
  <c r="T153" i="4"/>
  <c r="U153" i="4"/>
  <c r="V153" i="4"/>
  <c r="W153" i="4"/>
  <c r="X153" i="4"/>
  <c r="AB153" i="4"/>
  <c r="AC153" i="4"/>
  <c r="AD153" i="4"/>
  <c r="AE153" i="4"/>
  <c r="AF153" i="4"/>
  <c r="AG153" i="4"/>
  <c r="AH153" i="4"/>
  <c r="AI153" i="4"/>
  <c r="AJ153" i="4"/>
  <c r="AT153" i="4"/>
  <c r="AU153" i="4"/>
  <c r="AV153" i="4"/>
  <c r="BB153" i="4"/>
  <c r="BC153" i="4"/>
  <c r="BD153" i="4"/>
  <c r="BE153" i="4"/>
  <c r="BF153" i="4"/>
  <c r="BG153" i="4"/>
  <c r="BH153" i="4"/>
  <c r="BI153" i="4"/>
  <c r="BJ153" i="4"/>
  <c r="BL153" i="4"/>
  <c r="BM153" i="4"/>
  <c r="BN153" i="4"/>
  <c r="BO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G153" i="4"/>
  <c r="CJ153" i="4"/>
  <c r="CK153" i="4"/>
  <c r="CL153" i="4"/>
  <c r="CN153" i="4"/>
  <c r="CP153" i="4"/>
  <c r="CQ153" i="4"/>
  <c r="C154" i="4"/>
  <c r="D154" i="4"/>
  <c r="E154" i="4"/>
  <c r="F154" i="4"/>
  <c r="N154" i="4"/>
  <c r="O154" i="4"/>
  <c r="P154" i="4"/>
  <c r="Q154" i="4"/>
  <c r="R154" i="4"/>
  <c r="S154" i="4"/>
  <c r="T154" i="4"/>
  <c r="U154" i="4"/>
  <c r="V154" i="4"/>
  <c r="W154" i="4"/>
  <c r="X154" i="4"/>
  <c r="AB154" i="4"/>
  <c r="AC154" i="4"/>
  <c r="AD154" i="4"/>
  <c r="AE154" i="4"/>
  <c r="AF154" i="4"/>
  <c r="AG154" i="4"/>
  <c r="AH154" i="4"/>
  <c r="AI154" i="4"/>
  <c r="AJ154" i="4"/>
  <c r="AT154" i="4"/>
  <c r="AU154" i="4"/>
  <c r="AV154" i="4"/>
  <c r="BB154" i="4"/>
  <c r="BC154" i="4"/>
  <c r="BD154" i="4"/>
  <c r="BE154" i="4"/>
  <c r="BF154" i="4"/>
  <c r="BG154" i="4"/>
  <c r="BH154" i="4"/>
  <c r="BI154" i="4"/>
  <c r="BJ154" i="4"/>
  <c r="BL154" i="4"/>
  <c r="BM154" i="4"/>
  <c r="BN154" i="4"/>
  <c r="BO154" i="4"/>
  <c r="BT154" i="4"/>
  <c r="BU154" i="4"/>
  <c r="BV154" i="4"/>
  <c r="BW154" i="4"/>
  <c r="BX154" i="4"/>
  <c r="BY154" i="4"/>
  <c r="BZ154" i="4"/>
  <c r="CA154" i="4"/>
  <c r="CB154" i="4"/>
  <c r="CC154" i="4"/>
  <c r="CD154" i="4"/>
  <c r="CE154" i="4"/>
  <c r="CG154" i="4"/>
  <c r="CJ154" i="4"/>
  <c r="CK154" i="4"/>
  <c r="CL154" i="4"/>
  <c r="CN154" i="4"/>
  <c r="CP154" i="4"/>
  <c r="CQ154" i="4"/>
  <c r="C155" i="4"/>
  <c r="D155" i="4"/>
  <c r="E155" i="4"/>
  <c r="F155" i="4"/>
  <c r="N155" i="4"/>
  <c r="O155" i="4"/>
  <c r="P155" i="4"/>
  <c r="Q155" i="4"/>
  <c r="R155" i="4"/>
  <c r="S155" i="4"/>
  <c r="T155" i="4"/>
  <c r="U155" i="4"/>
  <c r="V155" i="4"/>
  <c r="W155" i="4"/>
  <c r="X155" i="4"/>
  <c r="AB155" i="4"/>
  <c r="AC155" i="4"/>
  <c r="AD155" i="4"/>
  <c r="AE155" i="4"/>
  <c r="AF155" i="4"/>
  <c r="AG155" i="4"/>
  <c r="AH155" i="4"/>
  <c r="AI155" i="4"/>
  <c r="AJ155" i="4"/>
  <c r="AT155" i="4"/>
  <c r="AU155" i="4"/>
  <c r="AV155" i="4"/>
  <c r="BB155" i="4"/>
  <c r="BC155" i="4"/>
  <c r="BD155" i="4"/>
  <c r="BE155" i="4"/>
  <c r="BF155" i="4"/>
  <c r="BG155" i="4"/>
  <c r="BH155" i="4"/>
  <c r="BI155" i="4"/>
  <c r="BJ155" i="4"/>
  <c r="BL155" i="4"/>
  <c r="BM155" i="4"/>
  <c r="BN155" i="4"/>
  <c r="BO155" i="4"/>
  <c r="BT155" i="4"/>
  <c r="BU155" i="4"/>
  <c r="BV155" i="4"/>
  <c r="BW155" i="4"/>
  <c r="BX155" i="4"/>
  <c r="BY155" i="4"/>
  <c r="BZ155" i="4"/>
  <c r="CA155" i="4"/>
  <c r="CB155" i="4"/>
  <c r="CC155" i="4"/>
  <c r="CD155" i="4"/>
  <c r="CE155" i="4"/>
  <c r="CG155" i="4"/>
  <c r="CJ155" i="4"/>
  <c r="CK155" i="4"/>
  <c r="CL155" i="4"/>
  <c r="CN155" i="4"/>
  <c r="CP155" i="4"/>
  <c r="CQ155" i="4"/>
  <c r="C156" i="4"/>
  <c r="D156" i="4"/>
  <c r="E156" i="4"/>
  <c r="F156" i="4"/>
  <c r="N156" i="4"/>
  <c r="O156" i="4"/>
  <c r="P156" i="4"/>
  <c r="Q156" i="4"/>
  <c r="R156" i="4"/>
  <c r="S156" i="4"/>
  <c r="T156" i="4"/>
  <c r="U156" i="4"/>
  <c r="V156" i="4"/>
  <c r="W156" i="4"/>
  <c r="X156" i="4"/>
  <c r="AB156" i="4"/>
  <c r="AC156" i="4"/>
  <c r="AD156" i="4"/>
  <c r="AE156" i="4"/>
  <c r="AF156" i="4"/>
  <c r="AG156" i="4"/>
  <c r="AH156" i="4"/>
  <c r="AI156" i="4"/>
  <c r="AJ156" i="4"/>
  <c r="AT156" i="4"/>
  <c r="AU156" i="4"/>
  <c r="AV156" i="4"/>
  <c r="BB156" i="4"/>
  <c r="BC156" i="4"/>
  <c r="BD156" i="4"/>
  <c r="BE156" i="4"/>
  <c r="BF156" i="4"/>
  <c r="BG156" i="4"/>
  <c r="BH156" i="4"/>
  <c r="BI156" i="4"/>
  <c r="BJ156" i="4"/>
  <c r="BL156" i="4"/>
  <c r="BM156" i="4"/>
  <c r="BN156" i="4"/>
  <c r="BO156" i="4"/>
  <c r="BT156" i="4"/>
  <c r="BU156" i="4"/>
  <c r="BV156" i="4"/>
  <c r="BW156" i="4"/>
  <c r="BX156" i="4"/>
  <c r="BY156" i="4"/>
  <c r="BZ156" i="4"/>
  <c r="CA156" i="4"/>
  <c r="CB156" i="4"/>
  <c r="CC156" i="4"/>
  <c r="CD156" i="4"/>
  <c r="CE156" i="4"/>
  <c r="CG156" i="4"/>
  <c r="CJ156" i="4"/>
  <c r="CK156" i="4"/>
  <c r="CL156" i="4"/>
  <c r="CN156" i="4"/>
  <c r="CP156" i="4"/>
  <c r="CQ156" i="4"/>
  <c r="C157" i="4"/>
  <c r="D157" i="4"/>
  <c r="E157" i="4"/>
  <c r="F157" i="4"/>
  <c r="N157" i="4"/>
  <c r="O157" i="4"/>
  <c r="P157" i="4"/>
  <c r="Q157" i="4"/>
  <c r="R157" i="4"/>
  <c r="S157" i="4"/>
  <c r="T157" i="4"/>
  <c r="U157" i="4"/>
  <c r="V157" i="4"/>
  <c r="W157" i="4"/>
  <c r="X157" i="4"/>
  <c r="AB157" i="4"/>
  <c r="AC157" i="4"/>
  <c r="AD157" i="4"/>
  <c r="AE157" i="4"/>
  <c r="AF157" i="4"/>
  <c r="AG157" i="4"/>
  <c r="AH157" i="4"/>
  <c r="AI157" i="4"/>
  <c r="AJ157" i="4"/>
  <c r="AT157" i="4"/>
  <c r="AU157" i="4"/>
  <c r="AV157" i="4"/>
  <c r="BB157" i="4"/>
  <c r="BC157" i="4"/>
  <c r="BD157" i="4"/>
  <c r="BE157" i="4"/>
  <c r="BF157" i="4"/>
  <c r="BG157" i="4"/>
  <c r="BH157" i="4"/>
  <c r="BI157" i="4"/>
  <c r="BJ157" i="4"/>
  <c r="BL157" i="4"/>
  <c r="BM157" i="4"/>
  <c r="BN157" i="4"/>
  <c r="BO157" i="4"/>
  <c r="BT157" i="4"/>
  <c r="BU157" i="4"/>
  <c r="BV157" i="4"/>
  <c r="BW157" i="4"/>
  <c r="BX157" i="4"/>
  <c r="BY157" i="4"/>
  <c r="BZ157" i="4"/>
  <c r="CA157" i="4"/>
  <c r="CB157" i="4"/>
  <c r="CC157" i="4"/>
  <c r="CD157" i="4"/>
  <c r="CE157" i="4"/>
  <c r="CG157" i="4"/>
  <c r="CJ157" i="4"/>
  <c r="CK157" i="4"/>
  <c r="CL157" i="4"/>
  <c r="CN157" i="4"/>
  <c r="CP157" i="4"/>
  <c r="CQ157" i="4"/>
  <c r="C158" i="4"/>
  <c r="D158" i="4"/>
  <c r="E158" i="4"/>
  <c r="F158" i="4"/>
  <c r="N158" i="4"/>
  <c r="O158" i="4"/>
  <c r="P158" i="4"/>
  <c r="Q158" i="4"/>
  <c r="R158" i="4"/>
  <c r="S158" i="4"/>
  <c r="T158" i="4"/>
  <c r="U158" i="4"/>
  <c r="V158" i="4"/>
  <c r="W158" i="4"/>
  <c r="X158" i="4"/>
  <c r="AB158" i="4"/>
  <c r="AC158" i="4"/>
  <c r="AD158" i="4"/>
  <c r="AE158" i="4"/>
  <c r="AF158" i="4"/>
  <c r="AG158" i="4"/>
  <c r="AH158" i="4"/>
  <c r="AI158" i="4"/>
  <c r="AJ158" i="4"/>
  <c r="AT158" i="4"/>
  <c r="AU158" i="4"/>
  <c r="AV158" i="4"/>
  <c r="BB158" i="4"/>
  <c r="BC158" i="4"/>
  <c r="BD158" i="4"/>
  <c r="BE158" i="4"/>
  <c r="BF158" i="4"/>
  <c r="BG158" i="4"/>
  <c r="BH158" i="4"/>
  <c r="BI158" i="4"/>
  <c r="BJ158" i="4"/>
  <c r="BL158" i="4"/>
  <c r="BM158" i="4"/>
  <c r="BN158" i="4"/>
  <c r="BO158" i="4"/>
  <c r="BT158" i="4"/>
  <c r="BU158" i="4"/>
  <c r="BV158" i="4"/>
  <c r="BW158" i="4"/>
  <c r="BX158" i="4"/>
  <c r="BY158" i="4"/>
  <c r="BZ158" i="4"/>
  <c r="CA158" i="4"/>
  <c r="CB158" i="4"/>
  <c r="CC158" i="4"/>
  <c r="CD158" i="4"/>
  <c r="CE158" i="4"/>
  <c r="CG158" i="4"/>
  <c r="CJ158" i="4"/>
  <c r="CK158" i="4"/>
  <c r="CL158" i="4"/>
  <c r="CN158" i="4"/>
  <c r="CP158" i="4"/>
  <c r="CQ158" i="4"/>
  <c r="C159" i="4"/>
  <c r="D159" i="4"/>
  <c r="E159" i="4"/>
  <c r="F159" i="4"/>
  <c r="N159" i="4"/>
  <c r="O159" i="4"/>
  <c r="P159" i="4"/>
  <c r="Q159" i="4"/>
  <c r="R159" i="4"/>
  <c r="S159" i="4"/>
  <c r="T159" i="4"/>
  <c r="U159" i="4"/>
  <c r="V159" i="4"/>
  <c r="W159" i="4"/>
  <c r="X159" i="4"/>
  <c r="AB159" i="4"/>
  <c r="AC159" i="4"/>
  <c r="AD159" i="4"/>
  <c r="AE159" i="4"/>
  <c r="AF159" i="4"/>
  <c r="AG159" i="4"/>
  <c r="AH159" i="4"/>
  <c r="AI159" i="4"/>
  <c r="AJ159" i="4"/>
  <c r="AT159" i="4"/>
  <c r="AU159" i="4"/>
  <c r="AV159" i="4"/>
  <c r="BB159" i="4"/>
  <c r="BC159" i="4"/>
  <c r="BD159" i="4"/>
  <c r="BE159" i="4"/>
  <c r="BF159" i="4"/>
  <c r="BG159" i="4"/>
  <c r="BH159" i="4"/>
  <c r="BI159" i="4"/>
  <c r="BJ159" i="4"/>
  <c r="BL159" i="4"/>
  <c r="BM159" i="4"/>
  <c r="BN159" i="4"/>
  <c r="BO159" i="4"/>
  <c r="BT159" i="4"/>
  <c r="BU159" i="4"/>
  <c r="BV159" i="4"/>
  <c r="BW159" i="4"/>
  <c r="BX159" i="4"/>
  <c r="BY159" i="4"/>
  <c r="BZ159" i="4"/>
  <c r="CA159" i="4"/>
  <c r="CB159" i="4"/>
  <c r="CC159" i="4"/>
  <c r="CD159" i="4"/>
  <c r="CE159" i="4"/>
  <c r="CG159" i="4"/>
  <c r="CJ159" i="4"/>
  <c r="CK159" i="4"/>
  <c r="CL159" i="4"/>
  <c r="CN159" i="4"/>
  <c r="CP159" i="4"/>
  <c r="CQ159" i="4"/>
  <c r="C160" i="4"/>
  <c r="D160" i="4"/>
  <c r="E160" i="4"/>
  <c r="F160" i="4"/>
  <c r="N160" i="4"/>
  <c r="O160" i="4"/>
  <c r="P160" i="4"/>
  <c r="Q160" i="4"/>
  <c r="R160" i="4"/>
  <c r="S160" i="4"/>
  <c r="T160" i="4"/>
  <c r="U160" i="4"/>
  <c r="V160" i="4"/>
  <c r="W160" i="4"/>
  <c r="X160" i="4"/>
  <c r="AB160" i="4"/>
  <c r="AC160" i="4"/>
  <c r="AD160" i="4"/>
  <c r="AE160" i="4"/>
  <c r="AF160" i="4"/>
  <c r="AG160" i="4"/>
  <c r="AH160" i="4"/>
  <c r="AI160" i="4"/>
  <c r="AJ160" i="4"/>
  <c r="AT160" i="4"/>
  <c r="AU160" i="4"/>
  <c r="AV160" i="4"/>
  <c r="BB160" i="4"/>
  <c r="BC160" i="4"/>
  <c r="BD160" i="4"/>
  <c r="BE160" i="4"/>
  <c r="BF160" i="4"/>
  <c r="BG160" i="4"/>
  <c r="BH160" i="4"/>
  <c r="BI160" i="4"/>
  <c r="BJ160" i="4"/>
  <c r="BL160" i="4"/>
  <c r="BM160" i="4"/>
  <c r="BN160" i="4"/>
  <c r="BO160" i="4"/>
  <c r="BT160" i="4"/>
  <c r="BU160" i="4"/>
  <c r="BV160" i="4"/>
  <c r="BW160" i="4"/>
  <c r="BX160" i="4"/>
  <c r="BY160" i="4"/>
  <c r="BZ160" i="4"/>
  <c r="CA160" i="4"/>
  <c r="CB160" i="4"/>
  <c r="CC160" i="4"/>
  <c r="CD160" i="4"/>
  <c r="CE160" i="4"/>
  <c r="CG160" i="4"/>
  <c r="CJ160" i="4"/>
  <c r="CK160" i="4"/>
  <c r="CL160" i="4"/>
  <c r="CN160" i="4"/>
  <c r="CP160" i="4"/>
  <c r="CQ160" i="4"/>
  <c r="C161" i="4"/>
  <c r="D161" i="4"/>
  <c r="E161" i="4"/>
  <c r="F161" i="4"/>
  <c r="N161" i="4"/>
  <c r="O161" i="4"/>
  <c r="P161" i="4"/>
  <c r="Q161" i="4"/>
  <c r="R161" i="4"/>
  <c r="S161" i="4"/>
  <c r="T161" i="4"/>
  <c r="U161" i="4"/>
  <c r="V161" i="4"/>
  <c r="W161" i="4"/>
  <c r="X161" i="4"/>
  <c r="AB161" i="4"/>
  <c r="AC161" i="4"/>
  <c r="AD161" i="4"/>
  <c r="AE161" i="4"/>
  <c r="AF161" i="4"/>
  <c r="AG161" i="4"/>
  <c r="AH161" i="4"/>
  <c r="AI161" i="4"/>
  <c r="AJ161" i="4"/>
  <c r="AT161" i="4"/>
  <c r="AU161" i="4"/>
  <c r="AV161" i="4"/>
  <c r="BB161" i="4"/>
  <c r="BC161" i="4"/>
  <c r="BD161" i="4"/>
  <c r="BE161" i="4"/>
  <c r="BF161" i="4"/>
  <c r="BG161" i="4"/>
  <c r="BH161" i="4"/>
  <c r="BI161" i="4"/>
  <c r="BJ161" i="4"/>
  <c r="BL161" i="4"/>
  <c r="BM161" i="4"/>
  <c r="BN161" i="4"/>
  <c r="BO161" i="4"/>
  <c r="BT161" i="4"/>
  <c r="BU161" i="4"/>
  <c r="BV161" i="4"/>
  <c r="BW161" i="4"/>
  <c r="BX161" i="4"/>
  <c r="BY161" i="4"/>
  <c r="BZ161" i="4"/>
  <c r="CA161" i="4"/>
  <c r="CB161" i="4"/>
  <c r="CC161" i="4"/>
  <c r="CD161" i="4"/>
  <c r="CE161" i="4"/>
  <c r="CG161" i="4"/>
  <c r="CJ161" i="4"/>
  <c r="CK161" i="4"/>
  <c r="CL161" i="4"/>
  <c r="CN161" i="4"/>
  <c r="CP161" i="4"/>
  <c r="CQ161" i="4"/>
  <c r="C162" i="4"/>
  <c r="D162" i="4"/>
  <c r="E162" i="4"/>
  <c r="F162" i="4"/>
  <c r="N162" i="4"/>
  <c r="O162" i="4"/>
  <c r="P162" i="4"/>
  <c r="Q162" i="4"/>
  <c r="R162" i="4"/>
  <c r="S162" i="4"/>
  <c r="T162" i="4"/>
  <c r="U162" i="4"/>
  <c r="V162" i="4"/>
  <c r="W162" i="4"/>
  <c r="X162" i="4"/>
  <c r="AB162" i="4"/>
  <c r="AC162" i="4"/>
  <c r="AD162" i="4"/>
  <c r="AE162" i="4"/>
  <c r="AF162" i="4"/>
  <c r="AG162" i="4"/>
  <c r="AH162" i="4"/>
  <c r="AI162" i="4"/>
  <c r="AJ162" i="4"/>
  <c r="AT162" i="4"/>
  <c r="AU162" i="4"/>
  <c r="AV162" i="4"/>
  <c r="BB162" i="4"/>
  <c r="BC162" i="4"/>
  <c r="BD162" i="4"/>
  <c r="BE162" i="4"/>
  <c r="BF162" i="4"/>
  <c r="BG162" i="4"/>
  <c r="BH162" i="4"/>
  <c r="BI162" i="4"/>
  <c r="BJ162" i="4"/>
  <c r="BL162" i="4"/>
  <c r="BM162" i="4"/>
  <c r="BN162" i="4"/>
  <c r="BO162" i="4"/>
  <c r="BT162" i="4"/>
  <c r="BU162" i="4"/>
  <c r="BV162" i="4"/>
  <c r="BW162" i="4"/>
  <c r="BX162" i="4"/>
  <c r="BY162" i="4"/>
  <c r="BZ162" i="4"/>
  <c r="CA162" i="4"/>
  <c r="CB162" i="4"/>
  <c r="CC162" i="4"/>
  <c r="CD162" i="4"/>
  <c r="CE162" i="4"/>
  <c r="CG162" i="4"/>
  <c r="CJ162" i="4"/>
  <c r="CK162" i="4"/>
  <c r="CL162" i="4"/>
  <c r="CN162" i="4"/>
  <c r="CP162" i="4"/>
  <c r="CQ162" i="4"/>
  <c r="C163" i="4"/>
  <c r="D163" i="4"/>
  <c r="E163" i="4"/>
  <c r="F163" i="4"/>
  <c r="N163" i="4"/>
  <c r="O163" i="4"/>
  <c r="P163" i="4"/>
  <c r="Q163" i="4"/>
  <c r="R163" i="4"/>
  <c r="S163" i="4"/>
  <c r="T163" i="4"/>
  <c r="U163" i="4"/>
  <c r="V163" i="4"/>
  <c r="W163" i="4"/>
  <c r="X163" i="4"/>
  <c r="AB163" i="4"/>
  <c r="AC163" i="4"/>
  <c r="AD163" i="4"/>
  <c r="AE163" i="4"/>
  <c r="AF163" i="4"/>
  <c r="AG163" i="4"/>
  <c r="AH163" i="4"/>
  <c r="AI163" i="4"/>
  <c r="AJ163" i="4"/>
  <c r="AT163" i="4"/>
  <c r="AU163" i="4"/>
  <c r="AV163" i="4"/>
  <c r="BB163" i="4"/>
  <c r="BC163" i="4"/>
  <c r="BD163" i="4"/>
  <c r="BE163" i="4"/>
  <c r="BF163" i="4"/>
  <c r="BG163" i="4"/>
  <c r="BH163" i="4"/>
  <c r="BI163" i="4"/>
  <c r="BJ163" i="4"/>
  <c r="BL163" i="4"/>
  <c r="BM163" i="4"/>
  <c r="BN163" i="4"/>
  <c r="BO163" i="4"/>
  <c r="BT163" i="4"/>
  <c r="BU163" i="4"/>
  <c r="BV163" i="4"/>
  <c r="BW163" i="4"/>
  <c r="BX163" i="4"/>
  <c r="BY163" i="4"/>
  <c r="BZ163" i="4"/>
  <c r="CA163" i="4"/>
  <c r="CB163" i="4"/>
  <c r="CC163" i="4"/>
  <c r="CD163" i="4"/>
  <c r="CE163" i="4"/>
  <c r="CG163" i="4"/>
  <c r="CJ163" i="4"/>
  <c r="CK163" i="4"/>
  <c r="CL163" i="4"/>
  <c r="CN163" i="4"/>
  <c r="CP163" i="4"/>
  <c r="CQ163" i="4"/>
  <c r="C164" i="4"/>
  <c r="D164" i="4"/>
  <c r="E164" i="4"/>
  <c r="F164" i="4"/>
  <c r="N164" i="4"/>
  <c r="O164" i="4"/>
  <c r="P164" i="4"/>
  <c r="Q164" i="4"/>
  <c r="R164" i="4"/>
  <c r="S164" i="4"/>
  <c r="T164" i="4"/>
  <c r="U164" i="4"/>
  <c r="V164" i="4"/>
  <c r="W164" i="4"/>
  <c r="X164" i="4"/>
  <c r="AB164" i="4"/>
  <c r="AC164" i="4"/>
  <c r="AD164" i="4"/>
  <c r="AE164" i="4"/>
  <c r="AF164" i="4"/>
  <c r="AG164" i="4"/>
  <c r="AH164" i="4"/>
  <c r="AI164" i="4"/>
  <c r="AJ164" i="4"/>
  <c r="AT164" i="4"/>
  <c r="AU164" i="4"/>
  <c r="AV164" i="4"/>
  <c r="BB164" i="4"/>
  <c r="BC164" i="4"/>
  <c r="BD164" i="4"/>
  <c r="BE164" i="4"/>
  <c r="BF164" i="4"/>
  <c r="BG164" i="4"/>
  <c r="BH164" i="4"/>
  <c r="BI164" i="4"/>
  <c r="BJ164" i="4"/>
  <c r="BL164" i="4"/>
  <c r="BM164" i="4"/>
  <c r="BN164" i="4"/>
  <c r="BO164" i="4"/>
  <c r="BT164" i="4"/>
  <c r="BU164" i="4"/>
  <c r="BV164" i="4"/>
  <c r="BW164" i="4"/>
  <c r="BX164" i="4"/>
  <c r="BY164" i="4"/>
  <c r="BZ164" i="4"/>
  <c r="CA164" i="4"/>
  <c r="CB164" i="4"/>
  <c r="CC164" i="4"/>
  <c r="CD164" i="4"/>
  <c r="CE164" i="4"/>
  <c r="CG164" i="4"/>
  <c r="CJ164" i="4"/>
  <c r="CK164" i="4"/>
  <c r="CL164" i="4"/>
  <c r="CN164" i="4"/>
  <c r="CP164" i="4"/>
  <c r="CQ164" i="4"/>
  <c r="C165" i="4"/>
  <c r="D165" i="4"/>
  <c r="E165" i="4"/>
  <c r="F165" i="4"/>
  <c r="N165" i="4"/>
  <c r="O165" i="4"/>
  <c r="P165" i="4"/>
  <c r="Q165" i="4"/>
  <c r="R165" i="4"/>
  <c r="S165" i="4"/>
  <c r="T165" i="4"/>
  <c r="U165" i="4"/>
  <c r="V165" i="4"/>
  <c r="W165" i="4"/>
  <c r="X165" i="4"/>
  <c r="AB165" i="4"/>
  <c r="AC165" i="4"/>
  <c r="AD165" i="4"/>
  <c r="AE165" i="4"/>
  <c r="AF165" i="4"/>
  <c r="AG165" i="4"/>
  <c r="AH165" i="4"/>
  <c r="AI165" i="4"/>
  <c r="AJ165" i="4"/>
  <c r="AT165" i="4"/>
  <c r="AU165" i="4"/>
  <c r="AV165" i="4"/>
  <c r="BB165" i="4"/>
  <c r="BC165" i="4"/>
  <c r="BD165" i="4"/>
  <c r="BE165" i="4"/>
  <c r="BF165" i="4"/>
  <c r="BG165" i="4"/>
  <c r="BH165" i="4"/>
  <c r="BI165" i="4"/>
  <c r="BJ165" i="4"/>
  <c r="BL165" i="4"/>
  <c r="BM165" i="4"/>
  <c r="BN165" i="4"/>
  <c r="BO165" i="4"/>
  <c r="BT165" i="4"/>
  <c r="BU165" i="4"/>
  <c r="BV165" i="4"/>
  <c r="BW165" i="4"/>
  <c r="BX165" i="4"/>
  <c r="BY165" i="4"/>
  <c r="BZ165" i="4"/>
  <c r="CA165" i="4"/>
  <c r="CB165" i="4"/>
  <c r="CC165" i="4"/>
  <c r="CD165" i="4"/>
  <c r="CE165" i="4"/>
  <c r="CG165" i="4"/>
  <c r="CJ165" i="4"/>
  <c r="CK165" i="4"/>
  <c r="CL165" i="4"/>
  <c r="CN165" i="4"/>
  <c r="CP165" i="4"/>
  <c r="CQ165" i="4"/>
  <c r="C166" i="4"/>
  <c r="D166" i="4"/>
  <c r="E166" i="4"/>
  <c r="F166" i="4"/>
  <c r="N166" i="4"/>
  <c r="O166" i="4"/>
  <c r="P166" i="4"/>
  <c r="Q166" i="4"/>
  <c r="R166" i="4"/>
  <c r="S166" i="4"/>
  <c r="T166" i="4"/>
  <c r="U166" i="4"/>
  <c r="V166" i="4"/>
  <c r="W166" i="4"/>
  <c r="X166" i="4"/>
  <c r="AB166" i="4"/>
  <c r="AC166" i="4"/>
  <c r="AD166" i="4"/>
  <c r="AE166" i="4"/>
  <c r="AF166" i="4"/>
  <c r="AG166" i="4"/>
  <c r="AH166" i="4"/>
  <c r="AI166" i="4"/>
  <c r="AJ166" i="4"/>
  <c r="AT166" i="4"/>
  <c r="AU166" i="4"/>
  <c r="AV166" i="4"/>
  <c r="BB166" i="4"/>
  <c r="BC166" i="4"/>
  <c r="BD166" i="4"/>
  <c r="BE166" i="4"/>
  <c r="BF166" i="4"/>
  <c r="BG166" i="4"/>
  <c r="BH166" i="4"/>
  <c r="BI166" i="4"/>
  <c r="BJ166" i="4"/>
  <c r="BL166" i="4"/>
  <c r="BM166" i="4"/>
  <c r="BN166" i="4"/>
  <c r="BO166" i="4"/>
  <c r="BT166" i="4"/>
  <c r="BU166" i="4"/>
  <c r="BV166" i="4"/>
  <c r="BW166" i="4"/>
  <c r="BX166" i="4"/>
  <c r="BY166" i="4"/>
  <c r="BZ166" i="4"/>
  <c r="CA166" i="4"/>
  <c r="CB166" i="4"/>
  <c r="CC166" i="4"/>
  <c r="CD166" i="4"/>
  <c r="CE166" i="4"/>
  <c r="CG166" i="4"/>
  <c r="CJ166" i="4"/>
  <c r="CK166" i="4"/>
  <c r="CL166" i="4"/>
  <c r="CN166" i="4"/>
  <c r="CP166" i="4"/>
  <c r="CQ166" i="4"/>
  <c r="C167" i="4"/>
  <c r="D167" i="4"/>
  <c r="E167" i="4"/>
  <c r="F167" i="4"/>
  <c r="N167" i="4"/>
  <c r="O167" i="4"/>
  <c r="P167" i="4"/>
  <c r="Q167" i="4"/>
  <c r="R167" i="4"/>
  <c r="S167" i="4"/>
  <c r="T167" i="4"/>
  <c r="U167" i="4"/>
  <c r="V167" i="4"/>
  <c r="W167" i="4"/>
  <c r="X167" i="4"/>
  <c r="AB167" i="4"/>
  <c r="AC167" i="4"/>
  <c r="AD167" i="4"/>
  <c r="AE167" i="4"/>
  <c r="AF167" i="4"/>
  <c r="AG167" i="4"/>
  <c r="AH167" i="4"/>
  <c r="AI167" i="4"/>
  <c r="AJ167" i="4"/>
  <c r="AT167" i="4"/>
  <c r="AU167" i="4"/>
  <c r="AV167" i="4"/>
  <c r="BB167" i="4"/>
  <c r="BC167" i="4"/>
  <c r="BD167" i="4"/>
  <c r="BE167" i="4"/>
  <c r="BF167" i="4"/>
  <c r="BG167" i="4"/>
  <c r="BH167" i="4"/>
  <c r="BI167" i="4"/>
  <c r="BJ167" i="4"/>
  <c r="BL167" i="4"/>
  <c r="BM167" i="4"/>
  <c r="BN167" i="4"/>
  <c r="BO167" i="4"/>
  <c r="BT167" i="4"/>
  <c r="BU167" i="4"/>
  <c r="BV167" i="4"/>
  <c r="BW167" i="4"/>
  <c r="BX167" i="4"/>
  <c r="BY167" i="4"/>
  <c r="BZ167" i="4"/>
  <c r="CA167" i="4"/>
  <c r="CB167" i="4"/>
  <c r="CC167" i="4"/>
  <c r="CD167" i="4"/>
  <c r="CE167" i="4"/>
  <c r="CG167" i="4"/>
  <c r="CJ167" i="4"/>
  <c r="CK167" i="4"/>
  <c r="CL167" i="4"/>
  <c r="CN167" i="4"/>
  <c r="CP167" i="4"/>
  <c r="CQ167" i="4"/>
  <c r="C168" i="4"/>
  <c r="D168" i="4"/>
  <c r="E168" i="4"/>
  <c r="F168" i="4"/>
  <c r="N168" i="4"/>
  <c r="O168" i="4"/>
  <c r="P168" i="4"/>
  <c r="Q168" i="4"/>
  <c r="R168" i="4"/>
  <c r="S168" i="4"/>
  <c r="T168" i="4"/>
  <c r="U168" i="4"/>
  <c r="V168" i="4"/>
  <c r="W168" i="4"/>
  <c r="X168" i="4"/>
  <c r="AB168" i="4"/>
  <c r="AC168" i="4"/>
  <c r="AD168" i="4"/>
  <c r="AE168" i="4"/>
  <c r="AF168" i="4"/>
  <c r="AG168" i="4"/>
  <c r="AH168" i="4"/>
  <c r="AI168" i="4"/>
  <c r="AJ168" i="4"/>
  <c r="AT168" i="4"/>
  <c r="AU168" i="4"/>
  <c r="AV168" i="4"/>
  <c r="BB168" i="4"/>
  <c r="BC168" i="4"/>
  <c r="BD168" i="4"/>
  <c r="BE168" i="4"/>
  <c r="BF168" i="4"/>
  <c r="BG168" i="4"/>
  <c r="BH168" i="4"/>
  <c r="BI168" i="4"/>
  <c r="BJ168" i="4"/>
  <c r="BL168" i="4"/>
  <c r="BM168" i="4"/>
  <c r="BN168" i="4"/>
  <c r="BO168" i="4"/>
  <c r="BT168" i="4"/>
  <c r="BU168" i="4"/>
  <c r="BV168" i="4"/>
  <c r="BW168" i="4"/>
  <c r="BX168" i="4"/>
  <c r="BY168" i="4"/>
  <c r="BZ168" i="4"/>
  <c r="CA168" i="4"/>
  <c r="CB168" i="4"/>
  <c r="CC168" i="4"/>
  <c r="CD168" i="4"/>
  <c r="CE168" i="4"/>
  <c r="CG168" i="4"/>
  <c r="CJ168" i="4"/>
  <c r="CK168" i="4"/>
  <c r="CL168" i="4"/>
  <c r="CN168" i="4"/>
  <c r="CP168" i="4"/>
  <c r="CQ168" i="4"/>
  <c r="C169" i="4"/>
  <c r="D169" i="4"/>
  <c r="E169" i="4"/>
  <c r="F169" i="4"/>
  <c r="N169" i="4"/>
  <c r="O169" i="4"/>
  <c r="P169" i="4"/>
  <c r="Q169" i="4"/>
  <c r="R169" i="4"/>
  <c r="S169" i="4"/>
  <c r="T169" i="4"/>
  <c r="U169" i="4"/>
  <c r="V169" i="4"/>
  <c r="W169" i="4"/>
  <c r="X169" i="4"/>
  <c r="AB169" i="4"/>
  <c r="AC169" i="4"/>
  <c r="AD169" i="4"/>
  <c r="AE169" i="4"/>
  <c r="AF169" i="4"/>
  <c r="AG169" i="4"/>
  <c r="AH169" i="4"/>
  <c r="AI169" i="4"/>
  <c r="AJ169" i="4"/>
  <c r="AT169" i="4"/>
  <c r="AU169" i="4"/>
  <c r="AV169" i="4"/>
  <c r="BB169" i="4"/>
  <c r="BC169" i="4"/>
  <c r="BD169" i="4"/>
  <c r="BE169" i="4"/>
  <c r="BF169" i="4"/>
  <c r="BG169" i="4"/>
  <c r="BH169" i="4"/>
  <c r="BI169" i="4"/>
  <c r="BJ169" i="4"/>
  <c r="BL169" i="4"/>
  <c r="BM169" i="4"/>
  <c r="BN169" i="4"/>
  <c r="BO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G169" i="4"/>
  <c r="CJ169" i="4"/>
  <c r="CK169" i="4"/>
  <c r="CL169" i="4"/>
  <c r="CN169" i="4"/>
  <c r="CP169" i="4"/>
  <c r="CQ169" i="4"/>
  <c r="C170" i="4"/>
  <c r="D170" i="4"/>
  <c r="E170" i="4"/>
  <c r="F170" i="4"/>
  <c r="N170" i="4"/>
  <c r="O170" i="4"/>
  <c r="P170" i="4"/>
  <c r="Q170" i="4"/>
  <c r="R170" i="4"/>
  <c r="S170" i="4"/>
  <c r="T170" i="4"/>
  <c r="U170" i="4"/>
  <c r="V170" i="4"/>
  <c r="W170" i="4"/>
  <c r="X170" i="4"/>
  <c r="AB170" i="4"/>
  <c r="AC170" i="4"/>
  <c r="AD170" i="4"/>
  <c r="AE170" i="4"/>
  <c r="AF170" i="4"/>
  <c r="AG170" i="4"/>
  <c r="AH170" i="4"/>
  <c r="AI170" i="4"/>
  <c r="AJ170" i="4"/>
  <c r="AT170" i="4"/>
  <c r="AU170" i="4"/>
  <c r="AV170" i="4"/>
  <c r="BB170" i="4"/>
  <c r="BC170" i="4"/>
  <c r="BD170" i="4"/>
  <c r="BE170" i="4"/>
  <c r="BF170" i="4"/>
  <c r="BG170" i="4"/>
  <c r="BH170" i="4"/>
  <c r="BI170" i="4"/>
  <c r="BJ170" i="4"/>
  <c r="BL170" i="4"/>
  <c r="BM170" i="4"/>
  <c r="BN170" i="4"/>
  <c r="BO170" i="4"/>
  <c r="BT170" i="4"/>
  <c r="BU170" i="4"/>
  <c r="BV170" i="4"/>
  <c r="BW170" i="4"/>
  <c r="BX170" i="4"/>
  <c r="BY170" i="4"/>
  <c r="BZ170" i="4"/>
  <c r="CA170" i="4"/>
  <c r="CB170" i="4"/>
  <c r="CC170" i="4"/>
  <c r="CD170" i="4"/>
  <c r="CE170" i="4"/>
  <c r="CG170" i="4"/>
  <c r="CJ170" i="4"/>
  <c r="CK170" i="4"/>
  <c r="CL170" i="4"/>
  <c r="CN170" i="4"/>
  <c r="CP170" i="4"/>
  <c r="CQ170" i="4"/>
  <c r="C171" i="4"/>
  <c r="D171" i="4"/>
  <c r="E171" i="4"/>
  <c r="F171" i="4"/>
  <c r="N171" i="4"/>
  <c r="O171" i="4"/>
  <c r="P171" i="4"/>
  <c r="Q171" i="4"/>
  <c r="R171" i="4"/>
  <c r="S171" i="4"/>
  <c r="T171" i="4"/>
  <c r="U171" i="4"/>
  <c r="V171" i="4"/>
  <c r="W171" i="4"/>
  <c r="X171" i="4"/>
  <c r="AB171" i="4"/>
  <c r="AC171" i="4"/>
  <c r="AD171" i="4"/>
  <c r="AE171" i="4"/>
  <c r="AF171" i="4"/>
  <c r="AG171" i="4"/>
  <c r="AH171" i="4"/>
  <c r="AI171" i="4"/>
  <c r="AJ171" i="4"/>
  <c r="AT171" i="4"/>
  <c r="AU171" i="4"/>
  <c r="AV171" i="4"/>
  <c r="BB171" i="4"/>
  <c r="BC171" i="4"/>
  <c r="BD171" i="4"/>
  <c r="BE171" i="4"/>
  <c r="BF171" i="4"/>
  <c r="BG171" i="4"/>
  <c r="BH171" i="4"/>
  <c r="BI171" i="4"/>
  <c r="BJ171" i="4"/>
  <c r="BL171" i="4"/>
  <c r="BM171" i="4"/>
  <c r="BN171" i="4"/>
  <c r="BO171" i="4"/>
  <c r="BT171" i="4"/>
  <c r="BU171" i="4"/>
  <c r="BV171" i="4"/>
  <c r="BW171" i="4"/>
  <c r="BX171" i="4"/>
  <c r="BY171" i="4"/>
  <c r="BZ171" i="4"/>
  <c r="CA171" i="4"/>
  <c r="CB171" i="4"/>
  <c r="CC171" i="4"/>
  <c r="CD171" i="4"/>
  <c r="CE171" i="4"/>
  <c r="CG171" i="4"/>
  <c r="CJ171" i="4"/>
  <c r="CK171" i="4"/>
  <c r="CL171" i="4"/>
  <c r="CN171" i="4"/>
  <c r="CP171" i="4"/>
  <c r="CQ171" i="4"/>
  <c r="C172" i="4"/>
  <c r="D172" i="4"/>
  <c r="E172" i="4"/>
  <c r="F172" i="4"/>
  <c r="N172" i="4"/>
  <c r="O172" i="4"/>
  <c r="P172" i="4"/>
  <c r="Q172" i="4"/>
  <c r="R172" i="4"/>
  <c r="S172" i="4"/>
  <c r="T172" i="4"/>
  <c r="U172" i="4"/>
  <c r="V172" i="4"/>
  <c r="W172" i="4"/>
  <c r="X172" i="4"/>
  <c r="AB172" i="4"/>
  <c r="AC172" i="4"/>
  <c r="AD172" i="4"/>
  <c r="AE172" i="4"/>
  <c r="AF172" i="4"/>
  <c r="AG172" i="4"/>
  <c r="AH172" i="4"/>
  <c r="AI172" i="4"/>
  <c r="AJ172" i="4"/>
  <c r="AT172" i="4"/>
  <c r="AU172" i="4"/>
  <c r="AV172" i="4"/>
  <c r="BB172" i="4"/>
  <c r="BC172" i="4"/>
  <c r="BD172" i="4"/>
  <c r="BE172" i="4"/>
  <c r="BF172" i="4"/>
  <c r="BG172" i="4"/>
  <c r="BH172" i="4"/>
  <c r="BI172" i="4"/>
  <c r="BJ172" i="4"/>
  <c r="BL172" i="4"/>
  <c r="BM172" i="4"/>
  <c r="BN172" i="4"/>
  <c r="BO172" i="4"/>
  <c r="BT172" i="4"/>
  <c r="BU172" i="4"/>
  <c r="BV172" i="4"/>
  <c r="BW172" i="4"/>
  <c r="BX172" i="4"/>
  <c r="BY172" i="4"/>
  <c r="BZ172" i="4"/>
  <c r="CA172" i="4"/>
  <c r="CB172" i="4"/>
  <c r="CC172" i="4"/>
  <c r="CD172" i="4"/>
  <c r="CE172" i="4"/>
  <c r="CG172" i="4"/>
  <c r="CJ172" i="4"/>
  <c r="CK172" i="4"/>
  <c r="CL172" i="4"/>
  <c r="CN172" i="4"/>
  <c r="CP172" i="4"/>
  <c r="CQ172" i="4"/>
  <c r="C173" i="4"/>
  <c r="D173" i="4"/>
  <c r="E173" i="4"/>
  <c r="F173" i="4"/>
  <c r="N173" i="4"/>
  <c r="O173" i="4"/>
  <c r="P173" i="4"/>
  <c r="Q173" i="4"/>
  <c r="R173" i="4"/>
  <c r="S173" i="4"/>
  <c r="T173" i="4"/>
  <c r="U173" i="4"/>
  <c r="V173" i="4"/>
  <c r="W173" i="4"/>
  <c r="X173" i="4"/>
  <c r="AB173" i="4"/>
  <c r="AC173" i="4"/>
  <c r="AD173" i="4"/>
  <c r="AE173" i="4"/>
  <c r="AF173" i="4"/>
  <c r="AG173" i="4"/>
  <c r="AH173" i="4"/>
  <c r="AI173" i="4"/>
  <c r="AJ173" i="4"/>
  <c r="AT173" i="4"/>
  <c r="AU173" i="4"/>
  <c r="AV173" i="4"/>
  <c r="BB173" i="4"/>
  <c r="BC173" i="4"/>
  <c r="BD173" i="4"/>
  <c r="BE173" i="4"/>
  <c r="BF173" i="4"/>
  <c r="BG173" i="4"/>
  <c r="BH173" i="4"/>
  <c r="BI173" i="4"/>
  <c r="BJ173" i="4"/>
  <c r="BL173" i="4"/>
  <c r="BM173" i="4"/>
  <c r="BN173" i="4"/>
  <c r="BO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G173" i="4"/>
  <c r="CJ173" i="4"/>
  <c r="CK173" i="4"/>
  <c r="CL173" i="4"/>
  <c r="CN173" i="4"/>
  <c r="CP173" i="4"/>
  <c r="CQ173" i="4"/>
  <c r="C174" i="4"/>
  <c r="D174" i="4"/>
  <c r="E174" i="4"/>
  <c r="F174" i="4"/>
  <c r="N174" i="4"/>
  <c r="O174" i="4"/>
  <c r="P174" i="4"/>
  <c r="Q174" i="4"/>
  <c r="R174" i="4"/>
  <c r="S174" i="4"/>
  <c r="T174" i="4"/>
  <c r="U174" i="4"/>
  <c r="V174" i="4"/>
  <c r="W174" i="4"/>
  <c r="X174" i="4"/>
  <c r="AB174" i="4"/>
  <c r="AC174" i="4"/>
  <c r="AD174" i="4"/>
  <c r="AE174" i="4"/>
  <c r="AF174" i="4"/>
  <c r="AG174" i="4"/>
  <c r="AH174" i="4"/>
  <c r="AI174" i="4"/>
  <c r="AJ174" i="4"/>
  <c r="AT174" i="4"/>
  <c r="AU174" i="4"/>
  <c r="AV174" i="4"/>
  <c r="BB174" i="4"/>
  <c r="BC174" i="4"/>
  <c r="BD174" i="4"/>
  <c r="BE174" i="4"/>
  <c r="BF174" i="4"/>
  <c r="BG174" i="4"/>
  <c r="BH174" i="4"/>
  <c r="BI174" i="4"/>
  <c r="BJ174" i="4"/>
  <c r="BL174" i="4"/>
  <c r="BM174" i="4"/>
  <c r="BN174" i="4"/>
  <c r="BO174" i="4"/>
  <c r="BT174" i="4"/>
  <c r="BU174" i="4"/>
  <c r="BV174" i="4"/>
  <c r="BW174" i="4"/>
  <c r="BX174" i="4"/>
  <c r="BY174" i="4"/>
  <c r="BZ174" i="4"/>
  <c r="CA174" i="4"/>
  <c r="CB174" i="4"/>
  <c r="CC174" i="4"/>
  <c r="CD174" i="4"/>
  <c r="CE174" i="4"/>
  <c r="CG174" i="4"/>
  <c r="CJ174" i="4"/>
  <c r="CK174" i="4"/>
  <c r="CL174" i="4"/>
  <c r="CN174" i="4"/>
  <c r="CP174" i="4"/>
  <c r="CQ174" i="4"/>
  <c r="C175" i="4"/>
  <c r="D175" i="4"/>
  <c r="E175" i="4"/>
  <c r="F175" i="4"/>
  <c r="N175" i="4"/>
  <c r="O175" i="4"/>
  <c r="P175" i="4"/>
  <c r="Q175" i="4"/>
  <c r="R175" i="4"/>
  <c r="S175" i="4"/>
  <c r="T175" i="4"/>
  <c r="U175" i="4"/>
  <c r="V175" i="4"/>
  <c r="W175" i="4"/>
  <c r="X175" i="4"/>
  <c r="AB175" i="4"/>
  <c r="AC175" i="4"/>
  <c r="AD175" i="4"/>
  <c r="AE175" i="4"/>
  <c r="AF175" i="4"/>
  <c r="AG175" i="4"/>
  <c r="AH175" i="4"/>
  <c r="AI175" i="4"/>
  <c r="AJ175" i="4"/>
  <c r="AT175" i="4"/>
  <c r="AU175" i="4"/>
  <c r="AV175" i="4"/>
  <c r="BB175" i="4"/>
  <c r="BC175" i="4"/>
  <c r="BD175" i="4"/>
  <c r="BE175" i="4"/>
  <c r="BF175" i="4"/>
  <c r="BG175" i="4"/>
  <c r="BH175" i="4"/>
  <c r="BI175" i="4"/>
  <c r="BJ175" i="4"/>
  <c r="BL175" i="4"/>
  <c r="BM175" i="4"/>
  <c r="BN175" i="4"/>
  <c r="BO175" i="4"/>
  <c r="BT175" i="4"/>
  <c r="BU175" i="4"/>
  <c r="BV175" i="4"/>
  <c r="BW175" i="4"/>
  <c r="BX175" i="4"/>
  <c r="BY175" i="4"/>
  <c r="BZ175" i="4"/>
  <c r="CA175" i="4"/>
  <c r="CB175" i="4"/>
  <c r="CC175" i="4"/>
  <c r="CD175" i="4"/>
  <c r="CE175" i="4"/>
  <c r="CG175" i="4"/>
  <c r="CJ175" i="4"/>
  <c r="CK175" i="4"/>
  <c r="CL175" i="4"/>
  <c r="CN175" i="4"/>
  <c r="CP175" i="4"/>
  <c r="CQ175" i="4"/>
  <c r="C176" i="4"/>
  <c r="D176" i="4"/>
  <c r="E176" i="4"/>
  <c r="F176" i="4"/>
  <c r="N176" i="4"/>
  <c r="O176" i="4"/>
  <c r="P176" i="4"/>
  <c r="Q176" i="4"/>
  <c r="R176" i="4"/>
  <c r="S176" i="4"/>
  <c r="T176" i="4"/>
  <c r="U176" i="4"/>
  <c r="V176" i="4"/>
  <c r="W176" i="4"/>
  <c r="X176" i="4"/>
  <c r="AB176" i="4"/>
  <c r="AC176" i="4"/>
  <c r="AD176" i="4"/>
  <c r="AE176" i="4"/>
  <c r="AF176" i="4"/>
  <c r="AG176" i="4"/>
  <c r="AH176" i="4"/>
  <c r="AI176" i="4"/>
  <c r="AJ176" i="4"/>
  <c r="AT176" i="4"/>
  <c r="AU176" i="4"/>
  <c r="AV176" i="4"/>
  <c r="BB176" i="4"/>
  <c r="BC176" i="4"/>
  <c r="BD176" i="4"/>
  <c r="BE176" i="4"/>
  <c r="BF176" i="4"/>
  <c r="BG176" i="4"/>
  <c r="BH176" i="4"/>
  <c r="BI176" i="4"/>
  <c r="BJ176" i="4"/>
  <c r="BL176" i="4"/>
  <c r="BM176" i="4"/>
  <c r="BN176" i="4"/>
  <c r="BO176" i="4"/>
  <c r="BT176" i="4"/>
  <c r="BU176" i="4"/>
  <c r="BV176" i="4"/>
  <c r="BW176" i="4"/>
  <c r="BX176" i="4"/>
  <c r="BY176" i="4"/>
  <c r="BZ176" i="4"/>
  <c r="CA176" i="4"/>
  <c r="CB176" i="4"/>
  <c r="CC176" i="4"/>
  <c r="CD176" i="4"/>
  <c r="CE176" i="4"/>
  <c r="CG176" i="4"/>
  <c r="CJ176" i="4"/>
  <c r="CK176" i="4"/>
  <c r="CL176" i="4"/>
  <c r="CN176" i="4"/>
  <c r="CP176" i="4"/>
  <c r="CQ176" i="4"/>
  <c r="C177" i="4"/>
  <c r="D177" i="4"/>
  <c r="E177" i="4"/>
  <c r="F177" i="4"/>
  <c r="N177" i="4"/>
  <c r="O177" i="4"/>
  <c r="P177" i="4"/>
  <c r="Q177" i="4"/>
  <c r="R177" i="4"/>
  <c r="S177" i="4"/>
  <c r="T177" i="4"/>
  <c r="U177" i="4"/>
  <c r="V177" i="4"/>
  <c r="W177" i="4"/>
  <c r="X177" i="4"/>
  <c r="AB177" i="4"/>
  <c r="AC177" i="4"/>
  <c r="AD177" i="4"/>
  <c r="AE177" i="4"/>
  <c r="AF177" i="4"/>
  <c r="AG177" i="4"/>
  <c r="AH177" i="4"/>
  <c r="AI177" i="4"/>
  <c r="AJ177" i="4"/>
  <c r="AT177" i="4"/>
  <c r="AU177" i="4"/>
  <c r="AV177" i="4"/>
  <c r="BB177" i="4"/>
  <c r="BC177" i="4"/>
  <c r="BD177" i="4"/>
  <c r="BE177" i="4"/>
  <c r="BF177" i="4"/>
  <c r="BG177" i="4"/>
  <c r="BH177" i="4"/>
  <c r="BI177" i="4"/>
  <c r="BJ177" i="4"/>
  <c r="BL177" i="4"/>
  <c r="BM177" i="4"/>
  <c r="BN177" i="4"/>
  <c r="BO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G177" i="4"/>
  <c r="CJ177" i="4"/>
  <c r="CK177" i="4"/>
  <c r="CL177" i="4"/>
  <c r="CN177" i="4"/>
  <c r="CP177" i="4"/>
  <c r="CQ177" i="4"/>
  <c r="C178" i="4"/>
  <c r="D178" i="4"/>
  <c r="E178" i="4"/>
  <c r="F178" i="4"/>
  <c r="N178" i="4"/>
  <c r="O178" i="4"/>
  <c r="P178" i="4"/>
  <c r="Q178" i="4"/>
  <c r="R178" i="4"/>
  <c r="S178" i="4"/>
  <c r="T178" i="4"/>
  <c r="U178" i="4"/>
  <c r="V178" i="4"/>
  <c r="W178" i="4"/>
  <c r="X178" i="4"/>
  <c r="AB178" i="4"/>
  <c r="AC178" i="4"/>
  <c r="AD178" i="4"/>
  <c r="AE178" i="4"/>
  <c r="AF178" i="4"/>
  <c r="AG178" i="4"/>
  <c r="AH178" i="4"/>
  <c r="AI178" i="4"/>
  <c r="AJ178" i="4"/>
  <c r="AT178" i="4"/>
  <c r="AU178" i="4"/>
  <c r="AV178" i="4"/>
  <c r="BB178" i="4"/>
  <c r="BC178" i="4"/>
  <c r="BD178" i="4"/>
  <c r="BE178" i="4"/>
  <c r="BF178" i="4"/>
  <c r="BG178" i="4"/>
  <c r="BH178" i="4"/>
  <c r="BI178" i="4"/>
  <c r="BJ178" i="4"/>
  <c r="BL178" i="4"/>
  <c r="BM178" i="4"/>
  <c r="BN178" i="4"/>
  <c r="BO178" i="4"/>
  <c r="BT178" i="4"/>
  <c r="BU178" i="4"/>
  <c r="BV178" i="4"/>
  <c r="BW178" i="4"/>
  <c r="BX178" i="4"/>
  <c r="BY178" i="4"/>
  <c r="BZ178" i="4"/>
  <c r="CA178" i="4"/>
  <c r="CB178" i="4"/>
  <c r="CC178" i="4"/>
  <c r="CD178" i="4"/>
  <c r="CE178" i="4"/>
  <c r="CG178" i="4"/>
  <c r="CJ178" i="4"/>
  <c r="CK178" i="4"/>
  <c r="CL178" i="4"/>
  <c r="CN178" i="4"/>
  <c r="CP178" i="4"/>
  <c r="CQ178" i="4"/>
  <c r="C179" i="4"/>
  <c r="D179" i="4"/>
  <c r="E179" i="4"/>
  <c r="F179" i="4"/>
  <c r="N179" i="4"/>
  <c r="O179" i="4"/>
  <c r="P179" i="4"/>
  <c r="Q179" i="4"/>
  <c r="R179" i="4"/>
  <c r="S179" i="4"/>
  <c r="T179" i="4"/>
  <c r="U179" i="4"/>
  <c r="V179" i="4"/>
  <c r="W179" i="4"/>
  <c r="X179" i="4"/>
  <c r="AB179" i="4"/>
  <c r="AC179" i="4"/>
  <c r="AD179" i="4"/>
  <c r="AE179" i="4"/>
  <c r="AF179" i="4"/>
  <c r="AG179" i="4"/>
  <c r="AH179" i="4"/>
  <c r="AI179" i="4"/>
  <c r="AJ179" i="4"/>
  <c r="AT179" i="4"/>
  <c r="AU179" i="4"/>
  <c r="AV179" i="4"/>
  <c r="BB179" i="4"/>
  <c r="BC179" i="4"/>
  <c r="BD179" i="4"/>
  <c r="BE179" i="4"/>
  <c r="BF179" i="4"/>
  <c r="BG179" i="4"/>
  <c r="BH179" i="4"/>
  <c r="BI179" i="4"/>
  <c r="BJ179" i="4"/>
  <c r="BL179" i="4"/>
  <c r="BM179" i="4"/>
  <c r="BN179" i="4"/>
  <c r="BO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G179" i="4"/>
  <c r="CJ179" i="4"/>
  <c r="CK179" i="4"/>
  <c r="CL179" i="4"/>
  <c r="CN179" i="4"/>
  <c r="CP179" i="4"/>
  <c r="CQ179" i="4"/>
  <c r="C180" i="4"/>
  <c r="D180" i="4"/>
  <c r="E180" i="4"/>
  <c r="F180" i="4"/>
  <c r="N180" i="4"/>
  <c r="O180" i="4"/>
  <c r="P180" i="4"/>
  <c r="Q180" i="4"/>
  <c r="R180" i="4"/>
  <c r="S180" i="4"/>
  <c r="T180" i="4"/>
  <c r="U180" i="4"/>
  <c r="V180" i="4"/>
  <c r="W180" i="4"/>
  <c r="X180" i="4"/>
  <c r="AB180" i="4"/>
  <c r="AC180" i="4"/>
  <c r="AD180" i="4"/>
  <c r="AE180" i="4"/>
  <c r="AF180" i="4"/>
  <c r="AG180" i="4"/>
  <c r="AH180" i="4"/>
  <c r="AI180" i="4"/>
  <c r="AJ180" i="4"/>
  <c r="AT180" i="4"/>
  <c r="AU180" i="4"/>
  <c r="AV180" i="4"/>
  <c r="BB180" i="4"/>
  <c r="BC180" i="4"/>
  <c r="BD180" i="4"/>
  <c r="BE180" i="4"/>
  <c r="BF180" i="4"/>
  <c r="BG180" i="4"/>
  <c r="BH180" i="4"/>
  <c r="BI180" i="4"/>
  <c r="BJ180" i="4"/>
  <c r="BL180" i="4"/>
  <c r="BM180" i="4"/>
  <c r="BN180" i="4"/>
  <c r="BO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G180" i="4"/>
  <c r="CJ180" i="4"/>
  <c r="CK180" i="4"/>
  <c r="CL180" i="4"/>
  <c r="CN180" i="4"/>
  <c r="CP180" i="4"/>
  <c r="CQ180" i="4"/>
  <c r="C181" i="4"/>
  <c r="D181" i="4"/>
  <c r="E181" i="4"/>
  <c r="F181" i="4"/>
  <c r="N181" i="4"/>
  <c r="O181" i="4"/>
  <c r="P181" i="4"/>
  <c r="Q181" i="4"/>
  <c r="R181" i="4"/>
  <c r="S181" i="4"/>
  <c r="T181" i="4"/>
  <c r="U181" i="4"/>
  <c r="V181" i="4"/>
  <c r="W181" i="4"/>
  <c r="X181" i="4"/>
  <c r="AB181" i="4"/>
  <c r="AC181" i="4"/>
  <c r="AD181" i="4"/>
  <c r="AE181" i="4"/>
  <c r="AF181" i="4"/>
  <c r="AG181" i="4"/>
  <c r="AH181" i="4"/>
  <c r="AI181" i="4"/>
  <c r="AJ181" i="4"/>
  <c r="AT181" i="4"/>
  <c r="AU181" i="4"/>
  <c r="AV181" i="4"/>
  <c r="BB181" i="4"/>
  <c r="BC181" i="4"/>
  <c r="BD181" i="4"/>
  <c r="BE181" i="4"/>
  <c r="BF181" i="4"/>
  <c r="BG181" i="4"/>
  <c r="BH181" i="4"/>
  <c r="BI181" i="4"/>
  <c r="BJ181" i="4"/>
  <c r="BL181" i="4"/>
  <c r="BM181" i="4"/>
  <c r="BN181" i="4"/>
  <c r="BO181" i="4"/>
  <c r="BT181" i="4"/>
  <c r="BU181" i="4"/>
  <c r="BV181" i="4"/>
  <c r="BW181" i="4"/>
  <c r="BX181" i="4"/>
  <c r="BY181" i="4"/>
  <c r="BZ181" i="4"/>
  <c r="CA181" i="4"/>
  <c r="CB181" i="4"/>
  <c r="CC181" i="4"/>
  <c r="CD181" i="4"/>
  <c r="CE181" i="4"/>
  <c r="CG181" i="4"/>
  <c r="CJ181" i="4"/>
  <c r="CK181" i="4"/>
  <c r="CL181" i="4"/>
  <c r="CN181" i="4"/>
  <c r="CP181" i="4"/>
  <c r="CQ181" i="4"/>
  <c r="C182" i="4"/>
  <c r="D182" i="4"/>
  <c r="E182" i="4"/>
  <c r="F182" i="4"/>
  <c r="N182" i="4"/>
  <c r="O182" i="4"/>
  <c r="P182" i="4"/>
  <c r="Q182" i="4"/>
  <c r="R182" i="4"/>
  <c r="S182" i="4"/>
  <c r="T182" i="4"/>
  <c r="U182" i="4"/>
  <c r="V182" i="4"/>
  <c r="W182" i="4"/>
  <c r="X182" i="4"/>
  <c r="AB182" i="4"/>
  <c r="AC182" i="4"/>
  <c r="AD182" i="4"/>
  <c r="AE182" i="4"/>
  <c r="AF182" i="4"/>
  <c r="AG182" i="4"/>
  <c r="AH182" i="4"/>
  <c r="AI182" i="4"/>
  <c r="AJ182" i="4"/>
  <c r="AT182" i="4"/>
  <c r="AU182" i="4"/>
  <c r="AV182" i="4"/>
  <c r="BB182" i="4"/>
  <c r="BC182" i="4"/>
  <c r="BD182" i="4"/>
  <c r="BE182" i="4"/>
  <c r="BF182" i="4"/>
  <c r="BG182" i="4"/>
  <c r="BH182" i="4"/>
  <c r="BI182" i="4"/>
  <c r="BJ182" i="4"/>
  <c r="BL182" i="4"/>
  <c r="BM182" i="4"/>
  <c r="BN182" i="4"/>
  <c r="BO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G182" i="4"/>
  <c r="CJ182" i="4"/>
  <c r="CK182" i="4"/>
  <c r="CL182" i="4"/>
  <c r="CN182" i="4"/>
  <c r="CP182" i="4"/>
  <c r="CQ182" i="4"/>
  <c r="C183" i="4"/>
  <c r="D183" i="4"/>
  <c r="E183" i="4"/>
  <c r="F183" i="4"/>
  <c r="N183" i="4"/>
  <c r="O183" i="4"/>
  <c r="P183" i="4"/>
  <c r="Q183" i="4"/>
  <c r="R183" i="4"/>
  <c r="S183" i="4"/>
  <c r="T183" i="4"/>
  <c r="U183" i="4"/>
  <c r="V183" i="4"/>
  <c r="W183" i="4"/>
  <c r="X183" i="4"/>
  <c r="AB183" i="4"/>
  <c r="AC183" i="4"/>
  <c r="AD183" i="4"/>
  <c r="AE183" i="4"/>
  <c r="AF183" i="4"/>
  <c r="AG183" i="4"/>
  <c r="AH183" i="4"/>
  <c r="AI183" i="4"/>
  <c r="AJ183" i="4"/>
  <c r="AT183" i="4"/>
  <c r="AU183" i="4"/>
  <c r="AV183" i="4"/>
  <c r="BB183" i="4"/>
  <c r="BC183" i="4"/>
  <c r="BD183" i="4"/>
  <c r="BE183" i="4"/>
  <c r="BF183" i="4"/>
  <c r="BG183" i="4"/>
  <c r="BH183" i="4"/>
  <c r="BI183" i="4"/>
  <c r="BJ183" i="4"/>
  <c r="BL183" i="4"/>
  <c r="BM183" i="4"/>
  <c r="BN183" i="4"/>
  <c r="BO183" i="4"/>
  <c r="BT183" i="4"/>
  <c r="BU183" i="4"/>
  <c r="BV183" i="4"/>
  <c r="BW183" i="4"/>
  <c r="BX183" i="4"/>
  <c r="BY183" i="4"/>
  <c r="BZ183" i="4"/>
  <c r="CA183" i="4"/>
  <c r="CB183" i="4"/>
  <c r="CC183" i="4"/>
  <c r="CD183" i="4"/>
  <c r="CE183" i="4"/>
  <c r="CG183" i="4"/>
  <c r="CJ183" i="4"/>
  <c r="CK183" i="4"/>
  <c r="CL183" i="4"/>
  <c r="CN183" i="4"/>
  <c r="CP183" i="4"/>
  <c r="CQ183" i="4"/>
  <c r="C184" i="4"/>
  <c r="D184" i="4"/>
  <c r="E184" i="4"/>
  <c r="F184" i="4"/>
  <c r="N184" i="4"/>
  <c r="O184" i="4"/>
  <c r="P184" i="4"/>
  <c r="Q184" i="4"/>
  <c r="R184" i="4"/>
  <c r="S184" i="4"/>
  <c r="T184" i="4"/>
  <c r="U184" i="4"/>
  <c r="V184" i="4"/>
  <c r="W184" i="4"/>
  <c r="X184" i="4"/>
  <c r="AB184" i="4"/>
  <c r="AC184" i="4"/>
  <c r="AD184" i="4"/>
  <c r="AE184" i="4"/>
  <c r="AF184" i="4"/>
  <c r="AG184" i="4"/>
  <c r="AH184" i="4"/>
  <c r="AI184" i="4"/>
  <c r="AJ184" i="4"/>
  <c r="AT184" i="4"/>
  <c r="AU184" i="4"/>
  <c r="AV184" i="4"/>
  <c r="BB184" i="4"/>
  <c r="BC184" i="4"/>
  <c r="BD184" i="4"/>
  <c r="BE184" i="4"/>
  <c r="BF184" i="4"/>
  <c r="BG184" i="4"/>
  <c r="BH184" i="4"/>
  <c r="BI184" i="4"/>
  <c r="BJ184" i="4"/>
  <c r="BL184" i="4"/>
  <c r="BM184" i="4"/>
  <c r="BN184" i="4"/>
  <c r="BO184" i="4"/>
  <c r="BT184" i="4"/>
  <c r="BU184" i="4"/>
  <c r="BV184" i="4"/>
  <c r="BW184" i="4"/>
  <c r="BX184" i="4"/>
  <c r="BY184" i="4"/>
  <c r="BZ184" i="4"/>
  <c r="CA184" i="4"/>
  <c r="CB184" i="4"/>
  <c r="CC184" i="4"/>
  <c r="CD184" i="4"/>
  <c r="CE184" i="4"/>
  <c r="CG184" i="4"/>
  <c r="CJ184" i="4"/>
  <c r="CK184" i="4"/>
  <c r="CL184" i="4"/>
  <c r="CN184" i="4"/>
  <c r="CP184" i="4"/>
  <c r="CQ184" i="4"/>
  <c r="C185" i="4"/>
  <c r="D185" i="4"/>
  <c r="E185" i="4"/>
  <c r="F185" i="4"/>
  <c r="N185" i="4"/>
  <c r="O185" i="4"/>
  <c r="P185" i="4"/>
  <c r="Q185" i="4"/>
  <c r="R185" i="4"/>
  <c r="S185" i="4"/>
  <c r="T185" i="4"/>
  <c r="U185" i="4"/>
  <c r="V185" i="4"/>
  <c r="W185" i="4"/>
  <c r="X185" i="4"/>
  <c r="AB185" i="4"/>
  <c r="AC185" i="4"/>
  <c r="AD185" i="4"/>
  <c r="AE185" i="4"/>
  <c r="AF185" i="4"/>
  <c r="AG185" i="4"/>
  <c r="AH185" i="4"/>
  <c r="AI185" i="4"/>
  <c r="AJ185" i="4"/>
  <c r="AT185" i="4"/>
  <c r="AU185" i="4"/>
  <c r="AV185" i="4"/>
  <c r="BB185" i="4"/>
  <c r="BC185" i="4"/>
  <c r="BD185" i="4"/>
  <c r="BE185" i="4"/>
  <c r="BF185" i="4"/>
  <c r="BG185" i="4"/>
  <c r="BH185" i="4"/>
  <c r="BI185" i="4"/>
  <c r="BJ185" i="4"/>
  <c r="BL185" i="4"/>
  <c r="BM185" i="4"/>
  <c r="BN185" i="4"/>
  <c r="BO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G185" i="4"/>
  <c r="CJ185" i="4"/>
  <c r="CK185" i="4"/>
  <c r="CL185" i="4"/>
  <c r="CN185" i="4"/>
  <c r="CP185" i="4"/>
  <c r="CQ185" i="4"/>
  <c r="C186" i="4"/>
  <c r="D186" i="4"/>
  <c r="E186" i="4"/>
  <c r="F186" i="4"/>
  <c r="N186" i="4"/>
  <c r="O186" i="4"/>
  <c r="P186" i="4"/>
  <c r="Q186" i="4"/>
  <c r="R186" i="4"/>
  <c r="S186" i="4"/>
  <c r="T186" i="4"/>
  <c r="U186" i="4"/>
  <c r="V186" i="4"/>
  <c r="W186" i="4"/>
  <c r="X186" i="4"/>
  <c r="AB186" i="4"/>
  <c r="AC186" i="4"/>
  <c r="AD186" i="4"/>
  <c r="AE186" i="4"/>
  <c r="AF186" i="4"/>
  <c r="AG186" i="4"/>
  <c r="AH186" i="4"/>
  <c r="AI186" i="4"/>
  <c r="AJ186" i="4"/>
  <c r="AT186" i="4"/>
  <c r="AU186" i="4"/>
  <c r="AV186" i="4"/>
  <c r="BB186" i="4"/>
  <c r="BC186" i="4"/>
  <c r="BD186" i="4"/>
  <c r="BE186" i="4"/>
  <c r="BF186" i="4"/>
  <c r="BG186" i="4"/>
  <c r="BH186" i="4"/>
  <c r="BI186" i="4"/>
  <c r="BJ186" i="4"/>
  <c r="BL186" i="4"/>
  <c r="BM186" i="4"/>
  <c r="BN186" i="4"/>
  <c r="BO186" i="4"/>
  <c r="BT186" i="4"/>
  <c r="BU186" i="4"/>
  <c r="BV186" i="4"/>
  <c r="BW186" i="4"/>
  <c r="BX186" i="4"/>
  <c r="BY186" i="4"/>
  <c r="BZ186" i="4"/>
  <c r="CA186" i="4"/>
  <c r="CB186" i="4"/>
  <c r="CC186" i="4"/>
  <c r="CD186" i="4"/>
  <c r="CE186" i="4"/>
  <c r="CG186" i="4"/>
  <c r="CJ186" i="4"/>
  <c r="CK186" i="4"/>
  <c r="CL186" i="4"/>
  <c r="CN186" i="4"/>
  <c r="CP186" i="4"/>
  <c r="CQ186" i="4"/>
  <c r="C187" i="4"/>
  <c r="D187" i="4"/>
  <c r="E187" i="4"/>
  <c r="F187" i="4"/>
  <c r="N187" i="4"/>
  <c r="O187" i="4"/>
  <c r="P187" i="4"/>
  <c r="Q187" i="4"/>
  <c r="R187" i="4"/>
  <c r="S187" i="4"/>
  <c r="T187" i="4"/>
  <c r="U187" i="4"/>
  <c r="V187" i="4"/>
  <c r="W187" i="4"/>
  <c r="X187" i="4"/>
  <c r="AB187" i="4"/>
  <c r="AC187" i="4"/>
  <c r="AD187" i="4"/>
  <c r="AE187" i="4"/>
  <c r="AF187" i="4"/>
  <c r="AG187" i="4"/>
  <c r="AH187" i="4"/>
  <c r="AI187" i="4"/>
  <c r="AJ187" i="4"/>
  <c r="AT187" i="4"/>
  <c r="AU187" i="4"/>
  <c r="AV187" i="4"/>
  <c r="BB187" i="4"/>
  <c r="BC187" i="4"/>
  <c r="BD187" i="4"/>
  <c r="BE187" i="4"/>
  <c r="BF187" i="4"/>
  <c r="BG187" i="4"/>
  <c r="BH187" i="4"/>
  <c r="BI187" i="4"/>
  <c r="BJ187" i="4"/>
  <c r="BL187" i="4"/>
  <c r="BM187" i="4"/>
  <c r="BN187" i="4"/>
  <c r="BO187" i="4"/>
  <c r="BT187" i="4"/>
  <c r="BU187" i="4"/>
  <c r="BV187" i="4"/>
  <c r="BW187" i="4"/>
  <c r="BX187" i="4"/>
  <c r="BY187" i="4"/>
  <c r="BZ187" i="4"/>
  <c r="CA187" i="4"/>
  <c r="CB187" i="4"/>
  <c r="CC187" i="4"/>
  <c r="CD187" i="4"/>
  <c r="CE187" i="4"/>
  <c r="CG187" i="4"/>
  <c r="CJ187" i="4"/>
  <c r="CK187" i="4"/>
  <c r="CL187" i="4"/>
  <c r="CN187" i="4"/>
  <c r="CP187" i="4"/>
  <c r="CQ187" i="4"/>
  <c r="C188" i="4"/>
  <c r="D188" i="4"/>
  <c r="E188" i="4"/>
  <c r="F188" i="4"/>
  <c r="N188" i="4"/>
  <c r="O188" i="4"/>
  <c r="P188" i="4"/>
  <c r="Q188" i="4"/>
  <c r="R188" i="4"/>
  <c r="S188" i="4"/>
  <c r="T188" i="4"/>
  <c r="U188" i="4"/>
  <c r="V188" i="4"/>
  <c r="W188" i="4"/>
  <c r="X188" i="4"/>
  <c r="AB188" i="4"/>
  <c r="AC188" i="4"/>
  <c r="AD188" i="4"/>
  <c r="AE188" i="4"/>
  <c r="AF188" i="4"/>
  <c r="AG188" i="4"/>
  <c r="AH188" i="4"/>
  <c r="AI188" i="4"/>
  <c r="AJ188" i="4"/>
  <c r="AT188" i="4"/>
  <c r="AU188" i="4"/>
  <c r="AV188" i="4"/>
  <c r="BB188" i="4"/>
  <c r="BC188" i="4"/>
  <c r="BD188" i="4"/>
  <c r="BE188" i="4"/>
  <c r="BF188" i="4"/>
  <c r="BG188" i="4"/>
  <c r="BH188" i="4"/>
  <c r="BI188" i="4"/>
  <c r="BJ188" i="4"/>
  <c r="BL188" i="4"/>
  <c r="BM188" i="4"/>
  <c r="BN188" i="4"/>
  <c r="BO188" i="4"/>
  <c r="BT188" i="4"/>
  <c r="BU188" i="4"/>
  <c r="BV188" i="4"/>
  <c r="BW188" i="4"/>
  <c r="BX188" i="4"/>
  <c r="BY188" i="4"/>
  <c r="BZ188" i="4"/>
  <c r="CA188" i="4"/>
  <c r="CB188" i="4"/>
  <c r="CC188" i="4"/>
  <c r="CD188" i="4"/>
  <c r="CE188" i="4"/>
  <c r="CG188" i="4"/>
  <c r="CJ188" i="4"/>
  <c r="CK188" i="4"/>
  <c r="CL188" i="4"/>
  <c r="CN188" i="4"/>
  <c r="CP188" i="4"/>
  <c r="CQ188" i="4"/>
  <c r="C189" i="4"/>
  <c r="D189" i="4"/>
  <c r="E189" i="4"/>
  <c r="F189" i="4"/>
  <c r="N189" i="4"/>
  <c r="O189" i="4"/>
  <c r="P189" i="4"/>
  <c r="Q189" i="4"/>
  <c r="R189" i="4"/>
  <c r="S189" i="4"/>
  <c r="T189" i="4"/>
  <c r="U189" i="4"/>
  <c r="V189" i="4"/>
  <c r="W189" i="4"/>
  <c r="X189" i="4"/>
  <c r="AB189" i="4"/>
  <c r="AC189" i="4"/>
  <c r="AD189" i="4"/>
  <c r="AE189" i="4"/>
  <c r="AF189" i="4"/>
  <c r="AG189" i="4"/>
  <c r="AH189" i="4"/>
  <c r="AI189" i="4"/>
  <c r="AJ189" i="4"/>
  <c r="AT189" i="4"/>
  <c r="AU189" i="4"/>
  <c r="AV189" i="4"/>
  <c r="BB189" i="4"/>
  <c r="BC189" i="4"/>
  <c r="BD189" i="4"/>
  <c r="BE189" i="4"/>
  <c r="BF189" i="4"/>
  <c r="BG189" i="4"/>
  <c r="BH189" i="4"/>
  <c r="BI189" i="4"/>
  <c r="BJ189" i="4"/>
  <c r="BL189" i="4"/>
  <c r="BM189" i="4"/>
  <c r="BN189" i="4"/>
  <c r="BO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G189" i="4"/>
  <c r="CJ189" i="4"/>
  <c r="CK189" i="4"/>
  <c r="CL189" i="4"/>
  <c r="CN189" i="4"/>
  <c r="CP189" i="4"/>
  <c r="CQ189" i="4"/>
  <c r="C190" i="4"/>
  <c r="D190" i="4"/>
  <c r="E190" i="4"/>
  <c r="F190" i="4"/>
  <c r="N190" i="4"/>
  <c r="O190" i="4"/>
  <c r="P190" i="4"/>
  <c r="Q190" i="4"/>
  <c r="R190" i="4"/>
  <c r="S190" i="4"/>
  <c r="T190" i="4"/>
  <c r="U190" i="4"/>
  <c r="V190" i="4"/>
  <c r="W190" i="4"/>
  <c r="X190" i="4"/>
  <c r="AB190" i="4"/>
  <c r="AC190" i="4"/>
  <c r="AD190" i="4"/>
  <c r="AE190" i="4"/>
  <c r="AF190" i="4"/>
  <c r="AG190" i="4"/>
  <c r="AH190" i="4"/>
  <c r="AI190" i="4"/>
  <c r="AJ190" i="4"/>
  <c r="AT190" i="4"/>
  <c r="AU190" i="4"/>
  <c r="AV190" i="4"/>
  <c r="BB190" i="4"/>
  <c r="BC190" i="4"/>
  <c r="BD190" i="4"/>
  <c r="BE190" i="4"/>
  <c r="BF190" i="4"/>
  <c r="BG190" i="4"/>
  <c r="BH190" i="4"/>
  <c r="BI190" i="4"/>
  <c r="BJ190" i="4"/>
  <c r="BL190" i="4"/>
  <c r="BM190" i="4"/>
  <c r="BN190" i="4"/>
  <c r="BO190" i="4"/>
  <c r="BT190" i="4"/>
  <c r="BU190" i="4"/>
  <c r="BV190" i="4"/>
  <c r="BW190" i="4"/>
  <c r="BX190" i="4"/>
  <c r="BY190" i="4"/>
  <c r="BZ190" i="4"/>
  <c r="CA190" i="4"/>
  <c r="CB190" i="4"/>
  <c r="CC190" i="4"/>
  <c r="CD190" i="4"/>
  <c r="CE190" i="4"/>
  <c r="CG190" i="4"/>
  <c r="CJ190" i="4"/>
  <c r="CK190" i="4"/>
  <c r="CL190" i="4"/>
  <c r="CN190" i="4"/>
  <c r="CP190" i="4"/>
  <c r="CQ190" i="4"/>
  <c r="C191" i="4"/>
  <c r="D191" i="4"/>
  <c r="E191" i="4"/>
  <c r="F191" i="4"/>
  <c r="N191" i="4"/>
  <c r="O191" i="4"/>
  <c r="P191" i="4"/>
  <c r="Q191" i="4"/>
  <c r="R191" i="4"/>
  <c r="S191" i="4"/>
  <c r="T191" i="4"/>
  <c r="U191" i="4"/>
  <c r="V191" i="4"/>
  <c r="W191" i="4"/>
  <c r="X191" i="4"/>
  <c r="AB191" i="4"/>
  <c r="AC191" i="4"/>
  <c r="AD191" i="4"/>
  <c r="AE191" i="4"/>
  <c r="AF191" i="4"/>
  <c r="AG191" i="4"/>
  <c r="AH191" i="4"/>
  <c r="AI191" i="4"/>
  <c r="AJ191" i="4"/>
  <c r="AT191" i="4"/>
  <c r="AU191" i="4"/>
  <c r="AV191" i="4"/>
  <c r="BB191" i="4"/>
  <c r="BC191" i="4"/>
  <c r="BD191" i="4"/>
  <c r="BE191" i="4"/>
  <c r="BF191" i="4"/>
  <c r="BG191" i="4"/>
  <c r="BH191" i="4"/>
  <c r="BI191" i="4"/>
  <c r="BJ191" i="4"/>
  <c r="BL191" i="4"/>
  <c r="BM191" i="4"/>
  <c r="BN191" i="4"/>
  <c r="BO191" i="4"/>
  <c r="BT191" i="4"/>
  <c r="BU191" i="4"/>
  <c r="BV191" i="4"/>
  <c r="BW191" i="4"/>
  <c r="BX191" i="4"/>
  <c r="BY191" i="4"/>
  <c r="BZ191" i="4"/>
  <c r="CA191" i="4"/>
  <c r="CB191" i="4"/>
  <c r="CC191" i="4"/>
  <c r="CD191" i="4"/>
  <c r="CE191" i="4"/>
  <c r="CG191" i="4"/>
  <c r="CJ191" i="4"/>
  <c r="CK191" i="4"/>
  <c r="CL191" i="4"/>
  <c r="CN191" i="4"/>
  <c r="CP191" i="4"/>
  <c r="CQ191" i="4"/>
  <c r="C192" i="4"/>
  <c r="D192" i="4"/>
  <c r="E192" i="4"/>
  <c r="F192" i="4"/>
  <c r="N192" i="4"/>
  <c r="O192" i="4"/>
  <c r="P192" i="4"/>
  <c r="Q192" i="4"/>
  <c r="R192" i="4"/>
  <c r="S192" i="4"/>
  <c r="T192" i="4"/>
  <c r="U192" i="4"/>
  <c r="V192" i="4"/>
  <c r="W192" i="4"/>
  <c r="X192" i="4"/>
  <c r="AB192" i="4"/>
  <c r="AC192" i="4"/>
  <c r="AD192" i="4"/>
  <c r="AE192" i="4"/>
  <c r="AF192" i="4"/>
  <c r="AG192" i="4"/>
  <c r="AH192" i="4"/>
  <c r="AI192" i="4"/>
  <c r="AJ192" i="4"/>
  <c r="AT192" i="4"/>
  <c r="AU192" i="4"/>
  <c r="AV192" i="4"/>
  <c r="BB192" i="4"/>
  <c r="BC192" i="4"/>
  <c r="BD192" i="4"/>
  <c r="BE192" i="4"/>
  <c r="BF192" i="4"/>
  <c r="BG192" i="4"/>
  <c r="BH192" i="4"/>
  <c r="BI192" i="4"/>
  <c r="BJ192" i="4"/>
  <c r="BL192" i="4"/>
  <c r="BM192" i="4"/>
  <c r="BN192" i="4"/>
  <c r="BO192" i="4"/>
  <c r="BT192" i="4"/>
  <c r="BU192" i="4"/>
  <c r="BV192" i="4"/>
  <c r="BW192" i="4"/>
  <c r="BX192" i="4"/>
  <c r="BY192" i="4"/>
  <c r="BZ192" i="4"/>
  <c r="CA192" i="4"/>
  <c r="CB192" i="4"/>
  <c r="CC192" i="4"/>
  <c r="CD192" i="4"/>
  <c r="CE192" i="4"/>
  <c r="CG192" i="4"/>
  <c r="CJ192" i="4"/>
  <c r="CK192" i="4"/>
  <c r="CL192" i="4"/>
  <c r="CN192" i="4"/>
  <c r="CP192" i="4"/>
  <c r="CQ192" i="4"/>
  <c r="C193" i="4"/>
  <c r="D193" i="4"/>
  <c r="E193" i="4"/>
  <c r="F193" i="4"/>
  <c r="N193" i="4"/>
  <c r="O193" i="4"/>
  <c r="P193" i="4"/>
  <c r="Q193" i="4"/>
  <c r="R193" i="4"/>
  <c r="S193" i="4"/>
  <c r="T193" i="4"/>
  <c r="U193" i="4"/>
  <c r="V193" i="4"/>
  <c r="W193" i="4"/>
  <c r="X193" i="4"/>
  <c r="AB193" i="4"/>
  <c r="AC193" i="4"/>
  <c r="AD193" i="4"/>
  <c r="AE193" i="4"/>
  <c r="AF193" i="4"/>
  <c r="AG193" i="4"/>
  <c r="AH193" i="4"/>
  <c r="AI193" i="4"/>
  <c r="AJ193" i="4"/>
  <c r="AT193" i="4"/>
  <c r="AU193" i="4"/>
  <c r="AV193" i="4"/>
  <c r="BB193" i="4"/>
  <c r="BC193" i="4"/>
  <c r="BD193" i="4"/>
  <c r="BE193" i="4"/>
  <c r="BF193" i="4"/>
  <c r="BG193" i="4"/>
  <c r="BH193" i="4"/>
  <c r="BI193" i="4"/>
  <c r="BJ193" i="4"/>
  <c r="BL193" i="4"/>
  <c r="BM193" i="4"/>
  <c r="BN193" i="4"/>
  <c r="BO193" i="4"/>
  <c r="BT193" i="4"/>
  <c r="BU193" i="4"/>
  <c r="BV193" i="4"/>
  <c r="BW193" i="4"/>
  <c r="BX193" i="4"/>
  <c r="BY193" i="4"/>
  <c r="BZ193" i="4"/>
  <c r="CA193" i="4"/>
  <c r="CB193" i="4"/>
  <c r="CC193" i="4"/>
  <c r="CD193" i="4"/>
  <c r="CE193" i="4"/>
  <c r="CG193" i="4"/>
  <c r="CJ193" i="4"/>
  <c r="CK193" i="4"/>
  <c r="CL193" i="4"/>
  <c r="CN193" i="4"/>
  <c r="CP193" i="4"/>
  <c r="CQ193" i="4"/>
  <c r="C194" i="4"/>
  <c r="D194" i="4"/>
  <c r="E194" i="4"/>
  <c r="F194" i="4"/>
  <c r="N194" i="4"/>
  <c r="O194" i="4"/>
  <c r="P194" i="4"/>
  <c r="Q194" i="4"/>
  <c r="R194" i="4"/>
  <c r="S194" i="4"/>
  <c r="T194" i="4"/>
  <c r="U194" i="4"/>
  <c r="V194" i="4"/>
  <c r="W194" i="4"/>
  <c r="X194" i="4"/>
  <c r="AB194" i="4"/>
  <c r="AC194" i="4"/>
  <c r="AD194" i="4"/>
  <c r="AE194" i="4"/>
  <c r="AF194" i="4"/>
  <c r="AG194" i="4"/>
  <c r="AH194" i="4"/>
  <c r="AI194" i="4"/>
  <c r="AJ194" i="4"/>
  <c r="AT194" i="4"/>
  <c r="AU194" i="4"/>
  <c r="AV194" i="4"/>
  <c r="BB194" i="4"/>
  <c r="BC194" i="4"/>
  <c r="BD194" i="4"/>
  <c r="BE194" i="4"/>
  <c r="BF194" i="4"/>
  <c r="BG194" i="4"/>
  <c r="BH194" i="4"/>
  <c r="BI194" i="4"/>
  <c r="BJ194" i="4"/>
  <c r="BL194" i="4"/>
  <c r="BM194" i="4"/>
  <c r="BN194" i="4"/>
  <c r="BO194" i="4"/>
  <c r="BT194" i="4"/>
  <c r="BU194" i="4"/>
  <c r="BV194" i="4"/>
  <c r="BW194" i="4"/>
  <c r="BX194" i="4"/>
  <c r="BY194" i="4"/>
  <c r="BZ194" i="4"/>
  <c r="CA194" i="4"/>
  <c r="CB194" i="4"/>
  <c r="CC194" i="4"/>
  <c r="CD194" i="4"/>
  <c r="CE194" i="4"/>
  <c r="CG194" i="4"/>
  <c r="CJ194" i="4"/>
  <c r="CK194" i="4"/>
  <c r="CL194" i="4"/>
  <c r="CN194" i="4"/>
  <c r="CP194" i="4"/>
  <c r="CQ194" i="4"/>
  <c r="C195" i="4"/>
  <c r="D195" i="4"/>
  <c r="E195" i="4"/>
  <c r="F195" i="4"/>
  <c r="N195" i="4"/>
  <c r="O195" i="4"/>
  <c r="P195" i="4"/>
  <c r="Q195" i="4"/>
  <c r="R195" i="4"/>
  <c r="S195" i="4"/>
  <c r="T195" i="4"/>
  <c r="U195" i="4"/>
  <c r="V195" i="4"/>
  <c r="W195" i="4"/>
  <c r="X195" i="4"/>
  <c r="AB195" i="4"/>
  <c r="AC195" i="4"/>
  <c r="AD195" i="4"/>
  <c r="AE195" i="4"/>
  <c r="AF195" i="4"/>
  <c r="AG195" i="4"/>
  <c r="AH195" i="4"/>
  <c r="AI195" i="4"/>
  <c r="AJ195" i="4"/>
  <c r="AT195" i="4"/>
  <c r="AU195" i="4"/>
  <c r="AV195" i="4"/>
  <c r="BB195" i="4"/>
  <c r="BC195" i="4"/>
  <c r="BD195" i="4"/>
  <c r="BE195" i="4"/>
  <c r="BF195" i="4"/>
  <c r="BG195" i="4"/>
  <c r="BH195" i="4"/>
  <c r="BI195" i="4"/>
  <c r="BJ195" i="4"/>
  <c r="BL195" i="4"/>
  <c r="BM195" i="4"/>
  <c r="BN195" i="4"/>
  <c r="BO195" i="4"/>
  <c r="BT195" i="4"/>
  <c r="BU195" i="4"/>
  <c r="BV195" i="4"/>
  <c r="BW195" i="4"/>
  <c r="BX195" i="4"/>
  <c r="BY195" i="4"/>
  <c r="BZ195" i="4"/>
  <c r="CA195" i="4"/>
  <c r="CB195" i="4"/>
  <c r="CC195" i="4"/>
  <c r="CD195" i="4"/>
  <c r="CE195" i="4"/>
  <c r="CG195" i="4"/>
  <c r="CJ195" i="4"/>
  <c r="CK195" i="4"/>
  <c r="CL195" i="4"/>
  <c r="CN195" i="4"/>
  <c r="CP195" i="4"/>
  <c r="CQ195" i="4"/>
  <c r="C196" i="4"/>
  <c r="D196" i="4"/>
  <c r="E196" i="4"/>
  <c r="F196" i="4"/>
  <c r="N196" i="4"/>
  <c r="O196" i="4"/>
  <c r="P196" i="4"/>
  <c r="Q196" i="4"/>
  <c r="R196" i="4"/>
  <c r="S196" i="4"/>
  <c r="T196" i="4"/>
  <c r="U196" i="4"/>
  <c r="V196" i="4"/>
  <c r="W196" i="4"/>
  <c r="X196" i="4"/>
  <c r="AB196" i="4"/>
  <c r="AC196" i="4"/>
  <c r="AD196" i="4"/>
  <c r="AE196" i="4"/>
  <c r="AF196" i="4"/>
  <c r="AG196" i="4"/>
  <c r="AH196" i="4"/>
  <c r="AI196" i="4"/>
  <c r="AJ196" i="4"/>
  <c r="AT196" i="4"/>
  <c r="AU196" i="4"/>
  <c r="AV196" i="4"/>
  <c r="BB196" i="4"/>
  <c r="BC196" i="4"/>
  <c r="BD196" i="4"/>
  <c r="BE196" i="4"/>
  <c r="BF196" i="4"/>
  <c r="BG196" i="4"/>
  <c r="BH196" i="4"/>
  <c r="BI196" i="4"/>
  <c r="BJ196" i="4"/>
  <c r="BL196" i="4"/>
  <c r="BM196" i="4"/>
  <c r="BN196" i="4"/>
  <c r="BO196" i="4"/>
  <c r="BT196" i="4"/>
  <c r="BU196" i="4"/>
  <c r="BV196" i="4"/>
  <c r="BW196" i="4"/>
  <c r="BX196" i="4"/>
  <c r="BY196" i="4"/>
  <c r="BZ196" i="4"/>
  <c r="CA196" i="4"/>
  <c r="CB196" i="4"/>
  <c r="CC196" i="4"/>
  <c r="CD196" i="4"/>
  <c r="CE196" i="4"/>
  <c r="CG196" i="4"/>
  <c r="CJ196" i="4"/>
  <c r="CK196" i="4"/>
  <c r="CL196" i="4"/>
  <c r="CN196" i="4"/>
  <c r="CP196" i="4"/>
  <c r="CQ196" i="4"/>
  <c r="C197" i="4"/>
  <c r="D197" i="4"/>
  <c r="E197" i="4"/>
  <c r="F197" i="4"/>
  <c r="N197" i="4"/>
  <c r="O197" i="4"/>
  <c r="P197" i="4"/>
  <c r="Q197" i="4"/>
  <c r="R197" i="4"/>
  <c r="S197" i="4"/>
  <c r="T197" i="4"/>
  <c r="U197" i="4"/>
  <c r="V197" i="4"/>
  <c r="W197" i="4"/>
  <c r="X197" i="4"/>
  <c r="AB197" i="4"/>
  <c r="AC197" i="4"/>
  <c r="AD197" i="4"/>
  <c r="AE197" i="4"/>
  <c r="AF197" i="4"/>
  <c r="AG197" i="4"/>
  <c r="AH197" i="4"/>
  <c r="AI197" i="4"/>
  <c r="AJ197" i="4"/>
  <c r="AT197" i="4"/>
  <c r="AU197" i="4"/>
  <c r="AV197" i="4"/>
  <c r="BB197" i="4"/>
  <c r="BC197" i="4"/>
  <c r="BD197" i="4"/>
  <c r="BE197" i="4"/>
  <c r="BF197" i="4"/>
  <c r="BG197" i="4"/>
  <c r="BH197" i="4"/>
  <c r="BI197" i="4"/>
  <c r="BJ197" i="4"/>
  <c r="BL197" i="4"/>
  <c r="BM197" i="4"/>
  <c r="BN197" i="4"/>
  <c r="BO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G197" i="4"/>
  <c r="CJ197" i="4"/>
  <c r="CK197" i="4"/>
  <c r="CL197" i="4"/>
  <c r="CN197" i="4"/>
  <c r="CP197" i="4"/>
  <c r="CQ197" i="4"/>
  <c r="C198" i="4"/>
  <c r="D198" i="4"/>
  <c r="E198" i="4"/>
  <c r="F198" i="4"/>
  <c r="N198" i="4"/>
  <c r="O198" i="4"/>
  <c r="P198" i="4"/>
  <c r="Q198" i="4"/>
  <c r="R198" i="4"/>
  <c r="S198" i="4"/>
  <c r="T198" i="4"/>
  <c r="U198" i="4"/>
  <c r="V198" i="4"/>
  <c r="W198" i="4"/>
  <c r="X198" i="4"/>
  <c r="AB198" i="4"/>
  <c r="AC198" i="4"/>
  <c r="AD198" i="4"/>
  <c r="AE198" i="4"/>
  <c r="AF198" i="4"/>
  <c r="AG198" i="4"/>
  <c r="AH198" i="4"/>
  <c r="AI198" i="4"/>
  <c r="AJ198" i="4"/>
  <c r="AT198" i="4"/>
  <c r="AU198" i="4"/>
  <c r="AV198" i="4"/>
  <c r="BB198" i="4"/>
  <c r="BC198" i="4"/>
  <c r="BD198" i="4"/>
  <c r="BE198" i="4"/>
  <c r="BF198" i="4"/>
  <c r="BG198" i="4"/>
  <c r="BH198" i="4"/>
  <c r="BI198" i="4"/>
  <c r="BJ198" i="4"/>
  <c r="BL198" i="4"/>
  <c r="BM198" i="4"/>
  <c r="BN198" i="4"/>
  <c r="BO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G198" i="4"/>
  <c r="CJ198" i="4"/>
  <c r="CK198" i="4"/>
  <c r="CL198" i="4"/>
  <c r="CN198" i="4"/>
  <c r="CP198" i="4"/>
  <c r="CQ198" i="4"/>
  <c r="C199" i="4"/>
  <c r="D199" i="4"/>
  <c r="E199" i="4"/>
  <c r="F199" i="4"/>
  <c r="N199" i="4"/>
  <c r="O199" i="4"/>
  <c r="P199" i="4"/>
  <c r="Q199" i="4"/>
  <c r="R199" i="4"/>
  <c r="S199" i="4"/>
  <c r="T199" i="4"/>
  <c r="U199" i="4"/>
  <c r="V199" i="4"/>
  <c r="W199" i="4"/>
  <c r="X199" i="4"/>
  <c r="AB199" i="4"/>
  <c r="AC199" i="4"/>
  <c r="AD199" i="4"/>
  <c r="AE199" i="4"/>
  <c r="AF199" i="4"/>
  <c r="AG199" i="4"/>
  <c r="AH199" i="4"/>
  <c r="AI199" i="4"/>
  <c r="AJ199" i="4"/>
  <c r="AT199" i="4"/>
  <c r="AU199" i="4"/>
  <c r="AV199" i="4"/>
  <c r="BB199" i="4"/>
  <c r="BC199" i="4"/>
  <c r="BD199" i="4"/>
  <c r="BE199" i="4"/>
  <c r="BF199" i="4"/>
  <c r="BG199" i="4"/>
  <c r="BH199" i="4"/>
  <c r="BI199" i="4"/>
  <c r="BJ199" i="4"/>
  <c r="BL199" i="4"/>
  <c r="BM199" i="4"/>
  <c r="BN199" i="4"/>
  <c r="BO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G199" i="4"/>
  <c r="CJ199" i="4"/>
  <c r="CK199" i="4"/>
  <c r="CL199" i="4"/>
  <c r="CN199" i="4"/>
  <c r="CP199" i="4"/>
  <c r="CQ199" i="4"/>
  <c r="C200" i="4"/>
  <c r="D200" i="4"/>
  <c r="E200" i="4"/>
  <c r="F200" i="4"/>
  <c r="N200" i="4"/>
  <c r="O200" i="4"/>
  <c r="P200" i="4"/>
  <c r="Q200" i="4"/>
  <c r="R200" i="4"/>
  <c r="S200" i="4"/>
  <c r="T200" i="4"/>
  <c r="U200" i="4"/>
  <c r="V200" i="4"/>
  <c r="W200" i="4"/>
  <c r="X200" i="4"/>
  <c r="AB200" i="4"/>
  <c r="AC200" i="4"/>
  <c r="AD200" i="4"/>
  <c r="AE200" i="4"/>
  <c r="AF200" i="4"/>
  <c r="AG200" i="4"/>
  <c r="AH200" i="4"/>
  <c r="AI200" i="4"/>
  <c r="AJ200" i="4"/>
  <c r="AT200" i="4"/>
  <c r="AU200" i="4"/>
  <c r="AV200" i="4"/>
  <c r="BB200" i="4"/>
  <c r="BC200" i="4"/>
  <c r="BD200" i="4"/>
  <c r="BE200" i="4"/>
  <c r="BF200" i="4"/>
  <c r="BG200" i="4"/>
  <c r="BH200" i="4"/>
  <c r="BI200" i="4"/>
  <c r="BJ200" i="4"/>
  <c r="BL200" i="4"/>
  <c r="BM200" i="4"/>
  <c r="BN200" i="4"/>
  <c r="BO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G200" i="4"/>
  <c r="CJ200" i="4"/>
  <c r="CK200" i="4"/>
  <c r="CL200" i="4"/>
  <c r="CN200" i="4"/>
  <c r="CP200" i="4"/>
  <c r="CQ200" i="4"/>
  <c r="C201" i="4"/>
  <c r="D201" i="4"/>
  <c r="E201" i="4"/>
  <c r="F201" i="4"/>
  <c r="N201" i="4"/>
  <c r="O201" i="4"/>
  <c r="P201" i="4"/>
  <c r="Q201" i="4"/>
  <c r="R201" i="4"/>
  <c r="S201" i="4"/>
  <c r="T201" i="4"/>
  <c r="U201" i="4"/>
  <c r="V201" i="4"/>
  <c r="W201" i="4"/>
  <c r="X201" i="4"/>
  <c r="AB201" i="4"/>
  <c r="AC201" i="4"/>
  <c r="AD201" i="4"/>
  <c r="AE201" i="4"/>
  <c r="AF201" i="4"/>
  <c r="AG201" i="4"/>
  <c r="AH201" i="4"/>
  <c r="AI201" i="4"/>
  <c r="AJ201" i="4"/>
  <c r="AT201" i="4"/>
  <c r="AU201" i="4"/>
  <c r="AV201" i="4"/>
  <c r="BB201" i="4"/>
  <c r="BC201" i="4"/>
  <c r="BD201" i="4"/>
  <c r="BE201" i="4"/>
  <c r="BF201" i="4"/>
  <c r="BG201" i="4"/>
  <c r="BH201" i="4"/>
  <c r="BI201" i="4"/>
  <c r="BJ201" i="4"/>
  <c r="BL201" i="4"/>
  <c r="BM201" i="4"/>
  <c r="BN201" i="4"/>
  <c r="BO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G201" i="4"/>
  <c r="CJ201" i="4"/>
  <c r="CK201" i="4"/>
  <c r="CL201" i="4"/>
  <c r="CN201" i="4"/>
  <c r="CP201" i="4"/>
  <c r="CQ201" i="4"/>
  <c r="C202" i="4"/>
  <c r="D202" i="4"/>
  <c r="E202" i="4"/>
  <c r="F202" i="4"/>
  <c r="N202" i="4"/>
  <c r="O202" i="4"/>
  <c r="P202" i="4"/>
  <c r="Q202" i="4"/>
  <c r="R202" i="4"/>
  <c r="S202" i="4"/>
  <c r="T202" i="4"/>
  <c r="U202" i="4"/>
  <c r="V202" i="4"/>
  <c r="W202" i="4"/>
  <c r="X202" i="4"/>
  <c r="AB202" i="4"/>
  <c r="AC202" i="4"/>
  <c r="AD202" i="4"/>
  <c r="AE202" i="4"/>
  <c r="AF202" i="4"/>
  <c r="AG202" i="4"/>
  <c r="AH202" i="4"/>
  <c r="AI202" i="4"/>
  <c r="AJ202" i="4"/>
  <c r="AT202" i="4"/>
  <c r="AU202" i="4"/>
  <c r="AV202" i="4"/>
  <c r="BB202" i="4"/>
  <c r="BC202" i="4"/>
  <c r="BD202" i="4"/>
  <c r="BE202" i="4"/>
  <c r="BF202" i="4"/>
  <c r="BG202" i="4"/>
  <c r="BH202" i="4"/>
  <c r="BI202" i="4"/>
  <c r="BJ202" i="4"/>
  <c r="BL202" i="4"/>
  <c r="BM202" i="4"/>
  <c r="BN202" i="4"/>
  <c r="BO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G202" i="4"/>
  <c r="CJ202" i="4"/>
  <c r="CK202" i="4"/>
  <c r="CL202" i="4"/>
  <c r="CN202" i="4"/>
  <c r="CP202" i="4"/>
  <c r="CQ202" i="4"/>
  <c r="C203" i="4"/>
  <c r="D203" i="4"/>
  <c r="E203" i="4"/>
  <c r="F203" i="4"/>
  <c r="N203" i="4"/>
  <c r="O203" i="4"/>
  <c r="P203" i="4"/>
  <c r="Q203" i="4"/>
  <c r="R203" i="4"/>
  <c r="S203" i="4"/>
  <c r="T203" i="4"/>
  <c r="U203" i="4"/>
  <c r="V203" i="4"/>
  <c r="W203" i="4"/>
  <c r="X203" i="4"/>
  <c r="AB203" i="4"/>
  <c r="AC203" i="4"/>
  <c r="AD203" i="4"/>
  <c r="AE203" i="4"/>
  <c r="AF203" i="4"/>
  <c r="AG203" i="4"/>
  <c r="AH203" i="4"/>
  <c r="AI203" i="4"/>
  <c r="AJ203" i="4"/>
  <c r="AT203" i="4"/>
  <c r="AU203" i="4"/>
  <c r="AV203" i="4"/>
  <c r="BB203" i="4"/>
  <c r="BC203" i="4"/>
  <c r="BD203" i="4"/>
  <c r="BE203" i="4"/>
  <c r="BF203" i="4"/>
  <c r="BG203" i="4"/>
  <c r="BH203" i="4"/>
  <c r="BI203" i="4"/>
  <c r="BJ203" i="4"/>
  <c r="BL203" i="4"/>
  <c r="BM203" i="4"/>
  <c r="BN203" i="4"/>
  <c r="BO203" i="4"/>
  <c r="BT203" i="4"/>
  <c r="BU203" i="4"/>
  <c r="BV203" i="4"/>
  <c r="BW203" i="4"/>
  <c r="BX203" i="4"/>
  <c r="BY203" i="4"/>
  <c r="BZ203" i="4"/>
  <c r="CA203" i="4"/>
  <c r="CB203" i="4"/>
  <c r="CC203" i="4"/>
  <c r="CD203" i="4"/>
  <c r="CE203" i="4"/>
  <c r="CG203" i="4"/>
  <c r="CJ203" i="4"/>
  <c r="CK203" i="4"/>
  <c r="CL203" i="4"/>
  <c r="CN203" i="4"/>
  <c r="CP203" i="4"/>
  <c r="CQ203" i="4"/>
  <c r="C204" i="4"/>
  <c r="D204" i="4"/>
  <c r="E204" i="4"/>
  <c r="F204" i="4"/>
  <c r="N204" i="4"/>
  <c r="O204" i="4"/>
  <c r="P204" i="4"/>
  <c r="Q204" i="4"/>
  <c r="R204" i="4"/>
  <c r="S204" i="4"/>
  <c r="T204" i="4"/>
  <c r="U204" i="4"/>
  <c r="V204" i="4"/>
  <c r="W204" i="4"/>
  <c r="X204" i="4"/>
  <c r="AB204" i="4"/>
  <c r="AC204" i="4"/>
  <c r="AD204" i="4"/>
  <c r="AE204" i="4"/>
  <c r="AF204" i="4"/>
  <c r="AG204" i="4"/>
  <c r="AH204" i="4"/>
  <c r="AI204" i="4"/>
  <c r="AJ204" i="4"/>
  <c r="AT204" i="4"/>
  <c r="AU204" i="4"/>
  <c r="AV204" i="4"/>
  <c r="BB204" i="4"/>
  <c r="BC204" i="4"/>
  <c r="BD204" i="4"/>
  <c r="BE204" i="4"/>
  <c r="BF204" i="4"/>
  <c r="BG204" i="4"/>
  <c r="BH204" i="4"/>
  <c r="BI204" i="4"/>
  <c r="BJ204" i="4"/>
  <c r="BL204" i="4"/>
  <c r="BM204" i="4"/>
  <c r="BN204" i="4"/>
  <c r="BO204" i="4"/>
  <c r="BT204" i="4"/>
  <c r="BU204" i="4"/>
  <c r="BV204" i="4"/>
  <c r="BW204" i="4"/>
  <c r="BX204" i="4"/>
  <c r="BY204" i="4"/>
  <c r="BZ204" i="4"/>
  <c r="CA204" i="4"/>
  <c r="CB204" i="4"/>
  <c r="CC204" i="4"/>
  <c r="CD204" i="4"/>
  <c r="CE204" i="4"/>
  <c r="CG204" i="4"/>
  <c r="CJ204" i="4"/>
  <c r="CK204" i="4"/>
  <c r="CL204" i="4"/>
  <c r="CN204" i="4"/>
  <c r="CP204" i="4"/>
  <c r="CQ204" i="4"/>
  <c r="C205" i="4"/>
  <c r="D205" i="4"/>
  <c r="E205" i="4"/>
  <c r="F205" i="4"/>
  <c r="N205" i="4"/>
  <c r="O205" i="4"/>
  <c r="P205" i="4"/>
  <c r="Q205" i="4"/>
  <c r="R205" i="4"/>
  <c r="S205" i="4"/>
  <c r="T205" i="4"/>
  <c r="U205" i="4"/>
  <c r="V205" i="4"/>
  <c r="W205" i="4"/>
  <c r="X205" i="4"/>
  <c r="AB205" i="4"/>
  <c r="AC205" i="4"/>
  <c r="AD205" i="4"/>
  <c r="AE205" i="4"/>
  <c r="AF205" i="4"/>
  <c r="AG205" i="4"/>
  <c r="AH205" i="4"/>
  <c r="AI205" i="4"/>
  <c r="AJ205" i="4"/>
  <c r="AT205" i="4"/>
  <c r="AU205" i="4"/>
  <c r="AV205" i="4"/>
  <c r="BB205" i="4"/>
  <c r="BC205" i="4"/>
  <c r="BD205" i="4"/>
  <c r="BE205" i="4"/>
  <c r="BF205" i="4"/>
  <c r="BG205" i="4"/>
  <c r="BH205" i="4"/>
  <c r="BI205" i="4"/>
  <c r="BJ205" i="4"/>
  <c r="BL205" i="4"/>
  <c r="BM205" i="4"/>
  <c r="BN205" i="4"/>
  <c r="BO205" i="4"/>
  <c r="BT205" i="4"/>
  <c r="BU205" i="4"/>
  <c r="BV205" i="4"/>
  <c r="BW205" i="4"/>
  <c r="BX205" i="4"/>
  <c r="BY205" i="4"/>
  <c r="BZ205" i="4"/>
  <c r="CA205" i="4"/>
  <c r="CB205" i="4"/>
  <c r="CC205" i="4"/>
  <c r="CD205" i="4"/>
  <c r="CE205" i="4"/>
  <c r="CG205" i="4"/>
  <c r="CJ205" i="4"/>
  <c r="CK205" i="4"/>
  <c r="CL205" i="4"/>
  <c r="CN205" i="4"/>
  <c r="CP205" i="4"/>
  <c r="CQ205" i="4"/>
  <c r="C206" i="4"/>
  <c r="D206" i="4"/>
  <c r="E206" i="4"/>
  <c r="F206" i="4"/>
  <c r="N206" i="4"/>
  <c r="O206" i="4"/>
  <c r="P206" i="4"/>
  <c r="Q206" i="4"/>
  <c r="R206" i="4"/>
  <c r="S206" i="4"/>
  <c r="T206" i="4"/>
  <c r="U206" i="4"/>
  <c r="V206" i="4"/>
  <c r="W206" i="4"/>
  <c r="X206" i="4"/>
  <c r="AB206" i="4"/>
  <c r="AC206" i="4"/>
  <c r="AD206" i="4"/>
  <c r="AE206" i="4"/>
  <c r="AF206" i="4"/>
  <c r="AG206" i="4"/>
  <c r="AH206" i="4"/>
  <c r="AI206" i="4"/>
  <c r="AJ206" i="4"/>
  <c r="AT206" i="4"/>
  <c r="AU206" i="4"/>
  <c r="AV206" i="4"/>
  <c r="BB206" i="4"/>
  <c r="BC206" i="4"/>
  <c r="BD206" i="4"/>
  <c r="BE206" i="4"/>
  <c r="BF206" i="4"/>
  <c r="BG206" i="4"/>
  <c r="BH206" i="4"/>
  <c r="BI206" i="4"/>
  <c r="BJ206" i="4"/>
  <c r="BL206" i="4"/>
  <c r="BM206" i="4"/>
  <c r="BN206" i="4"/>
  <c r="BO206" i="4"/>
  <c r="BT206" i="4"/>
  <c r="BU206" i="4"/>
  <c r="BV206" i="4"/>
  <c r="BW206" i="4"/>
  <c r="BX206" i="4"/>
  <c r="BY206" i="4"/>
  <c r="BZ206" i="4"/>
  <c r="CA206" i="4"/>
  <c r="CB206" i="4"/>
  <c r="CC206" i="4"/>
  <c r="CD206" i="4"/>
  <c r="CE206" i="4"/>
  <c r="CG206" i="4"/>
  <c r="CJ206" i="4"/>
  <c r="CK206" i="4"/>
  <c r="CL206" i="4"/>
  <c r="CN206" i="4"/>
  <c r="CP206" i="4"/>
  <c r="CQ206" i="4"/>
  <c r="C207" i="4"/>
  <c r="D207" i="4"/>
  <c r="E207" i="4"/>
  <c r="F207" i="4"/>
  <c r="N207" i="4"/>
  <c r="O207" i="4"/>
  <c r="P207" i="4"/>
  <c r="Q207" i="4"/>
  <c r="R207" i="4"/>
  <c r="S207" i="4"/>
  <c r="T207" i="4"/>
  <c r="U207" i="4"/>
  <c r="V207" i="4"/>
  <c r="W207" i="4"/>
  <c r="X207" i="4"/>
  <c r="AB207" i="4"/>
  <c r="AC207" i="4"/>
  <c r="AD207" i="4"/>
  <c r="AE207" i="4"/>
  <c r="AF207" i="4"/>
  <c r="AG207" i="4"/>
  <c r="AH207" i="4"/>
  <c r="AI207" i="4"/>
  <c r="AJ207" i="4"/>
  <c r="AT207" i="4"/>
  <c r="AU207" i="4"/>
  <c r="AV207" i="4"/>
  <c r="BB207" i="4"/>
  <c r="BC207" i="4"/>
  <c r="BD207" i="4"/>
  <c r="BE207" i="4"/>
  <c r="BF207" i="4"/>
  <c r="BG207" i="4"/>
  <c r="BH207" i="4"/>
  <c r="BI207" i="4"/>
  <c r="BJ207" i="4"/>
  <c r="BL207" i="4"/>
  <c r="BM207" i="4"/>
  <c r="BN207" i="4"/>
  <c r="BO207" i="4"/>
  <c r="BT207" i="4"/>
  <c r="BU207" i="4"/>
  <c r="BV207" i="4"/>
  <c r="BW207" i="4"/>
  <c r="BX207" i="4"/>
  <c r="BY207" i="4"/>
  <c r="BZ207" i="4"/>
  <c r="CA207" i="4"/>
  <c r="CB207" i="4"/>
  <c r="CC207" i="4"/>
  <c r="CD207" i="4"/>
  <c r="CE207" i="4"/>
  <c r="CG207" i="4"/>
  <c r="CJ207" i="4"/>
  <c r="CK207" i="4"/>
  <c r="CL207" i="4"/>
  <c r="CN207" i="4"/>
  <c r="CP207" i="4"/>
  <c r="CQ207" i="4"/>
  <c r="C208" i="4"/>
  <c r="D208" i="4"/>
  <c r="E208" i="4"/>
  <c r="F208" i="4"/>
  <c r="N208" i="4"/>
  <c r="O208" i="4"/>
  <c r="P208" i="4"/>
  <c r="Q208" i="4"/>
  <c r="R208" i="4"/>
  <c r="S208" i="4"/>
  <c r="T208" i="4"/>
  <c r="U208" i="4"/>
  <c r="V208" i="4"/>
  <c r="W208" i="4"/>
  <c r="X208" i="4"/>
  <c r="AB208" i="4"/>
  <c r="AC208" i="4"/>
  <c r="AD208" i="4"/>
  <c r="AE208" i="4"/>
  <c r="AF208" i="4"/>
  <c r="AG208" i="4"/>
  <c r="AH208" i="4"/>
  <c r="AI208" i="4"/>
  <c r="AJ208" i="4"/>
  <c r="AT208" i="4"/>
  <c r="AU208" i="4"/>
  <c r="AV208" i="4"/>
  <c r="BB208" i="4"/>
  <c r="BC208" i="4"/>
  <c r="BD208" i="4"/>
  <c r="BE208" i="4"/>
  <c r="BF208" i="4"/>
  <c r="BG208" i="4"/>
  <c r="BH208" i="4"/>
  <c r="BI208" i="4"/>
  <c r="BJ208" i="4"/>
  <c r="BL208" i="4"/>
  <c r="BM208" i="4"/>
  <c r="BN208" i="4"/>
  <c r="BO208" i="4"/>
  <c r="BT208" i="4"/>
  <c r="BU208" i="4"/>
  <c r="BV208" i="4"/>
  <c r="BW208" i="4"/>
  <c r="BX208" i="4"/>
  <c r="BY208" i="4"/>
  <c r="BZ208" i="4"/>
  <c r="CA208" i="4"/>
  <c r="CB208" i="4"/>
  <c r="CC208" i="4"/>
  <c r="CD208" i="4"/>
  <c r="CE208" i="4"/>
  <c r="CG208" i="4"/>
  <c r="CJ208" i="4"/>
  <c r="CK208" i="4"/>
  <c r="CL208" i="4"/>
  <c r="CN208" i="4"/>
  <c r="CP208" i="4"/>
  <c r="CQ208" i="4"/>
  <c r="C209" i="4"/>
  <c r="D209" i="4"/>
  <c r="E209" i="4"/>
  <c r="F209" i="4"/>
  <c r="N209" i="4"/>
  <c r="O209" i="4"/>
  <c r="P209" i="4"/>
  <c r="Q209" i="4"/>
  <c r="R209" i="4"/>
  <c r="S209" i="4"/>
  <c r="T209" i="4"/>
  <c r="U209" i="4"/>
  <c r="V209" i="4"/>
  <c r="W209" i="4"/>
  <c r="X209" i="4"/>
  <c r="AB209" i="4"/>
  <c r="AC209" i="4"/>
  <c r="AD209" i="4"/>
  <c r="AE209" i="4"/>
  <c r="AF209" i="4"/>
  <c r="AG209" i="4"/>
  <c r="AH209" i="4"/>
  <c r="AI209" i="4"/>
  <c r="AJ209" i="4"/>
  <c r="AT209" i="4"/>
  <c r="AU209" i="4"/>
  <c r="AV209" i="4"/>
  <c r="BB209" i="4"/>
  <c r="BC209" i="4"/>
  <c r="BD209" i="4"/>
  <c r="BE209" i="4"/>
  <c r="BF209" i="4"/>
  <c r="BG209" i="4"/>
  <c r="BH209" i="4"/>
  <c r="BI209" i="4"/>
  <c r="BJ209" i="4"/>
  <c r="BL209" i="4"/>
  <c r="BM209" i="4"/>
  <c r="BN209" i="4"/>
  <c r="BO209" i="4"/>
  <c r="BT209" i="4"/>
  <c r="BU209" i="4"/>
  <c r="BV209" i="4"/>
  <c r="BW209" i="4"/>
  <c r="BX209" i="4"/>
  <c r="BY209" i="4"/>
  <c r="BZ209" i="4"/>
  <c r="CA209" i="4"/>
  <c r="CB209" i="4"/>
  <c r="CC209" i="4"/>
  <c r="CD209" i="4"/>
  <c r="CE209" i="4"/>
  <c r="CG209" i="4"/>
  <c r="CJ209" i="4"/>
  <c r="CK209" i="4"/>
  <c r="CL209" i="4"/>
  <c r="CN209" i="4"/>
  <c r="CP209" i="4"/>
  <c r="CQ209" i="4"/>
  <c r="C210" i="4"/>
  <c r="D210" i="4"/>
  <c r="E210" i="4"/>
  <c r="F210" i="4"/>
  <c r="N210" i="4"/>
  <c r="O210" i="4"/>
  <c r="P210" i="4"/>
  <c r="Q210" i="4"/>
  <c r="R210" i="4"/>
  <c r="S210" i="4"/>
  <c r="T210" i="4"/>
  <c r="U210" i="4"/>
  <c r="V210" i="4"/>
  <c r="W210" i="4"/>
  <c r="X210" i="4"/>
  <c r="AB210" i="4"/>
  <c r="AC210" i="4"/>
  <c r="AD210" i="4"/>
  <c r="AE210" i="4"/>
  <c r="AF210" i="4"/>
  <c r="AG210" i="4"/>
  <c r="AH210" i="4"/>
  <c r="AI210" i="4"/>
  <c r="AJ210" i="4"/>
  <c r="AT210" i="4"/>
  <c r="AU210" i="4"/>
  <c r="AV210" i="4"/>
  <c r="BB210" i="4"/>
  <c r="BC210" i="4"/>
  <c r="BD210" i="4"/>
  <c r="BE210" i="4"/>
  <c r="BF210" i="4"/>
  <c r="BG210" i="4"/>
  <c r="BH210" i="4"/>
  <c r="BI210" i="4"/>
  <c r="BJ210" i="4"/>
  <c r="BL210" i="4"/>
  <c r="BM210" i="4"/>
  <c r="BN210" i="4"/>
  <c r="BO210" i="4"/>
  <c r="BT210" i="4"/>
  <c r="BU210" i="4"/>
  <c r="BV210" i="4"/>
  <c r="BW210" i="4"/>
  <c r="BX210" i="4"/>
  <c r="BY210" i="4"/>
  <c r="BZ210" i="4"/>
  <c r="CA210" i="4"/>
  <c r="CB210" i="4"/>
  <c r="CC210" i="4"/>
  <c r="CD210" i="4"/>
  <c r="CE210" i="4"/>
  <c r="CG210" i="4"/>
  <c r="CJ210" i="4"/>
  <c r="CK210" i="4"/>
  <c r="CL210" i="4"/>
  <c r="CN210" i="4"/>
  <c r="CP210" i="4"/>
  <c r="CQ210" i="4"/>
  <c r="C211" i="4"/>
  <c r="D211" i="4"/>
  <c r="E211" i="4"/>
  <c r="F211" i="4"/>
  <c r="N211" i="4"/>
  <c r="O211" i="4"/>
  <c r="P211" i="4"/>
  <c r="Q211" i="4"/>
  <c r="R211" i="4"/>
  <c r="S211" i="4"/>
  <c r="T211" i="4"/>
  <c r="U211" i="4"/>
  <c r="V211" i="4"/>
  <c r="W211" i="4"/>
  <c r="X211" i="4"/>
  <c r="AB211" i="4"/>
  <c r="AC211" i="4"/>
  <c r="AD211" i="4"/>
  <c r="AE211" i="4"/>
  <c r="AF211" i="4"/>
  <c r="AG211" i="4"/>
  <c r="AH211" i="4"/>
  <c r="AI211" i="4"/>
  <c r="AJ211" i="4"/>
  <c r="AT211" i="4"/>
  <c r="AU211" i="4"/>
  <c r="AV211" i="4"/>
  <c r="BB211" i="4"/>
  <c r="BC211" i="4"/>
  <c r="BD211" i="4"/>
  <c r="BE211" i="4"/>
  <c r="BF211" i="4"/>
  <c r="BG211" i="4"/>
  <c r="BH211" i="4"/>
  <c r="BI211" i="4"/>
  <c r="BJ211" i="4"/>
  <c r="BL211" i="4"/>
  <c r="BM211" i="4"/>
  <c r="BN211" i="4"/>
  <c r="BO211" i="4"/>
  <c r="BT211" i="4"/>
  <c r="BU211" i="4"/>
  <c r="BV211" i="4"/>
  <c r="BW211" i="4"/>
  <c r="BX211" i="4"/>
  <c r="BY211" i="4"/>
  <c r="BZ211" i="4"/>
  <c r="CA211" i="4"/>
  <c r="CB211" i="4"/>
  <c r="CC211" i="4"/>
  <c r="CD211" i="4"/>
  <c r="CE211" i="4"/>
  <c r="CG211" i="4"/>
  <c r="CJ211" i="4"/>
  <c r="CK211" i="4"/>
  <c r="CL211" i="4"/>
  <c r="CN211" i="4"/>
  <c r="CP211" i="4"/>
  <c r="CQ211" i="4"/>
  <c r="C212" i="4"/>
  <c r="D212" i="4"/>
  <c r="E212" i="4"/>
  <c r="F212" i="4"/>
  <c r="N212" i="4"/>
  <c r="O212" i="4"/>
  <c r="P212" i="4"/>
  <c r="Q212" i="4"/>
  <c r="R212" i="4"/>
  <c r="S212" i="4"/>
  <c r="T212" i="4"/>
  <c r="U212" i="4"/>
  <c r="V212" i="4"/>
  <c r="W212" i="4"/>
  <c r="X212" i="4"/>
  <c r="AB212" i="4"/>
  <c r="AC212" i="4"/>
  <c r="AD212" i="4"/>
  <c r="AE212" i="4"/>
  <c r="AF212" i="4"/>
  <c r="AG212" i="4"/>
  <c r="AH212" i="4"/>
  <c r="AI212" i="4"/>
  <c r="AJ212" i="4"/>
  <c r="AT212" i="4"/>
  <c r="AU212" i="4"/>
  <c r="AV212" i="4"/>
  <c r="BB212" i="4"/>
  <c r="BC212" i="4"/>
  <c r="BD212" i="4"/>
  <c r="BE212" i="4"/>
  <c r="BF212" i="4"/>
  <c r="BG212" i="4"/>
  <c r="BH212" i="4"/>
  <c r="BI212" i="4"/>
  <c r="BJ212" i="4"/>
  <c r="BL212" i="4"/>
  <c r="BM212" i="4"/>
  <c r="BN212" i="4"/>
  <c r="BO212" i="4"/>
  <c r="BT212" i="4"/>
  <c r="BU212" i="4"/>
  <c r="BV212" i="4"/>
  <c r="BW212" i="4"/>
  <c r="BX212" i="4"/>
  <c r="BY212" i="4"/>
  <c r="BZ212" i="4"/>
  <c r="CA212" i="4"/>
  <c r="CB212" i="4"/>
  <c r="CC212" i="4"/>
  <c r="CD212" i="4"/>
  <c r="CE212" i="4"/>
  <c r="CG212" i="4"/>
  <c r="CJ212" i="4"/>
  <c r="CK212" i="4"/>
  <c r="CL212" i="4"/>
  <c r="CN212" i="4"/>
  <c r="CP212" i="4"/>
  <c r="CQ212" i="4"/>
  <c r="C213" i="4"/>
  <c r="D213" i="4"/>
  <c r="E213" i="4"/>
  <c r="F213" i="4"/>
  <c r="N213" i="4"/>
  <c r="O213" i="4"/>
  <c r="P213" i="4"/>
  <c r="Q213" i="4"/>
  <c r="R213" i="4"/>
  <c r="S213" i="4"/>
  <c r="T213" i="4"/>
  <c r="U213" i="4"/>
  <c r="V213" i="4"/>
  <c r="W213" i="4"/>
  <c r="X213" i="4"/>
  <c r="AB213" i="4"/>
  <c r="AC213" i="4"/>
  <c r="AD213" i="4"/>
  <c r="AE213" i="4"/>
  <c r="AF213" i="4"/>
  <c r="AG213" i="4"/>
  <c r="AH213" i="4"/>
  <c r="AI213" i="4"/>
  <c r="AJ213" i="4"/>
  <c r="AT213" i="4"/>
  <c r="AU213" i="4"/>
  <c r="AV213" i="4"/>
  <c r="BB213" i="4"/>
  <c r="BC213" i="4"/>
  <c r="BD213" i="4"/>
  <c r="BE213" i="4"/>
  <c r="BF213" i="4"/>
  <c r="BG213" i="4"/>
  <c r="BH213" i="4"/>
  <c r="BI213" i="4"/>
  <c r="BJ213" i="4"/>
  <c r="BL213" i="4"/>
  <c r="BM213" i="4"/>
  <c r="BN213" i="4"/>
  <c r="BO213" i="4"/>
  <c r="BT213" i="4"/>
  <c r="BU213" i="4"/>
  <c r="BV213" i="4"/>
  <c r="BW213" i="4"/>
  <c r="BX213" i="4"/>
  <c r="BY213" i="4"/>
  <c r="BZ213" i="4"/>
  <c r="CA213" i="4"/>
  <c r="CB213" i="4"/>
  <c r="CC213" i="4"/>
  <c r="CD213" i="4"/>
  <c r="CE213" i="4"/>
  <c r="CG213" i="4"/>
  <c r="CJ213" i="4"/>
  <c r="CK213" i="4"/>
  <c r="CL213" i="4"/>
  <c r="CN213" i="4"/>
  <c r="CP213" i="4"/>
  <c r="CQ213" i="4"/>
  <c r="C214" i="4"/>
  <c r="D214" i="4"/>
  <c r="E214" i="4"/>
  <c r="F214" i="4"/>
  <c r="N214" i="4"/>
  <c r="O214" i="4"/>
  <c r="P214" i="4"/>
  <c r="Q214" i="4"/>
  <c r="R214" i="4"/>
  <c r="S214" i="4"/>
  <c r="T214" i="4"/>
  <c r="U214" i="4"/>
  <c r="V214" i="4"/>
  <c r="W214" i="4"/>
  <c r="X214" i="4"/>
  <c r="AB214" i="4"/>
  <c r="AC214" i="4"/>
  <c r="AD214" i="4"/>
  <c r="AE214" i="4"/>
  <c r="AF214" i="4"/>
  <c r="AG214" i="4"/>
  <c r="AH214" i="4"/>
  <c r="AI214" i="4"/>
  <c r="AJ214" i="4"/>
  <c r="AT214" i="4"/>
  <c r="AU214" i="4"/>
  <c r="AV214" i="4"/>
  <c r="BB214" i="4"/>
  <c r="BC214" i="4"/>
  <c r="BD214" i="4"/>
  <c r="BE214" i="4"/>
  <c r="BF214" i="4"/>
  <c r="BG214" i="4"/>
  <c r="BH214" i="4"/>
  <c r="BI214" i="4"/>
  <c r="BJ214" i="4"/>
  <c r="BL214" i="4"/>
  <c r="BM214" i="4"/>
  <c r="BN214" i="4"/>
  <c r="BO214" i="4"/>
  <c r="BT214" i="4"/>
  <c r="BU214" i="4"/>
  <c r="BV214" i="4"/>
  <c r="BW214" i="4"/>
  <c r="BX214" i="4"/>
  <c r="BY214" i="4"/>
  <c r="BZ214" i="4"/>
  <c r="CA214" i="4"/>
  <c r="CB214" i="4"/>
  <c r="CC214" i="4"/>
  <c r="CD214" i="4"/>
  <c r="CE214" i="4"/>
  <c r="CG214" i="4"/>
  <c r="CJ214" i="4"/>
  <c r="CK214" i="4"/>
  <c r="CL214" i="4"/>
  <c r="CN214" i="4"/>
  <c r="CP214" i="4"/>
  <c r="CQ214" i="4"/>
  <c r="C215" i="4"/>
  <c r="D215" i="4"/>
  <c r="E215" i="4"/>
  <c r="F215" i="4"/>
  <c r="N215" i="4"/>
  <c r="O215" i="4"/>
  <c r="P215" i="4"/>
  <c r="Q215" i="4"/>
  <c r="R215" i="4"/>
  <c r="S215" i="4"/>
  <c r="T215" i="4"/>
  <c r="U215" i="4"/>
  <c r="V215" i="4"/>
  <c r="W215" i="4"/>
  <c r="X215" i="4"/>
  <c r="AB215" i="4"/>
  <c r="AC215" i="4"/>
  <c r="AD215" i="4"/>
  <c r="AE215" i="4"/>
  <c r="AF215" i="4"/>
  <c r="AG215" i="4"/>
  <c r="AH215" i="4"/>
  <c r="AI215" i="4"/>
  <c r="AJ215" i="4"/>
  <c r="AT215" i="4"/>
  <c r="AU215" i="4"/>
  <c r="AV215" i="4"/>
  <c r="BB215" i="4"/>
  <c r="BC215" i="4"/>
  <c r="BD215" i="4"/>
  <c r="BE215" i="4"/>
  <c r="BF215" i="4"/>
  <c r="BG215" i="4"/>
  <c r="BH215" i="4"/>
  <c r="BI215" i="4"/>
  <c r="BJ215" i="4"/>
  <c r="BL215" i="4"/>
  <c r="BM215" i="4"/>
  <c r="BN215" i="4"/>
  <c r="BO215" i="4"/>
  <c r="BT215" i="4"/>
  <c r="BU215" i="4"/>
  <c r="BV215" i="4"/>
  <c r="BW215" i="4"/>
  <c r="BX215" i="4"/>
  <c r="BY215" i="4"/>
  <c r="BZ215" i="4"/>
  <c r="CA215" i="4"/>
  <c r="CB215" i="4"/>
  <c r="CC215" i="4"/>
  <c r="CD215" i="4"/>
  <c r="CE215" i="4"/>
  <c r="CG215" i="4"/>
  <c r="CJ215" i="4"/>
  <c r="CK215" i="4"/>
  <c r="CL215" i="4"/>
  <c r="CN215" i="4"/>
  <c r="CP215" i="4"/>
  <c r="CQ215" i="4"/>
  <c r="C216" i="4"/>
  <c r="D216" i="4"/>
  <c r="E216" i="4"/>
  <c r="F216" i="4"/>
  <c r="N216" i="4"/>
  <c r="O216" i="4"/>
  <c r="P216" i="4"/>
  <c r="Q216" i="4"/>
  <c r="R216" i="4"/>
  <c r="S216" i="4"/>
  <c r="T216" i="4"/>
  <c r="U216" i="4"/>
  <c r="V216" i="4"/>
  <c r="W216" i="4"/>
  <c r="X216" i="4"/>
  <c r="AB216" i="4"/>
  <c r="AC216" i="4"/>
  <c r="AD216" i="4"/>
  <c r="AE216" i="4"/>
  <c r="AF216" i="4"/>
  <c r="AG216" i="4"/>
  <c r="AH216" i="4"/>
  <c r="AI216" i="4"/>
  <c r="AJ216" i="4"/>
  <c r="AT216" i="4"/>
  <c r="AU216" i="4"/>
  <c r="AV216" i="4"/>
  <c r="BB216" i="4"/>
  <c r="BC216" i="4"/>
  <c r="BD216" i="4"/>
  <c r="BE216" i="4"/>
  <c r="BF216" i="4"/>
  <c r="BG216" i="4"/>
  <c r="BH216" i="4"/>
  <c r="BI216" i="4"/>
  <c r="BJ216" i="4"/>
  <c r="BL216" i="4"/>
  <c r="BM216" i="4"/>
  <c r="BN216" i="4"/>
  <c r="BO216" i="4"/>
  <c r="BT216" i="4"/>
  <c r="BU216" i="4"/>
  <c r="BV216" i="4"/>
  <c r="BW216" i="4"/>
  <c r="BX216" i="4"/>
  <c r="BY216" i="4"/>
  <c r="BZ216" i="4"/>
  <c r="CA216" i="4"/>
  <c r="CB216" i="4"/>
  <c r="CC216" i="4"/>
  <c r="CD216" i="4"/>
  <c r="CE216" i="4"/>
  <c r="CG216" i="4"/>
  <c r="CJ216" i="4"/>
  <c r="CK216" i="4"/>
  <c r="CL216" i="4"/>
  <c r="CN216" i="4"/>
  <c r="CP216" i="4"/>
  <c r="CQ216" i="4"/>
  <c r="C217" i="4"/>
  <c r="D217" i="4"/>
  <c r="E217" i="4"/>
  <c r="F217" i="4"/>
  <c r="N217" i="4"/>
  <c r="O217" i="4"/>
  <c r="P217" i="4"/>
  <c r="Q217" i="4"/>
  <c r="R217" i="4"/>
  <c r="S217" i="4"/>
  <c r="T217" i="4"/>
  <c r="U217" i="4"/>
  <c r="V217" i="4"/>
  <c r="W217" i="4"/>
  <c r="X217" i="4"/>
  <c r="AB217" i="4"/>
  <c r="AC217" i="4"/>
  <c r="AD217" i="4"/>
  <c r="AE217" i="4"/>
  <c r="AF217" i="4"/>
  <c r="AG217" i="4"/>
  <c r="AH217" i="4"/>
  <c r="AI217" i="4"/>
  <c r="AJ217" i="4"/>
  <c r="AT217" i="4"/>
  <c r="AU217" i="4"/>
  <c r="AV217" i="4"/>
  <c r="BB217" i="4"/>
  <c r="BC217" i="4"/>
  <c r="BD217" i="4"/>
  <c r="BE217" i="4"/>
  <c r="BF217" i="4"/>
  <c r="BG217" i="4"/>
  <c r="BH217" i="4"/>
  <c r="BI217" i="4"/>
  <c r="BJ217" i="4"/>
  <c r="BL217" i="4"/>
  <c r="BM217" i="4"/>
  <c r="BN217" i="4"/>
  <c r="BO217" i="4"/>
  <c r="BT217" i="4"/>
  <c r="BU217" i="4"/>
  <c r="BV217" i="4"/>
  <c r="BW217" i="4"/>
  <c r="BX217" i="4"/>
  <c r="BY217" i="4"/>
  <c r="BZ217" i="4"/>
  <c r="CA217" i="4"/>
  <c r="CB217" i="4"/>
  <c r="CC217" i="4"/>
  <c r="CD217" i="4"/>
  <c r="CE217" i="4"/>
  <c r="CG217" i="4"/>
  <c r="CJ217" i="4"/>
  <c r="CK217" i="4"/>
  <c r="CL217" i="4"/>
  <c r="CN217" i="4"/>
  <c r="CP217" i="4"/>
  <c r="CQ217" i="4"/>
  <c r="C218" i="4"/>
  <c r="D218" i="4"/>
  <c r="E218" i="4"/>
  <c r="F218" i="4"/>
  <c r="N218" i="4"/>
  <c r="O218" i="4"/>
  <c r="P218" i="4"/>
  <c r="Q218" i="4"/>
  <c r="R218" i="4"/>
  <c r="S218" i="4"/>
  <c r="T218" i="4"/>
  <c r="U218" i="4"/>
  <c r="V218" i="4"/>
  <c r="W218" i="4"/>
  <c r="X218" i="4"/>
  <c r="AB218" i="4"/>
  <c r="AC218" i="4"/>
  <c r="AD218" i="4"/>
  <c r="AE218" i="4"/>
  <c r="AF218" i="4"/>
  <c r="AG218" i="4"/>
  <c r="AH218" i="4"/>
  <c r="AI218" i="4"/>
  <c r="AJ218" i="4"/>
  <c r="AT218" i="4"/>
  <c r="AU218" i="4"/>
  <c r="AV218" i="4"/>
  <c r="BB218" i="4"/>
  <c r="BC218" i="4"/>
  <c r="BD218" i="4"/>
  <c r="BE218" i="4"/>
  <c r="BF218" i="4"/>
  <c r="BG218" i="4"/>
  <c r="BH218" i="4"/>
  <c r="BI218" i="4"/>
  <c r="BJ218" i="4"/>
  <c r="BL218" i="4"/>
  <c r="BM218" i="4"/>
  <c r="BN218" i="4"/>
  <c r="BO218" i="4"/>
  <c r="BT218" i="4"/>
  <c r="BU218" i="4"/>
  <c r="BV218" i="4"/>
  <c r="BW218" i="4"/>
  <c r="BX218" i="4"/>
  <c r="BY218" i="4"/>
  <c r="BZ218" i="4"/>
  <c r="CA218" i="4"/>
  <c r="CB218" i="4"/>
  <c r="CC218" i="4"/>
  <c r="CD218" i="4"/>
  <c r="CE218" i="4"/>
  <c r="CG218" i="4"/>
  <c r="CJ218" i="4"/>
  <c r="CK218" i="4"/>
  <c r="CL218" i="4"/>
  <c r="CN218" i="4"/>
  <c r="CP218" i="4"/>
  <c r="CQ218" i="4"/>
  <c r="C219" i="4"/>
  <c r="D219" i="4"/>
  <c r="E219" i="4"/>
  <c r="F219" i="4"/>
  <c r="N219" i="4"/>
  <c r="O219" i="4"/>
  <c r="P219" i="4"/>
  <c r="Q219" i="4"/>
  <c r="R219" i="4"/>
  <c r="S219" i="4"/>
  <c r="T219" i="4"/>
  <c r="U219" i="4"/>
  <c r="V219" i="4"/>
  <c r="W219" i="4"/>
  <c r="X219" i="4"/>
  <c r="AB219" i="4"/>
  <c r="AC219" i="4"/>
  <c r="AD219" i="4"/>
  <c r="AE219" i="4"/>
  <c r="AF219" i="4"/>
  <c r="AG219" i="4"/>
  <c r="AH219" i="4"/>
  <c r="AI219" i="4"/>
  <c r="AJ219" i="4"/>
  <c r="AT219" i="4"/>
  <c r="AU219" i="4"/>
  <c r="AV219" i="4"/>
  <c r="BB219" i="4"/>
  <c r="BC219" i="4"/>
  <c r="BD219" i="4"/>
  <c r="BE219" i="4"/>
  <c r="BF219" i="4"/>
  <c r="BG219" i="4"/>
  <c r="BH219" i="4"/>
  <c r="BI219" i="4"/>
  <c r="BJ219" i="4"/>
  <c r="BL219" i="4"/>
  <c r="BM219" i="4"/>
  <c r="BN219" i="4"/>
  <c r="BO219" i="4"/>
  <c r="BT219" i="4"/>
  <c r="BU219" i="4"/>
  <c r="BV219" i="4"/>
  <c r="BW219" i="4"/>
  <c r="BX219" i="4"/>
  <c r="BY219" i="4"/>
  <c r="BZ219" i="4"/>
  <c r="CA219" i="4"/>
  <c r="CB219" i="4"/>
  <c r="CC219" i="4"/>
  <c r="CD219" i="4"/>
  <c r="CE219" i="4"/>
  <c r="CG219" i="4"/>
  <c r="CJ219" i="4"/>
  <c r="CK219" i="4"/>
  <c r="CL219" i="4"/>
  <c r="CN219" i="4"/>
  <c r="CP219" i="4"/>
  <c r="CQ219" i="4"/>
  <c r="C220" i="4"/>
  <c r="D220" i="4"/>
  <c r="E220" i="4"/>
  <c r="F220" i="4"/>
  <c r="N220" i="4"/>
  <c r="O220" i="4"/>
  <c r="P220" i="4"/>
  <c r="Q220" i="4"/>
  <c r="R220" i="4"/>
  <c r="S220" i="4"/>
  <c r="T220" i="4"/>
  <c r="U220" i="4"/>
  <c r="V220" i="4"/>
  <c r="W220" i="4"/>
  <c r="X220" i="4"/>
  <c r="AB220" i="4"/>
  <c r="AC220" i="4"/>
  <c r="AD220" i="4"/>
  <c r="AE220" i="4"/>
  <c r="AF220" i="4"/>
  <c r="AG220" i="4"/>
  <c r="AH220" i="4"/>
  <c r="AI220" i="4"/>
  <c r="AJ220" i="4"/>
  <c r="AT220" i="4"/>
  <c r="AU220" i="4"/>
  <c r="AV220" i="4"/>
  <c r="BB220" i="4"/>
  <c r="BC220" i="4"/>
  <c r="BD220" i="4"/>
  <c r="BE220" i="4"/>
  <c r="BF220" i="4"/>
  <c r="BG220" i="4"/>
  <c r="BH220" i="4"/>
  <c r="BI220" i="4"/>
  <c r="BJ220" i="4"/>
  <c r="BL220" i="4"/>
  <c r="BM220" i="4"/>
  <c r="BN220" i="4"/>
  <c r="BO220" i="4"/>
  <c r="BT220" i="4"/>
  <c r="BU220" i="4"/>
  <c r="BV220" i="4"/>
  <c r="BW220" i="4"/>
  <c r="BX220" i="4"/>
  <c r="BY220" i="4"/>
  <c r="BZ220" i="4"/>
  <c r="CA220" i="4"/>
  <c r="CB220" i="4"/>
  <c r="CC220" i="4"/>
  <c r="CD220" i="4"/>
  <c r="CE220" i="4"/>
  <c r="CG220" i="4"/>
  <c r="CJ220" i="4"/>
  <c r="CK220" i="4"/>
  <c r="CL220" i="4"/>
  <c r="CN220" i="4"/>
  <c r="CP220" i="4"/>
  <c r="CQ220" i="4"/>
  <c r="C221" i="4"/>
  <c r="D221" i="4"/>
  <c r="E221" i="4"/>
  <c r="F221" i="4"/>
  <c r="N221" i="4"/>
  <c r="O221" i="4"/>
  <c r="P221" i="4"/>
  <c r="Q221" i="4"/>
  <c r="R221" i="4"/>
  <c r="S221" i="4"/>
  <c r="T221" i="4"/>
  <c r="U221" i="4"/>
  <c r="V221" i="4"/>
  <c r="W221" i="4"/>
  <c r="X221" i="4"/>
  <c r="AB221" i="4"/>
  <c r="AC221" i="4"/>
  <c r="AD221" i="4"/>
  <c r="AE221" i="4"/>
  <c r="AF221" i="4"/>
  <c r="AG221" i="4"/>
  <c r="AH221" i="4"/>
  <c r="AI221" i="4"/>
  <c r="AJ221" i="4"/>
  <c r="AT221" i="4"/>
  <c r="AU221" i="4"/>
  <c r="AV221" i="4"/>
  <c r="BB221" i="4"/>
  <c r="BC221" i="4"/>
  <c r="BD221" i="4"/>
  <c r="BE221" i="4"/>
  <c r="BF221" i="4"/>
  <c r="BG221" i="4"/>
  <c r="BH221" i="4"/>
  <c r="BI221" i="4"/>
  <c r="BJ221" i="4"/>
  <c r="BL221" i="4"/>
  <c r="BM221" i="4"/>
  <c r="BN221" i="4"/>
  <c r="BO221" i="4"/>
  <c r="BT221" i="4"/>
  <c r="BU221" i="4"/>
  <c r="BV221" i="4"/>
  <c r="BW221" i="4"/>
  <c r="BX221" i="4"/>
  <c r="BY221" i="4"/>
  <c r="BZ221" i="4"/>
  <c r="CA221" i="4"/>
  <c r="CB221" i="4"/>
  <c r="CC221" i="4"/>
  <c r="CD221" i="4"/>
  <c r="CE221" i="4"/>
  <c r="CG221" i="4"/>
  <c r="CJ221" i="4"/>
  <c r="CK221" i="4"/>
  <c r="CL221" i="4"/>
  <c r="CN221" i="4"/>
  <c r="CP221" i="4"/>
  <c r="CQ221" i="4"/>
  <c r="C222" i="4"/>
  <c r="D222" i="4"/>
  <c r="E222" i="4"/>
  <c r="F222" i="4"/>
  <c r="N222" i="4"/>
  <c r="O222" i="4"/>
  <c r="P222" i="4"/>
  <c r="Q222" i="4"/>
  <c r="R222" i="4"/>
  <c r="S222" i="4"/>
  <c r="T222" i="4"/>
  <c r="U222" i="4"/>
  <c r="V222" i="4"/>
  <c r="W222" i="4"/>
  <c r="X222" i="4"/>
  <c r="AB222" i="4"/>
  <c r="AC222" i="4"/>
  <c r="AD222" i="4"/>
  <c r="AE222" i="4"/>
  <c r="AF222" i="4"/>
  <c r="AG222" i="4"/>
  <c r="AH222" i="4"/>
  <c r="AI222" i="4"/>
  <c r="AJ222" i="4"/>
  <c r="AT222" i="4"/>
  <c r="AU222" i="4"/>
  <c r="AV222" i="4"/>
  <c r="BB222" i="4"/>
  <c r="BC222" i="4"/>
  <c r="BD222" i="4"/>
  <c r="BE222" i="4"/>
  <c r="BF222" i="4"/>
  <c r="BG222" i="4"/>
  <c r="BH222" i="4"/>
  <c r="BI222" i="4"/>
  <c r="BJ222" i="4"/>
  <c r="BL222" i="4"/>
  <c r="BM222" i="4"/>
  <c r="BN222" i="4"/>
  <c r="BO222" i="4"/>
  <c r="BT222" i="4"/>
  <c r="BU222" i="4"/>
  <c r="BV222" i="4"/>
  <c r="BW222" i="4"/>
  <c r="BX222" i="4"/>
  <c r="BY222" i="4"/>
  <c r="BZ222" i="4"/>
  <c r="CA222" i="4"/>
  <c r="CB222" i="4"/>
  <c r="CC222" i="4"/>
  <c r="CD222" i="4"/>
  <c r="CE222" i="4"/>
  <c r="CG222" i="4"/>
  <c r="CJ222" i="4"/>
  <c r="CK222" i="4"/>
  <c r="CL222" i="4"/>
  <c r="CN222" i="4"/>
  <c r="CP222" i="4"/>
  <c r="CQ222" i="4"/>
  <c r="C223" i="4"/>
  <c r="D223" i="4"/>
  <c r="E223" i="4"/>
  <c r="F223" i="4"/>
  <c r="N223" i="4"/>
  <c r="O223" i="4"/>
  <c r="P223" i="4"/>
  <c r="Q223" i="4"/>
  <c r="R223" i="4"/>
  <c r="S223" i="4"/>
  <c r="T223" i="4"/>
  <c r="U223" i="4"/>
  <c r="V223" i="4"/>
  <c r="W223" i="4"/>
  <c r="X223" i="4"/>
  <c r="AB223" i="4"/>
  <c r="AC223" i="4"/>
  <c r="AD223" i="4"/>
  <c r="AE223" i="4"/>
  <c r="AF223" i="4"/>
  <c r="AG223" i="4"/>
  <c r="AH223" i="4"/>
  <c r="AI223" i="4"/>
  <c r="AJ223" i="4"/>
  <c r="AT223" i="4"/>
  <c r="AU223" i="4"/>
  <c r="AV223" i="4"/>
  <c r="BB223" i="4"/>
  <c r="BC223" i="4"/>
  <c r="BD223" i="4"/>
  <c r="BE223" i="4"/>
  <c r="BF223" i="4"/>
  <c r="BG223" i="4"/>
  <c r="BH223" i="4"/>
  <c r="BI223" i="4"/>
  <c r="BJ223" i="4"/>
  <c r="BL223" i="4"/>
  <c r="BM223" i="4"/>
  <c r="BN223" i="4"/>
  <c r="BO223" i="4"/>
  <c r="BT223" i="4"/>
  <c r="BU223" i="4"/>
  <c r="BV223" i="4"/>
  <c r="BW223" i="4"/>
  <c r="BX223" i="4"/>
  <c r="BY223" i="4"/>
  <c r="BZ223" i="4"/>
  <c r="CA223" i="4"/>
  <c r="CB223" i="4"/>
  <c r="CC223" i="4"/>
  <c r="CD223" i="4"/>
  <c r="CE223" i="4"/>
  <c r="CG223" i="4"/>
  <c r="CJ223" i="4"/>
  <c r="CK223" i="4"/>
  <c r="CL223" i="4"/>
  <c r="CN223" i="4"/>
  <c r="CP223" i="4"/>
  <c r="CQ223" i="4"/>
  <c r="C224" i="4"/>
  <c r="D224" i="4"/>
  <c r="E224" i="4"/>
  <c r="F224" i="4"/>
  <c r="N224" i="4"/>
  <c r="O224" i="4"/>
  <c r="P224" i="4"/>
  <c r="Q224" i="4"/>
  <c r="R224" i="4"/>
  <c r="S224" i="4"/>
  <c r="T224" i="4"/>
  <c r="U224" i="4"/>
  <c r="V224" i="4"/>
  <c r="W224" i="4"/>
  <c r="X224" i="4"/>
  <c r="AB224" i="4"/>
  <c r="AC224" i="4"/>
  <c r="AD224" i="4"/>
  <c r="AE224" i="4"/>
  <c r="AF224" i="4"/>
  <c r="AG224" i="4"/>
  <c r="AH224" i="4"/>
  <c r="AI224" i="4"/>
  <c r="AJ224" i="4"/>
  <c r="AT224" i="4"/>
  <c r="AU224" i="4"/>
  <c r="AV224" i="4"/>
  <c r="BB224" i="4"/>
  <c r="BC224" i="4"/>
  <c r="BD224" i="4"/>
  <c r="BE224" i="4"/>
  <c r="BF224" i="4"/>
  <c r="BG224" i="4"/>
  <c r="BH224" i="4"/>
  <c r="BI224" i="4"/>
  <c r="BJ224" i="4"/>
  <c r="BL224" i="4"/>
  <c r="BM224" i="4"/>
  <c r="BN224" i="4"/>
  <c r="BO224" i="4"/>
  <c r="BT224" i="4"/>
  <c r="BU224" i="4"/>
  <c r="BV224" i="4"/>
  <c r="BW224" i="4"/>
  <c r="BX224" i="4"/>
  <c r="BY224" i="4"/>
  <c r="BZ224" i="4"/>
  <c r="CA224" i="4"/>
  <c r="CB224" i="4"/>
  <c r="CC224" i="4"/>
  <c r="CD224" i="4"/>
  <c r="CE224" i="4"/>
  <c r="CG224" i="4"/>
  <c r="CJ224" i="4"/>
  <c r="CK224" i="4"/>
  <c r="CL224" i="4"/>
  <c r="CN224" i="4"/>
  <c r="CP224" i="4"/>
  <c r="CQ224" i="4"/>
  <c r="C225" i="4"/>
  <c r="D225" i="4"/>
  <c r="E225" i="4"/>
  <c r="F225" i="4"/>
  <c r="N225" i="4"/>
  <c r="O225" i="4"/>
  <c r="P225" i="4"/>
  <c r="Q225" i="4"/>
  <c r="R225" i="4"/>
  <c r="S225" i="4"/>
  <c r="T225" i="4"/>
  <c r="U225" i="4"/>
  <c r="V225" i="4"/>
  <c r="W225" i="4"/>
  <c r="X225" i="4"/>
  <c r="AB225" i="4"/>
  <c r="AC225" i="4"/>
  <c r="AD225" i="4"/>
  <c r="AE225" i="4"/>
  <c r="AF225" i="4"/>
  <c r="AG225" i="4"/>
  <c r="AH225" i="4"/>
  <c r="AI225" i="4"/>
  <c r="AJ225" i="4"/>
  <c r="AT225" i="4"/>
  <c r="AU225" i="4"/>
  <c r="AV225" i="4"/>
  <c r="BB225" i="4"/>
  <c r="BC225" i="4"/>
  <c r="BD225" i="4"/>
  <c r="BE225" i="4"/>
  <c r="BF225" i="4"/>
  <c r="BG225" i="4"/>
  <c r="BH225" i="4"/>
  <c r="BI225" i="4"/>
  <c r="BJ225" i="4"/>
  <c r="BL225" i="4"/>
  <c r="BM225" i="4"/>
  <c r="BN225" i="4"/>
  <c r="BO225" i="4"/>
  <c r="BT225" i="4"/>
  <c r="BU225" i="4"/>
  <c r="BV225" i="4"/>
  <c r="BW225" i="4"/>
  <c r="BX225" i="4"/>
  <c r="BY225" i="4"/>
  <c r="BZ225" i="4"/>
  <c r="CA225" i="4"/>
  <c r="CB225" i="4"/>
  <c r="CC225" i="4"/>
  <c r="CD225" i="4"/>
  <c r="CE225" i="4"/>
  <c r="CG225" i="4"/>
  <c r="CJ225" i="4"/>
  <c r="CK225" i="4"/>
  <c r="CL225" i="4"/>
  <c r="CN225" i="4"/>
  <c r="CP225" i="4"/>
  <c r="CQ225" i="4"/>
  <c r="C226" i="4"/>
  <c r="D226" i="4"/>
  <c r="E226" i="4"/>
  <c r="F226" i="4"/>
  <c r="N226" i="4"/>
  <c r="O226" i="4"/>
  <c r="P226" i="4"/>
  <c r="Q226" i="4"/>
  <c r="R226" i="4"/>
  <c r="S226" i="4"/>
  <c r="T226" i="4"/>
  <c r="U226" i="4"/>
  <c r="V226" i="4"/>
  <c r="W226" i="4"/>
  <c r="X226" i="4"/>
  <c r="AB226" i="4"/>
  <c r="AC226" i="4"/>
  <c r="AD226" i="4"/>
  <c r="AE226" i="4"/>
  <c r="AF226" i="4"/>
  <c r="AG226" i="4"/>
  <c r="AH226" i="4"/>
  <c r="AI226" i="4"/>
  <c r="AJ226" i="4"/>
  <c r="AT226" i="4"/>
  <c r="AU226" i="4"/>
  <c r="AV226" i="4"/>
  <c r="BB226" i="4"/>
  <c r="BC226" i="4"/>
  <c r="BD226" i="4"/>
  <c r="BE226" i="4"/>
  <c r="BF226" i="4"/>
  <c r="BG226" i="4"/>
  <c r="BH226" i="4"/>
  <c r="BI226" i="4"/>
  <c r="BJ226" i="4"/>
  <c r="BL226" i="4"/>
  <c r="BM226" i="4"/>
  <c r="BN226" i="4"/>
  <c r="BO226" i="4"/>
  <c r="BT226" i="4"/>
  <c r="BU226" i="4"/>
  <c r="BV226" i="4"/>
  <c r="BW226" i="4"/>
  <c r="BX226" i="4"/>
  <c r="BY226" i="4"/>
  <c r="BZ226" i="4"/>
  <c r="CA226" i="4"/>
  <c r="CB226" i="4"/>
  <c r="CC226" i="4"/>
  <c r="CD226" i="4"/>
  <c r="CE226" i="4"/>
  <c r="CG226" i="4"/>
  <c r="CJ226" i="4"/>
  <c r="CK226" i="4"/>
  <c r="CL226" i="4"/>
  <c r="CN226" i="4"/>
  <c r="CP226" i="4"/>
  <c r="CQ226" i="4"/>
  <c r="C227" i="4"/>
  <c r="D227" i="4"/>
  <c r="E227" i="4"/>
  <c r="F227" i="4"/>
  <c r="N227" i="4"/>
  <c r="O227" i="4"/>
  <c r="P227" i="4"/>
  <c r="Q227" i="4"/>
  <c r="R227" i="4"/>
  <c r="S227" i="4"/>
  <c r="T227" i="4"/>
  <c r="U227" i="4"/>
  <c r="V227" i="4"/>
  <c r="W227" i="4"/>
  <c r="X227" i="4"/>
  <c r="AB227" i="4"/>
  <c r="AC227" i="4"/>
  <c r="AD227" i="4"/>
  <c r="AE227" i="4"/>
  <c r="AF227" i="4"/>
  <c r="AG227" i="4"/>
  <c r="AH227" i="4"/>
  <c r="AI227" i="4"/>
  <c r="AJ227" i="4"/>
  <c r="AT227" i="4"/>
  <c r="AU227" i="4"/>
  <c r="AV227" i="4"/>
  <c r="BB227" i="4"/>
  <c r="BC227" i="4"/>
  <c r="BD227" i="4"/>
  <c r="BE227" i="4"/>
  <c r="BF227" i="4"/>
  <c r="BG227" i="4"/>
  <c r="BH227" i="4"/>
  <c r="BI227" i="4"/>
  <c r="BJ227" i="4"/>
  <c r="BL227" i="4"/>
  <c r="BM227" i="4"/>
  <c r="BN227" i="4"/>
  <c r="BO227" i="4"/>
  <c r="BT227" i="4"/>
  <c r="BU227" i="4"/>
  <c r="BV227" i="4"/>
  <c r="BW227" i="4"/>
  <c r="BX227" i="4"/>
  <c r="BY227" i="4"/>
  <c r="BZ227" i="4"/>
  <c r="CA227" i="4"/>
  <c r="CB227" i="4"/>
  <c r="CC227" i="4"/>
  <c r="CD227" i="4"/>
  <c r="CE227" i="4"/>
  <c r="CG227" i="4"/>
  <c r="CJ227" i="4"/>
  <c r="CK227" i="4"/>
  <c r="CL227" i="4"/>
  <c r="CN227" i="4"/>
  <c r="CP227" i="4"/>
  <c r="CQ227" i="4"/>
  <c r="C228" i="4"/>
  <c r="D228" i="4"/>
  <c r="E228" i="4"/>
  <c r="F228" i="4"/>
  <c r="N228" i="4"/>
  <c r="O228" i="4"/>
  <c r="P228" i="4"/>
  <c r="Q228" i="4"/>
  <c r="R228" i="4"/>
  <c r="S228" i="4"/>
  <c r="T228" i="4"/>
  <c r="U228" i="4"/>
  <c r="V228" i="4"/>
  <c r="W228" i="4"/>
  <c r="X228" i="4"/>
  <c r="AB228" i="4"/>
  <c r="AC228" i="4"/>
  <c r="AD228" i="4"/>
  <c r="AE228" i="4"/>
  <c r="AF228" i="4"/>
  <c r="AG228" i="4"/>
  <c r="AH228" i="4"/>
  <c r="AI228" i="4"/>
  <c r="AJ228" i="4"/>
  <c r="AT228" i="4"/>
  <c r="AU228" i="4"/>
  <c r="AV228" i="4"/>
  <c r="BB228" i="4"/>
  <c r="BC228" i="4"/>
  <c r="BD228" i="4"/>
  <c r="BE228" i="4"/>
  <c r="BF228" i="4"/>
  <c r="BG228" i="4"/>
  <c r="BH228" i="4"/>
  <c r="BI228" i="4"/>
  <c r="BJ228" i="4"/>
  <c r="BL228" i="4"/>
  <c r="BM228" i="4"/>
  <c r="BN228" i="4"/>
  <c r="BO228" i="4"/>
  <c r="BT228" i="4"/>
  <c r="BU228" i="4"/>
  <c r="BV228" i="4"/>
  <c r="BW228" i="4"/>
  <c r="BX228" i="4"/>
  <c r="BY228" i="4"/>
  <c r="BZ228" i="4"/>
  <c r="CA228" i="4"/>
  <c r="CB228" i="4"/>
  <c r="CC228" i="4"/>
  <c r="CD228" i="4"/>
  <c r="CE228" i="4"/>
  <c r="CG228" i="4"/>
  <c r="CJ228" i="4"/>
  <c r="CK228" i="4"/>
  <c r="CL228" i="4"/>
  <c r="CN228" i="4"/>
  <c r="CP228" i="4"/>
  <c r="CQ228" i="4"/>
  <c r="C229" i="4"/>
  <c r="D229" i="4"/>
  <c r="E229" i="4"/>
  <c r="F229" i="4"/>
  <c r="N229" i="4"/>
  <c r="O229" i="4"/>
  <c r="P229" i="4"/>
  <c r="Q229" i="4"/>
  <c r="R229" i="4"/>
  <c r="S229" i="4"/>
  <c r="T229" i="4"/>
  <c r="U229" i="4"/>
  <c r="V229" i="4"/>
  <c r="W229" i="4"/>
  <c r="X229" i="4"/>
  <c r="AB229" i="4"/>
  <c r="AC229" i="4"/>
  <c r="AD229" i="4"/>
  <c r="AE229" i="4"/>
  <c r="AF229" i="4"/>
  <c r="AG229" i="4"/>
  <c r="AH229" i="4"/>
  <c r="AI229" i="4"/>
  <c r="AJ229" i="4"/>
  <c r="AT229" i="4"/>
  <c r="AU229" i="4"/>
  <c r="AV229" i="4"/>
  <c r="BB229" i="4"/>
  <c r="BC229" i="4"/>
  <c r="BD229" i="4"/>
  <c r="BE229" i="4"/>
  <c r="BF229" i="4"/>
  <c r="BG229" i="4"/>
  <c r="BH229" i="4"/>
  <c r="BI229" i="4"/>
  <c r="BJ229" i="4"/>
  <c r="BL229" i="4"/>
  <c r="BM229" i="4"/>
  <c r="BN229" i="4"/>
  <c r="BO229" i="4"/>
  <c r="BT229" i="4"/>
  <c r="BU229" i="4"/>
  <c r="BV229" i="4"/>
  <c r="BW229" i="4"/>
  <c r="BX229" i="4"/>
  <c r="BY229" i="4"/>
  <c r="BZ229" i="4"/>
  <c r="CA229" i="4"/>
  <c r="CB229" i="4"/>
  <c r="CC229" i="4"/>
  <c r="CD229" i="4"/>
  <c r="CE229" i="4"/>
  <c r="CG229" i="4"/>
  <c r="CJ229" i="4"/>
  <c r="CK229" i="4"/>
  <c r="CL229" i="4"/>
  <c r="CN229" i="4"/>
  <c r="CP229" i="4"/>
  <c r="CQ229" i="4"/>
  <c r="C230" i="4"/>
  <c r="D230" i="4"/>
  <c r="E230" i="4"/>
  <c r="F230" i="4"/>
  <c r="N230" i="4"/>
  <c r="O230" i="4"/>
  <c r="P230" i="4"/>
  <c r="Q230" i="4"/>
  <c r="R230" i="4"/>
  <c r="S230" i="4"/>
  <c r="T230" i="4"/>
  <c r="U230" i="4"/>
  <c r="V230" i="4"/>
  <c r="W230" i="4"/>
  <c r="X230" i="4"/>
  <c r="AB230" i="4"/>
  <c r="AC230" i="4"/>
  <c r="AD230" i="4"/>
  <c r="AE230" i="4"/>
  <c r="AF230" i="4"/>
  <c r="AG230" i="4"/>
  <c r="AH230" i="4"/>
  <c r="AI230" i="4"/>
  <c r="AJ230" i="4"/>
  <c r="AT230" i="4"/>
  <c r="AU230" i="4"/>
  <c r="AV230" i="4"/>
  <c r="BB230" i="4"/>
  <c r="BC230" i="4"/>
  <c r="BD230" i="4"/>
  <c r="BE230" i="4"/>
  <c r="BF230" i="4"/>
  <c r="BG230" i="4"/>
  <c r="BH230" i="4"/>
  <c r="BI230" i="4"/>
  <c r="BJ230" i="4"/>
  <c r="BL230" i="4"/>
  <c r="BM230" i="4"/>
  <c r="BN230" i="4"/>
  <c r="BO230" i="4"/>
  <c r="BT230" i="4"/>
  <c r="BU230" i="4"/>
  <c r="BV230" i="4"/>
  <c r="BW230" i="4"/>
  <c r="BX230" i="4"/>
  <c r="BY230" i="4"/>
  <c r="BZ230" i="4"/>
  <c r="CA230" i="4"/>
  <c r="CB230" i="4"/>
  <c r="CC230" i="4"/>
  <c r="CD230" i="4"/>
  <c r="CE230" i="4"/>
  <c r="CG230" i="4"/>
  <c r="CJ230" i="4"/>
  <c r="CK230" i="4"/>
  <c r="CL230" i="4"/>
  <c r="CN230" i="4"/>
  <c r="CP230" i="4"/>
  <c r="CQ230" i="4"/>
  <c r="C231" i="4"/>
  <c r="D231" i="4"/>
  <c r="E231" i="4"/>
  <c r="F231" i="4"/>
  <c r="N231" i="4"/>
  <c r="O231" i="4"/>
  <c r="P231" i="4"/>
  <c r="Q231" i="4"/>
  <c r="R231" i="4"/>
  <c r="S231" i="4"/>
  <c r="T231" i="4"/>
  <c r="U231" i="4"/>
  <c r="V231" i="4"/>
  <c r="W231" i="4"/>
  <c r="X231" i="4"/>
  <c r="AB231" i="4"/>
  <c r="AC231" i="4"/>
  <c r="AD231" i="4"/>
  <c r="AE231" i="4"/>
  <c r="AF231" i="4"/>
  <c r="AG231" i="4"/>
  <c r="AH231" i="4"/>
  <c r="AI231" i="4"/>
  <c r="AJ231" i="4"/>
  <c r="AT231" i="4"/>
  <c r="AU231" i="4"/>
  <c r="AV231" i="4"/>
  <c r="BB231" i="4"/>
  <c r="BC231" i="4"/>
  <c r="BD231" i="4"/>
  <c r="BE231" i="4"/>
  <c r="BF231" i="4"/>
  <c r="BG231" i="4"/>
  <c r="BH231" i="4"/>
  <c r="BI231" i="4"/>
  <c r="BJ231" i="4"/>
  <c r="BL231" i="4"/>
  <c r="BM231" i="4"/>
  <c r="BN231" i="4"/>
  <c r="BO231" i="4"/>
  <c r="BT231" i="4"/>
  <c r="BU231" i="4"/>
  <c r="BV231" i="4"/>
  <c r="BW231" i="4"/>
  <c r="BX231" i="4"/>
  <c r="BY231" i="4"/>
  <c r="BZ231" i="4"/>
  <c r="CA231" i="4"/>
  <c r="CB231" i="4"/>
  <c r="CC231" i="4"/>
  <c r="CD231" i="4"/>
  <c r="CE231" i="4"/>
  <c r="CG231" i="4"/>
  <c r="CJ231" i="4"/>
  <c r="CK231" i="4"/>
  <c r="CL231" i="4"/>
  <c r="CN231" i="4"/>
  <c r="CP231" i="4"/>
  <c r="CQ231" i="4"/>
  <c r="C232" i="4"/>
  <c r="D232" i="4"/>
  <c r="E232" i="4"/>
  <c r="F232" i="4"/>
  <c r="N232" i="4"/>
  <c r="O232" i="4"/>
  <c r="P232" i="4"/>
  <c r="Q232" i="4"/>
  <c r="R232" i="4"/>
  <c r="S232" i="4"/>
  <c r="T232" i="4"/>
  <c r="U232" i="4"/>
  <c r="V232" i="4"/>
  <c r="W232" i="4"/>
  <c r="X232" i="4"/>
  <c r="AB232" i="4"/>
  <c r="AC232" i="4"/>
  <c r="AD232" i="4"/>
  <c r="AE232" i="4"/>
  <c r="AF232" i="4"/>
  <c r="AG232" i="4"/>
  <c r="AH232" i="4"/>
  <c r="AI232" i="4"/>
  <c r="AJ232" i="4"/>
  <c r="AT232" i="4"/>
  <c r="AU232" i="4"/>
  <c r="AV232" i="4"/>
  <c r="BB232" i="4"/>
  <c r="BC232" i="4"/>
  <c r="BD232" i="4"/>
  <c r="BE232" i="4"/>
  <c r="BF232" i="4"/>
  <c r="BG232" i="4"/>
  <c r="BH232" i="4"/>
  <c r="BI232" i="4"/>
  <c r="BJ232" i="4"/>
  <c r="BL232" i="4"/>
  <c r="BM232" i="4"/>
  <c r="BN232" i="4"/>
  <c r="BO232" i="4"/>
  <c r="BT232" i="4"/>
  <c r="BU232" i="4"/>
  <c r="BV232" i="4"/>
  <c r="BW232" i="4"/>
  <c r="BX232" i="4"/>
  <c r="BY232" i="4"/>
  <c r="BZ232" i="4"/>
  <c r="CA232" i="4"/>
  <c r="CB232" i="4"/>
  <c r="CC232" i="4"/>
  <c r="CD232" i="4"/>
  <c r="CE232" i="4"/>
  <c r="CG232" i="4"/>
  <c r="CJ232" i="4"/>
  <c r="CK232" i="4"/>
  <c r="CL232" i="4"/>
  <c r="CN232" i="4"/>
  <c r="CP232" i="4"/>
  <c r="CQ232" i="4"/>
  <c r="C233" i="4"/>
  <c r="D233" i="4"/>
  <c r="E233" i="4"/>
  <c r="F233" i="4"/>
  <c r="N233" i="4"/>
  <c r="O233" i="4"/>
  <c r="P233" i="4"/>
  <c r="Q233" i="4"/>
  <c r="R233" i="4"/>
  <c r="S233" i="4"/>
  <c r="T233" i="4"/>
  <c r="U233" i="4"/>
  <c r="V233" i="4"/>
  <c r="W233" i="4"/>
  <c r="X233" i="4"/>
  <c r="AB233" i="4"/>
  <c r="AC233" i="4"/>
  <c r="AD233" i="4"/>
  <c r="AE233" i="4"/>
  <c r="AF233" i="4"/>
  <c r="AG233" i="4"/>
  <c r="AH233" i="4"/>
  <c r="AI233" i="4"/>
  <c r="AJ233" i="4"/>
  <c r="AT233" i="4"/>
  <c r="AU233" i="4"/>
  <c r="AV233" i="4"/>
  <c r="BB233" i="4"/>
  <c r="BC233" i="4"/>
  <c r="BD233" i="4"/>
  <c r="BE233" i="4"/>
  <c r="BF233" i="4"/>
  <c r="BG233" i="4"/>
  <c r="BH233" i="4"/>
  <c r="BI233" i="4"/>
  <c r="BJ233" i="4"/>
  <c r="BL233" i="4"/>
  <c r="BM233" i="4"/>
  <c r="BN233" i="4"/>
  <c r="BO233" i="4"/>
  <c r="BT233" i="4"/>
  <c r="BU233" i="4"/>
  <c r="BV233" i="4"/>
  <c r="BW233" i="4"/>
  <c r="BX233" i="4"/>
  <c r="BY233" i="4"/>
  <c r="BZ233" i="4"/>
  <c r="CA233" i="4"/>
  <c r="CB233" i="4"/>
  <c r="CC233" i="4"/>
  <c r="CD233" i="4"/>
  <c r="CE233" i="4"/>
  <c r="CG233" i="4"/>
  <c r="CJ233" i="4"/>
  <c r="CK233" i="4"/>
  <c r="CL233" i="4"/>
  <c r="CN233" i="4"/>
  <c r="CP233" i="4"/>
  <c r="CQ233" i="4"/>
  <c r="C234" i="4"/>
  <c r="D234" i="4"/>
  <c r="E234" i="4"/>
  <c r="F234" i="4"/>
  <c r="N234" i="4"/>
  <c r="O234" i="4"/>
  <c r="P234" i="4"/>
  <c r="Q234" i="4"/>
  <c r="R234" i="4"/>
  <c r="S234" i="4"/>
  <c r="T234" i="4"/>
  <c r="U234" i="4"/>
  <c r="V234" i="4"/>
  <c r="W234" i="4"/>
  <c r="X234" i="4"/>
  <c r="AB234" i="4"/>
  <c r="AC234" i="4"/>
  <c r="AD234" i="4"/>
  <c r="AE234" i="4"/>
  <c r="AF234" i="4"/>
  <c r="AG234" i="4"/>
  <c r="AH234" i="4"/>
  <c r="AI234" i="4"/>
  <c r="AJ234" i="4"/>
  <c r="AT234" i="4"/>
  <c r="AU234" i="4"/>
  <c r="AV234" i="4"/>
  <c r="BB234" i="4"/>
  <c r="BC234" i="4"/>
  <c r="BD234" i="4"/>
  <c r="BE234" i="4"/>
  <c r="BF234" i="4"/>
  <c r="BG234" i="4"/>
  <c r="BH234" i="4"/>
  <c r="BI234" i="4"/>
  <c r="BJ234" i="4"/>
  <c r="BL234" i="4"/>
  <c r="BM234" i="4"/>
  <c r="BN234" i="4"/>
  <c r="BO234" i="4"/>
  <c r="BT234" i="4"/>
  <c r="BU234" i="4"/>
  <c r="BV234" i="4"/>
  <c r="BW234" i="4"/>
  <c r="BX234" i="4"/>
  <c r="BY234" i="4"/>
  <c r="BZ234" i="4"/>
  <c r="CA234" i="4"/>
  <c r="CB234" i="4"/>
  <c r="CC234" i="4"/>
  <c r="CD234" i="4"/>
  <c r="CE234" i="4"/>
  <c r="CG234" i="4"/>
  <c r="CJ234" i="4"/>
  <c r="CK234" i="4"/>
  <c r="CL234" i="4"/>
  <c r="CN234" i="4"/>
  <c r="CP234" i="4"/>
  <c r="CQ234" i="4"/>
  <c r="C235" i="4"/>
  <c r="D235" i="4"/>
  <c r="E235" i="4"/>
  <c r="F235" i="4"/>
  <c r="N235" i="4"/>
  <c r="O235" i="4"/>
  <c r="P235" i="4"/>
  <c r="Q235" i="4"/>
  <c r="R235" i="4"/>
  <c r="S235" i="4"/>
  <c r="T235" i="4"/>
  <c r="U235" i="4"/>
  <c r="V235" i="4"/>
  <c r="W235" i="4"/>
  <c r="X235" i="4"/>
  <c r="AB235" i="4"/>
  <c r="AC235" i="4"/>
  <c r="AD235" i="4"/>
  <c r="AE235" i="4"/>
  <c r="AF235" i="4"/>
  <c r="AG235" i="4"/>
  <c r="AH235" i="4"/>
  <c r="AI235" i="4"/>
  <c r="AJ235" i="4"/>
  <c r="AT235" i="4"/>
  <c r="AU235" i="4"/>
  <c r="AV235" i="4"/>
  <c r="BB235" i="4"/>
  <c r="BC235" i="4"/>
  <c r="BD235" i="4"/>
  <c r="BE235" i="4"/>
  <c r="BF235" i="4"/>
  <c r="BG235" i="4"/>
  <c r="BH235" i="4"/>
  <c r="BI235" i="4"/>
  <c r="BJ235" i="4"/>
  <c r="BL235" i="4"/>
  <c r="BM235" i="4"/>
  <c r="BN235" i="4"/>
  <c r="BO235" i="4"/>
  <c r="BT235" i="4"/>
  <c r="BU235" i="4"/>
  <c r="BV235" i="4"/>
  <c r="BW235" i="4"/>
  <c r="BX235" i="4"/>
  <c r="BY235" i="4"/>
  <c r="BZ235" i="4"/>
  <c r="CA235" i="4"/>
  <c r="CB235" i="4"/>
  <c r="CC235" i="4"/>
  <c r="CD235" i="4"/>
  <c r="CE235" i="4"/>
  <c r="CG235" i="4"/>
  <c r="CJ235" i="4"/>
  <c r="CK235" i="4"/>
  <c r="CL235" i="4"/>
  <c r="CN235" i="4"/>
  <c r="CP235" i="4"/>
  <c r="CQ235" i="4"/>
  <c r="C236" i="4"/>
  <c r="D236" i="4"/>
  <c r="E236" i="4"/>
  <c r="F236" i="4"/>
  <c r="N236" i="4"/>
  <c r="O236" i="4"/>
  <c r="P236" i="4"/>
  <c r="Q236" i="4"/>
  <c r="R236" i="4"/>
  <c r="S236" i="4"/>
  <c r="T236" i="4"/>
  <c r="U236" i="4"/>
  <c r="V236" i="4"/>
  <c r="W236" i="4"/>
  <c r="X236" i="4"/>
  <c r="AB236" i="4"/>
  <c r="AC236" i="4"/>
  <c r="AD236" i="4"/>
  <c r="AE236" i="4"/>
  <c r="AF236" i="4"/>
  <c r="AG236" i="4"/>
  <c r="AH236" i="4"/>
  <c r="AI236" i="4"/>
  <c r="AJ236" i="4"/>
  <c r="AT236" i="4"/>
  <c r="AU236" i="4"/>
  <c r="AV236" i="4"/>
  <c r="BB236" i="4"/>
  <c r="BC236" i="4"/>
  <c r="BD236" i="4"/>
  <c r="BE236" i="4"/>
  <c r="BF236" i="4"/>
  <c r="BG236" i="4"/>
  <c r="BH236" i="4"/>
  <c r="BI236" i="4"/>
  <c r="BJ236" i="4"/>
  <c r="BL236" i="4"/>
  <c r="BM236" i="4"/>
  <c r="BN236" i="4"/>
  <c r="BO236" i="4"/>
  <c r="BT236" i="4"/>
  <c r="BU236" i="4"/>
  <c r="BV236" i="4"/>
  <c r="BW236" i="4"/>
  <c r="BX236" i="4"/>
  <c r="BY236" i="4"/>
  <c r="BZ236" i="4"/>
  <c r="CA236" i="4"/>
  <c r="CB236" i="4"/>
  <c r="CC236" i="4"/>
  <c r="CD236" i="4"/>
  <c r="CE236" i="4"/>
  <c r="CG236" i="4"/>
  <c r="CJ236" i="4"/>
  <c r="CK236" i="4"/>
  <c r="CL236" i="4"/>
  <c r="CN236" i="4"/>
  <c r="CP236" i="4"/>
  <c r="CQ236" i="4"/>
  <c r="C237" i="4"/>
  <c r="D237" i="4"/>
  <c r="E237" i="4"/>
  <c r="F237" i="4"/>
  <c r="N237" i="4"/>
  <c r="O237" i="4"/>
  <c r="P237" i="4"/>
  <c r="Q237" i="4"/>
  <c r="R237" i="4"/>
  <c r="S237" i="4"/>
  <c r="T237" i="4"/>
  <c r="U237" i="4"/>
  <c r="V237" i="4"/>
  <c r="W237" i="4"/>
  <c r="X237" i="4"/>
  <c r="AB237" i="4"/>
  <c r="AC237" i="4"/>
  <c r="AD237" i="4"/>
  <c r="AE237" i="4"/>
  <c r="AF237" i="4"/>
  <c r="AG237" i="4"/>
  <c r="AH237" i="4"/>
  <c r="AI237" i="4"/>
  <c r="AJ237" i="4"/>
  <c r="AT237" i="4"/>
  <c r="AU237" i="4"/>
  <c r="AV237" i="4"/>
  <c r="BB237" i="4"/>
  <c r="BC237" i="4"/>
  <c r="BD237" i="4"/>
  <c r="BE237" i="4"/>
  <c r="BF237" i="4"/>
  <c r="BG237" i="4"/>
  <c r="BH237" i="4"/>
  <c r="BI237" i="4"/>
  <c r="BJ237" i="4"/>
  <c r="BL237" i="4"/>
  <c r="BM237" i="4"/>
  <c r="BN237" i="4"/>
  <c r="BO237" i="4"/>
  <c r="BT237" i="4"/>
  <c r="BU237" i="4"/>
  <c r="BV237" i="4"/>
  <c r="BW237" i="4"/>
  <c r="BX237" i="4"/>
  <c r="BY237" i="4"/>
  <c r="BZ237" i="4"/>
  <c r="CA237" i="4"/>
  <c r="CB237" i="4"/>
  <c r="CC237" i="4"/>
  <c r="CD237" i="4"/>
  <c r="CE237" i="4"/>
  <c r="CG237" i="4"/>
  <c r="CJ237" i="4"/>
  <c r="CK237" i="4"/>
  <c r="CL237" i="4"/>
  <c r="CN237" i="4"/>
  <c r="CP237" i="4"/>
  <c r="CQ237" i="4"/>
  <c r="C238" i="4"/>
  <c r="D238" i="4"/>
  <c r="E238" i="4"/>
  <c r="F238" i="4"/>
  <c r="N238" i="4"/>
  <c r="O238" i="4"/>
  <c r="P238" i="4"/>
  <c r="Q238" i="4"/>
  <c r="R238" i="4"/>
  <c r="S238" i="4"/>
  <c r="T238" i="4"/>
  <c r="U238" i="4"/>
  <c r="V238" i="4"/>
  <c r="W238" i="4"/>
  <c r="X238" i="4"/>
  <c r="AB238" i="4"/>
  <c r="AC238" i="4"/>
  <c r="AD238" i="4"/>
  <c r="AE238" i="4"/>
  <c r="AF238" i="4"/>
  <c r="AG238" i="4"/>
  <c r="AH238" i="4"/>
  <c r="AI238" i="4"/>
  <c r="AJ238" i="4"/>
  <c r="AT238" i="4"/>
  <c r="AU238" i="4"/>
  <c r="AV238" i="4"/>
  <c r="BB238" i="4"/>
  <c r="BC238" i="4"/>
  <c r="BD238" i="4"/>
  <c r="BE238" i="4"/>
  <c r="BF238" i="4"/>
  <c r="BG238" i="4"/>
  <c r="BH238" i="4"/>
  <c r="BI238" i="4"/>
  <c r="BJ238" i="4"/>
  <c r="BL238" i="4"/>
  <c r="BM238" i="4"/>
  <c r="BN238" i="4"/>
  <c r="BO238" i="4"/>
  <c r="BT238" i="4"/>
  <c r="BU238" i="4"/>
  <c r="BV238" i="4"/>
  <c r="BW238" i="4"/>
  <c r="BX238" i="4"/>
  <c r="BY238" i="4"/>
  <c r="BZ238" i="4"/>
  <c r="CA238" i="4"/>
  <c r="CB238" i="4"/>
  <c r="CC238" i="4"/>
  <c r="CD238" i="4"/>
  <c r="CE238" i="4"/>
  <c r="CG238" i="4"/>
  <c r="CJ238" i="4"/>
  <c r="CK238" i="4"/>
  <c r="CL238" i="4"/>
  <c r="CN238" i="4"/>
  <c r="CP238" i="4"/>
  <c r="CQ238" i="4"/>
  <c r="C239" i="4"/>
  <c r="D239" i="4"/>
  <c r="E239" i="4"/>
  <c r="F239" i="4"/>
  <c r="N239" i="4"/>
  <c r="O239" i="4"/>
  <c r="P239" i="4"/>
  <c r="Q239" i="4"/>
  <c r="R239" i="4"/>
  <c r="S239" i="4"/>
  <c r="T239" i="4"/>
  <c r="U239" i="4"/>
  <c r="V239" i="4"/>
  <c r="W239" i="4"/>
  <c r="X239" i="4"/>
  <c r="AB239" i="4"/>
  <c r="AC239" i="4"/>
  <c r="AD239" i="4"/>
  <c r="AE239" i="4"/>
  <c r="AF239" i="4"/>
  <c r="AG239" i="4"/>
  <c r="AH239" i="4"/>
  <c r="AI239" i="4"/>
  <c r="AJ239" i="4"/>
  <c r="AT239" i="4"/>
  <c r="AU239" i="4"/>
  <c r="AV239" i="4"/>
  <c r="BB239" i="4"/>
  <c r="BC239" i="4"/>
  <c r="BD239" i="4"/>
  <c r="BE239" i="4"/>
  <c r="BF239" i="4"/>
  <c r="BG239" i="4"/>
  <c r="BH239" i="4"/>
  <c r="BI239" i="4"/>
  <c r="BJ239" i="4"/>
  <c r="BL239" i="4"/>
  <c r="BM239" i="4"/>
  <c r="BN239" i="4"/>
  <c r="BO239" i="4"/>
  <c r="BT239" i="4"/>
  <c r="BU239" i="4"/>
  <c r="BV239" i="4"/>
  <c r="BW239" i="4"/>
  <c r="BX239" i="4"/>
  <c r="BY239" i="4"/>
  <c r="BZ239" i="4"/>
  <c r="CA239" i="4"/>
  <c r="CB239" i="4"/>
  <c r="CC239" i="4"/>
  <c r="CD239" i="4"/>
  <c r="CE239" i="4"/>
  <c r="CG239" i="4"/>
  <c r="CJ239" i="4"/>
  <c r="CK239" i="4"/>
  <c r="CL239" i="4"/>
  <c r="CN239" i="4"/>
  <c r="CP239" i="4"/>
  <c r="CQ239" i="4"/>
  <c r="C240" i="4"/>
  <c r="D240" i="4"/>
  <c r="E240" i="4"/>
  <c r="F240" i="4"/>
  <c r="N240" i="4"/>
  <c r="O240" i="4"/>
  <c r="P240" i="4"/>
  <c r="Q240" i="4"/>
  <c r="R240" i="4"/>
  <c r="S240" i="4"/>
  <c r="T240" i="4"/>
  <c r="U240" i="4"/>
  <c r="V240" i="4"/>
  <c r="W240" i="4"/>
  <c r="X240" i="4"/>
  <c r="AB240" i="4"/>
  <c r="AC240" i="4"/>
  <c r="AD240" i="4"/>
  <c r="AE240" i="4"/>
  <c r="AF240" i="4"/>
  <c r="AG240" i="4"/>
  <c r="AH240" i="4"/>
  <c r="AI240" i="4"/>
  <c r="AJ240" i="4"/>
  <c r="AT240" i="4"/>
  <c r="AU240" i="4"/>
  <c r="AV240" i="4"/>
  <c r="BB240" i="4"/>
  <c r="BC240" i="4"/>
  <c r="BD240" i="4"/>
  <c r="BE240" i="4"/>
  <c r="BF240" i="4"/>
  <c r="BG240" i="4"/>
  <c r="BH240" i="4"/>
  <c r="BI240" i="4"/>
  <c r="BJ240" i="4"/>
  <c r="BL240" i="4"/>
  <c r="BM240" i="4"/>
  <c r="BN240" i="4"/>
  <c r="BO240" i="4"/>
  <c r="BT240" i="4"/>
  <c r="BU240" i="4"/>
  <c r="BV240" i="4"/>
  <c r="BW240" i="4"/>
  <c r="BX240" i="4"/>
  <c r="BY240" i="4"/>
  <c r="BZ240" i="4"/>
  <c r="CA240" i="4"/>
  <c r="CB240" i="4"/>
  <c r="CC240" i="4"/>
  <c r="CD240" i="4"/>
  <c r="CE240" i="4"/>
  <c r="CG240" i="4"/>
  <c r="CJ240" i="4"/>
  <c r="CK240" i="4"/>
  <c r="CL240" i="4"/>
  <c r="CN240" i="4"/>
  <c r="CP240" i="4"/>
  <c r="CQ240" i="4"/>
  <c r="C241" i="4"/>
  <c r="D241" i="4"/>
  <c r="E241" i="4"/>
  <c r="F241" i="4"/>
  <c r="N241" i="4"/>
  <c r="O241" i="4"/>
  <c r="P241" i="4"/>
  <c r="Q241" i="4"/>
  <c r="R241" i="4"/>
  <c r="S241" i="4"/>
  <c r="T241" i="4"/>
  <c r="U241" i="4"/>
  <c r="V241" i="4"/>
  <c r="W241" i="4"/>
  <c r="X241" i="4"/>
  <c r="AB241" i="4"/>
  <c r="AC241" i="4"/>
  <c r="AD241" i="4"/>
  <c r="AE241" i="4"/>
  <c r="AF241" i="4"/>
  <c r="AG241" i="4"/>
  <c r="AH241" i="4"/>
  <c r="AI241" i="4"/>
  <c r="AJ241" i="4"/>
  <c r="AT241" i="4"/>
  <c r="AU241" i="4"/>
  <c r="AV241" i="4"/>
  <c r="BB241" i="4"/>
  <c r="BC241" i="4"/>
  <c r="BD241" i="4"/>
  <c r="BE241" i="4"/>
  <c r="BF241" i="4"/>
  <c r="BG241" i="4"/>
  <c r="BH241" i="4"/>
  <c r="BI241" i="4"/>
  <c r="BJ241" i="4"/>
  <c r="BL241" i="4"/>
  <c r="BM241" i="4"/>
  <c r="BN241" i="4"/>
  <c r="BO241" i="4"/>
  <c r="BT241" i="4"/>
  <c r="BU241" i="4"/>
  <c r="BV241" i="4"/>
  <c r="BW241" i="4"/>
  <c r="BX241" i="4"/>
  <c r="BY241" i="4"/>
  <c r="BZ241" i="4"/>
  <c r="CA241" i="4"/>
  <c r="CB241" i="4"/>
  <c r="CC241" i="4"/>
  <c r="CD241" i="4"/>
  <c r="CE241" i="4"/>
  <c r="CG241" i="4"/>
  <c r="CJ241" i="4"/>
  <c r="CK241" i="4"/>
  <c r="CL241" i="4"/>
  <c r="CN241" i="4"/>
  <c r="CP241" i="4"/>
  <c r="CQ241" i="4"/>
  <c r="C242" i="4"/>
  <c r="D242" i="4"/>
  <c r="E242" i="4"/>
  <c r="F242" i="4"/>
  <c r="N242" i="4"/>
  <c r="O242" i="4"/>
  <c r="P242" i="4"/>
  <c r="Q242" i="4"/>
  <c r="R242" i="4"/>
  <c r="S242" i="4"/>
  <c r="T242" i="4"/>
  <c r="U242" i="4"/>
  <c r="V242" i="4"/>
  <c r="W242" i="4"/>
  <c r="X242" i="4"/>
  <c r="AB242" i="4"/>
  <c r="AC242" i="4"/>
  <c r="AD242" i="4"/>
  <c r="AE242" i="4"/>
  <c r="AF242" i="4"/>
  <c r="AG242" i="4"/>
  <c r="AH242" i="4"/>
  <c r="AI242" i="4"/>
  <c r="AJ242" i="4"/>
  <c r="AT242" i="4"/>
  <c r="AU242" i="4"/>
  <c r="AV242" i="4"/>
  <c r="BB242" i="4"/>
  <c r="BC242" i="4"/>
  <c r="BD242" i="4"/>
  <c r="BE242" i="4"/>
  <c r="BF242" i="4"/>
  <c r="BG242" i="4"/>
  <c r="BH242" i="4"/>
  <c r="BI242" i="4"/>
  <c r="BJ242" i="4"/>
  <c r="BL242" i="4"/>
  <c r="BM242" i="4"/>
  <c r="BN242" i="4"/>
  <c r="BO242" i="4"/>
  <c r="BT242" i="4"/>
  <c r="BU242" i="4"/>
  <c r="BV242" i="4"/>
  <c r="BW242" i="4"/>
  <c r="BX242" i="4"/>
  <c r="BY242" i="4"/>
  <c r="BZ242" i="4"/>
  <c r="CA242" i="4"/>
  <c r="CB242" i="4"/>
  <c r="CC242" i="4"/>
  <c r="CD242" i="4"/>
  <c r="CE242" i="4"/>
  <c r="CG242" i="4"/>
  <c r="CJ242" i="4"/>
  <c r="CK242" i="4"/>
  <c r="CL242" i="4"/>
  <c r="CN242" i="4"/>
  <c r="CP242" i="4"/>
  <c r="CQ242" i="4"/>
  <c r="C243" i="4"/>
  <c r="D243" i="4"/>
  <c r="E243" i="4"/>
  <c r="F243" i="4"/>
  <c r="N243" i="4"/>
  <c r="O243" i="4"/>
  <c r="P243" i="4"/>
  <c r="Q243" i="4"/>
  <c r="R243" i="4"/>
  <c r="S243" i="4"/>
  <c r="T243" i="4"/>
  <c r="U243" i="4"/>
  <c r="V243" i="4"/>
  <c r="W243" i="4"/>
  <c r="X243" i="4"/>
  <c r="AB243" i="4"/>
  <c r="AC243" i="4"/>
  <c r="AD243" i="4"/>
  <c r="AE243" i="4"/>
  <c r="AF243" i="4"/>
  <c r="AG243" i="4"/>
  <c r="AH243" i="4"/>
  <c r="AI243" i="4"/>
  <c r="AJ243" i="4"/>
  <c r="AT243" i="4"/>
  <c r="AU243" i="4"/>
  <c r="AV243" i="4"/>
  <c r="BB243" i="4"/>
  <c r="BC243" i="4"/>
  <c r="BD243" i="4"/>
  <c r="BE243" i="4"/>
  <c r="BF243" i="4"/>
  <c r="BG243" i="4"/>
  <c r="BH243" i="4"/>
  <c r="BI243" i="4"/>
  <c r="BJ243" i="4"/>
  <c r="BL243" i="4"/>
  <c r="BM243" i="4"/>
  <c r="BN243" i="4"/>
  <c r="BO243" i="4"/>
  <c r="BT243" i="4"/>
  <c r="BU243" i="4"/>
  <c r="BV243" i="4"/>
  <c r="BW243" i="4"/>
  <c r="BX243" i="4"/>
  <c r="BY243" i="4"/>
  <c r="BZ243" i="4"/>
  <c r="CA243" i="4"/>
  <c r="CB243" i="4"/>
  <c r="CC243" i="4"/>
  <c r="CD243" i="4"/>
  <c r="CE243" i="4"/>
  <c r="CG243" i="4"/>
  <c r="CJ243" i="4"/>
  <c r="CK243" i="4"/>
  <c r="CL243" i="4"/>
  <c r="CN243" i="4"/>
  <c r="CP243" i="4"/>
  <c r="CQ243" i="4"/>
  <c r="C244" i="4"/>
  <c r="D244" i="4"/>
  <c r="E244" i="4"/>
  <c r="F244" i="4"/>
  <c r="N244" i="4"/>
  <c r="O244" i="4"/>
  <c r="P244" i="4"/>
  <c r="Q244" i="4"/>
  <c r="R244" i="4"/>
  <c r="S244" i="4"/>
  <c r="T244" i="4"/>
  <c r="U244" i="4"/>
  <c r="V244" i="4"/>
  <c r="W244" i="4"/>
  <c r="X244" i="4"/>
  <c r="AB244" i="4"/>
  <c r="AC244" i="4"/>
  <c r="AD244" i="4"/>
  <c r="AE244" i="4"/>
  <c r="AF244" i="4"/>
  <c r="AG244" i="4"/>
  <c r="AH244" i="4"/>
  <c r="AI244" i="4"/>
  <c r="AJ244" i="4"/>
  <c r="AT244" i="4"/>
  <c r="AU244" i="4"/>
  <c r="AV244" i="4"/>
  <c r="BB244" i="4"/>
  <c r="BC244" i="4"/>
  <c r="BD244" i="4"/>
  <c r="BE244" i="4"/>
  <c r="BF244" i="4"/>
  <c r="BG244" i="4"/>
  <c r="BH244" i="4"/>
  <c r="BI244" i="4"/>
  <c r="BJ244" i="4"/>
  <c r="BL244" i="4"/>
  <c r="BM244" i="4"/>
  <c r="BN244" i="4"/>
  <c r="BO244" i="4"/>
  <c r="BT244" i="4"/>
  <c r="BU244" i="4"/>
  <c r="BV244" i="4"/>
  <c r="BW244" i="4"/>
  <c r="BX244" i="4"/>
  <c r="BY244" i="4"/>
  <c r="BZ244" i="4"/>
  <c r="CA244" i="4"/>
  <c r="CB244" i="4"/>
  <c r="CC244" i="4"/>
  <c r="CD244" i="4"/>
  <c r="CE244" i="4"/>
  <c r="CG244" i="4"/>
  <c r="CJ244" i="4"/>
  <c r="CK244" i="4"/>
  <c r="CL244" i="4"/>
  <c r="CN244" i="4"/>
  <c r="CP244" i="4"/>
  <c r="CQ244" i="4"/>
  <c r="C245" i="4"/>
  <c r="D245" i="4"/>
  <c r="E245" i="4"/>
  <c r="F245" i="4"/>
  <c r="N245" i="4"/>
  <c r="O245" i="4"/>
  <c r="P245" i="4"/>
  <c r="Q245" i="4"/>
  <c r="R245" i="4"/>
  <c r="S245" i="4"/>
  <c r="T245" i="4"/>
  <c r="U245" i="4"/>
  <c r="V245" i="4"/>
  <c r="W245" i="4"/>
  <c r="X245" i="4"/>
  <c r="AB245" i="4"/>
  <c r="AC245" i="4"/>
  <c r="AD245" i="4"/>
  <c r="AE245" i="4"/>
  <c r="AF245" i="4"/>
  <c r="AG245" i="4"/>
  <c r="AH245" i="4"/>
  <c r="AI245" i="4"/>
  <c r="AJ245" i="4"/>
  <c r="AT245" i="4"/>
  <c r="AU245" i="4"/>
  <c r="AV245" i="4"/>
  <c r="BB245" i="4"/>
  <c r="BC245" i="4"/>
  <c r="BD245" i="4"/>
  <c r="BE245" i="4"/>
  <c r="BF245" i="4"/>
  <c r="BG245" i="4"/>
  <c r="BH245" i="4"/>
  <c r="BI245" i="4"/>
  <c r="BJ245" i="4"/>
  <c r="BL245" i="4"/>
  <c r="BM245" i="4"/>
  <c r="BN245" i="4"/>
  <c r="BO245" i="4"/>
  <c r="BT245" i="4"/>
  <c r="BU245" i="4"/>
  <c r="BV245" i="4"/>
  <c r="BW245" i="4"/>
  <c r="BX245" i="4"/>
  <c r="BY245" i="4"/>
  <c r="BZ245" i="4"/>
  <c r="CA245" i="4"/>
  <c r="CB245" i="4"/>
  <c r="CC245" i="4"/>
  <c r="CD245" i="4"/>
  <c r="CE245" i="4"/>
  <c r="CG245" i="4"/>
  <c r="CJ245" i="4"/>
  <c r="CK245" i="4"/>
  <c r="CL245" i="4"/>
  <c r="CN245" i="4"/>
  <c r="CP245" i="4"/>
  <c r="CQ245" i="4"/>
  <c r="C246" i="4"/>
  <c r="D246" i="4"/>
  <c r="E246" i="4"/>
  <c r="F246" i="4"/>
  <c r="N246" i="4"/>
  <c r="O246" i="4"/>
  <c r="P246" i="4"/>
  <c r="Q246" i="4"/>
  <c r="R246" i="4"/>
  <c r="S246" i="4"/>
  <c r="T246" i="4"/>
  <c r="U246" i="4"/>
  <c r="V246" i="4"/>
  <c r="W246" i="4"/>
  <c r="X246" i="4"/>
  <c r="AB246" i="4"/>
  <c r="AC246" i="4"/>
  <c r="AD246" i="4"/>
  <c r="AE246" i="4"/>
  <c r="AF246" i="4"/>
  <c r="AG246" i="4"/>
  <c r="AH246" i="4"/>
  <c r="AI246" i="4"/>
  <c r="AJ246" i="4"/>
  <c r="AT246" i="4"/>
  <c r="AU246" i="4"/>
  <c r="AV246" i="4"/>
  <c r="BB246" i="4"/>
  <c r="BC246" i="4"/>
  <c r="BD246" i="4"/>
  <c r="BE246" i="4"/>
  <c r="BF246" i="4"/>
  <c r="BG246" i="4"/>
  <c r="BH246" i="4"/>
  <c r="BI246" i="4"/>
  <c r="BJ246" i="4"/>
  <c r="BL246" i="4"/>
  <c r="BM246" i="4"/>
  <c r="BN246" i="4"/>
  <c r="BO246" i="4"/>
  <c r="BT246" i="4"/>
  <c r="BU246" i="4"/>
  <c r="BV246" i="4"/>
  <c r="BW246" i="4"/>
  <c r="BX246" i="4"/>
  <c r="BY246" i="4"/>
  <c r="BZ246" i="4"/>
  <c r="CA246" i="4"/>
  <c r="CB246" i="4"/>
  <c r="CC246" i="4"/>
  <c r="CD246" i="4"/>
  <c r="CE246" i="4"/>
  <c r="CG246" i="4"/>
  <c r="CJ246" i="4"/>
  <c r="CK246" i="4"/>
  <c r="CL246" i="4"/>
  <c r="CN246" i="4"/>
  <c r="CP246" i="4"/>
  <c r="CQ246" i="4"/>
  <c r="C247" i="4"/>
  <c r="D247" i="4"/>
  <c r="E247" i="4"/>
  <c r="F247" i="4"/>
  <c r="N247" i="4"/>
  <c r="O247" i="4"/>
  <c r="P247" i="4"/>
  <c r="Q247" i="4"/>
  <c r="R247" i="4"/>
  <c r="S247" i="4"/>
  <c r="T247" i="4"/>
  <c r="U247" i="4"/>
  <c r="V247" i="4"/>
  <c r="W247" i="4"/>
  <c r="X247" i="4"/>
  <c r="AB247" i="4"/>
  <c r="AC247" i="4"/>
  <c r="AD247" i="4"/>
  <c r="AE247" i="4"/>
  <c r="AF247" i="4"/>
  <c r="AG247" i="4"/>
  <c r="AH247" i="4"/>
  <c r="AI247" i="4"/>
  <c r="AJ247" i="4"/>
  <c r="AT247" i="4"/>
  <c r="AU247" i="4"/>
  <c r="AV247" i="4"/>
  <c r="BB247" i="4"/>
  <c r="BC247" i="4"/>
  <c r="BD247" i="4"/>
  <c r="BE247" i="4"/>
  <c r="BF247" i="4"/>
  <c r="BG247" i="4"/>
  <c r="BH247" i="4"/>
  <c r="BI247" i="4"/>
  <c r="BJ247" i="4"/>
  <c r="BL247" i="4"/>
  <c r="BM247" i="4"/>
  <c r="BN247" i="4"/>
  <c r="BO247" i="4"/>
  <c r="BT247" i="4"/>
  <c r="BU247" i="4"/>
  <c r="BV247" i="4"/>
  <c r="BW247" i="4"/>
  <c r="BX247" i="4"/>
  <c r="BY247" i="4"/>
  <c r="BZ247" i="4"/>
  <c r="CA247" i="4"/>
  <c r="CB247" i="4"/>
  <c r="CC247" i="4"/>
  <c r="CD247" i="4"/>
  <c r="CE247" i="4"/>
  <c r="CG247" i="4"/>
  <c r="CJ247" i="4"/>
  <c r="CK247" i="4"/>
  <c r="CL247" i="4"/>
  <c r="CN247" i="4"/>
  <c r="CP247" i="4"/>
  <c r="CQ247" i="4"/>
  <c r="C248" i="4"/>
  <c r="D248" i="4"/>
  <c r="E248" i="4"/>
  <c r="F248" i="4"/>
  <c r="N248" i="4"/>
  <c r="O248" i="4"/>
  <c r="P248" i="4"/>
  <c r="Q248" i="4"/>
  <c r="R248" i="4"/>
  <c r="S248" i="4"/>
  <c r="T248" i="4"/>
  <c r="U248" i="4"/>
  <c r="V248" i="4"/>
  <c r="W248" i="4"/>
  <c r="X248" i="4"/>
  <c r="AB248" i="4"/>
  <c r="AC248" i="4"/>
  <c r="AD248" i="4"/>
  <c r="AE248" i="4"/>
  <c r="AF248" i="4"/>
  <c r="AG248" i="4"/>
  <c r="AH248" i="4"/>
  <c r="AI248" i="4"/>
  <c r="AJ248" i="4"/>
  <c r="AT248" i="4"/>
  <c r="AU248" i="4"/>
  <c r="AV248" i="4"/>
  <c r="BB248" i="4"/>
  <c r="BC248" i="4"/>
  <c r="BD248" i="4"/>
  <c r="BE248" i="4"/>
  <c r="BF248" i="4"/>
  <c r="BG248" i="4"/>
  <c r="BH248" i="4"/>
  <c r="BI248" i="4"/>
  <c r="BJ248" i="4"/>
  <c r="BL248" i="4"/>
  <c r="BM248" i="4"/>
  <c r="BN248" i="4"/>
  <c r="BO248" i="4"/>
  <c r="BT248" i="4"/>
  <c r="BU248" i="4"/>
  <c r="BV248" i="4"/>
  <c r="BW248" i="4"/>
  <c r="BX248" i="4"/>
  <c r="BY248" i="4"/>
  <c r="BZ248" i="4"/>
  <c r="CA248" i="4"/>
  <c r="CB248" i="4"/>
  <c r="CC248" i="4"/>
  <c r="CD248" i="4"/>
  <c r="CE248" i="4"/>
  <c r="CG248" i="4"/>
  <c r="CJ248" i="4"/>
  <c r="CK248" i="4"/>
  <c r="CL248" i="4"/>
  <c r="CN248" i="4"/>
  <c r="CP248" i="4"/>
  <c r="CQ248" i="4"/>
  <c r="C249" i="4"/>
  <c r="D249" i="4"/>
  <c r="E249" i="4"/>
  <c r="F249" i="4"/>
  <c r="N249" i="4"/>
  <c r="O249" i="4"/>
  <c r="P249" i="4"/>
  <c r="Q249" i="4"/>
  <c r="R249" i="4"/>
  <c r="S249" i="4"/>
  <c r="T249" i="4"/>
  <c r="U249" i="4"/>
  <c r="V249" i="4"/>
  <c r="W249" i="4"/>
  <c r="X249" i="4"/>
  <c r="AB249" i="4"/>
  <c r="AC249" i="4"/>
  <c r="AD249" i="4"/>
  <c r="AE249" i="4"/>
  <c r="AF249" i="4"/>
  <c r="AG249" i="4"/>
  <c r="AH249" i="4"/>
  <c r="AI249" i="4"/>
  <c r="AJ249" i="4"/>
  <c r="AT249" i="4"/>
  <c r="AU249" i="4"/>
  <c r="AV249" i="4"/>
  <c r="BB249" i="4"/>
  <c r="BC249" i="4"/>
  <c r="BD249" i="4"/>
  <c r="BE249" i="4"/>
  <c r="BF249" i="4"/>
  <c r="BG249" i="4"/>
  <c r="BH249" i="4"/>
  <c r="BI249" i="4"/>
  <c r="BJ249" i="4"/>
  <c r="BL249" i="4"/>
  <c r="BM249" i="4"/>
  <c r="BN249" i="4"/>
  <c r="BO249" i="4"/>
  <c r="BT249" i="4"/>
  <c r="BU249" i="4"/>
  <c r="BV249" i="4"/>
  <c r="BW249" i="4"/>
  <c r="BX249" i="4"/>
  <c r="BY249" i="4"/>
  <c r="BZ249" i="4"/>
  <c r="CA249" i="4"/>
  <c r="CB249" i="4"/>
  <c r="CC249" i="4"/>
  <c r="CD249" i="4"/>
  <c r="CE249" i="4"/>
  <c r="CG249" i="4"/>
  <c r="CJ249" i="4"/>
  <c r="CK249" i="4"/>
  <c r="CL249" i="4"/>
  <c r="CN249" i="4"/>
  <c r="CP249" i="4"/>
  <c r="CQ249" i="4"/>
  <c r="C250" i="4"/>
  <c r="D250" i="4"/>
  <c r="E250" i="4"/>
  <c r="F250" i="4"/>
  <c r="N250" i="4"/>
  <c r="O250" i="4"/>
  <c r="P250" i="4"/>
  <c r="Q250" i="4"/>
  <c r="R250" i="4"/>
  <c r="S250" i="4"/>
  <c r="T250" i="4"/>
  <c r="U250" i="4"/>
  <c r="V250" i="4"/>
  <c r="W250" i="4"/>
  <c r="X250" i="4"/>
  <c r="AB250" i="4"/>
  <c r="AC250" i="4"/>
  <c r="AD250" i="4"/>
  <c r="AE250" i="4"/>
  <c r="AF250" i="4"/>
  <c r="AG250" i="4"/>
  <c r="AH250" i="4"/>
  <c r="AI250" i="4"/>
  <c r="AJ250" i="4"/>
  <c r="AT250" i="4"/>
  <c r="AU250" i="4"/>
  <c r="AV250" i="4"/>
  <c r="BB250" i="4"/>
  <c r="BC250" i="4"/>
  <c r="BD250" i="4"/>
  <c r="BE250" i="4"/>
  <c r="BF250" i="4"/>
  <c r="BG250" i="4"/>
  <c r="BH250" i="4"/>
  <c r="BI250" i="4"/>
  <c r="BJ250" i="4"/>
  <c r="BL250" i="4"/>
  <c r="BM250" i="4"/>
  <c r="BN250" i="4"/>
  <c r="BO250" i="4"/>
  <c r="BT250" i="4"/>
  <c r="BU250" i="4"/>
  <c r="BV250" i="4"/>
  <c r="BW250" i="4"/>
  <c r="BX250" i="4"/>
  <c r="BY250" i="4"/>
  <c r="BZ250" i="4"/>
  <c r="CA250" i="4"/>
  <c r="CB250" i="4"/>
  <c r="CC250" i="4"/>
  <c r="CD250" i="4"/>
  <c r="CE250" i="4"/>
  <c r="CG250" i="4"/>
  <c r="CJ250" i="4"/>
  <c r="CK250" i="4"/>
  <c r="CL250" i="4"/>
  <c r="CN250" i="4"/>
  <c r="CP250" i="4"/>
  <c r="CQ250" i="4"/>
  <c r="C251" i="4"/>
  <c r="D251" i="4"/>
  <c r="E251" i="4"/>
  <c r="F251" i="4"/>
  <c r="N251" i="4"/>
  <c r="O251" i="4"/>
  <c r="P251" i="4"/>
  <c r="Q251" i="4"/>
  <c r="R251" i="4"/>
  <c r="S251" i="4"/>
  <c r="T251" i="4"/>
  <c r="U251" i="4"/>
  <c r="V251" i="4"/>
  <c r="W251" i="4"/>
  <c r="X251" i="4"/>
  <c r="AB251" i="4"/>
  <c r="AC251" i="4"/>
  <c r="AD251" i="4"/>
  <c r="AE251" i="4"/>
  <c r="AF251" i="4"/>
  <c r="AG251" i="4"/>
  <c r="AH251" i="4"/>
  <c r="AI251" i="4"/>
  <c r="AJ251" i="4"/>
  <c r="AT251" i="4"/>
  <c r="AU251" i="4"/>
  <c r="AV251" i="4"/>
  <c r="BB251" i="4"/>
  <c r="BC251" i="4"/>
  <c r="BD251" i="4"/>
  <c r="BE251" i="4"/>
  <c r="BF251" i="4"/>
  <c r="BG251" i="4"/>
  <c r="BH251" i="4"/>
  <c r="BI251" i="4"/>
  <c r="BJ251" i="4"/>
  <c r="BL251" i="4"/>
  <c r="BM251" i="4"/>
  <c r="BN251" i="4"/>
  <c r="BO251" i="4"/>
  <c r="BT251" i="4"/>
  <c r="BU251" i="4"/>
  <c r="BV251" i="4"/>
  <c r="BW251" i="4"/>
  <c r="BX251" i="4"/>
  <c r="BY251" i="4"/>
  <c r="BZ251" i="4"/>
  <c r="CA251" i="4"/>
  <c r="CB251" i="4"/>
  <c r="CC251" i="4"/>
  <c r="CD251" i="4"/>
  <c r="CE251" i="4"/>
  <c r="CG251" i="4"/>
  <c r="CJ251" i="4"/>
  <c r="CK251" i="4"/>
  <c r="CL251" i="4"/>
  <c r="CN251" i="4"/>
  <c r="CP251" i="4"/>
  <c r="CQ251" i="4"/>
  <c r="C252" i="4"/>
  <c r="D252" i="4"/>
  <c r="E252" i="4"/>
  <c r="F252" i="4"/>
  <c r="N252" i="4"/>
  <c r="O252" i="4"/>
  <c r="P252" i="4"/>
  <c r="Q252" i="4"/>
  <c r="R252" i="4"/>
  <c r="S252" i="4"/>
  <c r="T252" i="4"/>
  <c r="U252" i="4"/>
  <c r="V252" i="4"/>
  <c r="W252" i="4"/>
  <c r="X252" i="4"/>
  <c r="AB252" i="4"/>
  <c r="AC252" i="4"/>
  <c r="AD252" i="4"/>
  <c r="AE252" i="4"/>
  <c r="AF252" i="4"/>
  <c r="AG252" i="4"/>
  <c r="AH252" i="4"/>
  <c r="AI252" i="4"/>
  <c r="AJ252" i="4"/>
  <c r="AT252" i="4"/>
  <c r="AU252" i="4"/>
  <c r="AV252" i="4"/>
  <c r="BB252" i="4"/>
  <c r="BC252" i="4"/>
  <c r="BD252" i="4"/>
  <c r="BE252" i="4"/>
  <c r="BF252" i="4"/>
  <c r="BG252" i="4"/>
  <c r="BH252" i="4"/>
  <c r="BI252" i="4"/>
  <c r="BJ252" i="4"/>
  <c r="BL252" i="4"/>
  <c r="BM252" i="4"/>
  <c r="BN252" i="4"/>
  <c r="BO252" i="4"/>
  <c r="BT252" i="4"/>
  <c r="BU252" i="4"/>
  <c r="BV252" i="4"/>
  <c r="BW252" i="4"/>
  <c r="BX252" i="4"/>
  <c r="BY252" i="4"/>
  <c r="BZ252" i="4"/>
  <c r="CA252" i="4"/>
  <c r="CB252" i="4"/>
  <c r="CC252" i="4"/>
  <c r="CD252" i="4"/>
  <c r="CE252" i="4"/>
  <c r="CG252" i="4"/>
  <c r="CJ252" i="4"/>
  <c r="CK252" i="4"/>
  <c r="CL252" i="4"/>
  <c r="CN252" i="4"/>
  <c r="CP252" i="4"/>
  <c r="CQ252" i="4"/>
  <c r="C253" i="4"/>
  <c r="D253" i="4"/>
  <c r="E253" i="4"/>
  <c r="F253" i="4"/>
  <c r="N253" i="4"/>
  <c r="O253" i="4"/>
  <c r="P253" i="4"/>
  <c r="Q253" i="4"/>
  <c r="R253" i="4"/>
  <c r="S253" i="4"/>
  <c r="T253" i="4"/>
  <c r="U253" i="4"/>
  <c r="V253" i="4"/>
  <c r="W253" i="4"/>
  <c r="X253" i="4"/>
  <c r="AB253" i="4"/>
  <c r="AC253" i="4"/>
  <c r="AD253" i="4"/>
  <c r="AE253" i="4"/>
  <c r="AF253" i="4"/>
  <c r="AG253" i="4"/>
  <c r="AH253" i="4"/>
  <c r="AI253" i="4"/>
  <c r="AJ253" i="4"/>
  <c r="AT253" i="4"/>
  <c r="AU253" i="4"/>
  <c r="AV253" i="4"/>
  <c r="BB253" i="4"/>
  <c r="BC253" i="4"/>
  <c r="BD253" i="4"/>
  <c r="BE253" i="4"/>
  <c r="BF253" i="4"/>
  <c r="BG253" i="4"/>
  <c r="BH253" i="4"/>
  <c r="BI253" i="4"/>
  <c r="BJ253" i="4"/>
  <c r="BL253" i="4"/>
  <c r="BM253" i="4"/>
  <c r="BN253" i="4"/>
  <c r="BO253" i="4"/>
  <c r="BT253" i="4"/>
  <c r="BU253" i="4"/>
  <c r="BV253" i="4"/>
  <c r="BW253" i="4"/>
  <c r="BX253" i="4"/>
  <c r="BY253" i="4"/>
  <c r="BZ253" i="4"/>
  <c r="CA253" i="4"/>
  <c r="CB253" i="4"/>
  <c r="CC253" i="4"/>
  <c r="CD253" i="4"/>
  <c r="CE253" i="4"/>
  <c r="CG253" i="4"/>
  <c r="CJ253" i="4"/>
  <c r="CK253" i="4"/>
  <c r="CL253" i="4"/>
  <c r="CN253" i="4"/>
  <c r="CP253" i="4"/>
  <c r="CQ253" i="4"/>
  <c r="C254" i="4"/>
  <c r="D254" i="4"/>
  <c r="E254" i="4"/>
  <c r="F254" i="4"/>
  <c r="N254" i="4"/>
  <c r="O254" i="4"/>
  <c r="P254" i="4"/>
  <c r="Q254" i="4"/>
  <c r="R254" i="4"/>
  <c r="S254" i="4"/>
  <c r="T254" i="4"/>
  <c r="U254" i="4"/>
  <c r="V254" i="4"/>
  <c r="W254" i="4"/>
  <c r="X254" i="4"/>
  <c r="AB254" i="4"/>
  <c r="AC254" i="4"/>
  <c r="AD254" i="4"/>
  <c r="AE254" i="4"/>
  <c r="AF254" i="4"/>
  <c r="AG254" i="4"/>
  <c r="AH254" i="4"/>
  <c r="AI254" i="4"/>
  <c r="AJ254" i="4"/>
  <c r="AT254" i="4"/>
  <c r="AU254" i="4"/>
  <c r="AV254" i="4"/>
  <c r="BB254" i="4"/>
  <c r="BC254" i="4"/>
  <c r="BD254" i="4"/>
  <c r="BE254" i="4"/>
  <c r="BF254" i="4"/>
  <c r="BG254" i="4"/>
  <c r="BH254" i="4"/>
  <c r="BI254" i="4"/>
  <c r="BJ254" i="4"/>
  <c r="BL254" i="4"/>
  <c r="BM254" i="4"/>
  <c r="BN254" i="4"/>
  <c r="BO254" i="4"/>
  <c r="BT254" i="4"/>
  <c r="BU254" i="4"/>
  <c r="BV254" i="4"/>
  <c r="BW254" i="4"/>
  <c r="BX254" i="4"/>
  <c r="BY254" i="4"/>
  <c r="BZ254" i="4"/>
  <c r="CA254" i="4"/>
  <c r="CB254" i="4"/>
  <c r="CC254" i="4"/>
  <c r="CD254" i="4"/>
  <c r="CE254" i="4"/>
  <c r="CG254" i="4"/>
  <c r="CJ254" i="4"/>
  <c r="CK254" i="4"/>
  <c r="CL254" i="4"/>
  <c r="CN254" i="4"/>
  <c r="CP254" i="4"/>
  <c r="CQ254" i="4"/>
  <c r="C255" i="4"/>
  <c r="D255" i="4"/>
  <c r="E255" i="4"/>
  <c r="F255" i="4"/>
  <c r="N255" i="4"/>
  <c r="O255" i="4"/>
  <c r="P255" i="4"/>
  <c r="Q255" i="4"/>
  <c r="R255" i="4"/>
  <c r="S255" i="4"/>
  <c r="T255" i="4"/>
  <c r="U255" i="4"/>
  <c r="V255" i="4"/>
  <c r="W255" i="4"/>
  <c r="X255" i="4"/>
  <c r="AB255" i="4"/>
  <c r="AC255" i="4"/>
  <c r="AD255" i="4"/>
  <c r="AE255" i="4"/>
  <c r="AF255" i="4"/>
  <c r="AG255" i="4"/>
  <c r="AH255" i="4"/>
  <c r="AI255" i="4"/>
  <c r="AJ255" i="4"/>
  <c r="AT255" i="4"/>
  <c r="AU255" i="4"/>
  <c r="AV255" i="4"/>
  <c r="BB255" i="4"/>
  <c r="BC255" i="4"/>
  <c r="BD255" i="4"/>
  <c r="BE255" i="4"/>
  <c r="BF255" i="4"/>
  <c r="BG255" i="4"/>
  <c r="BH255" i="4"/>
  <c r="BI255" i="4"/>
  <c r="BJ255" i="4"/>
  <c r="BL255" i="4"/>
  <c r="BM255" i="4"/>
  <c r="BN255" i="4"/>
  <c r="BO255" i="4"/>
  <c r="BT255" i="4"/>
  <c r="BU255" i="4"/>
  <c r="BV255" i="4"/>
  <c r="BW255" i="4"/>
  <c r="BX255" i="4"/>
  <c r="BY255" i="4"/>
  <c r="BZ255" i="4"/>
  <c r="CA255" i="4"/>
  <c r="CB255" i="4"/>
  <c r="CC255" i="4"/>
  <c r="CD255" i="4"/>
  <c r="CE255" i="4"/>
  <c r="CG255" i="4"/>
  <c r="CJ255" i="4"/>
  <c r="CK255" i="4"/>
  <c r="CL255" i="4"/>
  <c r="CN255" i="4"/>
  <c r="CP255" i="4"/>
  <c r="CQ255" i="4"/>
  <c r="C256" i="4"/>
  <c r="D256" i="4"/>
  <c r="E256" i="4"/>
  <c r="F256" i="4"/>
  <c r="N256" i="4"/>
  <c r="O256" i="4"/>
  <c r="P256" i="4"/>
  <c r="Q256" i="4"/>
  <c r="R256" i="4"/>
  <c r="S256" i="4"/>
  <c r="T256" i="4"/>
  <c r="U256" i="4"/>
  <c r="V256" i="4"/>
  <c r="W256" i="4"/>
  <c r="X256" i="4"/>
  <c r="AB256" i="4"/>
  <c r="AC256" i="4"/>
  <c r="AD256" i="4"/>
  <c r="AE256" i="4"/>
  <c r="AF256" i="4"/>
  <c r="AG256" i="4"/>
  <c r="AH256" i="4"/>
  <c r="AI256" i="4"/>
  <c r="AJ256" i="4"/>
  <c r="AT256" i="4"/>
  <c r="AU256" i="4"/>
  <c r="AV256" i="4"/>
  <c r="BB256" i="4"/>
  <c r="BC256" i="4"/>
  <c r="BD256" i="4"/>
  <c r="BE256" i="4"/>
  <c r="BF256" i="4"/>
  <c r="BG256" i="4"/>
  <c r="BH256" i="4"/>
  <c r="BI256" i="4"/>
  <c r="BJ256" i="4"/>
  <c r="BL256" i="4"/>
  <c r="BM256" i="4"/>
  <c r="BN256" i="4"/>
  <c r="BO256" i="4"/>
  <c r="BT256" i="4"/>
  <c r="BU256" i="4"/>
  <c r="BV256" i="4"/>
  <c r="BW256" i="4"/>
  <c r="BX256" i="4"/>
  <c r="BY256" i="4"/>
  <c r="BZ256" i="4"/>
  <c r="CA256" i="4"/>
  <c r="CB256" i="4"/>
  <c r="CC256" i="4"/>
  <c r="CD256" i="4"/>
  <c r="CE256" i="4"/>
  <c r="CG256" i="4"/>
  <c r="CJ256" i="4"/>
  <c r="CK256" i="4"/>
  <c r="CL256" i="4"/>
  <c r="CN256" i="4"/>
  <c r="CP256" i="4"/>
  <c r="CQ256" i="4"/>
  <c r="C257" i="4"/>
  <c r="D257" i="4"/>
  <c r="E257" i="4"/>
  <c r="F257" i="4"/>
  <c r="N257" i="4"/>
  <c r="O257" i="4"/>
  <c r="P257" i="4"/>
  <c r="Q257" i="4"/>
  <c r="R257" i="4"/>
  <c r="S257" i="4"/>
  <c r="T257" i="4"/>
  <c r="U257" i="4"/>
  <c r="V257" i="4"/>
  <c r="W257" i="4"/>
  <c r="X257" i="4"/>
  <c r="AB257" i="4"/>
  <c r="AC257" i="4"/>
  <c r="AD257" i="4"/>
  <c r="AE257" i="4"/>
  <c r="AF257" i="4"/>
  <c r="AG257" i="4"/>
  <c r="AH257" i="4"/>
  <c r="AI257" i="4"/>
  <c r="AJ257" i="4"/>
  <c r="AT257" i="4"/>
  <c r="AU257" i="4"/>
  <c r="AV257" i="4"/>
  <c r="BB257" i="4"/>
  <c r="BC257" i="4"/>
  <c r="BD257" i="4"/>
  <c r="BE257" i="4"/>
  <c r="BF257" i="4"/>
  <c r="BG257" i="4"/>
  <c r="BH257" i="4"/>
  <c r="BI257" i="4"/>
  <c r="BJ257" i="4"/>
  <c r="BL257" i="4"/>
  <c r="BM257" i="4"/>
  <c r="BN257" i="4"/>
  <c r="BO257" i="4"/>
  <c r="BT257" i="4"/>
  <c r="BU257" i="4"/>
  <c r="BV257" i="4"/>
  <c r="BW257" i="4"/>
  <c r="BX257" i="4"/>
  <c r="BY257" i="4"/>
  <c r="BZ257" i="4"/>
  <c r="CA257" i="4"/>
  <c r="CB257" i="4"/>
  <c r="CC257" i="4"/>
  <c r="CD257" i="4"/>
  <c r="CE257" i="4"/>
  <c r="CG257" i="4"/>
  <c r="CJ257" i="4"/>
  <c r="CK257" i="4"/>
  <c r="CL257" i="4"/>
  <c r="CN257" i="4"/>
  <c r="CP257" i="4"/>
  <c r="CQ257" i="4"/>
  <c r="C258" i="4"/>
  <c r="D258" i="4"/>
  <c r="E258" i="4"/>
  <c r="F258" i="4"/>
  <c r="N258" i="4"/>
  <c r="O258" i="4"/>
  <c r="P258" i="4"/>
  <c r="Q258" i="4"/>
  <c r="R258" i="4"/>
  <c r="S258" i="4"/>
  <c r="T258" i="4"/>
  <c r="U258" i="4"/>
  <c r="V258" i="4"/>
  <c r="W258" i="4"/>
  <c r="X258" i="4"/>
  <c r="AB258" i="4"/>
  <c r="AC258" i="4"/>
  <c r="AD258" i="4"/>
  <c r="AE258" i="4"/>
  <c r="AF258" i="4"/>
  <c r="AG258" i="4"/>
  <c r="AH258" i="4"/>
  <c r="AI258" i="4"/>
  <c r="AJ258" i="4"/>
  <c r="AT258" i="4"/>
  <c r="AU258" i="4"/>
  <c r="AV258" i="4"/>
  <c r="BB258" i="4"/>
  <c r="BC258" i="4"/>
  <c r="BD258" i="4"/>
  <c r="BE258" i="4"/>
  <c r="BF258" i="4"/>
  <c r="BG258" i="4"/>
  <c r="BH258" i="4"/>
  <c r="BI258" i="4"/>
  <c r="BJ258" i="4"/>
  <c r="BL258" i="4"/>
  <c r="BM258" i="4"/>
  <c r="BN258" i="4"/>
  <c r="BO258" i="4"/>
  <c r="BT258" i="4"/>
  <c r="BU258" i="4"/>
  <c r="BV258" i="4"/>
  <c r="BW258" i="4"/>
  <c r="BX258" i="4"/>
  <c r="BY258" i="4"/>
  <c r="BZ258" i="4"/>
  <c r="CA258" i="4"/>
  <c r="CB258" i="4"/>
  <c r="CC258" i="4"/>
  <c r="CD258" i="4"/>
  <c r="CE258" i="4"/>
  <c r="CG258" i="4"/>
  <c r="CJ258" i="4"/>
  <c r="CK258" i="4"/>
  <c r="CL258" i="4"/>
  <c r="CN258" i="4"/>
  <c r="CP258" i="4"/>
  <c r="CQ258" i="4"/>
  <c r="C259" i="4"/>
  <c r="D259" i="4"/>
  <c r="E259" i="4"/>
  <c r="F259" i="4"/>
  <c r="N259" i="4"/>
  <c r="O259" i="4"/>
  <c r="P259" i="4"/>
  <c r="Q259" i="4"/>
  <c r="R259" i="4"/>
  <c r="S259" i="4"/>
  <c r="T259" i="4"/>
  <c r="U259" i="4"/>
  <c r="V259" i="4"/>
  <c r="W259" i="4"/>
  <c r="X259" i="4"/>
  <c r="AB259" i="4"/>
  <c r="AC259" i="4"/>
  <c r="AD259" i="4"/>
  <c r="AE259" i="4"/>
  <c r="AF259" i="4"/>
  <c r="AG259" i="4"/>
  <c r="AH259" i="4"/>
  <c r="AI259" i="4"/>
  <c r="AJ259" i="4"/>
  <c r="AT259" i="4"/>
  <c r="AU259" i="4"/>
  <c r="AV259" i="4"/>
  <c r="BB259" i="4"/>
  <c r="BC259" i="4"/>
  <c r="BD259" i="4"/>
  <c r="BE259" i="4"/>
  <c r="BF259" i="4"/>
  <c r="BG259" i="4"/>
  <c r="BH259" i="4"/>
  <c r="BI259" i="4"/>
  <c r="BJ259" i="4"/>
  <c r="BL259" i="4"/>
  <c r="BM259" i="4"/>
  <c r="BN259" i="4"/>
  <c r="BO259" i="4"/>
  <c r="BT259" i="4"/>
  <c r="BU259" i="4"/>
  <c r="BV259" i="4"/>
  <c r="BW259" i="4"/>
  <c r="BX259" i="4"/>
  <c r="BY259" i="4"/>
  <c r="BZ259" i="4"/>
  <c r="CA259" i="4"/>
  <c r="CB259" i="4"/>
  <c r="CC259" i="4"/>
  <c r="CD259" i="4"/>
  <c r="CE259" i="4"/>
  <c r="CG259" i="4"/>
  <c r="CJ259" i="4"/>
  <c r="CK259" i="4"/>
  <c r="CL259" i="4"/>
  <c r="CN259" i="4"/>
  <c r="CP259" i="4"/>
  <c r="CQ259" i="4"/>
  <c r="C260" i="4"/>
  <c r="D260" i="4"/>
  <c r="E260" i="4"/>
  <c r="F260" i="4"/>
  <c r="N260" i="4"/>
  <c r="O260" i="4"/>
  <c r="P260" i="4"/>
  <c r="Q260" i="4"/>
  <c r="R260" i="4"/>
  <c r="S260" i="4"/>
  <c r="T260" i="4"/>
  <c r="U260" i="4"/>
  <c r="V260" i="4"/>
  <c r="W260" i="4"/>
  <c r="X260" i="4"/>
  <c r="AB260" i="4"/>
  <c r="AC260" i="4"/>
  <c r="AD260" i="4"/>
  <c r="AE260" i="4"/>
  <c r="AF260" i="4"/>
  <c r="AG260" i="4"/>
  <c r="AH260" i="4"/>
  <c r="AI260" i="4"/>
  <c r="AJ260" i="4"/>
  <c r="AT260" i="4"/>
  <c r="AU260" i="4"/>
  <c r="AV260" i="4"/>
  <c r="BB260" i="4"/>
  <c r="BC260" i="4"/>
  <c r="BD260" i="4"/>
  <c r="BE260" i="4"/>
  <c r="BF260" i="4"/>
  <c r="BG260" i="4"/>
  <c r="BH260" i="4"/>
  <c r="BI260" i="4"/>
  <c r="BJ260" i="4"/>
  <c r="BL260" i="4"/>
  <c r="BM260" i="4"/>
  <c r="BN260" i="4"/>
  <c r="BO260" i="4"/>
  <c r="BT260" i="4"/>
  <c r="BU260" i="4"/>
  <c r="BV260" i="4"/>
  <c r="BW260" i="4"/>
  <c r="BX260" i="4"/>
  <c r="BY260" i="4"/>
  <c r="BZ260" i="4"/>
  <c r="CA260" i="4"/>
  <c r="CB260" i="4"/>
  <c r="CC260" i="4"/>
  <c r="CD260" i="4"/>
  <c r="CE260" i="4"/>
  <c r="CG260" i="4"/>
  <c r="CJ260" i="4"/>
  <c r="CK260" i="4"/>
  <c r="CL260" i="4"/>
  <c r="CN260" i="4"/>
  <c r="CP260" i="4"/>
  <c r="CQ260" i="4"/>
  <c r="C261" i="4"/>
  <c r="D261" i="4"/>
  <c r="E261" i="4"/>
  <c r="F261" i="4"/>
  <c r="N261" i="4"/>
  <c r="O261" i="4"/>
  <c r="P261" i="4"/>
  <c r="Q261" i="4"/>
  <c r="R261" i="4"/>
  <c r="S261" i="4"/>
  <c r="T261" i="4"/>
  <c r="U261" i="4"/>
  <c r="V261" i="4"/>
  <c r="W261" i="4"/>
  <c r="X261" i="4"/>
  <c r="AB261" i="4"/>
  <c r="AC261" i="4"/>
  <c r="AD261" i="4"/>
  <c r="AE261" i="4"/>
  <c r="AF261" i="4"/>
  <c r="AG261" i="4"/>
  <c r="AH261" i="4"/>
  <c r="AI261" i="4"/>
  <c r="AJ261" i="4"/>
  <c r="AT261" i="4"/>
  <c r="AU261" i="4"/>
  <c r="AV261" i="4"/>
  <c r="BB261" i="4"/>
  <c r="BC261" i="4"/>
  <c r="BD261" i="4"/>
  <c r="BE261" i="4"/>
  <c r="BF261" i="4"/>
  <c r="BG261" i="4"/>
  <c r="BH261" i="4"/>
  <c r="BI261" i="4"/>
  <c r="BJ261" i="4"/>
  <c r="BL261" i="4"/>
  <c r="BM261" i="4"/>
  <c r="BN261" i="4"/>
  <c r="BO261" i="4"/>
  <c r="BT261" i="4"/>
  <c r="BU261" i="4"/>
  <c r="BV261" i="4"/>
  <c r="BW261" i="4"/>
  <c r="BX261" i="4"/>
  <c r="BY261" i="4"/>
  <c r="BZ261" i="4"/>
  <c r="CA261" i="4"/>
  <c r="CB261" i="4"/>
  <c r="CC261" i="4"/>
  <c r="CD261" i="4"/>
  <c r="CE261" i="4"/>
  <c r="CG261" i="4"/>
  <c r="CJ261" i="4"/>
  <c r="CK261" i="4"/>
  <c r="CL261" i="4"/>
  <c r="CN261" i="4"/>
  <c r="CP261" i="4"/>
  <c r="CQ261" i="4"/>
  <c r="C262" i="4"/>
  <c r="D262" i="4"/>
  <c r="E262" i="4"/>
  <c r="F262" i="4"/>
  <c r="N262" i="4"/>
  <c r="O262" i="4"/>
  <c r="P262" i="4"/>
  <c r="Q262" i="4"/>
  <c r="R262" i="4"/>
  <c r="S262" i="4"/>
  <c r="T262" i="4"/>
  <c r="U262" i="4"/>
  <c r="V262" i="4"/>
  <c r="W262" i="4"/>
  <c r="X262" i="4"/>
  <c r="AB262" i="4"/>
  <c r="AC262" i="4"/>
  <c r="AD262" i="4"/>
  <c r="AE262" i="4"/>
  <c r="AF262" i="4"/>
  <c r="AG262" i="4"/>
  <c r="AH262" i="4"/>
  <c r="AI262" i="4"/>
  <c r="AJ262" i="4"/>
  <c r="AT262" i="4"/>
  <c r="AU262" i="4"/>
  <c r="AV262" i="4"/>
  <c r="BB262" i="4"/>
  <c r="BC262" i="4"/>
  <c r="BD262" i="4"/>
  <c r="BE262" i="4"/>
  <c r="BF262" i="4"/>
  <c r="BG262" i="4"/>
  <c r="BH262" i="4"/>
  <c r="BI262" i="4"/>
  <c r="BJ262" i="4"/>
  <c r="BL262" i="4"/>
  <c r="BM262" i="4"/>
  <c r="BN262" i="4"/>
  <c r="BO262" i="4"/>
  <c r="BT262" i="4"/>
  <c r="BU262" i="4"/>
  <c r="BV262" i="4"/>
  <c r="BW262" i="4"/>
  <c r="BX262" i="4"/>
  <c r="BY262" i="4"/>
  <c r="BZ262" i="4"/>
  <c r="CA262" i="4"/>
  <c r="CB262" i="4"/>
  <c r="CC262" i="4"/>
  <c r="CD262" i="4"/>
  <c r="CE262" i="4"/>
  <c r="CG262" i="4"/>
  <c r="CJ262" i="4"/>
  <c r="CK262" i="4"/>
  <c r="CL262" i="4"/>
  <c r="CN262" i="4"/>
  <c r="CP262" i="4"/>
  <c r="CQ262" i="4"/>
  <c r="C263" i="4"/>
  <c r="D263" i="4"/>
  <c r="E263" i="4"/>
  <c r="F263" i="4"/>
  <c r="N263" i="4"/>
  <c r="O263" i="4"/>
  <c r="P263" i="4"/>
  <c r="Q263" i="4"/>
  <c r="R263" i="4"/>
  <c r="S263" i="4"/>
  <c r="T263" i="4"/>
  <c r="U263" i="4"/>
  <c r="V263" i="4"/>
  <c r="W263" i="4"/>
  <c r="X263" i="4"/>
  <c r="AB263" i="4"/>
  <c r="AC263" i="4"/>
  <c r="AD263" i="4"/>
  <c r="AE263" i="4"/>
  <c r="AF263" i="4"/>
  <c r="AG263" i="4"/>
  <c r="AH263" i="4"/>
  <c r="AI263" i="4"/>
  <c r="AJ263" i="4"/>
  <c r="AT263" i="4"/>
  <c r="AU263" i="4"/>
  <c r="AV263" i="4"/>
  <c r="BB263" i="4"/>
  <c r="BC263" i="4"/>
  <c r="BD263" i="4"/>
  <c r="BE263" i="4"/>
  <c r="BF263" i="4"/>
  <c r="BG263" i="4"/>
  <c r="BH263" i="4"/>
  <c r="BI263" i="4"/>
  <c r="BJ263" i="4"/>
  <c r="BL263" i="4"/>
  <c r="BM263" i="4"/>
  <c r="BN263" i="4"/>
  <c r="BO263" i="4"/>
  <c r="BT263" i="4"/>
  <c r="BU263" i="4"/>
  <c r="BV263" i="4"/>
  <c r="BW263" i="4"/>
  <c r="BX263" i="4"/>
  <c r="BY263" i="4"/>
  <c r="BZ263" i="4"/>
  <c r="CA263" i="4"/>
  <c r="CB263" i="4"/>
  <c r="CC263" i="4"/>
  <c r="CD263" i="4"/>
  <c r="CE263" i="4"/>
  <c r="CG263" i="4"/>
  <c r="CJ263" i="4"/>
  <c r="CK263" i="4"/>
  <c r="CL263" i="4"/>
  <c r="CN263" i="4"/>
  <c r="CP263" i="4"/>
  <c r="CQ263" i="4"/>
  <c r="C264" i="4"/>
  <c r="D264" i="4"/>
  <c r="E264" i="4"/>
  <c r="F264" i="4"/>
  <c r="N264" i="4"/>
  <c r="O264" i="4"/>
  <c r="P264" i="4"/>
  <c r="Q264" i="4"/>
  <c r="R264" i="4"/>
  <c r="S264" i="4"/>
  <c r="T264" i="4"/>
  <c r="U264" i="4"/>
  <c r="V264" i="4"/>
  <c r="W264" i="4"/>
  <c r="X264" i="4"/>
  <c r="AB264" i="4"/>
  <c r="AC264" i="4"/>
  <c r="AD264" i="4"/>
  <c r="AE264" i="4"/>
  <c r="AF264" i="4"/>
  <c r="AG264" i="4"/>
  <c r="AH264" i="4"/>
  <c r="AI264" i="4"/>
  <c r="AJ264" i="4"/>
  <c r="AT264" i="4"/>
  <c r="AU264" i="4"/>
  <c r="AV264" i="4"/>
  <c r="BB264" i="4"/>
  <c r="BC264" i="4"/>
  <c r="BD264" i="4"/>
  <c r="BE264" i="4"/>
  <c r="BF264" i="4"/>
  <c r="BG264" i="4"/>
  <c r="BH264" i="4"/>
  <c r="BI264" i="4"/>
  <c r="BJ264" i="4"/>
  <c r="BL264" i="4"/>
  <c r="BM264" i="4"/>
  <c r="BN264" i="4"/>
  <c r="BO264" i="4"/>
  <c r="BT264" i="4"/>
  <c r="BU264" i="4"/>
  <c r="BV264" i="4"/>
  <c r="BW264" i="4"/>
  <c r="BX264" i="4"/>
  <c r="BY264" i="4"/>
  <c r="BZ264" i="4"/>
  <c r="CA264" i="4"/>
  <c r="CB264" i="4"/>
  <c r="CC264" i="4"/>
  <c r="CD264" i="4"/>
  <c r="CE264" i="4"/>
  <c r="CG264" i="4"/>
  <c r="CJ264" i="4"/>
  <c r="CK264" i="4"/>
  <c r="CL264" i="4"/>
  <c r="CN264" i="4"/>
  <c r="CP264" i="4"/>
  <c r="CQ264" i="4"/>
  <c r="C265" i="4"/>
  <c r="D265" i="4"/>
  <c r="E265" i="4"/>
  <c r="F265" i="4"/>
  <c r="N265" i="4"/>
  <c r="O265" i="4"/>
  <c r="P265" i="4"/>
  <c r="Q265" i="4"/>
  <c r="R265" i="4"/>
  <c r="S265" i="4"/>
  <c r="T265" i="4"/>
  <c r="U265" i="4"/>
  <c r="V265" i="4"/>
  <c r="W265" i="4"/>
  <c r="X265" i="4"/>
  <c r="AB265" i="4"/>
  <c r="AC265" i="4"/>
  <c r="AD265" i="4"/>
  <c r="AE265" i="4"/>
  <c r="AF265" i="4"/>
  <c r="AG265" i="4"/>
  <c r="AH265" i="4"/>
  <c r="AI265" i="4"/>
  <c r="AJ265" i="4"/>
  <c r="AT265" i="4"/>
  <c r="AU265" i="4"/>
  <c r="AV265" i="4"/>
  <c r="BB265" i="4"/>
  <c r="BC265" i="4"/>
  <c r="BD265" i="4"/>
  <c r="BE265" i="4"/>
  <c r="BF265" i="4"/>
  <c r="BG265" i="4"/>
  <c r="BH265" i="4"/>
  <c r="BI265" i="4"/>
  <c r="BJ265" i="4"/>
  <c r="BL265" i="4"/>
  <c r="BM265" i="4"/>
  <c r="BN265" i="4"/>
  <c r="BO265" i="4"/>
  <c r="BT265" i="4"/>
  <c r="BU265" i="4"/>
  <c r="BV265" i="4"/>
  <c r="BW265" i="4"/>
  <c r="BX265" i="4"/>
  <c r="BY265" i="4"/>
  <c r="BZ265" i="4"/>
  <c r="CA265" i="4"/>
  <c r="CB265" i="4"/>
  <c r="CC265" i="4"/>
  <c r="CD265" i="4"/>
  <c r="CE265" i="4"/>
  <c r="CG265" i="4"/>
  <c r="CJ265" i="4"/>
  <c r="CK265" i="4"/>
  <c r="CL265" i="4"/>
  <c r="CN265" i="4"/>
  <c r="CP265" i="4"/>
  <c r="CQ265" i="4"/>
  <c r="C266" i="4"/>
  <c r="D266" i="4"/>
  <c r="E266" i="4"/>
  <c r="F266" i="4"/>
  <c r="N266" i="4"/>
  <c r="O266" i="4"/>
  <c r="P266" i="4"/>
  <c r="Q266" i="4"/>
  <c r="R266" i="4"/>
  <c r="S266" i="4"/>
  <c r="T266" i="4"/>
  <c r="U266" i="4"/>
  <c r="V266" i="4"/>
  <c r="W266" i="4"/>
  <c r="X266" i="4"/>
  <c r="AB266" i="4"/>
  <c r="AC266" i="4"/>
  <c r="AD266" i="4"/>
  <c r="AE266" i="4"/>
  <c r="AF266" i="4"/>
  <c r="AG266" i="4"/>
  <c r="AH266" i="4"/>
  <c r="AI266" i="4"/>
  <c r="AJ266" i="4"/>
  <c r="AT266" i="4"/>
  <c r="AU266" i="4"/>
  <c r="AV266" i="4"/>
  <c r="BB266" i="4"/>
  <c r="BC266" i="4"/>
  <c r="BD266" i="4"/>
  <c r="BE266" i="4"/>
  <c r="BF266" i="4"/>
  <c r="BG266" i="4"/>
  <c r="BH266" i="4"/>
  <c r="BI266" i="4"/>
  <c r="BJ266" i="4"/>
  <c r="BL266" i="4"/>
  <c r="BM266" i="4"/>
  <c r="BN266" i="4"/>
  <c r="BO266" i="4"/>
  <c r="BT266" i="4"/>
  <c r="BU266" i="4"/>
  <c r="BV266" i="4"/>
  <c r="BW266" i="4"/>
  <c r="BX266" i="4"/>
  <c r="BY266" i="4"/>
  <c r="BZ266" i="4"/>
  <c r="CA266" i="4"/>
  <c r="CB266" i="4"/>
  <c r="CC266" i="4"/>
  <c r="CD266" i="4"/>
  <c r="CE266" i="4"/>
  <c r="CG266" i="4"/>
  <c r="CJ266" i="4"/>
  <c r="CK266" i="4"/>
  <c r="CL266" i="4"/>
  <c r="CN266" i="4"/>
  <c r="CP266" i="4"/>
  <c r="CQ266" i="4"/>
  <c r="C267" i="4"/>
  <c r="D267" i="4"/>
  <c r="E267" i="4"/>
  <c r="F267" i="4"/>
  <c r="N267" i="4"/>
  <c r="O267" i="4"/>
  <c r="P267" i="4"/>
  <c r="Q267" i="4"/>
  <c r="R267" i="4"/>
  <c r="S267" i="4"/>
  <c r="T267" i="4"/>
  <c r="U267" i="4"/>
  <c r="V267" i="4"/>
  <c r="W267" i="4"/>
  <c r="X267" i="4"/>
  <c r="AB267" i="4"/>
  <c r="AC267" i="4"/>
  <c r="AD267" i="4"/>
  <c r="AE267" i="4"/>
  <c r="AF267" i="4"/>
  <c r="AG267" i="4"/>
  <c r="AH267" i="4"/>
  <c r="AI267" i="4"/>
  <c r="AJ267" i="4"/>
  <c r="AT267" i="4"/>
  <c r="AU267" i="4"/>
  <c r="AV267" i="4"/>
  <c r="BB267" i="4"/>
  <c r="BC267" i="4"/>
  <c r="BD267" i="4"/>
  <c r="BE267" i="4"/>
  <c r="BF267" i="4"/>
  <c r="BG267" i="4"/>
  <c r="BH267" i="4"/>
  <c r="BI267" i="4"/>
  <c r="BJ267" i="4"/>
  <c r="BL267" i="4"/>
  <c r="BM267" i="4"/>
  <c r="BN267" i="4"/>
  <c r="BO267" i="4"/>
  <c r="BT267" i="4"/>
  <c r="BU267" i="4"/>
  <c r="BV267" i="4"/>
  <c r="BW267" i="4"/>
  <c r="BX267" i="4"/>
  <c r="BY267" i="4"/>
  <c r="BZ267" i="4"/>
  <c r="CA267" i="4"/>
  <c r="CB267" i="4"/>
  <c r="CC267" i="4"/>
  <c r="CD267" i="4"/>
  <c r="CE267" i="4"/>
  <c r="CG267" i="4"/>
  <c r="CJ267" i="4"/>
  <c r="CK267" i="4"/>
  <c r="CL267" i="4"/>
  <c r="CN267" i="4"/>
  <c r="CP267" i="4"/>
  <c r="CQ267" i="4"/>
  <c r="C268" i="4"/>
  <c r="D268" i="4"/>
  <c r="E268" i="4"/>
  <c r="F268" i="4"/>
  <c r="N268" i="4"/>
  <c r="O268" i="4"/>
  <c r="P268" i="4"/>
  <c r="Q268" i="4"/>
  <c r="R268" i="4"/>
  <c r="S268" i="4"/>
  <c r="T268" i="4"/>
  <c r="U268" i="4"/>
  <c r="V268" i="4"/>
  <c r="W268" i="4"/>
  <c r="X268" i="4"/>
  <c r="AB268" i="4"/>
  <c r="AC268" i="4"/>
  <c r="AD268" i="4"/>
  <c r="AE268" i="4"/>
  <c r="AF268" i="4"/>
  <c r="AG268" i="4"/>
  <c r="AH268" i="4"/>
  <c r="AI268" i="4"/>
  <c r="AJ268" i="4"/>
  <c r="AT268" i="4"/>
  <c r="AU268" i="4"/>
  <c r="AV268" i="4"/>
  <c r="BB268" i="4"/>
  <c r="BC268" i="4"/>
  <c r="BD268" i="4"/>
  <c r="BE268" i="4"/>
  <c r="BF268" i="4"/>
  <c r="BG268" i="4"/>
  <c r="BH268" i="4"/>
  <c r="BI268" i="4"/>
  <c r="BJ268" i="4"/>
  <c r="BL268" i="4"/>
  <c r="BM268" i="4"/>
  <c r="BN268" i="4"/>
  <c r="BO268" i="4"/>
  <c r="BT268" i="4"/>
  <c r="BU268" i="4"/>
  <c r="BV268" i="4"/>
  <c r="BW268" i="4"/>
  <c r="BX268" i="4"/>
  <c r="BY268" i="4"/>
  <c r="BZ268" i="4"/>
  <c r="CA268" i="4"/>
  <c r="CB268" i="4"/>
  <c r="CC268" i="4"/>
  <c r="CD268" i="4"/>
  <c r="CE268" i="4"/>
  <c r="CG268" i="4"/>
  <c r="CJ268" i="4"/>
  <c r="CK268" i="4"/>
  <c r="CL268" i="4"/>
  <c r="CN268" i="4"/>
  <c r="CP268" i="4"/>
  <c r="CQ268" i="4"/>
  <c r="C269" i="4"/>
  <c r="D269" i="4"/>
  <c r="E269" i="4"/>
  <c r="F269" i="4"/>
  <c r="N269" i="4"/>
  <c r="O269" i="4"/>
  <c r="P269" i="4"/>
  <c r="Q269" i="4"/>
  <c r="R269" i="4"/>
  <c r="S269" i="4"/>
  <c r="T269" i="4"/>
  <c r="U269" i="4"/>
  <c r="V269" i="4"/>
  <c r="W269" i="4"/>
  <c r="X269" i="4"/>
  <c r="AB269" i="4"/>
  <c r="AC269" i="4"/>
  <c r="AD269" i="4"/>
  <c r="AE269" i="4"/>
  <c r="AF269" i="4"/>
  <c r="AG269" i="4"/>
  <c r="AH269" i="4"/>
  <c r="AI269" i="4"/>
  <c r="AJ269" i="4"/>
  <c r="AT269" i="4"/>
  <c r="AU269" i="4"/>
  <c r="AV269" i="4"/>
  <c r="BB269" i="4"/>
  <c r="BC269" i="4"/>
  <c r="BD269" i="4"/>
  <c r="BE269" i="4"/>
  <c r="BF269" i="4"/>
  <c r="BG269" i="4"/>
  <c r="BH269" i="4"/>
  <c r="BI269" i="4"/>
  <c r="BJ269" i="4"/>
  <c r="BL269" i="4"/>
  <c r="BM269" i="4"/>
  <c r="BN269" i="4"/>
  <c r="BO269" i="4"/>
  <c r="BT269" i="4"/>
  <c r="BU269" i="4"/>
  <c r="BV269" i="4"/>
  <c r="BW269" i="4"/>
  <c r="BX269" i="4"/>
  <c r="BY269" i="4"/>
  <c r="BZ269" i="4"/>
  <c r="CA269" i="4"/>
  <c r="CB269" i="4"/>
  <c r="CC269" i="4"/>
  <c r="CD269" i="4"/>
  <c r="CE269" i="4"/>
  <c r="CG269" i="4"/>
  <c r="CJ269" i="4"/>
  <c r="CK269" i="4"/>
  <c r="CL269" i="4"/>
  <c r="CN269" i="4"/>
  <c r="CP269" i="4"/>
  <c r="CQ269" i="4"/>
  <c r="C270" i="4"/>
  <c r="D270" i="4"/>
  <c r="E270" i="4"/>
  <c r="F270" i="4"/>
  <c r="N270" i="4"/>
  <c r="O270" i="4"/>
  <c r="P270" i="4"/>
  <c r="Q270" i="4"/>
  <c r="R270" i="4"/>
  <c r="S270" i="4"/>
  <c r="T270" i="4"/>
  <c r="U270" i="4"/>
  <c r="V270" i="4"/>
  <c r="W270" i="4"/>
  <c r="X270" i="4"/>
  <c r="AB270" i="4"/>
  <c r="AC270" i="4"/>
  <c r="AD270" i="4"/>
  <c r="AE270" i="4"/>
  <c r="AF270" i="4"/>
  <c r="AG270" i="4"/>
  <c r="AH270" i="4"/>
  <c r="AI270" i="4"/>
  <c r="AJ270" i="4"/>
  <c r="AT270" i="4"/>
  <c r="AU270" i="4"/>
  <c r="AV270" i="4"/>
  <c r="BB270" i="4"/>
  <c r="BC270" i="4"/>
  <c r="BD270" i="4"/>
  <c r="BE270" i="4"/>
  <c r="BF270" i="4"/>
  <c r="BG270" i="4"/>
  <c r="BH270" i="4"/>
  <c r="BI270" i="4"/>
  <c r="BJ270" i="4"/>
  <c r="BL270" i="4"/>
  <c r="BM270" i="4"/>
  <c r="BN270" i="4"/>
  <c r="BO270" i="4"/>
  <c r="BT270" i="4"/>
  <c r="BU270" i="4"/>
  <c r="BV270" i="4"/>
  <c r="BW270" i="4"/>
  <c r="BX270" i="4"/>
  <c r="BY270" i="4"/>
  <c r="BZ270" i="4"/>
  <c r="CA270" i="4"/>
  <c r="CB270" i="4"/>
  <c r="CC270" i="4"/>
  <c r="CD270" i="4"/>
  <c r="CE270" i="4"/>
  <c r="CG270" i="4"/>
  <c r="CJ270" i="4"/>
  <c r="CK270" i="4"/>
  <c r="CL270" i="4"/>
  <c r="CN270" i="4"/>
  <c r="CP270" i="4"/>
  <c r="CQ270" i="4"/>
  <c r="C271" i="4"/>
  <c r="D271" i="4"/>
  <c r="E271" i="4"/>
  <c r="F271" i="4"/>
  <c r="N271" i="4"/>
  <c r="O271" i="4"/>
  <c r="P271" i="4"/>
  <c r="Q271" i="4"/>
  <c r="R271" i="4"/>
  <c r="S271" i="4"/>
  <c r="T271" i="4"/>
  <c r="U271" i="4"/>
  <c r="V271" i="4"/>
  <c r="W271" i="4"/>
  <c r="X271" i="4"/>
  <c r="AB271" i="4"/>
  <c r="AC271" i="4"/>
  <c r="AD271" i="4"/>
  <c r="AE271" i="4"/>
  <c r="AF271" i="4"/>
  <c r="AG271" i="4"/>
  <c r="AH271" i="4"/>
  <c r="AI271" i="4"/>
  <c r="AJ271" i="4"/>
  <c r="AT271" i="4"/>
  <c r="AU271" i="4"/>
  <c r="AV271" i="4"/>
  <c r="BB271" i="4"/>
  <c r="BC271" i="4"/>
  <c r="BD271" i="4"/>
  <c r="BE271" i="4"/>
  <c r="BF271" i="4"/>
  <c r="BG271" i="4"/>
  <c r="BH271" i="4"/>
  <c r="BI271" i="4"/>
  <c r="BJ271" i="4"/>
  <c r="BL271" i="4"/>
  <c r="BM271" i="4"/>
  <c r="BN271" i="4"/>
  <c r="BO271" i="4"/>
  <c r="BT271" i="4"/>
  <c r="BU271" i="4"/>
  <c r="BV271" i="4"/>
  <c r="BW271" i="4"/>
  <c r="BX271" i="4"/>
  <c r="BY271" i="4"/>
  <c r="BZ271" i="4"/>
  <c r="CA271" i="4"/>
  <c r="CB271" i="4"/>
  <c r="CC271" i="4"/>
  <c r="CD271" i="4"/>
  <c r="CE271" i="4"/>
  <c r="CG271" i="4"/>
  <c r="CJ271" i="4"/>
  <c r="CK271" i="4"/>
  <c r="CL271" i="4"/>
  <c r="CN271" i="4"/>
  <c r="CP271" i="4"/>
  <c r="CQ271" i="4"/>
  <c r="C272" i="4"/>
  <c r="D272" i="4"/>
  <c r="E272" i="4"/>
  <c r="F272" i="4"/>
  <c r="N272" i="4"/>
  <c r="O272" i="4"/>
  <c r="P272" i="4"/>
  <c r="Q272" i="4"/>
  <c r="R272" i="4"/>
  <c r="S272" i="4"/>
  <c r="T272" i="4"/>
  <c r="U272" i="4"/>
  <c r="V272" i="4"/>
  <c r="W272" i="4"/>
  <c r="X272" i="4"/>
  <c r="AB272" i="4"/>
  <c r="AC272" i="4"/>
  <c r="AD272" i="4"/>
  <c r="AE272" i="4"/>
  <c r="AF272" i="4"/>
  <c r="AG272" i="4"/>
  <c r="AH272" i="4"/>
  <c r="AI272" i="4"/>
  <c r="AJ272" i="4"/>
  <c r="AT272" i="4"/>
  <c r="AU272" i="4"/>
  <c r="AV272" i="4"/>
  <c r="BB272" i="4"/>
  <c r="BC272" i="4"/>
  <c r="BD272" i="4"/>
  <c r="BE272" i="4"/>
  <c r="BF272" i="4"/>
  <c r="BG272" i="4"/>
  <c r="BH272" i="4"/>
  <c r="BI272" i="4"/>
  <c r="BJ272" i="4"/>
  <c r="BL272" i="4"/>
  <c r="BM272" i="4"/>
  <c r="BN272" i="4"/>
  <c r="BO272" i="4"/>
  <c r="BT272" i="4"/>
  <c r="BU272" i="4"/>
  <c r="BV272" i="4"/>
  <c r="BW272" i="4"/>
  <c r="BX272" i="4"/>
  <c r="BY272" i="4"/>
  <c r="BZ272" i="4"/>
  <c r="CA272" i="4"/>
  <c r="CB272" i="4"/>
  <c r="CC272" i="4"/>
  <c r="CD272" i="4"/>
  <c r="CE272" i="4"/>
  <c r="CG272" i="4"/>
  <c r="CJ272" i="4"/>
  <c r="CK272" i="4"/>
  <c r="CL272" i="4"/>
  <c r="CN272" i="4"/>
  <c r="CP272" i="4"/>
  <c r="CQ272" i="4"/>
  <c r="C273" i="4"/>
  <c r="D273" i="4"/>
  <c r="E273" i="4"/>
  <c r="F273" i="4"/>
  <c r="N273" i="4"/>
  <c r="O273" i="4"/>
  <c r="P273" i="4"/>
  <c r="Q273" i="4"/>
  <c r="R273" i="4"/>
  <c r="S273" i="4"/>
  <c r="T273" i="4"/>
  <c r="U273" i="4"/>
  <c r="V273" i="4"/>
  <c r="W273" i="4"/>
  <c r="X273" i="4"/>
  <c r="AB273" i="4"/>
  <c r="AC273" i="4"/>
  <c r="AD273" i="4"/>
  <c r="AE273" i="4"/>
  <c r="AF273" i="4"/>
  <c r="AG273" i="4"/>
  <c r="AH273" i="4"/>
  <c r="AI273" i="4"/>
  <c r="AJ273" i="4"/>
  <c r="AT273" i="4"/>
  <c r="AU273" i="4"/>
  <c r="AV273" i="4"/>
  <c r="BB273" i="4"/>
  <c r="BC273" i="4"/>
  <c r="BD273" i="4"/>
  <c r="BE273" i="4"/>
  <c r="BF273" i="4"/>
  <c r="BG273" i="4"/>
  <c r="BH273" i="4"/>
  <c r="BI273" i="4"/>
  <c r="BJ273" i="4"/>
  <c r="BL273" i="4"/>
  <c r="BM273" i="4"/>
  <c r="BN273" i="4"/>
  <c r="BO273" i="4"/>
  <c r="BT273" i="4"/>
  <c r="BU273" i="4"/>
  <c r="BV273" i="4"/>
  <c r="BW273" i="4"/>
  <c r="BX273" i="4"/>
  <c r="BY273" i="4"/>
  <c r="BZ273" i="4"/>
  <c r="CA273" i="4"/>
  <c r="CB273" i="4"/>
  <c r="CC273" i="4"/>
  <c r="CD273" i="4"/>
  <c r="CE273" i="4"/>
  <c r="CG273" i="4"/>
  <c r="CJ273" i="4"/>
  <c r="CK273" i="4"/>
  <c r="CL273" i="4"/>
  <c r="CN273" i="4"/>
  <c r="CP273" i="4"/>
  <c r="CQ273" i="4"/>
  <c r="C274" i="4"/>
  <c r="D274" i="4"/>
  <c r="E274" i="4"/>
  <c r="F274" i="4"/>
  <c r="N274" i="4"/>
  <c r="O274" i="4"/>
  <c r="P274" i="4"/>
  <c r="Q274" i="4"/>
  <c r="R274" i="4"/>
  <c r="S274" i="4"/>
  <c r="T274" i="4"/>
  <c r="U274" i="4"/>
  <c r="V274" i="4"/>
  <c r="W274" i="4"/>
  <c r="X274" i="4"/>
  <c r="AB274" i="4"/>
  <c r="AC274" i="4"/>
  <c r="AD274" i="4"/>
  <c r="AE274" i="4"/>
  <c r="AF274" i="4"/>
  <c r="AG274" i="4"/>
  <c r="AH274" i="4"/>
  <c r="AI274" i="4"/>
  <c r="AJ274" i="4"/>
  <c r="AT274" i="4"/>
  <c r="AU274" i="4"/>
  <c r="AV274" i="4"/>
  <c r="BB274" i="4"/>
  <c r="BC274" i="4"/>
  <c r="BD274" i="4"/>
  <c r="BE274" i="4"/>
  <c r="BF274" i="4"/>
  <c r="BG274" i="4"/>
  <c r="BH274" i="4"/>
  <c r="BI274" i="4"/>
  <c r="BJ274" i="4"/>
  <c r="BL274" i="4"/>
  <c r="BM274" i="4"/>
  <c r="BN274" i="4"/>
  <c r="BO274" i="4"/>
  <c r="BT274" i="4"/>
  <c r="BU274" i="4"/>
  <c r="BV274" i="4"/>
  <c r="BW274" i="4"/>
  <c r="BX274" i="4"/>
  <c r="BY274" i="4"/>
  <c r="BZ274" i="4"/>
  <c r="CA274" i="4"/>
  <c r="CB274" i="4"/>
  <c r="CC274" i="4"/>
  <c r="CD274" i="4"/>
  <c r="CE274" i="4"/>
  <c r="CG274" i="4"/>
  <c r="CJ274" i="4"/>
  <c r="CK274" i="4"/>
  <c r="CL274" i="4"/>
  <c r="CN274" i="4"/>
  <c r="CP274" i="4"/>
  <c r="CQ274" i="4"/>
  <c r="C275" i="4"/>
  <c r="D275" i="4"/>
  <c r="E275" i="4"/>
  <c r="F275" i="4"/>
  <c r="N275" i="4"/>
  <c r="O275" i="4"/>
  <c r="P275" i="4"/>
  <c r="Q275" i="4"/>
  <c r="R275" i="4"/>
  <c r="S275" i="4"/>
  <c r="T275" i="4"/>
  <c r="U275" i="4"/>
  <c r="V275" i="4"/>
  <c r="W275" i="4"/>
  <c r="X275" i="4"/>
  <c r="AB275" i="4"/>
  <c r="AC275" i="4"/>
  <c r="AD275" i="4"/>
  <c r="AE275" i="4"/>
  <c r="AF275" i="4"/>
  <c r="AG275" i="4"/>
  <c r="AH275" i="4"/>
  <c r="AI275" i="4"/>
  <c r="AJ275" i="4"/>
  <c r="AT275" i="4"/>
  <c r="AU275" i="4"/>
  <c r="AV275" i="4"/>
  <c r="BB275" i="4"/>
  <c r="BC275" i="4"/>
  <c r="BD275" i="4"/>
  <c r="BE275" i="4"/>
  <c r="BF275" i="4"/>
  <c r="BG275" i="4"/>
  <c r="BH275" i="4"/>
  <c r="BI275" i="4"/>
  <c r="BJ275" i="4"/>
  <c r="BL275" i="4"/>
  <c r="BM275" i="4"/>
  <c r="BN275" i="4"/>
  <c r="BO275" i="4"/>
  <c r="BT275" i="4"/>
  <c r="BU275" i="4"/>
  <c r="BV275" i="4"/>
  <c r="BW275" i="4"/>
  <c r="BX275" i="4"/>
  <c r="BY275" i="4"/>
  <c r="BZ275" i="4"/>
  <c r="CA275" i="4"/>
  <c r="CB275" i="4"/>
  <c r="CC275" i="4"/>
  <c r="CD275" i="4"/>
  <c r="CE275" i="4"/>
  <c r="CG275" i="4"/>
  <c r="CJ275" i="4"/>
  <c r="CK275" i="4"/>
  <c r="CL275" i="4"/>
  <c r="CN275" i="4"/>
  <c r="CP275" i="4"/>
  <c r="CQ275" i="4"/>
  <c r="C276" i="4"/>
  <c r="D276" i="4"/>
  <c r="E276" i="4"/>
  <c r="F276" i="4"/>
  <c r="N276" i="4"/>
  <c r="O276" i="4"/>
  <c r="P276" i="4"/>
  <c r="Q276" i="4"/>
  <c r="R276" i="4"/>
  <c r="S276" i="4"/>
  <c r="T276" i="4"/>
  <c r="U276" i="4"/>
  <c r="V276" i="4"/>
  <c r="W276" i="4"/>
  <c r="X276" i="4"/>
  <c r="AB276" i="4"/>
  <c r="AC276" i="4"/>
  <c r="AD276" i="4"/>
  <c r="AE276" i="4"/>
  <c r="AF276" i="4"/>
  <c r="AG276" i="4"/>
  <c r="AH276" i="4"/>
  <c r="AI276" i="4"/>
  <c r="AJ276" i="4"/>
  <c r="AT276" i="4"/>
  <c r="AU276" i="4"/>
  <c r="AV276" i="4"/>
  <c r="BB276" i="4"/>
  <c r="BC276" i="4"/>
  <c r="BD276" i="4"/>
  <c r="BE276" i="4"/>
  <c r="BF276" i="4"/>
  <c r="BG276" i="4"/>
  <c r="BH276" i="4"/>
  <c r="BI276" i="4"/>
  <c r="BJ276" i="4"/>
  <c r="BL276" i="4"/>
  <c r="BM276" i="4"/>
  <c r="BN276" i="4"/>
  <c r="BO276" i="4"/>
  <c r="BT276" i="4"/>
  <c r="BU276" i="4"/>
  <c r="BV276" i="4"/>
  <c r="BW276" i="4"/>
  <c r="BX276" i="4"/>
  <c r="BY276" i="4"/>
  <c r="BZ276" i="4"/>
  <c r="CA276" i="4"/>
  <c r="CB276" i="4"/>
  <c r="CC276" i="4"/>
  <c r="CD276" i="4"/>
  <c r="CE276" i="4"/>
  <c r="CG276" i="4"/>
  <c r="CJ276" i="4"/>
  <c r="CK276" i="4"/>
  <c r="CL276" i="4"/>
  <c r="CN276" i="4"/>
  <c r="CP276" i="4"/>
  <c r="CQ276" i="4"/>
  <c r="C277" i="4"/>
  <c r="D277" i="4"/>
  <c r="E277" i="4"/>
  <c r="F277" i="4"/>
  <c r="N277" i="4"/>
  <c r="O277" i="4"/>
  <c r="P277" i="4"/>
  <c r="Q277" i="4"/>
  <c r="R277" i="4"/>
  <c r="S277" i="4"/>
  <c r="T277" i="4"/>
  <c r="U277" i="4"/>
  <c r="V277" i="4"/>
  <c r="W277" i="4"/>
  <c r="X277" i="4"/>
  <c r="AB277" i="4"/>
  <c r="AC277" i="4"/>
  <c r="AD277" i="4"/>
  <c r="AE277" i="4"/>
  <c r="AF277" i="4"/>
  <c r="AG277" i="4"/>
  <c r="AH277" i="4"/>
  <c r="AI277" i="4"/>
  <c r="AJ277" i="4"/>
  <c r="AT277" i="4"/>
  <c r="AU277" i="4"/>
  <c r="AV277" i="4"/>
  <c r="BB277" i="4"/>
  <c r="BC277" i="4"/>
  <c r="BD277" i="4"/>
  <c r="BE277" i="4"/>
  <c r="BF277" i="4"/>
  <c r="BG277" i="4"/>
  <c r="BH277" i="4"/>
  <c r="BI277" i="4"/>
  <c r="BJ277" i="4"/>
  <c r="BL277" i="4"/>
  <c r="BM277" i="4"/>
  <c r="BN277" i="4"/>
  <c r="BO277" i="4"/>
  <c r="BT277" i="4"/>
  <c r="BU277" i="4"/>
  <c r="BV277" i="4"/>
  <c r="BW277" i="4"/>
  <c r="BX277" i="4"/>
  <c r="BY277" i="4"/>
  <c r="BZ277" i="4"/>
  <c r="CA277" i="4"/>
  <c r="CB277" i="4"/>
  <c r="CC277" i="4"/>
  <c r="CD277" i="4"/>
  <c r="CE277" i="4"/>
  <c r="CG277" i="4"/>
  <c r="CJ277" i="4"/>
  <c r="CK277" i="4"/>
  <c r="CL277" i="4"/>
  <c r="CN277" i="4"/>
  <c r="CP277" i="4"/>
  <c r="CQ277" i="4"/>
  <c r="C278" i="4"/>
  <c r="D278" i="4"/>
  <c r="E278" i="4"/>
  <c r="F278" i="4"/>
  <c r="N278" i="4"/>
  <c r="O278" i="4"/>
  <c r="P278" i="4"/>
  <c r="Q278" i="4"/>
  <c r="R278" i="4"/>
  <c r="S278" i="4"/>
  <c r="T278" i="4"/>
  <c r="U278" i="4"/>
  <c r="V278" i="4"/>
  <c r="W278" i="4"/>
  <c r="X278" i="4"/>
  <c r="AB278" i="4"/>
  <c r="AC278" i="4"/>
  <c r="AD278" i="4"/>
  <c r="AE278" i="4"/>
  <c r="AF278" i="4"/>
  <c r="AG278" i="4"/>
  <c r="AH278" i="4"/>
  <c r="AI278" i="4"/>
  <c r="AJ278" i="4"/>
  <c r="AT278" i="4"/>
  <c r="AU278" i="4"/>
  <c r="AV278" i="4"/>
  <c r="BB278" i="4"/>
  <c r="BC278" i="4"/>
  <c r="BD278" i="4"/>
  <c r="BE278" i="4"/>
  <c r="BF278" i="4"/>
  <c r="BG278" i="4"/>
  <c r="BH278" i="4"/>
  <c r="BI278" i="4"/>
  <c r="BJ278" i="4"/>
  <c r="BL278" i="4"/>
  <c r="BM278" i="4"/>
  <c r="BN278" i="4"/>
  <c r="BO278" i="4"/>
  <c r="BT278" i="4"/>
  <c r="BU278" i="4"/>
  <c r="BV278" i="4"/>
  <c r="BW278" i="4"/>
  <c r="BX278" i="4"/>
  <c r="BY278" i="4"/>
  <c r="BZ278" i="4"/>
  <c r="CA278" i="4"/>
  <c r="CB278" i="4"/>
  <c r="CC278" i="4"/>
  <c r="CD278" i="4"/>
  <c r="CE278" i="4"/>
  <c r="CG278" i="4"/>
  <c r="CJ278" i="4"/>
  <c r="CK278" i="4"/>
  <c r="CL278" i="4"/>
  <c r="CN278" i="4"/>
  <c r="CP278" i="4"/>
  <c r="CQ278" i="4"/>
  <c r="C279" i="4"/>
  <c r="D279" i="4"/>
  <c r="E279" i="4"/>
  <c r="F279" i="4"/>
  <c r="N279" i="4"/>
  <c r="O279" i="4"/>
  <c r="P279" i="4"/>
  <c r="Q279" i="4"/>
  <c r="R279" i="4"/>
  <c r="S279" i="4"/>
  <c r="T279" i="4"/>
  <c r="U279" i="4"/>
  <c r="V279" i="4"/>
  <c r="W279" i="4"/>
  <c r="X279" i="4"/>
  <c r="AB279" i="4"/>
  <c r="AC279" i="4"/>
  <c r="AD279" i="4"/>
  <c r="AE279" i="4"/>
  <c r="AF279" i="4"/>
  <c r="AG279" i="4"/>
  <c r="AH279" i="4"/>
  <c r="AI279" i="4"/>
  <c r="AJ279" i="4"/>
  <c r="AT279" i="4"/>
  <c r="AU279" i="4"/>
  <c r="AV279" i="4"/>
  <c r="BB279" i="4"/>
  <c r="BC279" i="4"/>
  <c r="BD279" i="4"/>
  <c r="BE279" i="4"/>
  <c r="BF279" i="4"/>
  <c r="BG279" i="4"/>
  <c r="BH279" i="4"/>
  <c r="BI279" i="4"/>
  <c r="BJ279" i="4"/>
  <c r="BL279" i="4"/>
  <c r="BM279" i="4"/>
  <c r="BN279" i="4"/>
  <c r="BO279" i="4"/>
  <c r="BT279" i="4"/>
  <c r="BU279" i="4"/>
  <c r="BV279" i="4"/>
  <c r="BW279" i="4"/>
  <c r="BX279" i="4"/>
  <c r="BY279" i="4"/>
  <c r="BZ279" i="4"/>
  <c r="CA279" i="4"/>
  <c r="CB279" i="4"/>
  <c r="CC279" i="4"/>
  <c r="CD279" i="4"/>
  <c r="CE279" i="4"/>
  <c r="CG279" i="4"/>
  <c r="CJ279" i="4"/>
  <c r="CK279" i="4"/>
  <c r="CL279" i="4"/>
  <c r="CN279" i="4"/>
  <c r="CP279" i="4"/>
  <c r="CQ279" i="4"/>
  <c r="C280" i="4"/>
  <c r="D280" i="4"/>
  <c r="E280" i="4"/>
  <c r="F280" i="4"/>
  <c r="N280" i="4"/>
  <c r="O280" i="4"/>
  <c r="P280" i="4"/>
  <c r="Q280" i="4"/>
  <c r="R280" i="4"/>
  <c r="S280" i="4"/>
  <c r="T280" i="4"/>
  <c r="U280" i="4"/>
  <c r="V280" i="4"/>
  <c r="W280" i="4"/>
  <c r="X280" i="4"/>
  <c r="AB280" i="4"/>
  <c r="AC280" i="4"/>
  <c r="AD280" i="4"/>
  <c r="AE280" i="4"/>
  <c r="AF280" i="4"/>
  <c r="AG280" i="4"/>
  <c r="AH280" i="4"/>
  <c r="AI280" i="4"/>
  <c r="AJ280" i="4"/>
  <c r="AT280" i="4"/>
  <c r="AU280" i="4"/>
  <c r="AV280" i="4"/>
  <c r="BB280" i="4"/>
  <c r="BC280" i="4"/>
  <c r="BD280" i="4"/>
  <c r="BE280" i="4"/>
  <c r="BF280" i="4"/>
  <c r="BG280" i="4"/>
  <c r="BH280" i="4"/>
  <c r="BI280" i="4"/>
  <c r="BJ280" i="4"/>
  <c r="BL280" i="4"/>
  <c r="BM280" i="4"/>
  <c r="BN280" i="4"/>
  <c r="BO280" i="4"/>
  <c r="BT280" i="4"/>
  <c r="BU280" i="4"/>
  <c r="BV280" i="4"/>
  <c r="BW280" i="4"/>
  <c r="BX280" i="4"/>
  <c r="BY280" i="4"/>
  <c r="BZ280" i="4"/>
  <c r="CA280" i="4"/>
  <c r="CB280" i="4"/>
  <c r="CC280" i="4"/>
  <c r="CD280" i="4"/>
  <c r="CE280" i="4"/>
  <c r="CG280" i="4"/>
  <c r="CJ280" i="4"/>
  <c r="CK280" i="4"/>
  <c r="CL280" i="4"/>
  <c r="CN280" i="4"/>
  <c r="CP280" i="4"/>
  <c r="CQ280" i="4"/>
  <c r="C281" i="4"/>
  <c r="D281" i="4"/>
  <c r="E281" i="4"/>
  <c r="F281" i="4"/>
  <c r="N281" i="4"/>
  <c r="O281" i="4"/>
  <c r="P281" i="4"/>
  <c r="Q281" i="4"/>
  <c r="R281" i="4"/>
  <c r="S281" i="4"/>
  <c r="T281" i="4"/>
  <c r="U281" i="4"/>
  <c r="V281" i="4"/>
  <c r="W281" i="4"/>
  <c r="X281" i="4"/>
  <c r="AB281" i="4"/>
  <c r="AC281" i="4"/>
  <c r="AD281" i="4"/>
  <c r="AE281" i="4"/>
  <c r="AF281" i="4"/>
  <c r="AG281" i="4"/>
  <c r="AH281" i="4"/>
  <c r="AI281" i="4"/>
  <c r="AJ281" i="4"/>
  <c r="AT281" i="4"/>
  <c r="AU281" i="4"/>
  <c r="AV281" i="4"/>
  <c r="BB281" i="4"/>
  <c r="BC281" i="4"/>
  <c r="BD281" i="4"/>
  <c r="BE281" i="4"/>
  <c r="BF281" i="4"/>
  <c r="BG281" i="4"/>
  <c r="BH281" i="4"/>
  <c r="BI281" i="4"/>
  <c r="BJ281" i="4"/>
  <c r="BL281" i="4"/>
  <c r="BM281" i="4"/>
  <c r="BN281" i="4"/>
  <c r="BO281" i="4"/>
  <c r="BT281" i="4"/>
  <c r="BU281" i="4"/>
  <c r="BV281" i="4"/>
  <c r="BW281" i="4"/>
  <c r="BX281" i="4"/>
  <c r="BY281" i="4"/>
  <c r="BZ281" i="4"/>
  <c r="CA281" i="4"/>
  <c r="CB281" i="4"/>
  <c r="CC281" i="4"/>
  <c r="CD281" i="4"/>
  <c r="CE281" i="4"/>
  <c r="CG281" i="4"/>
  <c r="CJ281" i="4"/>
  <c r="CK281" i="4"/>
  <c r="CL281" i="4"/>
  <c r="CN281" i="4"/>
  <c r="CP281" i="4"/>
  <c r="CQ281" i="4"/>
  <c r="C282" i="4"/>
  <c r="D282" i="4"/>
  <c r="E282" i="4"/>
  <c r="F282" i="4"/>
  <c r="N282" i="4"/>
  <c r="O282" i="4"/>
  <c r="P282" i="4"/>
  <c r="Q282" i="4"/>
  <c r="R282" i="4"/>
  <c r="S282" i="4"/>
  <c r="T282" i="4"/>
  <c r="U282" i="4"/>
  <c r="V282" i="4"/>
  <c r="W282" i="4"/>
  <c r="X282" i="4"/>
  <c r="AB282" i="4"/>
  <c r="AC282" i="4"/>
  <c r="AD282" i="4"/>
  <c r="AE282" i="4"/>
  <c r="AF282" i="4"/>
  <c r="AG282" i="4"/>
  <c r="AH282" i="4"/>
  <c r="AI282" i="4"/>
  <c r="AJ282" i="4"/>
  <c r="AT282" i="4"/>
  <c r="AU282" i="4"/>
  <c r="AV282" i="4"/>
  <c r="BB282" i="4"/>
  <c r="BC282" i="4"/>
  <c r="BD282" i="4"/>
  <c r="BE282" i="4"/>
  <c r="BF282" i="4"/>
  <c r="BG282" i="4"/>
  <c r="BH282" i="4"/>
  <c r="BI282" i="4"/>
  <c r="BJ282" i="4"/>
  <c r="BL282" i="4"/>
  <c r="BM282" i="4"/>
  <c r="BN282" i="4"/>
  <c r="BO282" i="4"/>
  <c r="BT282" i="4"/>
  <c r="BU282" i="4"/>
  <c r="BV282" i="4"/>
  <c r="BW282" i="4"/>
  <c r="BX282" i="4"/>
  <c r="BY282" i="4"/>
  <c r="BZ282" i="4"/>
  <c r="CA282" i="4"/>
  <c r="CB282" i="4"/>
  <c r="CC282" i="4"/>
  <c r="CD282" i="4"/>
  <c r="CE282" i="4"/>
  <c r="CG282" i="4"/>
  <c r="CJ282" i="4"/>
  <c r="CK282" i="4"/>
  <c r="CL282" i="4"/>
  <c r="CN282" i="4"/>
  <c r="CP282" i="4"/>
  <c r="CQ282" i="4"/>
  <c r="C283" i="4"/>
  <c r="D283" i="4"/>
  <c r="E283" i="4"/>
  <c r="F283" i="4"/>
  <c r="N283" i="4"/>
  <c r="O283" i="4"/>
  <c r="P283" i="4"/>
  <c r="Q283" i="4"/>
  <c r="R283" i="4"/>
  <c r="S283" i="4"/>
  <c r="T283" i="4"/>
  <c r="U283" i="4"/>
  <c r="V283" i="4"/>
  <c r="W283" i="4"/>
  <c r="X283" i="4"/>
  <c r="AB283" i="4"/>
  <c r="AC283" i="4"/>
  <c r="AD283" i="4"/>
  <c r="AE283" i="4"/>
  <c r="AF283" i="4"/>
  <c r="AG283" i="4"/>
  <c r="AH283" i="4"/>
  <c r="AI283" i="4"/>
  <c r="AJ283" i="4"/>
  <c r="AT283" i="4"/>
  <c r="AU283" i="4"/>
  <c r="AV283" i="4"/>
  <c r="BB283" i="4"/>
  <c r="BC283" i="4"/>
  <c r="BD283" i="4"/>
  <c r="BE283" i="4"/>
  <c r="BF283" i="4"/>
  <c r="BG283" i="4"/>
  <c r="BH283" i="4"/>
  <c r="BI283" i="4"/>
  <c r="BJ283" i="4"/>
  <c r="BL283" i="4"/>
  <c r="BM283" i="4"/>
  <c r="BN283" i="4"/>
  <c r="BO283" i="4"/>
  <c r="BT283" i="4"/>
  <c r="BU283" i="4"/>
  <c r="BV283" i="4"/>
  <c r="BW283" i="4"/>
  <c r="BX283" i="4"/>
  <c r="BY283" i="4"/>
  <c r="BZ283" i="4"/>
  <c r="CA283" i="4"/>
  <c r="CB283" i="4"/>
  <c r="CC283" i="4"/>
  <c r="CD283" i="4"/>
  <c r="CE283" i="4"/>
  <c r="CG283" i="4"/>
  <c r="CJ283" i="4"/>
  <c r="CK283" i="4"/>
  <c r="CL283" i="4"/>
  <c r="CN283" i="4"/>
  <c r="CP283" i="4"/>
  <c r="CQ283" i="4"/>
  <c r="C284" i="4"/>
  <c r="D284" i="4"/>
  <c r="E284" i="4"/>
  <c r="F284" i="4"/>
  <c r="N284" i="4"/>
  <c r="O284" i="4"/>
  <c r="P284" i="4"/>
  <c r="Q284" i="4"/>
  <c r="R284" i="4"/>
  <c r="S284" i="4"/>
  <c r="T284" i="4"/>
  <c r="U284" i="4"/>
  <c r="V284" i="4"/>
  <c r="W284" i="4"/>
  <c r="X284" i="4"/>
  <c r="AB284" i="4"/>
  <c r="AC284" i="4"/>
  <c r="AD284" i="4"/>
  <c r="AE284" i="4"/>
  <c r="AF284" i="4"/>
  <c r="AG284" i="4"/>
  <c r="AH284" i="4"/>
  <c r="AI284" i="4"/>
  <c r="AJ284" i="4"/>
  <c r="AT284" i="4"/>
  <c r="AU284" i="4"/>
  <c r="AV284" i="4"/>
  <c r="BB284" i="4"/>
  <c r="BC284" i="4"/>
  <c r="BD284" i="4"/>
  <c r="BE284" i="4"/>
  <c r="BF284" i="4"/>
  <c r="BG284" i="4"/>
  <c r="BH284" i="4"/>
  <c r="BI284" i="4"/>
  <c r="BJ284" i="4"/>
  <c r="BL284" i="4"/>
  <c r="BM284" i="4"/>
  <c r="BN284" i="4"/>
  <c r="BO284" i="4"/>
  <c r="BT284" i="4"/>
  <c r="BU284" i="4"/>
  <c r="BV284" i="4"/>
  <c r="BW284" i="4"/>
  <c r="BX284" i="4"/>
  <c r="BY284" i="4"/>
  <c r="BZ284" i="4"/>
  <c r="CA284" i="4"/>
  <c r="CB284" i="4"/>
  <c r="CC284" i="4"/>
  <c r="CD284" i="4"/>
  <c r="CE284" i="4"/>
  <c r="CG284" i="4"/>
  <c r="CJ284" i="4"/>
  <c r="CK284" i="4"/>
  <c r="CL284" i="4"/>
  <c r="CN284" i="4"/>
  <c r="CP284" i="4"/>
  <c r="CQ284" i="4"/>
  <c r="C285" i="4"/>
  <c r="D285" i="4"/>
  <c r="E285" i="4"/>
  <c r="F285" i="4"/>
  <c r="N285" i="4"/>
  <c r="O285" i="4"/>
  <c r="P285" i="4"/>
  <c r="Q285" i="4"/>
  <c r="R285" i="4"/>
  <c r="S285" i="4"/>
  <c r="T285" i="4"/>
  <c r="U285" i="4"/>
  <c r="V285" i="4"/>
  <c r="W285" i="4"/>
  <c r="X285" i="4"/>
  <c r="AB285" i="4"/>
  <c r="AC285" i="4"/>
  <c r="AD285" i="4"/>
  <c r="AE285" i="4"/>
  <c r="AF285" i="4"/>
  <c r="AG285" i="4"/>
  <c r="AH285" i="4"/>
  <c r="AI285" i="4"/>
  <c r="AJ285" i="4"/>
  <c r="AT285" i="4"/>
  <c r="AU285" i="4"/>
  <c r="AV285" i="4"/>
  <c r="BB285" i="4"/>
  <c r="BC285" i="4"/>
  <c r="BD285" i="4"/>
  <c r="BE285" i="4"/>
  <c r="BF285" i="4"/>
  <c r="BG285" i="4"/>
  <c r="BH285" i="4"/>
  <c r="BI285" i="4"/>
  <c r="BJ285" i="4"/>
  <c r="BL285" i="4"/>
  <c r="BM285" i="4"/>
  <c r="BN285" i="4"/>
  <c r="BO285" i="4"/>
  <c r="BT285" i="4"/>
  <c r="BU285" i="4"/>
  <c r="BV285" i="4"/>
  <c r="BW285" i="4"/>
  <c r="BX285" i="4"/>
  <c r="BY285" i="4"/>
  <c r="BZ285" i="4"/>
  <c r="CA285" i="4"/>
  <c r="CB285" i="4"/>
  <c r="CC285" i="4"/>
  <c r="CD285" i="4"/>
  <c r="CE285" i="4"/>
  <c r="CG285" i="4"/>
  <c r="CJ285" i="4"/>
  <c r="CK285" i="4"/>
  <c r="CL285" i="4"/>
  <c r="CN285" i="4"/>
  <c r="CP285" i="4"/>
  <c r="CQ285" i="4"/>
  <c r="C286" i="4"/>
  <c r="D286" i="4"/>
  <c r="E286" i="4"/>
  <c r="F286" i="4"/>
  <c r="N286" i="4"/>
  <c r="O286" i="4"/>
  <c r="P286" i="4"/>
  <c r="Q286" i="4"/>
  <c r="R286" i="4"/>
  <c r="S286" i="4"/>
  <c r="T286" i="4"/>
  <c r="U286" i="4"/>
  <c r="V286" i="4"/>
  <c r="W286" i="4"/>
  <c r="X286" i="4"/>
  <c r="AB286" i="4"/>
  <c r="AC286" i="4"/>
  <c r="AD286" i="4"/>
  <c r="AE286" i="4"/>
  <c r="AF286" i="4"/>
  <c r="AG286" i="4"/>
  <c r="AH286" i="4"/>
  <c r="AI286" i="4"/>
  <c r="AJ286" i="4"/>
  <c r="AT286" i="4"/>
  <c r="AU286" i="4"/>
  <c r="AV286" i="4"/>
  <c r="BB286" i="4"/>
  <c r="BC286" i="4"/>
  <c r="BD286" i="4"/>
  <c r="BE286" i="4"/>
  <c r="BF286" i="4"/>
  <c r="BG286" i="4"/>
  <c r="BH286" i="4"/>
  <c r="BI286" i="4"/>
  <c r="BJ286" i="4"/>
  <c r="BL286" i="4"/>
  <c r="BM286" i="4"/>
  <c r="BN286" i="4"/>
  <c r="BO286" i="4"/>
  <c r="BT286" i="4"/>
  <c r="BU286" i="4"/>
  <c r="BV286" i="4"/>
  <c r="BW286" i="4"/>
  <c r="BX286" i="4"/>
  <c r="BY286" i="4"/>
  <c r="BZ286" i="4"/>
  <c r="CA286" i="4"/>
  <c r="CB286" i="4"/>
  <c r="CC286" i="4"/>
  <c r="CD286" i="4"/>
  <c r="CE286" i="4"/>
  <c r="CG286" i="4"/>
  <c r="CJ286" i="4"/>
  <c r="CK286" i="4"/>
  <c r="CL286" i="4"/>
  <c r="CN286" i="4"/>
  <c r="CP286" i="4"/>
  <c r="CQ286" i="4"/>
  <c r="C287" i="4"/>
  <c r="D287" i="4"/>
  <c r="E287" i="4"/>
  <c r="F287" i="4"/>
  <c r="N287" i="4"/>
  <c r="O287" i="4"/>
  <c r="P287" i="4"/>
  <c r="Q287" i="4"/>
  <c r="R287" i="4"/>
  <c r="S287" i="4"/>
  <c r="T287" i="4"/>
  <c r="U287" i="4"/>
  <c r="V287" i="4"/>
  <c r="W287" i="4"/>
  <c r="X287" i="4"/>
  <c r="AB287" i="4"/>
  <c r="AC287" i="4"/>
  <c r="AD287" i="4"/>
  <c r="AE287" i="4"/>
  <c r="AF287" i="4"/>
  <c r="AG287" i="4"/>
  <c r="AH287" i="4"/>
  <c r="AI287" i="4"/>
  <c r="AJ287" i="4"/>
  <c r="AT287" i="4"/>
  <c r="AU287" i="4"/>
  <c r="AV287" i="4"/>
  <c r="BB287" i="4"/>
  <c r="BC287" i="4"/>
  <c r="BD287" i="4"/>
  <c r="BE287" i="4"/>
  <c r="BF287" i="4"/>
  <c r="BG287" i="4"/>
  <c r="BH287" i="4"/>
  <c r="BI287" i="4"/>
  <c r="BJ287" i="4"/>
  <c r="BL287" i="4"/>
  <c r="BM287" i="4"/>
  <c r="BN287" i="4"/>
  <c r="BO287" i="4"/>
  <c r="BT287" i="4"/>
  <c r="BU287" i="4"/>
  <c r="BV287" i="4"/>
  <c r="BW287" i="4"/>
  <c r="BX287" i="4"/>
  <c r="BY287" i="4"/>
  <c r="BZ287" i="4"/>
  <c r="CA287" i="4"/>
  <c r="CB287" i="4"/>
  <c r="CC287" i="4"/>
  <c r="CD287" i="4"/>
  <c r="CE287" i="4"/>
  <c r="CG287" i="4"/>
  <c r="CJ287" i="4"/>
  <c r="CK287" i="4"/>
  <c r="CL287" i="4"/>
  <c r="CN287" i="4"/>
  <c r="CP287" i="4"/>
  <c r="CQ287" i="4"/>
  <c r="C288" i="4"/>
  <c r="D288" i="4"/>
  <c r="E288" i="4"/>
  <c r="F288" i="4"/>
  <c r="N288" i="4"/>
  <c r="O288" i="4"/>
  <c r="P288" i="4"/>
  <c r="Q288" i="4"/>
  <c r="R288" i="4"/>
  <c r="S288" i="4"/>
  <c r="T288" i="4"/>
  <c r="U288" i="4"/>
  <c r="V288" i="4"/>
  <c r="W288" i="4"/>
  <c r="X288" i="4"/>
  <c r="AB288" i="4"/>
  <c r="AC288" i="4"/>
  <c r="AD288" i="4"/>
  <c r="AE288" i="4"/>
  <c r="AF288" i="4"/>
  <c r="AG288" i="4"/>
  <c r="AH288" i="4"/>
  <c r="AI288" i="4"/>
  <c r="AJ288" i="4"/>
  <c r="AT288" i="4"/>
  <c r="AU288" i="4"/>
  <c r="AV288" i="4"/>
  <c r="BB288" i="4"/>
  <c r="BC288" i="4"/>
  <c r="BD288" i="4"/>
  <c r="BE288" i="4"/>
  <c r="BF288" i="4"/>
  <c r="BG288" i="4"/>
  <c r="BH288" i="4"/>
  <c r="BI288" i="4"/>
  <c r="BJ288" i="4"/>
  <c r="BL288" i="4"/>
  <c r="BM288" i="4"/>
  <c r="BN288" i="4"/>
  <c r="BO288" i="4"/>
  <c r="BT288" i="4"/>
  <c r="BU288" i="4"/>
  <c r="BV288" i="4"/>
  <c r="BW288" i="4"/>
  <c r="BX288" i="4"/>
  <c r="BY288" i="4"/>
  <c r="BZ288" i="4"/>
  <c r="CA288" i="4"/>
  <c r="CB288" i="4"/>
  <c r="CC288" i="4"/>
  <c r="CD288" i="4"/>
  <c r="CE288" i="4"/>
  <c r="CG288" i="4"/>
  <c r="CJ288" i="4"/>
  <c r="CK288" i="4"/>
  <c r="CL288" i="4"/>
  <c r="CN288" i="4"/>
  <c r="CP288" i="4"/>
  <c r="CQ288" i="4"/>
  <c r="C289" i="4"/>
  <c r="D289" i="4"/>
  <c r="E289" i="4"/>
  <c r="F289" i="4"/>
  <c r="N289" i="4"/>
  <c r="O289" i="4"/>
  <c r="P289" i="4"/>
  <c r="Q289" i="4"/>
  <c r="R289" i="4"/>
  <c r="S289" i="4"/>
  <c r="T289" i="4"/>
  <c r="U289" i="4"/>
  <c r="V289" i="4"/>
  <c r="W289" i="4"/>
  <c r="X289" i="4"/>
  <c r="AB289" i="4"/>
  <c r="AC289" i="4"/>
  <c r="AD289" i="4"/>
  <c r="AE289" i="4"/>
  <c r="AF289" i="4"/>
  <c r="AG289" i="4"/>
  <c r="AH289" i="4"/>
  <c r="AI289" i="4"/>
  <c r="AJ289" i="4"/>
  <c r="AT289" i="4"/>
  <c r="AU289" i="4"/>
  <c r="AV289" i="4"/>
  <c r="BB289" i="4"/>
  <c r="BC289" i="4"/>
  <c r="BD289" i="4"/>
  <c r="BE289" i="4"/>
  <c r="BF289" i="4"/>
  <c r="BG289" i="4"/>
  <c r="BH289" i="4"/>
  <c r="BI289" i="4"/>
  <c r="BJ289" i="4"/>
  <c r="BL289" i="4"/>
  <c r="BM289" i="4"/>
  <c r="BN289" i="4"/>
  <c r="BO289" i="4"/>
  <c r="BT289" i="4"/>
  <c r="BU289" i="4"/>
  <c r="BV289" i="4"/>
  <c r="BW289" i="4"/>
  <c r="BX289" i="4"/>
  <c r="BY289" i="4"/>
  <c r="BZ289" i="4"/>
  <c r="CA289" i="4"/>
  <c r="CB289" i="4"/>
  <c r="CC289" i="4"/>
  <c r="CD289" i="4"/>
  <c r="CE289" i="4"/>
  <c r="CG289" i="4"/>
  <c r="CJ289" i="4"/>
  <c r="CK289" i="4"/>
  <c r="CL289" i="4"/>
  <c r="CN289" i="4"/>
  <c r="CP289" i="4"/>
  <c r="CQ289" i="4"/>
  <c r="C290" i="4"/>
  <c r="D290" i="4"/>
  <c r="E290" i="4"/>
  <c r="F290" i="4"/>
  <c r="N290" i="4"/>
  <c r="O290" i="4"/>
  <c r="P290" i="4"/>
  <c r="Q290" i="4"/>
  <c r="R290" i="4"/>
  <c r="S290" i="4"/>
  <c r="T290" i="4"/>
  <c r="U290" i="4"/>
  <c r="V290" i="4"/>
  <c r="W290" i="4"/>
  <c r="X290" i="4"/>
  <c r="AB290" i="4"/>
  <c r="AC290" i="4"/>
  <c r="AD290" i="4"/>
  <c r="AE290" i="4"/>
  <c r="AF290" i="4"/>
  <c r="AG290" i="4"/>
  <c r="AH290" i="4"/>
  <c r="AI290" i="4"/>
  <c r="AJ290" i="4"/>
  <c r="AT290" i="4"/>
  <c r="AU290" i="4"/>
  <c r="AV290" i="4"/>
  <c r="BB290" i="4"/>
  <c r="BC290" i="4"/>
  <c r="BD290" i="4"/>
  <c r="BE290" i="4"/>
  <c r="BF290" i="4"/>
  <c r="BG290" i="4"/>
  <c r="BH290" i="4"/>
  <c r="BI290" i="4"/>
  <c r="BJ290" i="4"/>
  <c r="BL290" i="4"/>
  <c r="BM290" i="4"/>
  <c r="BN290" i="4"/>
  <c r="BO290" i="4"/>
  <c r="BT290" i="4"/>
  <c r="BU290" i="4"/>
  <c r="BV290" i="4"/>
  <c r="BW290" i="4"/>
  <c r="BX290" i="4"/>
  <c r="BY290" i="4"/>
  <c r="BZ290" i="4"/>
  <c r="CA290" i="4"/>
  <c r="CB290" i="4"/>
  <c r="CC290" i="4"/>
  <c r="CD290" i="4"/>
  <c r="CE290" i="4"/>
  <c r="CG290" i="4"/>
  <c r="CJ290" i="4"/>
  <c r="CK290" i="4"/>
  <c r="CL290" i="4"/>
  <c r="CN290" i="4"/>
  <c r="CP290" i="4"/>
  <c r="CQ290" i="4"/>
  <c r="C291" i="4"/>
  <c r="D291" i="4"/>
  <c r="E291" i="4"/>
  <c r="F291" i="4"/>
  <c r="N291" i="4"/>
  <c r="O291" i="4"/>
  <c r="P291" i="4"/>
  <c r="Q291" i="4"/>
  <c r="R291" i="4"/>
  <c r="S291" i="4"/>
  <c r="T291" i="4"/>
  <c r="U291" i="4"/>
  <c r="V291" i="4"/>
  <c r="W291" i="4"/>
  <c r="X291" i="4"/>
  <c r="AB291" i="4"/>
  <c r="AC291" i="4"/>
  <c r="AD291" i="4"/>
  <c r="AE291" i="4"/>
  <c r="AF291" i="4"/>
  <c r="AG291" i="4"/>
  <c r="AH291" i="4"/>
  <c r="AI291" i="4"/>
  <c r="AJ291" i="4"/>
  <c r="AT291" i="4"/>
  <c r="AU291" i="4"/>
  <c r="AV291" i="4"/>
  <c r="BB291" i="4"/>
  <c r="BC291" i="4"/>
  <c r="BD291" i="4"/>
  <c r="BE291" i="4"/>
  <c r="BF291" i="4"/>
  <c r="BG291" i="4"/>
  <c r="BH291" i="4"/>
  <c r="BI291" i="4"/>
  <c r="BJ291" i="4"/>
  <c r="BL291" i="4"/>
  <c r="BM291" i="4"/>
  <c r="BN291" i="4"/>
  <c r="BO291" i="4"/>
  <c r="BT291" i="4"/>
  <c r="BU291" i="4"/>
  <c r="BV291" i="4"/>
  <c r="BW291" i="4"/>
  <c r="BX291" i="4"/>
  <c r="BY291" i="4"/>
  <c r="BZ291" i="4"/>
  <c r="CA291" i="4"/>
  <c r="CB291" i="4"/>
  <c r="CC291" i="4"/>
  <c r="CD291" i="4"/>
  <c r="CE291" i="4"/>
  <c r="CG291" i="4"/>
  <c r="CJ291" i="4"/>
  <c r="CK291" i="4"/>
  <c r="CL291" i="4"/>
  <c r="CN291" i="4"/>
  <c r="CP291" i="4"/>
  <c r="CQ291" i="4"/>
  <c r="C292" i="4"/>
  <c r="D292" i="4"/>
  <c r="E292" i="4"/>
  <c r="F292" i="4"/>
  <c r="N292" i="4"/>
  <c r="O292" i="4"/>
  <c r="P292" i="4"/>
  <c r="Q292" i="4"/>
  <c r="R292" i="4"/>
  <c r="S292" i="4"/>
  <c r="T292" i="4"/>
  <c r="U292" i="4"/>
  <c r="V292" i="4"/>
  <c r="W292" i="4"/>
  <c r="X292" i="4"/>
  <c r="AB292" i="4"/>
  <c r="AC292" i="4"/>
  <c r="AD292" i="4"/>
  <c r="AE292" i="4"/>
  <c r="AF292" i="4"/>
  <c r="AG292" i="4"/>
  <c r="AH292" i="4"/>
  <c r="AI292" i="4"/>
  <c r="AJ292" i="4"/>
  <c r="AT292" i="4"/>
  <c r="AU292" i="4"/>
  <c r="AV292" i="4"/>
  <c r="BB292" i="4"/>
  <c r="BC292" i="4"/>
  <c r="BD292" i="4"/>
  <c r="BE292" i="4"/>
  <c r="BF292" i="4"/>
  <c r="BG292" i="4"/>
  <c r="BH292" i="4"/>
  <c r="BI292" i="4"/>
  <c r="BJ292" i="4"/>
  <c r="BL292" i="4"/>
  <c r="BM292" i="4"/>
  <c r="BN292" i="4"/>
  <c r="BO292" i="4"/>
  <c r="BT292" i="4"/>
  <c r="BU292" i="4"/>
  <c r="BV292" i="4"/>
  <c r="BW292" i="4"/>
  <c r="BX292" i="4"/>
  <c r="BY292" i="4"/>
  <c r="BZ292" i="4"/>
  <c r="CA292" i="4"/>
  <c r="CB292" i="4"/>
  <c r="CC292" i="4"/>
  <c r="CD292" i="4"/>
  <c r="CE292" i="4"/>
  <c r="CG292" i="4"/>
  <c r="CJ292" i="4"/>
  <c r="CK292" i="4"/>
  <c r="CL292" i="4"/>
  <c r="CN292" i="4"/>
  <c r="CP292" i="4"/>
  <c r="CQ292" i="4"/>
  <c r="C293" i="4"/>
  <c r="D293" i="4"/>
  <c r="E293" i="4"/>
  <c r="F293" i="4"/>
  <c r="N293" i="4"/>
  <c r="O293" i="4"/>
  <c r="P293" i="4"/>
  <c r="Q293" i="4"/>
  <c r="R293" i="4"/>
  <c r="S293" i="4"/>
  <c r="T293" i="4"/>
  <c r="U293" i="4"/>
  <c r="V293" i="4"/>
  <c r="W293" i="4"/>
  <c r="X293" i="4"/>
  <c r="AB293" i="4"/>
  <c r="AC293" i="4"/>
  <c r="AD293" i="4"/>
  <c r="AE293" i="4"/>
  <c r="AF293" i="4"/>
  <c r="AG293" i="4"/>
  <c r="AH293" i="4"/>
  <c r="AI293" i="4"/>
  <c r="AJ293" i="4"/>
  <c r="AT293" i="4"/>
  <c r="AU293" i="4"/>
  <c r="AV293" i="4"/>
  <c r="BB293" i="4"/>
  <c r="BC293" i="4"/>
  <c r="BD293" i="4"/>
  <c r="BE293" i="4"/>
  <c r="BF293" i="4"/>
  <c r="BG293" i="4"/>
  <c r="BH293" i="4"/>
  <c r="BI293" i="4"/>
  <c r="BJ293" i="4"/>
  <c r="BL293" i="4"/>
  <c r="BM293" i="4"/>
  <c r="BN293" i="4"/>
  <c r="BO293" i="4"/>
  <c r="BT293" i="4"/>
  <c r="BU293" i="4"/>
  <c r="BV293" i="4"/>
  <c r="BW293" i="4"/>
  <c r="BX293" i="4"/>
  <c r="BY293" i="4"/>
  <c r="BZ293" i="4"/>
  <c r="CA293" i="4"/>
  <c r="CB293" i="4"/>
  <c r="CC293" i="4"/>
  <c r="CD293" i="4"/>
  <c r="CE293" i="4"/>
  <c r="CG293" i="4"/>
  <c r="CJ293" i="4"/>
  <c r="CK293" i="4"/>
  <c r="CL293" i="4"/>
  <c r="CN293" i="4"/>
  <c r="CP293" i="4"/>
  <c r="CQ293" i="4"/>
  <c r="C294" i="4"/>
  <c r="D294" i="4"/>
  <c r="E294" i="4"/>
  <c r="F294" i="4"/>
  <c r="N294" i="4"/>
  <c r="O294" i="4"/>
  <c r="P294" i="4"/>
  <c r="Q294" i="4"/>
  <c r="R294" i="4"/>
  <c r="S294" i="4"/>
  <c r="T294" i="4"/>
  <c r="U294" i="4"/>
  <c r="V294" i="4"/>
  <c r="W294" i="4"/>
  <c r="X294" i="4"/>
  <c r="AB294" i="4"/>
  <c r="AC294" i="4"/>
  <c r="AD294" i="4"/>
  <c r="AE294" i="4"/>
  <c r="AF294" i="4"/>
  <c r="AG294" i="4"/>
  <c r="AH294" i="4"/>
  <c r="AI294" i="4"/>
  <c r="AJ294" i="4"/>
  <c r="AT294" i="4"/>
  <c r="AU294" i="4"/>
  <c r="AV294" i="4"/>
  <c r="BB294" i="4"/>
  <c r="BC294" i="4"/>
  <c r="BD294" i="4"/>
  <c r="BE294" i="4"/>
  <c r="BF294" i="4"/>
  <c r="BG294" i="4"/>
  <c r="BH294" i="4"/>
  <c r="BI294" i="4"/>
  <c r="BJ294" i="4"/>
  <c r="BL294" i="4"/>
  <c r="BM294" i="4"/>
  <c r="BN294" i="4"/>
  <c r="BO294" i="4"/>
  <c r="BT294" i="4"/>
  <c r="BU294" i="4"/>
  <c r="BV294" i="4"/>
  <c r="BW294" i="4"/>
  <c r="BX294" i="4"/>
  <c r="BY294" i="4"/>
  <c r="BZ294" i="4"/>
  <c r="CA294" i="4"/>
  <c r="CB294" i="4"/>
  <c r="CC294" i="4"/>
  <c r="CD294" i="4"/>
  <c r="CE294" i="4"/>
  <c r="CG294" i="4"/>
  <c r="CJ294" i="4"/>
  <c r="CK294" i="4"/>
  <c r="CL294" i="4"/>
  <c r="CN294" i="4"/>
  <c r="CP294" i="4"/>
  <c r="CQ294" i="4"/>
  <c r="C295" i="4"/>
  <c r="D295" i="4"/>
  <c r="E295" i="4"/>
  <c r="F295" i="4"/>
  <c r="N295" i="4"/>
  <c r="O295" i="4"/>
  <c r="P295" i="4"/>
  <c r="Q295" i="4"/>
  <c r="R295" i="4"/>
  <c r="S295" i="4"/>
  <c r="T295" i="4"/>
  <c r="U295" i="4"/>
  <c r="V295" i="4"/>
  <c r="W295" i="4"/>
  <c r="X295" i="4"/>
  <c r="AB295" i="4"/>
  <c r="AC295" i="4"/>
  <c r="AD295" i="4"/>
  <c r="AE295" i="4"/>
  <c r="AF295" i="4"/>
  <c r="AG295" i="4"/>
  <c r="AH295" i="4"/>
  <c r="AI295" i="4"/>
  <c r="AJ295" i="4"/>
  <c r="AT295" i="4"/>
  <c r="AU295" i="4"/>
  <c r="AV295" i="4"/>
  <c r="BB295" i="4"/>
  <c r="BC295" i="4"/>
  <c r="BD295" i="4"/>
  <c r="BE295" i="4"/>
  <c r="BF295" i="4"/>
  <c r="BG295" i="4"/>
  <c r="BH295" i="4"/>
  <c r="BI295" i="4"/>
  <c r="BJ295" i="4"/>
  <c r="BL295" i="4"/>
  <c r="BM295" i="4"/>
  <c r="BN295" i="4"/>
  <c r="BO295" i="4"/>
  <c r="BT295" i="4"/>
  <c r="BU295" i="4"/>
  <c r="BV295" i="4"/>
  <c r="BW295" i="4"/>
  <c r="BX295" i="4"/>
  <c r="BY295" i="4"/>
  <c r="BZ295" i="4"/>
  <c r="CA295" i="4"/>
  <c r="CB295" i="4"/>
  <c r="CC295" i="4"/>
  <c r="CD295" i="4"/>
  <c r="CE295" i="4"/>
  <c r="CG295" i="4"/>
  <c r="CJ295" i="4"/>
  <c r="CK295" i="4"/>
  <c r="CL295" i="4"/>
  <c r="CN295" i="4"/>
  <c r="CP295" i="4"/>
  <c r="CQ295" i="4"/>
  <c r="C296" i="4"/>
  <c r="D296" i="4"/>
  <c r="E296" i="4"/>
  <c r="F296" i="4"/>
  <c r="N296" i="4"/>
  <c r="O296" i="4"/>
  <c r="P296" i="4"/>
  <c r="Q296" i="4"/>
  <c r="R296" i="4"/>
  <c r="S296" i="4"/>
  <c r="T296" i="4"/>
  <c r="U296" i="4"/>
  <c r="V296" i="4"/>
  <c r="W296" i="4"/>
  <c r="X296" i="4"/>
  <c r="AB296" i="4"/>
  <c r="AC296" i="4"/>
  <c r="AD296" i="4"/>
  <c r="AE296" i="4"/>
  <c r="AF296" i="4"/>
  <c r="AG296" i="4"/>
  <c r="AH296" i="4"/>
  <c r="AI296" i="4"/>
  <c r="AJ296" i="4"/>
  <c r="AT296" i="4"/>
  <c r="AU296" i="4"/>
  <c r="AV296" i="4"/>
  <c r="BB296" i="4"/>
  <c r="BC296" i="4"/>
  <c r="BD296" i="4"/>
  <c r="BE296" i="4"/>
  <c r="BF296" i="4"/>
  <c r="BG296" i="4"/>
  <c r="BH296" i="4"/>
  <c r="BI296" i="4"/>
  <c r="BJ296" i="4"/>
  <c r="BL296" i="4"/>
  <c r="BM296" i="4"/>
  <c r="BN296" i="4"/>
  <c r="BO296" i="4"/>
  <c r="BT296" i="4"/>
  <c r="BU296" i="4"/>
  <c r="BV296" i="4"/>
  <c r="BW296" i="4"/>
  <c r="BX296" i="4"/>
  <c r="BY296" i="4"/>
  <c r="BZ296" i="4"/>
  <c r="CA296" i="4"/>
  <c r="CB296" i="4"/>
  <c r="CC296" i="4"/>
  <c r="CD296" i="4"/>
  <c r="CE296" i="4"/>
  <c r="CG296" i="4"/>
  <c r="CJ296" i="4"/>
  <c r="CK296" i="4"/>
  <c r="CL296" i="4"/>
  <c r="CN296" i="4"/>
  <c r="CP296" i="4"/>
  <c r="CQ296" i="4"/>
  <c r="C297" i="4"/>
  <c r="D297" i="4"/>
  <c r="E297" i="4"/>
  <c r="F297" i="4"/>
  <c r="N297" i="4"/>
  <c r="O297" i="4"/>
  <c r="P297" i="4"/>
  <c r="Q297" i="4"/>
  <c r="R297" i="4"/>
  <c r="S297" i="4"/>
  <c r="T297" i="4"/>
  <c r="U297" i="4"/>
  <c r="V297" i="4"/>
  <c r="W297" i="4"/>
  <c r="X297" i="4"/>
  <c r="AB297" i="4"/>
  <c r="AC297" i="4"/>
  <c r="AD297" i="4"/>
  <c r="AE297" i="4"/>
  <c r="AF297" i="4"/>
  <c r="AG297" i="4"/>
  <c r="AH297" i="4"/>
  <c r="AI297" i="4"/>
  <c r="AJ297" i="4"/>
  <c r="AT297" i="4"/>
  <c r="AU297" i="4"/>
  <c r="AV297" i="4"/>
  <c r="BB297" i="4"/>
  <c r="BC297" i="4"/>
  <c r="BD297" i="4"/>
  <c r="BE297" i="4"/>
  <c r="BF297" i="4"/>
  <c r="BG297" i="4"/>
  <c r="BH297" i="4"/>
  <c r="BI297" i="4"/>
  <c r="BJ297" i="4"/>
  <c r="BL297" i="4"/>
  <c r="BM297" i="4"/>
  <c r="BN297" i="4"/>
  <c r="BO297" i="4"/>
  <c r="BT297" i="4"/>
  <c r="BU297" i="4"/>
  <c r="BV297" i="4"/>
  <c r="BW297" i="4"/>
  <c r="BX297" i="4"/>
  <c r="BY297" i="4"/>
  <c r="BZ297" i="4"/>
  <c r="CA297" i="4"/>
  <c r="CB297" i="4"/>
  <c r="CC297" i="4"/>
  <c r="CD297" i="4"/>
  <c r="CE297" i="4"/>
  <c r="CG297" i="4"/>
  <c r="CJ297" i="4"/>
  <c r="CK297" i="4"/>
  <c r="CL297" i="4"/>
  <c r="CN297" i="4"/>
  <c r="CP297" i="4"/>
  <c r="CQ297" i="4"/>
  <c r="C298" i="4"/>
  <c r="D298" i="4"/>
  <c r="E298" i="4"/>
  <c r="F298" i="4"/>
  <c r="N298" i="4"/>
  <c r="O298" i="4"/>
  <c r="P298" i="4"/>
  <c r="Q298" i="4"/>
  <c r="R298" i="4"/>
  <c r="S298" i="4"/>
  <c r="T298" i="4"/>
  <c r="U298" i="4"/>
  <c r="V298" i="4"/>
  <c r="W298" i="4"/>
  <c r="X298" i="4"/>
  <c r="AB298" i="4"/>
  <c r="AC298" i="4"/>
  <c r="AD298" i="4"/>
  <c r="AE298" i="4"/>
  <c r="AF298" i="4"/>
  <c r="AG298" i="4"/>
  <c r="AH298" i="4"/>
  <c r="AI298" i="4"/>
  <c r="AJ298" i="4"/>
  <c r="AT298" i="4"/>
  <c r="AU298" i="4"/>
  <c r="AV298" i="4"/>
  <c r="BB298" i="4"/>
  <c r="BC298" i="4"/>
  <c r="BD298" i="4"/>
  <c r="BE298" i="4"/>
  <c r="BF298" i="4"/>
  <c r="BG298" i="4"/>
  <c r="BH298" i="4"/>
  <c r="BI298" i="4"/>
  <c r="BJ298" i="4"/>
  <c r="BL298" i="4"/>
  <c r="BM298" i="4"/>
  <c r="BN298" i="4"/>
  <c r="BO298" i="4"/>
  <c r="BT298" i="4"/>
  <c r="BU298" i="4"/>
  <c r="BV298" i="4"/>
  <c r="BW298" i="4"/>
  <c r="BX298" i="4"/>
  <c r="BY298" i="4"/>
  <c r="BZ298" i="4"/>
  <c r="CA298" i="4"/>
  <c r="CB298" i="4"/>
  <c r="CC298" i="4"/>
  <c r="CD298" i="4"/>
  <c r="CE298" i="4"/>
  <c r="CG298" i="4"/>
  <c r="CJ298" i="4"/>
  <c r="CK298" i="4"/>
  <c r="CL298" i="4"/>
  <c r="CN298" i="4"/>
  <c r="CP298" i="4"/>
  <c r="CQ298" i="4"/>
  <c r="C299" i="4"/>
  <c r="D299" i="4"/>
  <c r="E299" i="4"/>
  <c r="F299" i="4"/>
  <c r="N299" i="4"/>
  <c r="O299" i="4"/>
  <c r="P299" i="4"/>
  <c r="Q299" i="4"/>
  <c r="R299" i="4"/>
  <c r="S299" i="4"/>
  <c r="T299" i="4"/>
  <c r="U299" i="4"/>
  <c r="V299" i="4"/>
  <c r="W299" i="4"/>
  <c r="X299" i="4"/>
  <c r="AB299" i="4"/>
  <c r="AC299" i="4"/>
  <c r="AD299" i="4"/>
  <c r="AE299" i="4"/>
  <c r="AF299" i="4"/>
  <c r="AG299" i="4"/>
  <c r="AH299" i="4"/>
  <c r="AI299" i="4"/>
  <c r="AJ299" i="4"/>
  <c r="AT299" i="4"/>
  <c r="AU299" i="4"/>
  <c r="AV299" i="4"/>
  <c r="BB299" i="4"/>
  <c r="BC299" i="4"/>
  <c r="BD299" i="4"/>
  <c r="BE299" i="4"/>
  <c r="BF299" i="4"/>
  <c r="BG299" i="4"/>
  <c r="BH299" i="4"/>
  <c r="BI299" i="4"/>
  <c r="BJ299" i="4"/>
  <c r="BL299" i="4"/>
  <c r="BM299" i="4"/>
  <c r="BN299" i="4"/>
  <c r="BO299" i="4"/>
  <c r="BT299" i="4"/>
  <c r="BU299" i="4"/>
  <c r="BV299" i="4"/>
  <c r="BW299" i="4"/>
  <c r="BX299" i="4"/>
  <c r="BY299" i="4"/>
  <c r="BZ299" i="4"/>
  <c r="CA299" i="4"/>
  <c r="CB299" i="4"/>
  <c r="CC299" i="4"/>
  <c r="CD299" i="4"/>
  <c r="CE299" i="4"/>
  <c r="CG299" i="4"/>
  <c r="CJ299" i="4"/>
  <c r="CK299" i="4"/>
  <c r="CL299" i="4"/>
  <c r="CN299" i="4"/>
  <c r="CP299" i="4"/>
  <c r="CQ299" i="4"/>
  <c r="C300" i="4"/>
  <c r="D300" i="4"/>
  <c r="E300" i="4"/>
  <c r="F300" i="4"/>
  <c r="N300" i="4"/>
  <c r="O300" i="4"/>
  <c r="P300" i="4"/>
  <c r="Q300" i="4"/>
  <c r="R300" i="4"/>
  <c r="S300" i="4"/>
  <c r="T300" i="4"/>
  <c r="U300" i="4"/>
  <c r="V300" i="4"/>
  <c r="W300" i="4"/>
  <c r="X300" i="4"/>
  <c r="AB300" i="4"/>
  <c r="AC300" i="4"/>
  <c r="AD300" i="4"/>
  <c r="AE300" i="4"/>
  <c r="AF300" i="4"/>
  <c r="AG300" i="4"/>
  <c r="AH300" i="4"/>
  <c r="AI300" i="4"/>
  <c r="AJ300" i="4"/>
  <c r="AT300" i="4"/>
  <c r="AU300" i="4"/>
  <c r="AV300" i="4"/>
  <c r="BB300" i="4"/>
  <c r="BC300" i="4"/>
  <c r="BD300" i="4"/>
  <c r="BE300" i="4"/>
  <c r="BF300" i="4"/>
  <c r="BG300" i="4"/>
  <c r="BH300" i="4"/>
  <c r="BI300" i="4"/>
  <c r="BJ300" i="4"/>
  <c r="BL300" i="4"/>
  <c r="BM300" i="4"/>
  <c r="BN300" i="4"/>
  <c r="BO300" i="4"/>
  <c r="BT300" i="4"/>
  <c r="BU300" i="4"/>
  <c r="BV300" i="4"/>
  <c r="BW300" i="4"/>
  <c r="BX300" i="4"/>
  <c r="BY300" i="4"/>
  <c r="BZ300" i="4"/>
  <c r="CA300" i="4"/>
  <c r="CB300" i="4"/>
  <c r="CC300" i="4"/>
  <c r="CD300" i="4"/>
  <c r="CE300" i="4"/>
  <c r="CG300" i="4"/>
  <c r="CJ300" i="4"/>
  <c r="CK300" i="4"/>
  <c r="CL300" i="4"/>
  <c r="CN300" i="4"/>
  <c r="CP300" i="4"/>
  <c r="CQ300" i="4"/>
  <c r="C301" i="4"/>
  <c r="D301" i="4"/>
  <c r="E301" i="4"/>
  <c r="F301" i="4"/>
  <c r="N301" i="4"/>
  <c r="O301" i="4"/>
  <c r="P301" i="4"/>
  <c r="Q301" i="4"/>
  <c r="R301" i="4"/>
  <c r="S301" i="4"/>
  <c r="T301" i="4"/>
  <c r="U301" i="4"/>
  <c r="V301" i="4"/>
  <c r="W301" i="4"/>
  <c r="X301" i="4"/>
  <c r="AB301" i="4"/>
  <c r="AC301" i="4"/>
  <c r="AD301" i="4"/>
  <c r="AE301" i="4"/>
  <c r="AF301" i="4"/>
  <c r="AG301" i="4"/>
  <c r="AH301" i="4"/>
  <c r="AI301" i="4"/>
  <c r="AJ301" i="4"/>
  <c r="AT301" i="4"/>
  <c r="AU301" i="4"/>
  <c r="AV301" i="4"/>
  <c r="BB301" i="4"/>
  <c r="BC301" i="4"/>
  <c r="BD301" i="4"/>
  <c r="BE301" i="4"/>
  <c r="BF301" i="4"/>
  <c r="BG301" i="4"/>
  <c r="BH301" i="4"/>
  <c r="BI301" i="4"/>
  <c r="BJ301" i="4"/>
  <c r="BL301" i="4"/>
  <c r="BM301" i="4"/>
  <c r="BN301" i="4"/>
  <c r="BO301" i="4"/>
  <c r="BT301" i="4"/>
  <c r="BU301" i="4"/>
  <c r="BV301" i="4"/>
  <c r="BW301" i="4"/>
  <c r="BX301" i="4"/>
  <c r="BY301" i="4"/>
  <c r="BZ301" i="4"/>
  <c r="CA301" i="4"/>
  <c r="CB301" i="4"/>
  <c r="CC301" i="4"/>
  <c r="CD301" i="4"/>
  <c r="CE301" i="4"/>
  <c r="CG301" i="4"/>
  <c r="CJ301" i="4"/>
  <c r="CK301" i="4"/>
  <c r="CL301" i="4"/>
  <c r="CN301" i="4"/>
  <c r="CP301" i="4"/>
  <c r="CQ301" i="4"/>
  <c r="C302" i="4"/>
  <c r="D302" i="4"/>
  <c r="E302" i="4"/>
  <c r="F302" i="4"/>
  <c r="N302" i="4"/>
  <c r="O302" i="4"/>
  <c r="P302" i="4"/>
  <c r="Q302" i="4"/>
  <c r="R302" i="4"/>
  <c r="S302" i="4"/>
  <c r="T302" i="4"/>
  <c r="U302" i="4"/>
  <c r="V302" i="4"/>
  <c r="W302" i="4"/>
  <c r="X302" i="4"/>
  <c r="AB302" i="4"/>
  <c r="AC302" i="4"/>
  <c r="AD302" i="4"/>
  <c r="AE302" i="4"/>
  <c r="AF302" i="4"/>
  <c r="AG302" i="4"/>
  <c r="AH302" i="4"/>
  <c r="AI302" i="4"/>
  <c r="AJ302" i="4"/>
  <c r="AT302" i="4"/>
  <c r="AU302" i="4"/>
  <c r="AV302" i="4"/>
  <c r="BB302" i="4"/>
  <c r="BC302" i="4"/>
  <c r="BD302" i="4"/>
  <c r="BE302" i="4"/>
  <c r="BF302" i="4"/>
  <c r="BG302" i="4"/>
  <c r="BH302" i="4"/>
  <c r="BI302" i="4"/>
  <c r="BJ302" i="4"/>
  <c r="BL302" i="4"/>
  <c r="BM302" i="4"/>
  <c r="BN302" i="4"/>
  <c r="BO302" i="4"/>
  <c r="BT302" i="4"/>
  <c r="BU302" i="4"/>
  <c r="BV302" i="4"/>
  <c r="BW302" i="4"/>
  <c r="BX302" i="4"/>
  <c r="BY302" i="4"/>
  <c r="BZ302" i="4"/>
  <c r="CA302" i="4"/>
  <c r="CB302" i="4"/>
  <c r="CC302" i="4"/>
  <c r="CD302" i="4"/>
  <c r="CE302" i="4"/>
  <c r="CG302" i="4"/>
  <c r="CJ302" i="4"/>
  <c r="CK302" i="4"/>
  <c r="CL302" i="4"/>
  <c r="CN302" i="4"/>
  <c r="CP302" i="4"/>
  <c r="CQ302" i="4"/>
  <c r="C303" i="4"/>
  <c r="D303" i="4"/>
  <c r="E303" i="4"/>
  <c r="F303" i="4"/>
  <c r="N303" i="4"/>
  <c r="O303" i="4"/>
  <c r="P303" i="4"/>
  <c r="Q303" i="4"/>
  <c r="R303" i="4"/>
  <c r="S303" i="4"/>
  <c r="T303" i="4"/>
  <c r="U303" i="4"/>
  <c r="V303" i="4"/>
  <c r="W303" i="4"/>
  <c r="X303" i="4"/>
  <c r="AB303" i="4"/>
  <c r="AC303" i="4"/>
  <c r="AD303" i="4"/>
  <c r="AE303" i="4"/>
  <c r="AF303" i="4"/>
  <c r="AG303" i="4"/>
  <c r="AH303" i="4"/>
  <c r="AI303" i="4"/>
  <c r="AJ303" i="4"/>
  <c r="AT303" i="4"/>
  <c r="AU303" i="4"/>
  <c r="AV303" i="4"/>
  <c r="BB303" i="4"/>
  <c r="BC303" i="4"/>
  <c r="BD303" i="4"/>
  <c r="BE303" i="4"/>
  <c r="BF303" i="4"/>
  <c r="BG303" i="4"/>
  <c r="BH303" i="4"/>
  <c r="BI303" i="4"/>
  <c r="BJ303" i="4"/>
  <c r="BL303" i="4"/>
  <c r="BM303" i="4"/>
  <c r="BN303" i="4"/>
  <c r="BO303" i="4"/>
  <c r="BT303" i="4"/>
  <c r="BU303" i="4"/>
  <c r="BV303" i="4"/>
  <c r="BW303" i="4"/>
  <c r="BX303" i="4"/>
  <c r="BY303" i="4"/>
  <c r="BZ303" i="4"/>
  <c r="CA303" i="4"/>
  <c r="CB303" i="4"/>
  <c r="CC303" i="4"/>
  <c r="CD303" i="4"/>
  <c r="CE303" i="4"/>
  <c r="CG303" i="4"/>
  <c r="CJ303" i="4"/>
  <c r="CK303" i="4"/>
  <c r="CL303" i="4"/>
  <c r="CN303" i="4"/>
  <c r="CP303" i="4"/>
  <c r="CQ303" i="4"/>
  <c r="C304" i="4"/>
  <c r="D304" i="4"/>
  <c r="E304" i="4"/>
  <c r="F304" i="4"/>
  <c r="N304" i="4"/>
  <c r="O304" i="4"/>
  <c r="P304" i="4"/>
  <c r="Q304" i="4"/>
  <c r="R304" i="4"/>
  <c r="S304" i="4"/>
  <c r="T304" i="4"/>
  <c r="U304" i="4"/>
  <c r="V304" i="4"/>
  <c r="W304" i="4"/>
  <c r="X304" i="4"/>
  <c r="AB304" i="4"/>
  <c r="AC304" i="4"/>
  <c r="AD304" i="4"/>
  <c r="AE304" i="4"/>
  <c r="AF304" i="4"/>
  <c r="AG304" i="4"/>
  <c r="AH304" i="4"/>
  <c r="AI304" i="4"/>
  <c r="AJ304" i="4"/>
  <c r="AT304" i="4"/>
  <c r="AU304" i="4"/>
  <c r="AV304" i="4"/>
  <c r="BB304" i="4"/>
  <c r="BC304" i="4"/>
  <c r="BD304" i="4"/>
  <c r="BE304" i="4"/>
  <c r="BF304" i="4"/>
  <c r="BG304" i="4"/>
  <c r="BH304" i="4"/>
  <c r="BI304" i="4"/>
  <c r="BJ304" i="4"/>
  <c r="BL304" i="4"/>
  <c r="BM304" i="4"/>
  <c r="BN304" i="4"/>
  <c r="BO304" i="4"/>
  <c r="BT304" i="4"/>
  <c r="BU304" i="4"/>
  <c r="BV304" i="4"/>
  <c r="BW304" i="4"/>
  <c r="BX304" i="4"/>
  <c r="BY304" i="4"/>
  <c r="BZ304" i="4"/>
  <c r="CA304" i="4"/>
  <c r="CB304" i="4"/>
  <c r="CC304" i="4"/>
  <c r="CD304" i="4"/>
  <c r="CE304" i="4"/>
  <c r="CG304" i="4"/>
  <c r="CJ304" i="4"/>
  <c r="CK304" i="4"/>
  <c r="CL304" i="4"/>
  <c r="CN304" i="4"/>
  <c r="CP304" i="4"/>
  <c r="CQ304" i="4"/>
  <c r="C305" i="4"/>
  <c r="D305" i="4"/>
  <c r="E305" i="4"/>
  <c r="F305" i="4"/>
  <c r="N305" i="4"/>
  <c r="O305" i="4"/>
  <c r="P305" i="4"/>
  <c r="Q305" i="4"/>
  <c r="R305" i="4"/>
  <c r="S305" i="4"/>
  <c r="T305" i="4"/>
  <c r="U305" i="4"/>
  <c r="V305" i="4"/>
  <c r="W305" i="4"/>
  <c r="X305" i="4"/>
  <c r="AB305" i="4"/>
  <c r="AC305" i="4"/>
  <c r="AD305" i="4"/>
  <c r="AE305" i="4"/>
  <c r="AF305" i="4"/>
  <c r="AG305" i="4"/>
  <c r="AH305" i="4"/>
  <c r="AI305" i="4"/>
  <c r="AJ305" i="4"/>
  <c r="AT305" i="4"/>
  <c r="AU305" i="4"/>
  <c r="AV305" i="4"/>
  <c r="BB305" i="4"/>
  <c r="BC305" i="4"/>
  <c r="BD305" i="4"/>
  <c r="BE305" i="4"/>
  <c r="BF305" i="4"/>
  <c r="BG305" i="4"/>
  <c r="BH305" i="4"/>
  <c r="BI305" i="4"/>
  <c r="BJ305" i="4"/>
  <c r="BL305" i="4"/>
  <c r="BM305" i="4"/>
  <c r="BN305" i="4"/>
  <c r="BO305" i="4"/>
  <c r="BT305" i="4"/>
  <c r="BU305" i="4"/>
  <c r="BV305" i="4"/>
  <c r="BW305" i="4"/>
  <c r="BX305" i="4"/>
  <c r="BY305" i="4"/>
  <c r="BZ305" i="4"/>
  <c r="CA305" i="4"/>
  <c r="CB305" i="4"/>
  <c r="CC305" i="4"/>
  <c r="CD305" i="4"/>
  <c r="CE305" i="4"/>
  <c r="CG305" i="4"/>
  <c r="CJ305" i="4"/>
  <c r="CK305" i="4"/>
  <c r="CL305" i="4"/>
  <c r="CN305" i="4"/>
  <c r="CP305" i="4"/>
  <c r="CQ305" i="4"/>
  <c r="C306" i="4"/>
  <c r="D306" i="4"/>
  <c r="E306" i="4"/>
  <c r="F306" i="4"/>
  <c r="N306" i="4"/>
  <c r="O306" i="4"/>
  <c r="P306" i="4"/>
  <c r="Q306" i="4"/>
  <c r="R306" i="4"/>
  <c r="S306" i="4"/>
  <c r="T306" i="4"/>
  <c r="U306" i="4"/>
  <c r="V306" i="4"/>
  <c r="W306" i="4"/>
  <c r="X306" i="4"/>
  <c r="AB306" i="4"/>
  <c r="AC306" i="4"/>
  <c r="AD306" i="4"/>
  <c r="AE306" i="4"/>
  <c r="AF306" i="4"/>
  <c r="AG306" i="4"/>
  <c r="AH306" i="4"/>
  <c r="AI306" i="4"/>
  <c r="AJ306" i="4"/>
  <c r="AT306" i="4"/>
  <c r="AU306" i="4"/>
  <c r="AV306" i="4"/>
  <c r="BB306" i="4"/>
  <c r="BC306" i="4"/>
  <c r="BD306" i="4"/>
  <c r="BE306" i="4"/>
  <c r="BF306" i="4"/>
  <c r="BG306" i="4"/>
  <c r="BH306" i="4"/>
  <c r="BI306" i="4"/>
  <c r="BJ306" i="4"/>
  <c r="BL306" i="4"/>
  <c r="BM306" i="4"/>
  <c r="BN306" i="4"/>
  <c r="BO306" i="4"/>
  <c r="BT306" i="4"/>
  <c r="BU306" i="4"/>
  <c r="BV306" i="4"/>
  <c r="BW306" i="4"/>
  <c r="BX306" i="4"/>
  <c r="BY306" i="4"/>
  <c r="BZ306" i="4"/>
  <c r="CA306" i="4"/>
  <c r="CB306" i="4"/>
  <c r="CC306" i="4"/>
  <c r="CD306" i="4"/>
  <c r="CE306" i="4"/>
  <c r="CG306" i="4"/>
  <c r="CJ306" i="4"/>
  <c r="CK306" i="4"/>
  <c r="CL306" i="4"/>
  <c r="CN306" i="4"/>
  <c r="CP306" i="4"/>
  <c r="CQ306" i="4"/>
  <c r="C307" i="4"/>
  <c r="D307" i="4"/>
  <c r="E307" i="4"/>
  <c r="F307" i="4"/>
  <c r="N307" i="4"/>
  <c r="O307" i="4"/>
  <c r="P307" i="4"/>
  <c r="Q307" i="4"/>
  <c r="R307" i="4"/>
  <c r="S307" i="4"/>
  <c r="T307" i="4"/>
  <c r="U307" i="4"/>
  <c r="V307" i="4"/>
  <c r="W307" i="4"/>
  <c r="X307" i="4"/>
  <c r="AB307" i="4"/>
  <c r="AC307" i="4"/>
  <c r="AD307" i="4"/>
  <c r="AE307" i="4"/>
  <c r="AF307" i="4"/>
  <c r="AG307" i="4"/>
  <c r="AH307" i="4"/>
  <c r="AI307" i="4"/>
  <c r="AJ307" i="4"/>
  <c r="AT307" i="4"/>
  <c r="AU307" i="4"/>
  <c r="AV307" i="4"/>
  <c r="BB307" i="4"/>
  <c r="BC307" i="4"/>
  <c r="BD307" i="4"/>
  <c r="BE307" i="4"/>
  <c r="BF307" i="4"/>
  <c r="BG307" i="4"/>
  <c r="BH307" i="4"/>
  <c r="BI307" i="4"/>
  <c r="BJ307" i="4"/>
  <c r="BL307" i="4"/>
  <c r="BM307" i="4"/>
  <c r="BN307" i="4"/>
  <c r="BO307" i="4"/>
  <c r="BT307" i="4"/>
  <c r="BU307" i="4"/>
  <c r="BV307" i="4"/>
  <c r="BW307" i="4"/>
  <c r="BX307" i="4"/>
  <c r="BY307" i="4"/>
  <c r="BZ307" i="4"/>
  <c r="CA307" i="4"/>
  <c r="CB307" i="4"/>
  <c r="CC307" i="4"/>
  <c r="CD307" i="4"/>
  <c r="CE307" i="4"/>
  <c r="CG307" i="4"/>
  <c r="CJ307" i="4"/>
  <c r="CK307" i="4"/>
  <c r="CL307" i="4"/>
  <c r="CN307" i="4"/>
  <c r="CP307" i="4"/>
  <c r="CQ307" i="4"/>
  <c r="C308" i="4"/>
  <c r="D308" i="4"/>
  <c r="E308" i="4"/>
  <c r="F308" i="4"/>
  <c r="N308" i="4"/>
  <c r="O308" i="4"/>
  <c r="P308" i="4"/>
  <c r="Q308" i="4"/>
  <c r="R308" i="4"/>
  <c r="S308" i="4"/>
  <c r="T308" i="4"/>
  <c r="U308" i="4"/>
  <c r="V308" i="4"/>
  <c r="W308" i="4"/>
  <c r="X308" i="4"/>
  <c r="AB308" i="4"/>
  <c r="AC308" i="4"/>
  <c r="AD308" i="4"/>
  <c r="AE308" i="4"/>
  <c r="AF308" i="4"/>
  <c r="AG308" i="4"/>
  <c r="AH308" i="4"/>
  <c r="AI308" i="4"/>
  <c r="AJ308" i="4"/>
  <c r="AT308" i="4"/>
  <c r="AU308" i="4"/>
  <c r="AV308" i="4"/>
  <c r="BB308" i="4"/>
  <c r="BC308" i="4"/>
  <c r="BD308" i="4"/>
  <c r="BE308" i="4"/>
  <c r="BF308" i="4"/>
  <c r="BG308" i="4"/>
  <c r="BH308" i="4"/>
  <c r="BI308" i="4"/>
  <c r="BJ308" i="4"/>
  <c r="BL308" i="4"/>
  <c r="BM308" i="4"/>
  <c r="BN308" i="4"/>
  <c r="BO308" i="4"/>
  <c r="BT308" i="4"/>
  <c r="BU308" i="4"/>
  <c r="BV308" i="4"/>
  <c r="BW308" i="4"/>
  <c r="BX308" i="4"/>
  <c r="BY308" i="4"/>
  <c r="BZ308" i="4"/>
  <c r="CA308" i="4"/>
  <c r="CB308" i="4"/>
  <c r="CC308" i="4"/>
  <c r="CD308" i="4"/>
  <c r="CE308" i="4"/>
  <c r="CG308" i="4"/>
  <c r="CJ308" i="4"/>
  <c r="CK308" i="4"/>
  <c r="CL308" i="4"/>
  <c r="CN308" i="4"/>
  <c r="CP308" i="4"/>
  <c r="CQ308" i="4"/>
  <c r="C309" i="4"/>
  <c r="D309" i="4"/>
  <c r="E309" i="4"/>
  <c r="F309" i="4"/>
  <c r="N309" i="4"/>
  <c r="O309" i="4"/>
  <c r="P309" i="4"/>
  <c r="Q309" i="4"/>
  <c r="R309" i="4"/>
  <c r="S309" i="4"/>
  <c r="T309" i="4"/>
  <c r="U309" i="4"/>
  <c r="V309" i="4"/>
  <c r="W309" i="4"/>
  <c r="X309" i="4"/>
  <c r="AB309" i="4"/>
  <c r="AC309" i="4"/>
  <c r="AD309" i="4"/>
  <c r="AE309" i="4"/>
  <c r="AF309" i="4"/>
  <c r="AG309" i="4"/>
  <c r="AH309" i="4"/>
  <c r="AI309" i="4"/>
  <c r="AJ309" i="4"/>
  <c r="AT309" i="4"/>
  <c r="AU309" i="4"/>
  <c r="AV309" i="4"/>
  <c r="BB309" i="4"/>
  <c r="BC309" i="4"/>
  <c r="BD309" i="4"/>
  <c r="BE309" i="4"/>
  <c r="BF309" i="4"/>
  <c r="BG309" i="4"/>
  <c r="BH309" i="4"/>
  <c r="BI309" i="4"/>
  <c r="BJ309" i="4"/>
  <c r="BL309" i="4"/>
  <c r="BM309" i="4"/>
  <c r="BN309" i="4"/>
  <c r="BO309" i="4"/>
  <c r="BT309" i="4"/>
  <c r="BU309" i="4"/>
  <c r="BV309" i="4"/>
  <c r="BW309" i="4"/>
  <c r="BX309" i="4"/>
  <c r="BY309" i="4"/>
  <c r="BZ309" i="4"/>
  <c r="CA309" i="4"/>
  <c r="CB309" i="4"/>
  <c r="CC309" i="4"/>
  <c r="CD309" i="4"/>
  <c r="CE309" i="4"/>
  <c r="CG309" i="4"/>
  <c r="CJ309" i="4"/>
  <c r="CK309" i="4"/>
  <c r="CL309" i="4"/>
  <c r="CN309" i="4"/>
  <c r="CP309" i="4"/>
  <c r="CQ309" i="4"/>
  <c r="C310" i="4"/>
  <c r="D310" i="4"/>
  <c r="E310" i="4"/>
  <c r="F310" i="4"/>
  <c r="N310" i="4"/>
  <c r="O310" i="4"/>
  <c r="P310" i="4"/>
  <c r="Q310" i="4"/>
  <c r="R310" i="4"/>
  <c r="S310" i="4"/>
  <c r="T310" i="4"/>
  <c r="U310" i="4"/>
  <c r="V310" i="4"/>
  <c r="W310" i="4"/>
  <c r="X310" i="4"/>
  <c r="AB310" i="4"/>
  <c r="AC310" i="4"/>
  <c r="AD310" i="4"/>
  <c r="AE310" i="4"/>
  <c r="AF310" i="4"/>
  <c r="AG310" i="4"/>
  <c r="AH310" i="4"/>
  <c r="AI310" i="4"/>
  <c r="AJ310" i="4"/>
  <c r="AT310" i="4"/>
  <c r="AU310" i="4"/>
  <c r="AV310" i="4"/>
  <c r="BB310" i="4"/>
  <c r="BC310" i="4"/>
  <c r="BD310" i="4"/>
  <c r="BE310" i="4"/>
  <c r="BF310" i="4"/>
  <c r="BG310" i="4"/>
  <c r="BH310" i="4"/>
  <c r="BI310" i="4"/>
  <c r="BJ310" i="4"/>
  <c r="BL310" i="4"/>
  <c r="BM310" i="4"/>
  <c r="BN310" i="4"/>
  <c r="BO310" i="4"/>
  <c r="BT310" i="4"/>
  <c r="BU310" i="4"/>
  <c r="BV310" i="4"/>
  <c r="BW310" i="4"/>
  <c r="BX310" i="4"/>
  <c r="BY310" i="4"/>
  <c r="BZ310" i="4"/>
  <c r="CA310" i="4"/>
  <c r="CB310" i="4"/>
  <c r="CC310" i="4"/>
  <c r="CD310" i="4"/>
  <c r="CE310" i="4"/>
  <c r="CG310" i="4"/>
  <c r="CJ310" i="4"/>
  <c r="CK310" i="4"/>
  <c r="CL310" i="4"/>
  <c r="CN310" i="4"/>
  <c r="CP310" i="4"/>
  <c r="CQ310" i="4"/>
  <c r="C311" i="4"/>
  <c r="D311" i="4"/>
  <c r="E311" i="4"/>
  <c r="F311" i="4"/>
  <c r="N311" i="4"/>
  <c r="O311" i="4"/>
  <c r="P311" i="4"/>
  <c r="Q311" i="4"/>
  <c r="R311" i="4"/>
  <c r="S311" i="4"/>
  <c r="T311" i="4"/>
  <c r="U311" i="4"/>
  <c r="V311" i="4"/>
  <c r="W311" i="4"/>
  <c r="X311" i="4"/>
  <c r="AB311" i="4"/>
  <c r="AC311" i="4"/>
  <c r="AD311" i="4"/>
  <c r="AE311" i="4"/>
  <c r="AF311" i="4"/>
  <c r="AG311" i="4"/>
  <c r="AH311" i="4"/>
  <c r="AI311" i="4"/>
  <c r="AJ311" i="4"/>
  <c r="AT311" i="4"/>
  <c r="AU311" i="4"/>
  <c r="AV311" i="4"/>
  <c r="BB311" i="4"/>
  <c r="BC311" i="4"/>
  <c r="BD311" i="4"/>
  <c r="BE311" i="4"/>
  <c r="BF311" i="4"/>
  <c r="BG311" i="4"/>
  <c r="BH311" i="4"/>
  <c r="BI311" i="4"/>
  <c r="BJ311" i="4"/>
  <c r="BL311" i="4"/>
  <c r="BM311" i="4"/>
  <c r="BN311" i="4"/>
  <c r="BO311" i="4"/>
  <c r="BT311" i="4"/>
  <c r="BU311" i="4"/>
  <c r="BV311" i="4"/>
  <c r="BW311" i="4"/>
  <c r="BX311" i="4"/>
  <c r="BY311" i="4"/>
  <c r="BZ311" i="4"/>
  <c r="CA311" i="4"/>
  <c r="CB311" i="4"/>
  <c r="CC311" i="4"/>
  <c r="CD311" i="4"/>
  <c r="CE311" i="4"/>
  <c r="CG311" i="4"/>
  <c r="CJ311" i="4"/>
  <c r="CK311" i="4"/>
  <c r="CL311" i="4"/>
  <c r="CN311" i="4"/>
  <c r="CP311" i="4"/>
  <c r="CQ311" i="4"/>
  <c r="C312" i="4"/>
  <c r="D312" i="4"/>
  <c r="E312" i="4"/>
  <c r="F312" i="4"/>
  <c r="N312" i="4"/>
  <c r="O312" i="4"/>
  <c r="P312" i="4"/>
  <c r="Q312" i="4"/>
  <c r="R312" i="4"/>
  <c r="S312" i="4"/>
  <c r="T312" i="4"/>
  <c r="U312" i="4"/>
  <c r="V312" i="4"/>
  <c r="W312" i="4"/>
  <c r="X312" i="4"/>
  <c r="AB312" i="4"/>
  <c r="AC312" i="4"/>
  <c r="AD312" i="4"/>
  <c r="AE312" i="4"/>
  <c r="AF312" i="4"/>
  <c r="AG312" i="4"/>
  <c r="AH312" i="4"/>
  <c r="AI312" i="4"/>
  <c r="AJ312" i="4"/>
  <c r="AT312" i="4"/>
  <c r="AU312" i="4"/>
  <c r="AV312" i="4"/>
  <c r="BB312" i="4"/>
  <c r="BC312" i="4"/>
  <c r="BD312" i="4"/>
  <c r="BE312" i="4"/>
  <c r="BF312" i="4"/>
  <c r="BG312" i="4"/>
  <c r="BH312" i="4"/>
  <c r="BI312" i="4"/>
  <c r="BJ312" i="4"/>
  <c r="BL312" i="4"/>
  <c r="BM312" i="4"/>
  <c r="BN312" i="4"/>
  <c r="BO312" i="4"/>
  <c r="BT312" i="4"/>
  <c r="BU312" i="4"/>
  <c r="BV312" i="4"/>
  <c r="BW312" i="4"/>
  <c r="BX312" i="4"/>
  <c r="BY312" i="4"/>
  <c r="BZ312" i="4"/>
  <c r="CA312" i="4"/>
  <c r="CB312" i="4"/>
  <c r="CC312" i="4"/>
  <c r="CD312" i="4"/>
  <c r="CE312" i="4"/>
  <c r="CG312" i="4"/>
  <c r="CJ312" i="4"/>
  <c r="CK312" i="4"/>
  <c r="CL312" i="4"/>
  <c r="CN312" i="4"/>
  <c r="CP312" i="4"/>
  <c r="CQ312" i="4"/>
  <c r="C313" i="4"/>
  <c r="D313" i="4"/>
  <c r="E313" i="4"/>
  <c r="F313" i="4"/>
  <c r="N313" i="4"/>
  <c r="O313" i="4"/>
  <c r="P313" i="4"/>
  <c r="Q313" i="4"/>
  <c r="R313" i="4"/>
  <c r="S313" i="4"/>
  <c r="T313" i="4"/>
  <c r="U313" i="4"/>
  <c r="V313" i="4"/>
  <c r="W313" i="4"/>
  <c r="X313" i="4"/>
  <c r="AB313" i="4"/>
  <c r="AC313" i="4"/>
  <c r="AD313" i="4"/>
  <c r="AE313" i="4"/>
  <c r="AF313" i="4"/>
  <c r="AG313" i="4"/>
  <c r="AH313" i="4"/>
  <c r="AI313" i="4"/>
  <c r="AJ313" i="4"/>
  <c r="AT313" i="4"/>
  <c r="AU313" i="4"/>
  <c r="AV313" i="4"/>
  <c r="BB313" i="4"/>
  <c r="BC313" i="4"/>
  <c r="BD313" i="4"/>
  <c r="BE313" i="4"/>
  <c r="BF313" i="4"/>
  <c r="BG313" i="4"/>
  <c r="BH313" i="4"/>
  <c r="BI313" i="4"/>
  <c r="BJ313" i="4"/>
  <c r="BL313" i="4"/>
  <c r="BM313" i="4"/>
  <c r="BN313" i="4"/>
  <c r="BO313" i="4"/>
  <c r="BT313" i="4"/>
  <c r="BU313" i="4"/>
  <c r="BV313" i="4"/>
  <c r="BW313" i="4"/>
  <c r="BX313" i="4"/>
  <c r="BY313" i="4"/>
  <c r="BZ313" i="4"/>
  <c r="CA313" i="4"/>
  <c r="CB313" i="4"/>
  <c r="CC313" i="4"/>
  <c r="CD313" i="4"/>
  <c r="CE313" i="4"/>
  <c r="CG313" i="4"/>
  <c r="CJ313" i="4"/>
  <c r="CK313" i="4"/>
  <c r="CL313" i="4"/>
  <c r="CN313" i="4"/>
  <c r="CP313" i="4"/>
  <c r="CQ313" i="4"/>
  <c r="C314" i="4"/>
  <c r="D314" i="4"/>
  <c r="E314" i="4"/>
  <c r="F314" i="4"/>
  <c r="N314" i="4"/>
  <c r="O314" i="4"/>
  <c r="P314" i="4"/>
  <c r="Q314" i="4"/>
  <c r="R314" i="4"/>
  <c r="S314" i="4"/>
  <c r="T314" i="4"/>
  <c r="U314" i="4"/>
  <c r="V314" i="4"/>
  <c r="W314" i="4"/>
  <c r="X314" i="4"/>
  <c r="AB314" i="4"/>
  <c r="AC314" i="4"/>
  <c r="AD314" i="4"/>
  <c r="AE314" i="4"/>
  <c r="AF314" i="4"/>
  <c r="AG314" i="4"/>
  <c r="AH314" i="4"/>
  <c r="AI314" i="4"/>
  <c r="AJ314" i="4"/>
  <c r="AT314" i="4"/>
  <c r="AU314" i="4"/>
  <c r="AV314" i="4"/>
  <c r="BB314" i="4"/>
  <c r="BC314" i="4"/>
  <c r="BD314" i="4"/>
  <c r="BE314" i="4"/>
  <c r="BF314" i="4"/>
  <c r="BG314" i="4"/>
  <c r="BH314" i="4"/>
  <c r="BI314" i="4"/>
  <c r="BJ314" i="4"/>
  <c r="BL314" i="4"/>
  <c r="BM314" i="4"/>
  <c r="BN314" i="4"/>
  <c r="BO314" i="4"/>
  <c r="BT314" i="4"/>
  <c r="BU314" i="4"/>
  <c r="BV314" i="4"/>
  <c r="BW314" i="4"/>
  <c r="BX314" i="4"/>
  <c r="BY314" i="4"/>
  <c r="BZ314" i="4"/>
  <c r="CA314" i="4"/>
  <c r="CB314" i="4"/>
  <c r="CC314" i="4"/>
  <c r="CD314" i="4"/>
  <c r="CE314" i="4"/>
  <c r="CG314" i="4"/>
  <c r="CJ314" i="4"/>
  <c r="CK314" i="4"/>
  <c r="CL314" i="4"/>
  <c r="CN314" i="4"/>
  <c r="CP314" i="4"/>
  <c r="CQ314" i="4"/>
  <c r="C315" i="4"/>
  <c r="D315" i="4"/>
  <c r="E315" i="4"/>
  <c r="F315" i="4"/>
  <c r="N315" i="4"/>
  <c r="O315" i="4"/>
  <c r="P315" i="4"/>
  <c r="Q315" i="4"/>
  <c r="R315" i="4"/>
  <c r="S315" i="4"/>
  <c r="T315" i="4"/>
  <c r="U315" i="4"/>
  <c r="V315" i="4"/>
  <c r="W315" i="4"/>
  <c r="X315" i="4"/>
  <c r="AB315" i="4"/>
  <c r="AC315" i="4"/>
  <c r="AD315" i="4"/>
  <c r="AE315" i="4"/>
  <c r="AF315" i="4"/>
  <c r="AG315" i="4"/>
  <c r="AH315" i="4"/>
  <c r="AI315" i="4"/>
  <c r="AJ315" i="4"/>
  <c r="AT315" i="4"/>
  <c r="AU315" i="4"/>
  <c r="AV315" i="4"/>
  <c r="BB315" i="4"/>
  <c r="BC315" i="4"/>
  <c r="BD315" i="4"/>
  <c r="BE315" i="4"/>
  <c r="BF315" i="4"/>
  <c r="BG315" i="4"/>
  <c r="BH315" i="4"/>
  <c r="BI315" i="4"/>
  <c r="BJ315" i="4"/>
  <c r="BL315" i="4"/>
  <c r="BM315" i="4"/>
  <c r="BN315" i="4"/>
  <c r="BO315" i="4"/>
  <c r="BT315" i="4"/>
  <c r="BU315" i="4"/>
  <c r="BV315" i="4"/>
  <c r="BW315" i="4"/>
  <c r="BX315" i="4"/>
  <c r="BY315" i="4"/>
  <c r="BZ315" i="4"/>
  <c r="CA315" i="4"/>
  <c r="CB315" i="4"/>
  <c r="CC315" i="4"/>
  <c r="CD315" i="4"/>
  <c r="CE315" i="4"/>
  <c r="CG315" i="4"/>
  <c r="CJ315" i="4"/>
  <c r="CK315" i="4"/>
  <c r="CL315" i="4"/>
  <c r="CN315" i="4"/>
  <c r="CP315" i="4"/>
  <c r="CQ315" i="4"/>
  <c r="C316" i="4"/>
  <c r="D316" i="4"/>
  <c r="E316" i="4"/>
  <c r="F316" i="4"/>
  <c r="N316" i="4"/>
  <c r="O316" i="4"/>
  <c r="P316" i="4"/>
  <c r="Q316" i="4"/>
  <c r="R316" i="4"/>
  <c r="S316" i="4"/>
  <c r="T316" i="4"/>
  <c r="U316" i="4"/>
  <c r="V316" i="4"/>
  <c r="W316" i="4"/>
  <c r="X316" i="4"/>
  <c r="AB316" i="4"/>
  <c r="AC316" i="4"/>
  <c r="AD316" i="4"/>
  <c r="AE316" i="4"/>
  <c r="AF316" i="4"/>
  <c r="AG316" i="4"/>
  <c r="AH316" i="4"/>
  <c r="AI316" i="4"/>
  <c r="AJ316" i="4"/>
  <c r="AT316" i="4"/>
  <c r="AU316" i="4"/>
  <c r="AV316" i="4"/>
  <c r="BB316" i="4"/>
  <c r="BC316" i="4"/>
  <c r="BD316" i="4"/>
  <c r="BE316" i="4"/>
  <c r="BF316" i="4"/>
  <c r="BG316" i="4"/>
  <c r="BH316" i="4"/>
  <c r="BI316" i="4"/>
  <c r="BJ316" i="4"/>
  <c r="BL316" i="4"/>
  <c r="BM316" i="4"/>
  <c r="BN316" i="4"/>
  <c r="BO316" i="4"/>
  <c r="BT316" i="4"/>
  <c r="BU316" i="4"/>
  <c r="BV316" i="4"/>
  <c r="BW316" i="4"/>
  <c r="BX316" i="4"/>
  <c r="BY316" i="4"/>
  <c r="BZ316" i="4"/>
  <c r="CA316" i="4"/>
  <c r="CB316" i="4"/>
  <c r="CC316" i="4"/>
  <c r="CD316" i="4"/>
  <c r="CE316" i="4"/>
  <c r="CG316" i="4"/>
  <c r="CJ316" i="4"/>
  <c r="CK316" i="4"/>
  <c r="CL316" i="4"/>
  <c r="CN316" i="4"/>
  <c r="CP316" i="4"/>
  <c r="CQ316" i="4"/>
  <c r="C317" i="4"/>
  <c r="D317" i="4"/>
  <c r="E317" i="4"/>
  <c r="F317" i="4"/>
  <c r="N317" i="4"/>
  <c r="O317" i="4"/>
  <c r="P317" i="4"/>
  <c r="Q317" i="4"/>
  <c r="R317" i="4"/>
  <c r="S317" i="4"/>
  <c r="T317" i="4"/>
  <c r="U317" i="4"/>
  <c r="V317" i="4"/>
  <c r="W317" i="4"/>
  <c r="X317" i="4"/>
  <c r="AB317" i="4"/>
  <c r="AC317" i="4"/>
  <c r="AD317" i="4"/>
  <c r="AE317" i="4"/>
  <c r="AF317" i="4"/>
  <c r="AG317" i="4"/>
  <c r="AH317" i="4"/>
  <c r="AI317" i="4"/>
  <c r="AJ317" i="4"/>
  <c r="AT317" i="4"/>
  <c r="AU317" i="4"/>
  <c r="AV317" i="4"/>
  <c r="BB317" i="4"/>
  <c r="BC317" i="4"/>
  <c r="BD317" i="4"/>
  <c r="BE317" i="4"/>
  <c r="BF317" i="4"/>
  <c r="BG317" i="4"/>
  <c r="BH317" i="4"/>
  <c r="BI317" i="4"/>
  <c r="BJ317" i="4"/>
  <c r="BL317" i="4"/>
  <c r="BM317" i="4"/>
  <c r="BN317" i="4"/>
  <c r="BO317" i="4"/>
  <c r="BT317" i="4"/>
  <c r="BU317" i="4"/>
  <c r="BV317" i="4"/>
  <c r="BW317" i="4"/>
  <c r="BX317" i="4"/>
  <c r="BY317" i="4"/>
  <c r="BZ317" i="4"/>
  <c r="CA317" i="4"/>
  <c r="CB317" i="4"/>
  <c r="CC317" i="4"/>
  <c r="CD317" i="4"/>
  <c r="CE317" i="4"/>
  <c r="CG317" i="4"/>
  <c r="CJ317" i="4"/>
  <c r="CK317" i="4"/>
  <c r="CL317" i="4"/>
  <c r="CN317" i="4"/>
  <c r="CP317" i="4"/>
  <c r="CQ317" i="4"/>
  <c r="C318" i="4"/>
  <c r="D318" i="4"/>
  <c r="E318" i="4"/>
  <c r="F318" i="4"/>
  <c r="N318" i="4"/>
  <c r="O318" i="4"/>
  <c r="P318" i="4"/>
  <c r="Q318" i="4"/>
  <c r="R318" i="4"/>
  <c r="S318" i="4"/>
  <c r="T318" i="4"/>
  <c r="U318" i="4"/>
  <c r="V318" i="4"/>
  <c r="W318" i="4"/>
  <c r="X318" i="4"/>
  <c r="AB318" i="4"/>
  <c r="AC318" i="4"/>
  <c r="AD318" i="4"/>
  <c r="AE318" i="4"/>
  <c r="AF318" i="4"/>
  <c r="AG318" i="4"/>
  <c r="AH318" i="4"/>
  <c r="AI318" i="4"/>
  <c r="AJ318" i="4"/>
  <c r="AT318" i="4"/>
  <c r="AU318" i="4"/>
  <c r="AV318" i="4"/>
  <c r="BB318" i="4"/>
  <c r="BC318" i="4"/>
  <c r="BD318" i="4"/>
  <c r="BE318" i="4"/>
  <c r="BF318" i="4"/>
  <c r="BG318" i="4"/>
  <c r="BH318" i="4"/>
  <c r="BI318" i="4"/>
  <c r="BJ318" i="4"/>
  <c r="BL318" i="4"/>
  <c r="BM318" i="4"/>
  <c r="BN318" i="4"/>
  <c r="BO318" i="4"/>
  <c r="BT318" i="4"/>
  <c r="BU318" i="4"/>
  <c r="BV318" i="4"/>
  <c r="BW318" i="4"/>
  <c r="BX318" i="4"/>
  <c r="BY318" i="4"/>
  <c r="BZ318" i="4"/>
  <c r="CA318" i="4"/>
  <c r="CB318" i="4"/>
  <c r="CC318" i="4"/>
  <c r="CD318" i="4"/>
  <c r="CE318" i="4"/>
  <c r="CG318" i="4"/>
  <c r="CJ318" i="4"/>
  <c r="CK318" i="4"/>
  <c r="CL318" i="4"/>
  <c r="CN318" i="4"/>
  <c r="CP318" i="4"/>
  <c r="CQ318" i="4"/>
  <c r="C319" i="4"/>
  <c r="D319" i="4"/>
  <c r="E319" i="4"/>
  <c r="F319" i="4"/>
  <c r="N319" i="4"/>
  <c r="O319" i="4"/>
  <c r="P319" i="4"/>
  <c r="Q319" i="4"/>
  <c r="R319" i="4"/>
  <c r="S319" i="4"/>
  <c r="T319" i="4"/>
  <c r="U319" i="4"/>
  <c r="V319" i="4"/>
  <c r="W319" i="4"/>
  <c r="X319" i="4"/>
  <c r="AB319" i="4"/>
  <c r="AC319" i="4"/>
  <c r="AD319" i="4"/>
  <c r="AE319" i="4"/>
  <c r="AF319" i="4"/>
  <c r="AG319" i="4"/>
  <c r="AH319" i="4"/>
  <c r="AI319" i="4"/>
  <c r="AJ319" i="4"/>
  <c r="AT319" i="4"/>
  <c r="AU319" i="4"/>
  <c r="AV319" i="4"/>
  <c r="BB319" i="4"/>
  <c r="BC319" i="4"/>
  <c r="BD319" i="4"/>
  <c r="BE319" i="4"/>
  <c r="BF319" i="4"/>
  <c r="BG319" i="4"/>
  <c r="BH319" i="4"/>
  <c r="BI319" i="4"/>
  <c r="BJ319" i="4"/>
  <c r="BL319" i="4"/>
  <c r="BM319" i="4"/>
  <c r="BN319" i="4"/>
  <c r="BO319" i="4"/>
  <c r="BT319" i="4"/>
  <c r="BU319" i="4"/>
  <c r="BV319" i="4"/>
  <c r="BW319" i="4"/>
  <c r="BX319" i="4"/>
  <c r="BY319" i="4"/>
  <c r="BZ319" i="4"/>
  <c r="CA319" i="4"/>
  <c r="CB319" i="4"/>
  <c r="CC319" i="4"/>
  <c r="CD319" i="4"/>
  <c r="CE319" i="4"/>
  <c r="CG319" i="4"/>
  <c r="CJ319" i="4"/>
  <c r="CK319" i="4"/>
  <c r="CL319" i="4"/>
  <c r="CN319" i="4"/>
  <c r="CP319" i="4"/>
  <c r="CQ319" i="4"/>
  <c r="C320" i="4"/>
  <c r="D320" i="4"/>
  <c r="E320" i="4"/>
  <c r="F320" i="4"/>
  <c r="N320" i="4"/>
  <c r="O320" i="4"/>
  <c r="P320" i="4"/>
  <c r="Q320" i="4"/>
  <c r="R320" i="4"/>
  <c r="S320" i="4"/>
  <c r="T320" i="4"/>
  <c r="U320" i="4"/>
  <c r="V320" i="4"/>
  <c r="W320" i="4"/>
  <c r="X320" i="4"/>
  <c r="AB320" i="4"/>
  <c r="AC320" i="4"/>
  <c r="AD320" i="4"/>
  <c r="AE320" i="4"/>
  <c r="AF320" i="4"/>
  <c r="AG320" i="4"/>
  <c r="AH320" i="4"/>
  <c r="AI320" i="4"/>
  <c r="AJ320" i="4"/>
  <c r="AT320" i="4"/>
  <c r="AU320" i="4"/>
  <c r="AV320" i="4"/>
  <c r="BB320" i="4"/>
  <c r="BC320" i="4"/>
  <c r="BD320" i="4"/>
  <c r="BE320" i="4"/>
  <c r="BF320" i="4"/>
  <c r="BG320" i="4"/>
  <c r="BH320" i="4"/>
  <c r="BI320" i="4"/>
  <c r="BJ320" i="4"/>
  <c r="BL320" i="4"/>
  <c r="BM320" i="4"/>
  <c r="BN320" i="4"/>
  <c r="BO320" i="4"/>
  <c r="BT320" i="4"/>
  <c r="BU320" i="4"/>
  <c r="BV320" i="4"/>
  <c r="BW320" i="4"/>
  <c r="BX320" i="4"/>
  <c r="BY320" i="4"/>
  <c r="BZ320" i="4"/>
  <c r="CA320" i="4"/>
  <c r="CB320" i="4"/>
  <c r="CC320" i="4"/>
  <c r="CD320" i="4"/>
  <c r="CE320" i="4"/>
  <c r="CG320" i="4"/>
  <c r="CJ320" i="4"/>
  <c r="CK320" i="4"/>
  <c r="CL320" i="4"/>
  <c r="CN320" i="4"/>
  <c r="CP320" i="4"/>
  <c r="CQ320" i="4"/>
  <c r="C321" i="4"/>
  <c r="D321" i="4"/>
  <c r="E321" i="4"/>
  <c r="F321" i="4"/>
  <c r="N321" i="4"/>
  <c r="O321" i="4"/>
  <c r="P321" i="4"/>
  <c r="Q321" i="4"/>
  <c r="R321" i="4"/>
  <c r="S321" i="4"/>
  <c r="T321" i="4"/>
  <c r="U321" i="4"/>
  <c r="V321" i="4"/>
  <c r="W321" i="4"/>
  <c r="X321" i="4"/>
  <c r="AB321" i="4"/>
  <c r="AC321" i="4"/>
  <c r="AD321" i="4"/>
  <c r="AE321" i="4"/>
  <c r="AF321" i="4"/>
  <c r="AG321" i="4"/>
  <c r="AH321" i="4"/>
  <c r="AI321" i="4"/>
  <c r="AJ321" i="4"/>
  <c r="AT321" i="4"/>
  <c r="AU321" i="4"/>
  <c r="AV321" i="4"/>
  <c r="BB321" i="4"/>
  <c r="BC321" i="4"/>
  <c r="BD321" i="4"/>
  <c r="BE321" i="4"/>
  <c r="BF321" i="4"/>
  <c r="BG321" i="4"/>
  <c r="BH321" i="4"/>
  <c r="BI321" i="4"/>
  <c r="BJ321" i="4"/>
  <c r="BL321" i="4"/>
  <c r="BM321" i="4"/>
  <c r="BN321" i="4"/>
  <c r="BO321" i="4"/>
  <c r="BT321" i="4"/>
  <c r="BU321" i="4"/>
  <c r="BV321" i="4"/>
  <c r="BW321" i="4"/>
  <c r="BX321" i="4"/>
  <c r="BY321" i="4"/>
  <c r="BZ321" i="4"/>
  <c r="CA321" i="4"/>
  <c r="CB321" i="4"/>
  <c r="CC321" i="4"/>
  <c r="CD321" i="4"/>
  <c r="CE321" i="4"/>
  <c r="CG321" i="4"/>
  <c r="CJ321" i="4"/>
  <c r="CK321" i="4"/>
  <c r="CL321" i="4"/>
  <c r="CN321" i="4"/>
  <c r="CP321" i="4"/>
  <c r="CQ321" i="4"/>
  <c r="C322" i="4"/>
  <c r="D322" i="4"/>
  <c r="E322" i="4"/>
  <c r="F322" i="4"/>
  <c r="N322" i="4"/>
  <c r="O322" i="4"/>
  <c r="P322" i="4"/>
  <c r="Q322" i="4"/>
  <c r="R322" i="4"/>
  <c r="S322" i="4"/>
  <c r="T322" i="4"/>
  <c r="U322" i="4"/>
  <c r="V322" i="4"/>
  <c r="W322" i="4"/>
  <c r="X322" i="4"/>
  <c r="AB322" i="4"/>
  <c r="AC322" i="4"/>
  <c r="AD322" i="4"/>
  <c r="AE322" i="4"/>
  <c r="AF322" i="4"/>
  <c r="AG322" i="4"/>
  <c r="AH322" i="4"/>
  <c r="AI322" i="4"/>
  <c r="AJ322" i="4"/>
  <c r="AT322" i="4"/>
  <c r="AU322" i="4"/>
  <c r="AV322" i="4"/>
  <c r="BB322" i="4"/>
  <c r="BC322" i="4"/>
  <c r="BD322" i="4"/>
  <c r="BE322" i="4"/>
  <c r="BF322" i="4"/>
  <c r="BG322" i="4"/>
  <c r="BH322" i="4"/>
  <c r="BI322" i="4"/>
  <c r="BJ322" i="4"/>
  <c r="BL322" i="4"/>
  <c r="BM322" i="4"/>
  <c r="BN322" i="4"/>
  <c r="BO322" i="4"/>
  <c r="BT322" i="4"/>
  <c r="BU322" i="4"/>
  <c r="BV322" i="4"/>
  <c r="BW322" i="4"/>
  <c r="BX322" i="4"/>
  <c r="BY322" i="4"/>
  <c r="BZ322" i="4"/>
  <c r="CA322" i="4"/>
  <c r="CB322" i="4"/>
  <c r="CC322" i="4"/>
  <c r="CD322" i="4"/>
  <c r="CE322" i="4"/>
  <c r="CG322" i="4"/>
  <c r="CJ322" i="4"/>
  <c r="CK322" i="4"/>
  <c r="CL322" i="4"/>
  <c r="CN322" i="4"/>
  <c r="CP322" i="4"/>
  <c r="CQ322" i="4"/>
  <c r="C323" i="4"/>
  <c r="D323" i="4"/>
  <c r="E323" i="4"/>
  <c r="F323" i="4"/>
  <c r="N323" i="4"/>
  <c r="O323" i="4"/>
  <c r="P323" i="4"/>
  <c r="Q323" i="4"/>
  <c r="R323" i="4"/>
  <c r="S323" i="4"/>
  <c r="T323" i="4"/>
  <c r="U323" i="4"/>
  <c r="V323" i="4"/>
  <c r="W323" i="4"/>
  <c r="X323" i="4"/>
  <c r="AB323" i="4"/>
  <c r="AC323" i="4"/>
  <c r="AD323" i="4"/>
  <c r="AE323" i="4"/>
  <c r="AF323" i="4"/>
  <c r="AG323" i="4"/>
  <c r="AH323" i="4"/>
  <c r="AI323" i="4"/>
  <c r="AJ323" i="4"/>
  <c r="AT323" i="4"/>
  <c r="AU323" i="4"/>
  <c r="AV323" i="4"/>
  <c r="BB323" i="4"/>
  <c r="BC323" i="4"/>
  <c r="BD323" i="4"/>
  <c r="BE323" i="4"/>
  <c r="BF323" i="4"/>
  <c r="BG323" i="4"/>
  <c r="BH323" i="4"/>
  <c r="BI323" i="4"/>
  <c r="BJ323" i="4"/>
  <c r="BL323" i="4"/>
  <c r="BM323" i="4"/>
  <c r="BN323" i="4"/>
  <c r="BO323" i="4"/>
  <c r="BT323" i="4"/>
  <c r="BU323" i="4"/>
  <c r="BV323" i="4"/>
  <c r="BW323" i="4"/>
  <c r="BX323" i="4"/>
  <c r="BY323" i="4"/>
  <c r="BZ323" i="4"/>
  <c r="CA323" i="4"/>
  <c r="CB323" i="4"/>
  <c r="CC323" i="4"/>
  <c r="CD323" i="4"/>
  <c r="CE323" i="4"/>
  <c r="CG323" i="4"/>
  <c r="CJ323" i="4"/>
  <c r="CK323" i="4"/>
  <c r="CL323" i="4"/>
  <c r="CN323" i="4"/>
  <c r="CP323" i="4"/>
  <c r="CQ323" i="4"/>
  <c r="C324" i="4"/>
  <c r="D324" i="4"/>
  <c r="E324" i="4"/>
  <c r="F324" i="4"/>
  <c r="N324" i="4"/>
  <c r="O324" i="4"/>
  <c r="P324" i="4"/>
  <c r="Q324" i="4"/>
  <c r="R324" i="4"/>
  <c r="S324" i="4"/>
  <c r="T324" i="4"/>
  <c r="U324" i="4"/>
  <c r="V324" i="4"/>
  <c r="W324" i="4"/>
  <c r="X324" i="4"/>
  <c r="AB324" i="4"/>
  <c r="AC324" i="4"/>
  <c r="AD324" i="4"/>
  <c r="AE324" i="4"/>
  <c r="AF324" i="4"/>
  <c r="AG324" i="4"/>
  <c r="AH324" i="4"/>
  <c r="AI324" i="4"/>
  <c r="AJ324" i="4"/>
  <c r="AT324" i="4"/>
  <c r="AU324" i="4"/>
  <c r="AV324" i="4"/>
  <c r="BB324" i="4"/>
  <c r="BC324" i="4"/>
  <c r="BD324" i="4"/>
  <c r="BE324" i="4"/>
  <c r="BF324" i="4"/>
  <c r="BG324" i="4"/>
  <c r="BH324" i="4"/>
  <c r="BI324" i="4"/>
  <c r="BJ324" i="4"/>
  <c r="BL324" i="4"/>
  <c r="BM324" i="4"/>
  <c r="BN324" i="4"/>
  <c r="BO324" i="4"/>
  <c r="BT324" i="4"/>
  <c r="BU324" i="4"/>
  <c r="BV324" i="4"/>
  <c r="BW324" i="4"/>
  <c r="BX324" i="4"/>
  <c r="BY324" i="4"/>
  <c r="BZ324" i="4"/>
  <c r="CA324" i="4"/>
  <c r="CB324" i="4"/>
  <c r="CC324" i="4"/>
  <c r="CD324" i="4"/>
  <c r="CE324" i="4"/>
  <c r="CG324" i="4"/>
  <c r="CJ324" i="4"/>
  <c r="CK324" i="4"/>
  <c r="CL324" i="4"/>
  <c r="CN324" i="4"/>
  <c r="CP324" i="4"/>
  <c r="CQ324" i="4"/>
  <c r="C325" i="4"/>
  <c r="D325" i="4"/>
  <c r="E325" i="4"/>
  <c r="F325" i="4"/>
  <c r="N325" i="4"/>
  <c r="O325" i="4"/>
  <c r="P325" i="4"/>
  <c r="Q325" i="4"/>
  <c r="R325" i="4"/>
  <c r="S325" i="4"/>
  <c r="T325" i="4"/>
  <c r="U325" i="4"/>
  <c r="V325" i="4"/>
  <c r="W325" i="4"/>
  <c r="X325" i="4"/>
  <c r="AB325" i="4"/>
  <c r="AC325" i="4"/>
  <c r="AD325" i="4"/>
  <c r="AE325" i="4"/>
  <c r="AF325" i="4"/>
  <c r="AG325" i="4"/>
  <c r="AH325" i="4"/>
  <c r="AI325" i="4"/>
  <c r="AJ325" i="4"/>
  <c r="AT325" i="4"/>
  <c r="AU325" i="4"/>
  <c r="AV325" i="4"/>
  <c r="BB325" i="4"/>
  <c r="BC325" i="4"/>
  <c r="BD325" i="4"/>
  <c r="BE325" i="4"/>
  <c r="BF325" i="4"/>
  <c r="BG325" i="4"/>
  <c r="BH325" i="4"/>
  <c r="BI325" i="4"/>
  <c r="BJ325" i="4"/>
  <c r="BL325" i="4"/>
  <c r="BM325" i="4"/>
  <c r="BN325" i="4"/>
  <c r="BO325" i="4"/>
  <c r="BT325" i="4"/>
  <c r="BU325" i="4"/>
  <c r="BV325" i="4"/>
  <c r="BW325" i="4"/>
  <c r="BX325" i="4"/>
  <c r="BY325" i="4"/>
  <c r="BZ325" i="4"/>
  <c r="CA325" i="4"/>
  <c r="CB325" i="4"/>
  <c r="CC325" i="4"/>
  <c r="CD325" i="4"/>
  <c r="CE325" i="4"/>
  <c r="CG325" i="4"/>
  <c r="CJ325" i="4"/>
  <c r="CK325" i="4"/>
  <c r="CL325" i="4"/>
  <c r="CN325" i="4"/>
  <c r="CP325" i="4"/>
  <c r="CQ325" i="4"/>
  <c r="C326" i="4"/>
  <c r="D326" i="4"/>
  <c r="E326" i="4"/>
  <c r="F326" i="4"/>
  <c r="N326" i="4"/>
  <c r="O326" i="4"/>
  <c r="P326" i="4"/>
  <c r="Q326" i="4"/>
  <c r="R326" i="4"/>
  <c r="S326" i="4"/>
  <c r="T326" i="4"/>
  <c r="U326" i="4"/>
  <c r="V326" i="4"/>
  <c r="W326" i="4"/>
  <c r="X326" i="4"/>
  <c r="AB326" i="4"/>
  <c r="AC326" i="4"/>
  <c r="AD326" i="4"/>
  <c r="AE326" i="4"/>
  <c r="AF326" i="4"/>
  <c r="AG326" i="4"/>
  <c r="AH326" i="4"/>
  <c r="AI326" i="4"/>
  <c r="AJ326" i="4"/>
  <c r="AT326" i="4"/>
  <c r="AU326" i="4"/>
  <c r="AV326" i="4"/>
  <c r="BB326" i="4"/>
  <c r="BC326" i="4"/>
  <c r="BD326" i="4"/>
  <c r="BE326" i="4"/>
  <c r="BF326" i="4"/>
  <c r="BG326" i="4"/>
  <c r="BH326" i="4"/>
  <c r="BI326" i="4"/>
  <c r="BJ326" i="4"/>
  <c r="BL326" i="4"/>
  <c r="BM326" i="4"/>
  <c r="BN326" i="4"/>
  <c r="BO326" i="4"/>
  <c r="BT326" i="4"/>
  <c r="BU326" i="4"/>
  <c r="BV326" i="4"/>
  <c r="BW326" i="4"/>
  <c r="BX326" i="4"/>
  <c r="BY326" i="4"/>
  <c r="BZ326" i="4"/>
  <c r="CA326" i="4"/>
  <c r="CB326" i="4"/>
  <c r="CC326" i="4"/>
  <c r="CD326" i="4"/>
  <c r="CE326" i="4"/>
  <c r="CG326" i="4"/>
  <c r="CJ326" i="4"/>
  <c r="CK326" i="4"/>
  <c r="CL326" i="4"/>
  <c r="CN326" i="4"/>
  <c r="CP326" i="4"/>
  <c r="CQ326" i="4"/>
  <c r="C327" i="4"/>
  <c r="D327" i="4"/>
  <c r="E327" i="4"/>
  <c r="F327" i="4"/>
  <c r="N327" i="4"/>
  <c r="O327" i="4"/>
  <c r="P327" i="4"/>
  <c r="Q327" i="4"/>
  <c r="R327" i="4"/>
  <c r="S327" i="4"/>
  <c r="T327" i="4"/>
  <c r="U327" i="4"/>
  <c r="V327" i="4"/>
  <c r="W327" i="4"/>
  <c r="X327" i="4"/>
  <c r="AB327" i="4"/>
  <c r="AC327" i="4"/>
  <c r="AD327" i="4"/>
  <c r="AE327" i="4"/>
  <c r="AF327" i="4"/>
  <c r="AG327" i="4"/>
  <c r="AH327" i="4"/>
  <c r="AI327" i="4"/>
  <c r="AJ327" i="4"/>
  <c r="AT327" i="4"/>
  <c r="AU327" i="4"/>
  <c r="AV327" i="4"/>
  <c r="BB327" i="4"/>
  <c r="BC327" i="4"/>
  <c r="BD327" i="4"/>
  <c r="BE327" i="4"/>
  <c r="BF327" i="4"/>
  <c r="BG327" i="4"/>
  <c r="BH327" i="4"/>
  <c r="BI327" i="4"/>
  <c r="BJ327" i="4"/>
  <c r="BL327" i="4"/>
  <c r="BM327" i="4"/>
  <c r="BN327" i="4"/>
  <c r="BO327" i="4"/>
  <c r="BT327" i="4"/>
  <c r="BU327" i="4"/>
  <c r="BV327" i="4"/>
  <c r="BW327" i="4"/>
  <c r="BX327" i="4"/>
  <c r="BY327" i="4"/>
  <c r="BZ327" i="4"/>
  <c r="CA327" i="4"/>
  <c r="CB327" i="4"/>
  <c r="CC327" i="4"/>
  <c r="CD327" i="4"/>
  <c r="CE327" i="4"/>
  <c r="CG327" i="4"/>
  <c r="CJ327" i="4"/>
  <c r="CK327" i="4"/>
  <c r="CL327" i="4"/>
  <c r="CN327" i="4"/>
  <c r="CP327" i="4"/>
  <c r="CQ327" i="4"/>
  <c r="C328" i="4"/>
  <c r="D328" i="4"/>
  <c r="E328" i="4"/>
  <c r="F328" i="4"/>
  <c r="N328" i="4"/>
  <c r="O328" i="4"/>
  <c r="P328" i="4"/>
  <c r="Q328" i="4"/>
  <c r="R328" i="4"/>
  <c r="S328" i="4"/>
  <c r="T328" i="4"/>
  <c r="U328" i="4"/>
  <c r="V328" i="4"/>
  <c r="W328" i="4"/>
  <c r="X328" i="4"/>
  <c r="AB328" i="4"/>
  <c r="AC328" i="4"/>
  <c r="AD328" i="4"/>
  <c r="AE328" i="4"/>
  <c r="AF328" i="4"/>
  <c r="AG328" i="4"/>
  <c r="AH328" i="4"/>
  <c r="AI328" i="4"/>
  <c r="AJ328" i="4"/>
  <c r="AT328" i="4"/>
  <c r="AU328" i="4"/>
  <c r="AV328" i="4"/>
  <c r="BB328" i="4"/>
  <c r="BC328" i="4"/>
  <c r="BD328" i="4"/>
  <c r="BE328" i="4"/>
  <c r="BF328" i="4"/>
  <c r="BG328" i="4"/>
  <c r="BH328" i="4"/>
  <c r="BI328" i="4"/>
  <c r="BJ328" i="4"/>
  <c r="BL328" i="4"/>
  <c r="BM328" i="4"/>
  <c r="BN328" i="4"/>
  <c r="BO328" i="4"/>
  <c r="BT328" i="4"/>
  <c r="BU328" i="4"/>
  <c r="BV328" i="4"/>
  <c r="BW328" i="4"/>
  <c r="BX328" i="4"/>
  <c r="BY328" i="4"/>
  <c r="BZ328" i="4"/>
  <c r="CA328" i="4"/>
  <c r="CB328" i="4"/>
  <c r="CC328" i="4"/>
  <c r="CD328" i="4"/>
  <c r="CE328" i="4"/>
  <c r="CG328" i="4"/>
  <c r="CJ328" i="4"/>
  <c r="CK328" i="4"/>
  <c r="CL328" i="4"/>
  <c r="CN328" i="4"/>
  <c r="CP328" i="4"/>
  <c r="CQ328" i="4"/>
  <c r="C329" i="4"/>
  <c r="D329" i="4"/>
  <c r="E329" i="4"/>
  <c r="F329" i="4"/>
  <c r="N329" i="4"/>
  <c r="O329" i="4"/>
  <c r="P329" i="4"/>
  <c r="Q329" i="4"/>
  <c r="R329" i="4"/>
  <c r="S329" i="4"/>
  <c r="T329" i="4"/>
  <c r="U329" i="4"/>
  <c r="V329" i="4"/>
  <c r="W329" i="4"/>
  <c r="X329" i="4"/>
  <c r="AB329" i="4"/>
  <c r="AC329" i="4"/>
  <c r="AD329" i="4"/>
  <c r="AE329" i="4"/>
  <c r="AF329" i="4"/>
  <c r="AG329" i="4"/>
  <c r="AH329" i="4"/>
  <c r="AI329" i="4"/>
  <c r="AJ329" i="4"/>
  <c r="AT329" i="4"/>
  <c r="AU329" i="4"/>
  <c r="AV329" i="4"/>
  <c r="BB329" i="4"/>
  <c r="BC329" i="4"/>
  <c r="BD329" i="4"/>
  <c r="BE329" i="4"/>
  <c r="BF329" i="4"/>
  <c r="BG329" i="4"/>
  <c r="BH329" i="4"/>
  <c r="BI329" i="4"/>
  <c r="BJ329" i="4"/>
  <c r="BL329" i="4"/>
  <c r="BM329" i="4"/>
  <c r="BN329" i="4"/>
  <c r="BO329" i="4"/>
  <c r="BT329" i="4"/>
  <c r="BU329" i="4"/>
  <c r="BV329" i="4"/>
  <c r="BW329" i="4"/>
  <c r="BX329" i="4"/>
  <c r="BY329" i="4"/>
  <c r="BZ329" i="4"/>
  <c r="CA329" i="4"/>
  <c r="CB329" i="4"/>
  <c r="CC329" i="4"/>
  <c r="CD329" i="4"/>
  <c r="CE329" i="4"/>
  <c r="CG329" i="4"/>
  <c r="CJ329" i="4"/>
  <c r="CK329" i="4"/>
  <c r="CL329" i="4"/>
  <c r="CN329" i="4"/>
  <c r="CP329" i="4"/>
  <c r="CQ329" i="4"/>
  <c r="C330" i="4"/>
  <c r="D330" i="4"/>
  <c r="E330" i="4"/>
  <c r="F330" i="4"/>
  <c r="N330" i="4"/>
  <c r="O330" i="4"/>
  <c r="P330" i="4"/>
  <c r="Q330" i="4"/>
  <c r="R330" i="4"/>
  <c r="S330" i="4"/>
  <c r="T330" i="4"/>
  <c r="U330" i="4"/>
  <c r="V330" i="4"/>
  <c r="W330" i="4"/>
  <c r="X330" i="4"/>
  <c r="AB330" i="4"/>
  <c r="AC330" i="4"/>
  <c r="AD330" i="4"/>
  <c r="AE330" i="4"/>
  <c r="AF330" i="4"/>
  <c r="AG330" i="4"/>
  <c r="AH330" i="4"/>
  <c r="AI330" i="4"/>
  <c r="AJ330" i="4"/>
  <c r="AT330" i="4"/>
  <c r="AU330" i="4"/>
  <c r="AV330" i="4"/>
  <c r="BB330" i="4"/>
  <c r="BC330" i="4"/>
  <c r="BD330" i="4"/>
  <c r="BE330" i="4"/>
  <c r="BF330" i="4"/>
  <c r="BG330" i="4"/>
  <c r="BH330" i="4"/>
  <c r="BI330" i="4"/>
  <c r="BJ330" i="4"/>
  <c r="BL330" i="4"/>
  <c r="BM330" i="4"/>
  <c r="BN330" i="4"/>
  <c r="BO330" i="4"/>
  <c r="BT330" i="4"/>
  <c r="BU330" i="4"/>
  <c r="BV330" i="4"/>
  <c r="BW330" i="4"/>
  <c r="BX330" i="4"/>
  <c r="BY330" i="4"/>
  <c r="BZ330" i="4"/>
  <c r="CA330" i="4"/>
  <c r="CB330" i="4"/>
  <c r="CC330" i="4"/>
  <c r="CD330" i="4"/>
  <c r="CE330" i="4"/>
  <c r="CG330" i="4"/>
  <c r="CJ330" i="4"/>
  <c r="CK330" i="4"/>
  <c r="CL330" i="4"/>
  <c r="CN330" i="4"/>
  <c r="CP330" i="4"/>
  <c r="CQ330" i="4"/>
  <c r="C331" i="4"/>
  <c r="D331" i="4"/>
  <c r="E331" i="4"/>
  <c r="F331" i="4"/>
  <c r="N331" i="4"/>
  <c r="O331" i="4"/>
  <c r="P331" i="4"/>
  <c r="Q331" i="4"/>
  <c r="R331" i="4"/>
  <c r="S331" i="4"/>
  <c r="T331" i="4"/>
  <c r="U331" i="4"/>
  <c r="V331" i="4"/>
  <c r="W331" i="4"/>
  <c r="X331" i="4"/>
  <c r="AB331" i="4"/>
  <c r="AC331" i="4"/>
  <c r="AD331" i="4"/>
  <c r="AE331" i="4"/>
  <c r="AF331" i="4"/>
  <c r="AG331" i="4"/>
  <c r="AH331" i="4"/>
  <c r="AI331" i="4"/>
  <c r="AJ331" i="4"/>
  <c r="AT331" i="4"/>
  <c r="AU331" i="4"/>
  <c r="AV331" i="4"/>
  <c r="BB331" i="4"/>
  <c r="BC331" i="4"/>
  <c r="BD331" i="4"/>
  <c r="BE331" i="4"/>
  <c r="BF331" i="4"/>
  <c r="BG331" i="4"/>
  <c r="BH331" i="4"/>
  <c r="BI331" i="4"/>
  <c r="BJ331" i="4"/>
  <c r="BL331" i="4"/>
  <c r="BM331" i="4"/>
  <c r="BN331" i="4"/>
  <c r="BO331" i="4"/>
  <c r="BT331" i="4"/>
  <c r="BU331" i="4"/>
  <c r="BV331" i="4"/>
  <c r="BW331" i="4"/>
  <c r="BX331" i="4"/>
  <c r="BY331" i="4"/>
  <c r="BZ331" i="4"/>
  <c r="CA331" i="4"/>
  <c r="CB331" i="4"/>
  <c r="CC331" i="4"/>
  <c r="CD331" i="4"/>
  <c r="CE331" i="4"/>
  <c r="CG331" i="4"/>
  <c r="CJ331" i="4"/>
  <c r="CK331" i="4"/>
  <c r="CL331" i="4"/>
  <c r="CN331" i="4"/>
  <c r="CP331" i="4"/>
  <c r="CQ331" i="4"/>
  <c r="C332" i="4"/>
  <c r="D332" i="4"/>
  <c r="E332" i="4"/>
  <c r="F332" i="4"/>
  <c r="N332" i="4"/>
  <c r="O332" i="4"/>
  <c r="P332" i="4"/>
  <c r="Q332" i="4"/>
  <c r="R332" i="4"/>
  <c r="S332" i="4"/>
  <c r="T332" i="4"/>
  <c r="U332" i="4"/>
  <c r="V332" i="4"/>
  <c r="W332" i="4"/>
  <c r="X332" i="4"/>
  <c r="AB332" i="4"/>
  <c r="AC332" i="4"/>
  <c r="AD332" i="4"/>
  <c r="AE332" i="4"/>
  <c r="AF332" i="4"/>
  <c r="AG332" i="4"/>
  <c r="AH332" i="4"/>
  <c r="AI332" i="4"/>
  <c r="AJ332" i="4"/>
  <c r="AT332" i="4"/>
  <c r="AU332" i="4"/>
  <c r="AV332" i="4"/>
  <c r="BB332" i="4"/>
  <c r="BC332" i="4"/>
  <c r="BD332" i="4"/>
  <c r="BE332" i="4"/>
  <c r="BF332" i="4"/>
  <c r="BG332" i="4"/>
  <c r="BH332" i="4"/>
  <c r="BI332" i="4"/>
  <c r="BJ332" i="4"/>
  <c r="BL332" i="4"/>
  <c r="BM332" i="4"/>
  <c r="BN332" i="4"/>
  <c r="BO332" i="4"/>
  <c r="BT332" i="4"/>
  <c r="BU332" i="4"/>
  <c r="BV332" i="4"/>
  <c r="BW332" i="4"/>
  <c r="BX332" i="4"/>
  <c r="BY332" i="4"/>
  <c r="BZ332" i="4"/>
  <c r="CA332" i="4"/>
  <c r="CB332" i="4"/>
  <c r="CC332" i="4"/>
  <c r="CD332" i="4"/>
  <c r="CE332" i="4"/>
  <c r="CG332" i="4"/>
  <c r="CJ332" i="4"/>
  <c r="CK332" i="4"/>
  <c r="CL332" i="4"/>
  <c r="CN332" i="4"/>
  <c r="CP332" i="4"/>
  <c r="CQ332" i="4"/>
  <c r="C333" i="4"/>
  <c r="D333" i="4"/>
  <c r="E333" i="4"/>
  <c r="F333" i="4"/>
  <c r="N333" i="4"/>
  <c r="O333" i="4"/>
  <c r="P333" i="4"/>
  <c r="Q333" i="4"/>
  <c r="R333" i="4"/>
  <c r="S333" i="4"/>
  <c r="T333" i="4"/>
  <c r="U333" i="4"/>
  <c r="V333" i="4"/>
  <c r="W333" i="4"/>
  <c r="X333" i="4"/>
  <c r="AB333" i="4"/>
  <c r="AC333" i="4"/>
  <c r="AD333" i="4"/>
  <c r="AE333" i="4"/>
  <c r="AF333" i="4"/>
  <c r="AG333" i="4"/>
  <c r="AH333" i="4"/>
  <c r="AI333" i="4"/>
  <c r="AJ333" i="4"/>
  <c r="AT333" i="4"/>
  <c r="AU333" i="4"/>
  <c r="AV333" i="4"/>
  <c r="BB333" i="4"/>
  <c r="BC333" i="4"/>
  <c r="BD333" i="4"/>
  <c r="BE333" i="4"/>
  <c r="BF333" i="4"/>
  <c r="BG333" i="4"/>
  <c r="BH333" i="4"/>
  <c r="BI333" i="4"/>
  <c r="BJ333" i="4"/>
  <c r="BL333" i="4"/>
  <c r="BM333" i="4"/>
  <c r="BN333" i="4"/>
  <c r="BO333" i="4"/>
  <c r="BT333" i="4"/>
  <c r="BU333" i="4"/>
  <c r="BV333" i="4"/>
  <c r="BW333" i="4"/>
  <c r="BX333" i="4"/>
  <c r="BY333" i="4"/>
  <c r="BZ333" i="4"/>
  <c r="CA333" i="4"/>
  <c r="CB333" i="4"/>
  <c r="CC333" i="4"/>
  <c r="CD333" i="4"/>
  <c r="CE333" i="4"/>
  <c r="CG333" i="4"/>
  <c r="CJ333" i="4"/>
  <c r="CK333" i="4"/>
  <c r="CL333" i="4"/>
  <c r="CN333" i="4"/>
  <c r="CP333" i="4"/>
  <c r="CQ333" i="4"/>
  <c r="C334" i="4"/>
  <c r="D334" i="4"/>
  <c r="E334" i="4"/>
  <c r="F334" i="4"/>
  <c r="N334" i="4"/>
  <c r="O334" i="4"/>
  <c r="P334" i="4"/>
  <c r="Q334" i="4"/>
  <c r="R334" i="4"/>
  <c r="S334" i="4"/>
  <c r="T334" i="4"/>
  <c r="U334" i="4"/>
  <c r="V334" i="4"/>
  <c r="W334" i="4"/>
  <c r="X334" i="4"/>
  <c r="AB334" i="4"/>
  <c r="AC334" i="4"/>
  <c r="AD334" i="4"/>
  <c r="AE334" i="4"/>
  <c r="AF334" i="4"/>
  <c r="AG334" i="4"/>
  <c r="AH334" i="4"/>
  <c r="AI334" i="4"/>
  <c r="AJ334" i="4"/>
  <c r="AT334" i="4"/>
  <c r="AU334" i="4"/>
  <c r="AV334" i="4"/>
  <c r="BB334" i="4"/>
  <c r="BC334" i="4"/>
  <c r="BD334" i="4"/>
  <c r="BE334" i="4"/>
  <c r="BF334" i="4"/>
  <c r="BG334" i="4"/>
  <c r="BH334" i="4"/>
  <c r="BI334" i="4"/>
  <c r="BJ334" i="4"/>
  <c r="BL334" i="4"/>
  <c r="BM334" i="4"/>
  <c r="BN334" i="4"/>
  <c r="BO334" i="4"/>
  <c r="BT334" i="4"/>
  <c r="BU334" i="4"/>
  <c r="BV334" i="4"/>
  <c r="BW334" i="4"/>
  <c r="BX334" i="4"/>
  <c r="BY334" i="4"/>
  <c r="BZ334" i="4"/>
  <c r="CA334" i="4"/>
  <c r="CB334" i="4"/>
  <c r="CC334" i="4"/>
  <c r="CD334" i="4"/>
  <c r="CE334" i="4"/>
  <c r="CG334" i="4"/>
  <c r="CJ334" i="4"/>
  <c r="CK334" i="4"/>
  <c r="CL334" i="4"/>
  <c r="CN334" i="4"/>
  <c r="CP334" i="4"/>
  <c r="CQ334" i="4"/>
  <c r="C335" i="4"/>
  <c r="D335" i="4"/>
  <c r="E335" i="4"/>
  <c r="F335" i="4"/>
  <c r="N335" i="4"/>
  <c r="O335" i="4"/>
  <c r="P335" i="4"/>
  <c r="Q335" i="4"/>
  <c r="R335" i="4"/>
  <c r="S335" i="4"/>
  <c r="T335" i="4"/>
  <c r="U335" i="4"/>
  <c r="V335" i="4"/>
  <c r="W335" i="4"/>
  <c r="X335" i="4"/>
  <c r="AB335" i="4"/>
  <c r="AC335" i="4"/>
  <c r="AD335" i="4"/>
  <c r="AE335" i="4"/>
  <c r="AF335" i="4"/>
  <c r="AG335" i="4"/>
  <c r="AH335" i="4"/>
  <c r="AI335" i="4"/>
  <c r="AJ335" i="4"/>
  <c r="AT335" i="4"/>
  <c r="AU335" i="4"/>
  <c r="AV335" i="4"/>
  <c r="BB335" i="4"/>
  <c r="BC335" i="4"/>
  <c r="BD335" i="4"/>
  <c r="BE335" i="4"/>
  <c r="BF335" i="4"/>
  <c r="BG335" i="4"/>
  <c r="BH335" i="4"/>
  <c r="BI335" i="4"/>
  <c r="BJ335" i="4"/>
  <c r="BL335" i="4"/>
  <c r="BM335" i="4"/>
  <c r="BN335" i="4"/>
  <c r="BO335" i="4"/>
  <c r="BT335" i="4"/>
  <c r="BU335" i="4"/>
  <c r="BV335" i="4"/>
  <c r="BW335" i="4"/>
  <c r="BX335" i="4"/>
  <c r="BY335" i="4"/>
  <c r="BZ335" i="4"/>
  <c r="CA335" i="4"/>
  <c r="CB335" i="4"/>
  <c r="CC335" i="4"/>
  <c r="CD335" i="4"/>
  <c r="CE335" i="4"/>
  <c r="CG335" i="4"/>
  <c r="CJ335" i="4"/>
  <c r="CK335" i="4"/>
  <c r="CL335" i="4"/>
  <c r="CN335" i="4"/>
  <c r="CP335" i="4"/>
  <c r="CQ335" i="4"/>
  <c r="C336" i="4"/>
  <c r="D336" i="4"/>
  <c r="E336" i="4"/>
  <c r="F336" i="4"/>
  <c r="N336" i="4"/>
  <c r="O336" i="4"/>
  <c r="P336" i="4"/>
  <c r="Q336" i="4"/>
  <c r="R336" i="4"/>
  <c r="S336" i="4"/>
  <c r="T336" i="4"/>
  <c r="U336" i="4"/>
  <c r="V336" i="4"/>
  <c r="W336" i="4"/>
  <c r="X336" i="4"/>
  <c r="AB336" i="4"/>
  <c r="AC336" i="4"/>
  <c r="AD336" i="4"/>
  <c r="AE336" i="4"/>
  <c r="AF336" i="4"/>
  <c r="AG336" i="4"/>
  <c r="AH336" i="4"/>
  <c r="AI336" i="4"/>
  <c r="AJ336" i="4"/>
  <c r="AT336" i="4"/>
  <c r="AU336" i="4"/>
  <c r="AV336" i="4"/>
  <c r="BB336" i="4"/>
  <c r="BC336" i="4"/>
  <c r="BD336" i="4"/>
  <c r="BE336" i="4"/>
  <c r="BF336" i="4"/>
  <c r="BG336" i="4"/>
  <c r="BH336" i="4"/>
  <c r="BI336" i="4"/>
  <c r="BJ336" i="4"/>
  <c r="BL336" i="4"/>
  <c r="BM336" i="4"/>
  <c r="BN336" i="4"/>
  <c r="BO336" i="4"/>
  <c r="BT336" i="4"/>
  <c r="BU336" i="4"/>
  <c r="BV336" i="4"/>
  <c r="BW336" i="4"/>
  <c r="BX336" i="4"/>
  <c r="BY336" i="4"/>
  <c r="BZ336" i="4"/>
  <c r="CA336" i="4"/>
  <c r="CB336" i="4"/>
  <c r="CC336" i="4"/>
  <c r="CD336" i="4"/>
  <c r="CE336" i="4"/>
  <c r="CG336" i="4"/>
  <c r="CJ336" i="4"/>
  <c r="CK336" i="4"/>
  <c r="CL336" i="4"/>
  <c r="CN336" i="4"/>
  <c r="CP336" i="4"/>
  <c r="CQ336" i="4"/>
  <c r="C337" i="4"/>
  <c r="D337" i="4"/>
  <c r="E337" i="4"/>
  <c r="F337" i="4"/>
  <c r="N337" i="4"/>
  <c r="O337" i="4"/>
  <c r="P337" i="4"/>
  <c r="Q337" i="4"/>
  <c r="R337" i="4"/>
  <c r="S337" i="4"/>
  <c r="T337" i="4"/>
  <c r="U337" i="4"/>
  <c r="V337" i="4"/>
  <c r="W337" i="4"/>
  <c r="X337" i="4"/>
  <c r="AB337" i="4"/>
  <c r="AC337" i="4"/>
  <c r="AD337" i="4"/>
  <c r="AE337" i="4"/>
  <c r="AF337" i="4"/>
  <c r="AG337" i="4"/>
  <c r="AH337" i="4"/>
  <c r="AI337" i="4"/>
  <c r="AJ337" i="4"/>
  <c r="AT337" i="4"/>
  <c r="AU337" i="4"/>
  <c r="AV337" i="4"/>
  <c r="BB337" i="4"/>
  <c r="BC337" i="4"/>
  <c r="BD337" i="4"/>
  <c r="BE337" i="4"/>
  <c r="BF337" i="4"/>
  <c r="BG337" i="4"/>
  <c r="BH337" i="4"/>
  <c r="BI337" i="4"/>
  <c r="BJ337" i="4"/>
  <c r="BL337" i="4"/>
  <c r="BM337" i="4"/>
  <c r="BN337" i="4"/>
  <c r="BO337" i="4"/>
  <c r="BT337" i="4"/>
  <c r="BU337" i="4"/>
  <c r="BV337" i="4"/>
  <c r="BW337" i="4"/>
  <c r="BX337" i="4"/>
  <c r="BY337" i="4"/>
  <c r="BZ337" i="4"/>
  <c r="CA337" i="4"/>
  <c r="CB337" i="4"/>
  <c r="CC337" i="4"/>
  <c r="CD337" i="4"/>
  <c r="CE337" i="4"/>
  <c r="CG337" i="4"/>
  <c r="CJ337" i="4"/>
  <c r="CK337" i="4"/>
  <c r="CL337" i="4"/>
  <c r="CN337" i="4"/>
  <c r="CP337" i="4"/>
  <c r="CQ337" i="4"/>
  <c r="C338" i="4"/>
  <c r="D338" i="4"/>
  <c r="E338" i="4"/>
  <c r="F338" i="4"/>
  <c r="N338" i="4"/>
  <c r="O338" i="4"/>
  <c r="P338" i="4"/>
  <c r="Q338" i="4"/>
  <c r="R338" i="4"/>
  <c r="S338" i="4"/>
  <c r="T338" i="4"/>
  <c r="U338" i="4"/>
  <c r="V338" i="4"/>
  <c r="W338" i="4"/>
  <c r="X338" i="4"/>
  <c r="AB338" i="4"/>
  <c r="AC338" i="4"/>
  <c r="AD338" i="4"/>
  <c r="AE338" i="4"/>
  <c r="AF338" i="4"/>
  <c r="AG338" i="4"/>
  <c r="AH338" i="4"/>
  <c r="AI338" i="4"/>
  <c r="AJ338" i="4"/>
  <c r="AT338" i="4"/>
  <c r="AU338" i="4"/>
  <c r="AV338" i="4"/>
  <c r="BB338" i="4"/>
  <c r="BC338" i="4"/>
  <c r="BD338" i="4"/>
  <c r="BE338" i="4"/>
  <c r="BF338" i="4"/>
  <c r="BG338" i="4"/>
  <c r="BH338" i="4"/>
  <c r="BI338" i="4"/>
  <c r="BJ338" i="4"/>
  <c r="BL338" i="4"/>
  <c r="BM338" i="4"/>
  <c r="BN338" i="4"/>
  <c r="BO338" i="4"/>
  <c r="BT338" i="4"/>
  <c r="BU338" i="4"/>
  <c r="BV338" i="4"/>
  <c r="BW338" i="4"/>
  <c r="BX338" i="4"/>
  <c r="BY338" i="4"/>
  <c r="BZ338" i="4"/>
  <c r="CA338" i="4"/>
  <c r="CB338" i="4"/>
  <c r="CC338" i="4"/>
  <c r="CD338" i="4"/>
  <c r="CE338" i="4"/>
  <c r="CG338" i="4"/>
  <c r="CJ338" i="4"/>
  <c r="CK338" i="4"/>
  <c r="CL338" i="4"/>
  <c r="CN338" i="4"/>
  <c r="CP338" i="4"/>
  <c r="CQ338" i="4"/>
  <c r="C339" i="4"/>
  <c r="D339" i="4"/>
  <c r="E339" i="4"/>
  <c r="F339" i="4"/>
  <c r="N339" i="4"/>
  <c r="O339" i="4"/>
  <c r="P339" i="4"/>
  <c r="Q339" i="4"/>
  <c r="R339" i="4"/>
  <c r="S339" i="4"/>
  <c r="T339" i="4"/>
  <c r="U339" i="4"/>
  <c r="V339" i="4"/>
  <c r="W339" i="4"/>
  <c r="X339" i="4"/>
  <c r="AB339" i="4"/>
  <c r="AC339" i="4"/>
  <c r="AD339" i="4"/>
  <c r="AE339" i="4"/>
  <c r="AF339" i="4"/>
  <c r="AG339" i="4"/>
  <c r="AH339" i="4"/>
  <c r="AI339" i="4"/>
  <c r="AJ339" i="4"/>
  <c r="AT339" i="4"/>
  <c r="AU339" i="4"/>
  <c r="AV339" i="4"/>
  <c r="BB339" i="4"/>
  <c r="BC339" i="4"/>
  <c r="BD339" i="4"/>
  <c r="BE339" i="4"/>
  <c r="BF339" i="4"/>
  <c r="BG339" i="4"/>
  <c r="BH339" i="4"/>
  <c r="BI339" i="4"/>
  <c r="BJ339" i="4"/>
  <c r="BL339" i="4"/>
  <c r="BM339" i="4"/>
  <c r="BN339" i="4"/>
  <c r="BO339" i="4"/>
  <c r="BT339" i="4"/>
  <c r="BU339" i="4"/>
  <c r="BV339" i="4"/>
  <c r="BW339" i="4"/>
  <c r="BX339" i="4"/>
  <c r="BY339" i="4"/>
  <c r="BZ339" i="4"/>
  <c r="CA339" i="4"/>
  <c r="CB339" i="4"/>
  <c r="CC339" i="4"/>
  <c r="CD339" i="4"/>
  <c r="CE339" i="4"/>
  <c r="CG339" i="4"/>
  <c r="CJ339" i="4"/>
  <c r="CK339" i="4"/>
  <c r="CL339" i="4"/>
  <c r="CN339" i="4"/>
  <c r="CP339" i="4"/>
  <c r="CQ339" i="4"/>
  <c r="C340" i="4"/>
  <c r="D340" i="4"/>
  <c r="E340" i="4"/>
  <c r="F340" i="4"/>
  <c r="N340" i="4"/>
  <c r="O340" i="4"/>
  <c r="P340" i="4"/>
  <c r="Q340" i="4"/>
  <c r="R340" i="4"/>
  <c r="S340" i="4"/>
  <c r="T340" i="4"/>
  <c r="U340" i="4"/>
  <c r="V340" i="4"/>
  <c r="W340" i="4"/>
  <c r="X340" i="4"/>
  <c r="AB340" i="4"/>
  <c r="AC340" i="4"/>
  <c r="AD340" i="4"/>
  <c r="AE340" i="4"/>
  <c r="AF340" i="4"/>
  <c r="AG340" i="4"/>
  <c r="AH340" i="4"/>
  <c r="AI340" i="4"/>
  <c r="AJ340" i="4"/>
  <c r="AT340" i="4"/>
  <c r="AU340" i="4"/>
  <c r="AV340" i="4"/>
  <c r="BB340" i="4"/>
  <c r="BC340" i="4"/>
  <c r="BD340" i="4"/>
  <c r="BE340" i="4"/>
  <c r="BF340" i="4"/>
  <c r="BG340" i="4"/>
  <c r="BH340" i="4"/>
  <c r="BI340" i="4"/>
  <c r="BJ340" i="4"/>
  <c r="BL340" i="4"/>
  <c r="BM340" i="4"/>
  <c r="BN340" i="4"/>
  <c r="BO340" i="4"/>
  <c r="BT340" i="4"/>
  <c r="BU340" i="4"/>
  <c r="BV340" i="4"/>
  <c r="BW340" i="4"/>
  <c r="BX340" i="4"/>
  <c r="BY340" i="4"/>
  <c r="BZ340" i="4"/>
  <c r="CA340" i="4"/>
  <c r="CB340" i="4"/>
  <c r="CC340" i="4"/>
  <c r="CD340" i="4"/>
  <c r="CE340" i="4"/>
  <c r="CG340" i="4"/>
  <c r="CJ340" i="4"/>
  <c r="CK340" i="4"/>
  <c r="CL340" i="4"/>
  <c r="CN340" i="4"/>
  <c r="CP340" i="4"/>
  <c r="CQ340" i="4"/>
  <c r="C341" i="4"/>
  <c r="D341" i="4"/>
  <c r="E341" i="4"/>
  <c r="F341" i="4"/>
  <c r="N341" i="4"/>
  <c r="O341" i="4"/>
  <c r="P341" i="4"/>
  <c r="Q341" i="4"/>
  <c r="R341" i="4"/>
  <c r="S341" i="4"/>
  <c r="T341" i="4"/>
  <c r="U341" i="4"/>
  <c r="V341" i="4"/>
  <c r="W341" i="4"/>
  <c r="X341" i="4"/>
  <c r="AB341" i="4"/>
  <c r="AC341" i="4"/>
  <c r="AD341" i="4"/>
  <c r="AE341" i="4"/>
  <c r="AF341" i="4"/>
  <c r="AG341" i="4"/>
  <c r="AH341" i="4"/>
  <c r="AI341" i="4"/>
  <c r="AJ341" i="4"/>
  <c r="AT341" i="4"/>
  <c r="AU341" i="4"/>
  <c r="AV341" i="4"/>
  <c r="BB341" i="4"/>
  <c r="BC341" i="4"/>
  <c r="BD341" i="4"/>
  <c r="BE341" i="4"/>
  <c r="BF341" i="4"/>
  <c r="BG341" i="4"/>
  <c r="BH341" i="4"/>
  <c r="BI341" i="4"/>
  <c r="BJ341" i="4"/>
  <c r="BL341" i="4"/>
  <c r="BM341" i="4"/>
  <c r="BN341" i="4"/>
  <c r="BO341" i="4"/>
  <c r="BT341" i="4"/>
  <c r="BU341" i="4"/>
  <c r="BV341" i="4"/>
  <c r="BW341" i="4"/>
  <c r="BX341" i="4"/>
  <c r="BY341" i="4"/>
  <c r="BZ341" i="4"/>
  <c r="CA341" i="4"/>
  <c r="CB341" i="4"/>
  <c r="CC341" i="4"/>
  <c r="CD341" i="4"/>
  <c r="CE341" i="4"/>
  <c r="CG341" i="4"/>
  <c r="CJ341" i="4"/>
  <c r="CK341" i="4"/>
  <c r="CL341" i="4"/>
  <c r="CN341" i="4"/>
  <c r="CP341" i="4"/>
  <c r="CQ341" i="4"/>
  <c r="C342" i="4"/>
  <c r="D342" i="4"/>
  <c r="E342" i="4"/>
  <c r="F342" i="4"/>
  <c r="N342" i="4"/>
  <c r="O342" i="4"/>
  <c r="P342" i="4"/>
  <c r="Q342" i="4"/>
  <c r="R342" i="4"/>
  <c r="S342" i="4"/>
  <c r="T342" i="4"/>
  <c r="U342" i="4"/>
  <c r="V342" i="4"/>
  <c r="W342" i="4"/>
  <c r="X342" i="4"/>
  <c r="AB342" i="4"/>
  <c r="AC342" i="4"/>
  <c r="AD342" i="4"/>
  <c r="AE342" i="4"/>
  <c r="AF342" i="4"/>
  <c r="AG342" i="4"/>
  <c r="AH342" i="4"/>
  <c r="AI342" i="4"/>
  <c r="AJ342" i="4"/>
  <c r="AT342" i="4"/>
  <c r="AU342" i="4"/>
  <c r="AV342" i="4"/>
  <c r="BB342" i="4"/>
  <c r="BC342" i="4"/>
  <c r="BD342" i="4"/>
  <c r="BE342" i="4"/>
  <c r="BF342" i="4"/>
  <c r="BG342" i="4"/>
  <c r="BH342" i="4"/>
  <c r="BI342" i="4"/>
  <c r="BJ342" i="4"/>
  <c r="BL342" i="4"/>
  <c r="BM342" i="4"/>
  <c r="BN342" i="4"/>
  <c r="BO342" i="4"/>
  <c r="BT342" i="4"/>
  <c r="BU342" i="4"/>
  <c r="BV342" i="4"/>
  <c r="BW342" i="4"/>
  <c r="BX342" i="4"/>
  <c r="BY342" i="4"/>
  <c r="BZ342" i="4"/>
  <c r="CA342" i="4"/>
  <c r="CB342" i="4"/>
  <c r="CC342" i="4"/>
  <c r="CD342" i="4"/>
  <c r="CE342" i="4"/>
  <c r="CG342" i="4"/>
  <c r="CJ342" i="4"/>
  <c r="CK342" i="4"/>
  <c r="CL342" i="4"/>
  <c r="CN342" i="4"/>
  <c r="CP342" i="4"/>
  <c r="CQ342" i="4"/>
  <c r="C343" i="4"/>
  <c r="D343" i="4"/>
  <c r="E343" i="4"/>
  <c r="F343" i="4"/>
  <c r="N343" i="4"/>
  <c r="O343" i="4"/>
  <c r="P343" i="4"/>
  <c r="Q343" i="4"/>
  <c r="R343" i="4"/>
  <c r="S343" i="4"/>
  <c r="T343" i="4"/>
  <c r="U343" i="4"/>
  <c r="V343" i="4"/>
  <c r="W343" i="4"/>
  <c r="X343" i="4"/>
  <c r="AB343" i="4"/>
  <c r="AC343" i="4"/>
  <c r="AD343" i="4"/>
  <c r="AE343" i="4"/>
  <c r="AF343" i="4"/>
  <c r="AG343" i="4"/>
  <c r="AH343" i="4"/>
  <c r="AI343" i="4"/>
  <c r="AJ343" i="4"/>
  <c r="AT343" i="4"/>
  <c r="AU343" i="4"/>
  <c r="AV343" i="4"/>
  <c r="BB343" i="4"/>
  <c r="BC343" i="4"/>
  <c r="BD343" i="4"/>
  <c r="BE343" i="4"/>
  <c r="BF343" i="4"/>
  <c r="BG343" i="4"/>
  <c r="BH343" i="4"/>
  <c r="BI343" i="4"/>
  <c r="BJ343" i="4"/>
  <c r="BL343" i="4"/>
  <c r="BM343" i="4"/>
  <c r="BN343" i="4"/>
  <c r="BO343" i="4"/>
  <c r="BT343" i="4"/>
  <c r="BU343" i="4"/>
  <c r="BV343" i="4"/>
  <c r="BW343" i="4"/>
  <c r="BX343" i="4"/>
  <c r="BY343" i="4"/>
  <c r="BZ343" i="4"/>
  <c r="CA343" i="4"/>
  <c r="CB343" i="4"/>
  <c r="CC343" i="4"/>
  <c r="CD343" i="4"/>
  <c r="CE343" i="4"/>
  <c r="CG343" i="4"/>
  <c r="CJ343" i="4"/>
  <c r="CK343" i="4"/>
  <c r="CL343" i="4"/>
  <c r="CN343" i="4"/>
  <c r="CP343" i="4"/>
  <c r="CQ343" i="4"/>
  <c r="C344" i="4"/>
  <c r="D344" i="4"/>
  <c r="E344" i="4"/>
  <c r="F344" i="4"/>
  <c r="N344" i="4"/>
  <c r="O344" i="4"/>
  <c r="P344" i="4"/>
  <c r="Q344" i="4"/>
  <c r="R344" i="4"/>
  <c r="S344" i="4"/>
  <c r="T344" i="4"/>
  <c r="U344" i="4"/>
  <c r="V344" i="4"/>
  <c r="W344" i="4"/>
  <c r="X344" i="4"/>
  <c r="AB344" i="4"/>
  <c r="AC344" i="4"/>
  <c r="AD344" i="4"/>
  <c r="AE344" i="4"/>
  <c r="AF344" i="4"/>
  <c r="AG344" i="4"/>
  <c r="AH344" i="4"/>
  <c r="AI344" i="4"/>
  <c r="AJ344" i="4"/>
  <c r="AT344" i="4"/>
  <c r="AU344" i="4"/>
  <c r="AV344" i="4"/>
  <c r="BB344" i="4"/>
  <c r="BC344" i="4"/>
  <c r="BD344" i="4"/>
  <c r="BE344" i="4"/>
  <c r="BF344" i="4"/>
  <c r="BG344" i="4"/>
  <c r="BH344" i="4"/>
  <c r="BI344" i="4"/>
  <c r="BJ344" i="4"/>
  <c r="BL344" i="4"/>
  <c r="BM344" i="4"/>
  <c r="BN344" i="4"/>
  <c r="BO344" i="4"/>
  <c r="BT344" i="4"/>
  <c r="BU344" i="4"/>
  <c r="BV344" i="4"/>
  <c r="BW344" i="4"/>
  <c r="BX344" i="4"/>
  <c r="BY344" i="4"/>
  <c r="BZ344" i="4"/>
  <c r="CA344" i="4"/>
  <c r="CB344" i="4"/>
  <c r="CC344" i="4"/>
  <c r="CD344" i="4"/>
  <c r="CE344" i="4"/>
  <c r="CG344" i="4"/>
  <c r="CJ344" i="4"/>
  <c r="CK344" i="4"/>
  <c r="CL344" i="4"/>
  <c r="CN344" i="4"/>
  <c r="CP344" i="4"/>
  <c r="CQ344" i="4"/>
  <c r="C345" i="4"/>
  <c r="D345" i="4"/>
  <c r="E345" i="4"/>
  <c r="F345" i="4"/>
  <c r="N345" i="4"/>
  <c r="O345" i="4"/>
  <c r="P345" i="4"/>
  <c r="Q345" i="4"/>
  <c r="R345" i="4"/>
  <c r="S345" i="4"/>
  <c r="T345" i="4"/>
  <c r="U345" i="4"/>
  <c r="V345" i="4"/>
  <c r="W345" i="4"/>
  <c r="X345" i="4"/>
  <c r="AB345" i="4"/>
  <c r="AC345" i="4"/>
  <c r="AD345" i="4"/>
  <c r="AE345" i="4"/>
  <c r="AF345" i="4"/>
  <c r="AG345" i="4"/>
  <c r="AH345" i="4"/>
  <c r="AI345" i="4"/>
  <c r="AJ345" i="4"/>
  <c r="AT345" i="4"/>
  <c r="AU345" i="4"/>
  <c r="AV345" i="4"/>
  <c r="BB345" i="4"/>
  <c r="BC345" i="4"/>
  <c r="BD345" i="4"/>
  <c r="BE345" i="4"/>
  <c r="BF345" i="4"/>
  <c r="BG345" i="4"/>
  <c r="BH345" i="4"/>
  <c r="BI345" i="4"/>
  <c r="BJ345" i="4"/>
  <c r="BL345" i="4"/>
  <c r="BM345" i="4"/>
  <c r="BN345" i="4"/>
  <c r="BO345" i="4"/>
  <c r="BT345" i="4"/>
  <c r="BU345" i="4"/>
  <c r="BV345" i="4"/>
  <c r="BW345" i="4"/>
  <c r="BX345" i="4"/>
  <c r="BY345" i="4"/>
  <c r="BZ345" i="4"/>
  <c r="CA345" i="4"/>
  <c r="CB345" i="4"/>
  <c r="CC345" i="4"/>
  <c r="CD345" i="4"/>
  <c r="CE345" i="4"/>
  <c r="CG345" i="4"/>
  <c r="CJ345" i="4"/>
  <c r="CK345" i="4"/>
  <c r="CL345" i="4"/>
  <c r="CN345" i="4"/>
  <c r="CP345" i="4"/>
  <c r="CQ345" i="4"/>
  <c r="C346" i="4"/>
  <c r="D346" i="4"/>
  <c r="E346" i="4"/>
  <c r="F346" i="4"/>
  <c r="N346" i="4"/>
  <c r="O346" i="4"/>
  <c r="P346" i="4"/>
  <c r="Q346" i="4"/>
  <c r="R346" i="4"/>
  <c r="S346" i="4"/>
  <c r="T346" i="4"/>
  <c r="U346" i="4"/>
  <c r="V346" i="4"/>
  <c r="W346" i="4"/>
  <c r="X346" i="4"/>
  <c r="AB346" i="4"/>
  <c r="AC346" i="4"/>
  <c r="AD346" i="4"/>
  <c r="AE346" i="4"/>
  <c r="AF346" i="4"/>
  <c r="AG346" i="4"/>
  <c r="AH346" i="4"/>
  <c r="AI346" i="4"/>
  <c r="AJ346" i="4"/>
  <c r="AT346" i="4"/>
  <c r="AU346" i="4"/>
  <c r="AV346" i="4"/>
  <c r="BB346" i="4"/>
  <c r="BC346" i="4"/>
  <c r="BD346" i="4"/>
  <c r="BE346" i="4"/>
  <c r="BF346" i="4"/>
  <c r="BG346" i="4"/>
  <c r="BH346" i="4"/>
  <c r="BI346" i="4"/>
  <c r="BJ346" i="4"/>
  <c r="BL346" i="4"/>
  <c r="BM346" i="4"/>
  <c r="BN346" i="4"/>
  <c r="BO346" i="4"/>
  <c r="BT346" i="4"/>
  <c r="BU346" i="4"/>
  <c r="BV346" i="4"/>
  <c r="BW346" i="4"/>
  <c r="BX346" i="4"/>
  <c r="BY346" i="4"/>
  <c r="BZ346" i="4"/>
  <c r="CA346" i="4"/>
  <c r="CB346" i="4"/>
  <c r="CC346" i="4"/>
  <c r="CD346" i="4"/>
  <c r="CE346" i="4"/>
  <c r="CG346" i="4"/>
  <c r="CJ346" i="4"/>
  <c r="CK346" i="4"/>
  <c r="CL346" i="4"/>
  <c r="CN346" i="4"/>
  <c r="CP346" i="4"/>
  <c r="CQ346" i="4"/>
  <c r="C347" i="4"/>
  <c r="D347" i="4"/>
  <c r="E347" i="4"/>
  <c r="F347" i="4"/>
  <c r="N347" i="4"/>
  <c r="O347" i="4"/>
  <c r="P347" i="4"/>
  <c r="Q347" i="4"/>
  <c r="R347" i="4"/>
  <c r="S347" i="4"/>
  <c r="T347" i="4"/>
  <c r="U347" i="4"/>
  <c r="V347" i="4"/>
  <c r="W347" i="4"/>
  <c r="X347" i="4"/>
  <c r="AB347" i="4"/>
  <c r="AC347" i="4"/>
  <c r="AD347" i="4"/>
  <c r="AE347" i="4"/>
  <c r="AF347" i="4"/>
  <c r="AG347" i="4"/>
  <c r="AH347" i="4"/>
  <c r="AI347" i="4"/>
  <c r="AJ347" i="4"/>
  <c r="AT347" i="4"/>
  <c r="AU347" i="4"/>
  <c r="AV347" i="4"/>
  <c r="BB347" i="4"/>
  <c r="BC347" i="4"/>
  <c r="BD347" i="4"/>
  <c r="BE347" i="4"/>
  <c r="BF347" i="4"/>
  <c r="BG347" i="4"/>
  <c r="BH347" i="4"/>
  <c r="BI347" i="4"/>
  <c r="BJ347" i="4"/>
  <c r="BL347" i="4"/>
  <c r="BM347" i="4"/>
  <c r="BN347" i="4"/>
  <c r="BO347" i="4"/>
  <c r="BT347" i="4"/>
  <c r="BU347" i="4"/>
  <c r="BV347" i="4"/>
  <c r="BW347" i="4"/>
  <c r="BX347" i="4"/>
  <c r="BY347" i="4"/>
  <c r="BZ347" i="4"/>
  <c r="CA347" i="4"/>
  <c r="CB347" i="4"/>
  <c r="CC347" i="4"/>
  <c r="CD347" i="4"/>
  <c r="CE347" i="4"/>
  <c r="CG347" i="4"/>
  <c r="CJ347" i="4"/>
  <c r="CK347" i="4"/>
  <c r="CL347" i="4"/>
  <c r="CN347" i="4"/>
  <c r="CP347" i="4"/>
  <c r="CQ347" i="4"/>
  <c r="C348" i="4"/>
  <c r="D348" i="4"/>
  <c r="E348" i="4"/>
  <c r="F348" i="4"/>
  <c r="N348" i="4"/>
  <c r="O348" i="4"/>
  <c r="P348" i="4"/>
  <c r="Q348" i="4"/>
  <c r="R348" i="4"/>
  <c r="S348" i="4"/>
  <c r="T348" i="4"/>
  <c r="U348" i="4"/>
  <c r="V348" i="4"/>
  <c r="W348" i="4"/>
  <c r="X348" i="4"/>
  <c r="AB348" i="4"/>
  <c r="AC348" i="4"/>
  <c r="AD348" i="4"/>
  <c r="AE348" i="4"/>
  <c r="AF348" i="4"/>
  <c r="AG348" i="4"/>
  <c r="AH348" i="4"/>
  <c r="AI348" i="4"/>
  <c r="AJ348" i="4"/>
  <c r="AT348" i="4"/>
  <c r="AU348" i="4"/>
  <c r="AV348" i="4"/>
  <c r="BB348" i="4"/>
  <c r="BC348" i="4"/>
  <c r="BD348" i="4"/>
  <c r="BE348" i="4"/>
  <c r="BF348" i="4"/>
  <c r="BG348" i="4"/>
  <c r="BH348" i="4"/>
  <c r="BI348" i="4"/>
  <c r="BJ348" i="4"/>
  <c r="BL348" i="4"/>
  <c r="BM348" i="4"/>
  <c r="BN348" i="4"/>
  <c r="BO348" i="4"/>
  <c r="BT348" i="4"/>
  <c r="BU348" i="4"/>
  <c r="BV348" i="4"/>
  <c r="BW348" i="4"/>
  <c r="BX348" i="4"/>
  <c r="BY348" i="4"/>
  <c r="BZ348" i="4"/>
  <c r="CA348" i="4"/>
  <c r="CB348" i="4"/>
  <c r="CC348" i="4"/>
  <c r="CD348" i="4"/>
  <c r="CE348" i="4"/>
  <c r="CG348" i="4"/>
  <c r="CJ348" i="4"/>
  <c r="CK348" i="4"/>
  <c r="CL348" i="4"/>
  <c r="CN348" i="4"/>
  <c r="CP348" i="4"/>
  <c r="CQ348" i="4"/>
  <c r="C349" i="4"/>
  <c r="D349" i="4"/>
  <c r="E349" i="4"/>
  <c r="F349" i="4"/>
  <c r="N349" i="4"/>
  <c r="O349" i="4"/>
  <c r="P349" i="4"/>
  <c r="Q349" i="4"/>
  <c r="R349" i="4"/>
  <c r="S349" i="4"/>
  <c r="T349" i="4"/>
  <c r="U349" i="4"/>
  <c r="V349" i="4"/>
  <c r="W349" i="4"/>
  <c r="X349" i="4"/>
  <c r="AB349" i="4"/>
  <c r="AC349" i="4"/>
  <c r="AD349" i="4"/>
  <c r="AE349" i="4"/>
  <c r="AF349" i="4"/>
  <c r="AG349" i="4"/>
  <c r="AH349" i="4"/>
  <c r="AI349" i="4"/>
  <c r="AJ349" i="4"/>
  <c r="AT349" i="4"/>
  <c r="AU349" i="4"/>
  <c r="AV349" i="4"/>
  <c r="BB349" i="4"/>
  <c r="BC349" i="4"/>
  <c r="BD349" i="4"/>
  <c r="BE349" i="4"/>
  <c r="BF349" i="4"/>
  <c r="BG349" i="4"/>
  <c r="BH349" i="4"/>
  <c r="BI349" i="4"/>
  <c r="BJ349" i="4"/>
  <c r="BL349" i="4"/>
  <c r="BM349" i="4"/>
  <c r="BN349" i="4"/>
  <c r="BO349" i="4"/>
  <c r="BT349" i="4"/>
  <c r="BU349" i="4"/>
  <c r="BV349" i="4"/>
  <c r="BW349" i="4"/>
  <c r="BX349" i="4"/>
  <c r="BY349" i="4"/>
  <c r="BZ349" i="4"/>
  <c r="CA349" i="4"/>
  <c r="CB349" i="4"/>
  <c r="CC349" i="4"/>
  <c r="CD349" i="4"/>
  <c r="CE349" i="4"/>
  <c r="CG349" i="4"/>
  <c r="CJ349" i="4"/>
  <c r="CK349" i="4"/>
  <c r="CL349" i="4"/>
  <c r="CN349" i="4"/>
  <c r="CP349" i="4"/>
  <c r="CQ349" i="4"/>
  <c r="C350" i="4"/>
  <c r="D350" i="4"/>
  <c r="E350" i="4"/>
  <c r="F350" i="4"/>
  <c r="N350" i="4"/>
  <c r="O350" i="4"/>
  <c r="P350" i="4"/>
  <c r="Q350" i="4"/>
  <c r="R350" i="4"/>
  <c r="S350" i="4"/>
  <c r="T350" i="4"/>
  <c r="U350" i="4"/>
  <c r="V350" i="4"/>
  <c r="W350" i="4"/>
  <c r="X350" i="4"/>
  <c r="AB350" i="4"/>
  <c r="AC350" i="4"/>
  <c r="AD350" i="4"/>
  <c r="AE350" i="4"/>
  <c r="AF350" i="4"/>
  <c r="AG350" i="4"/>
  <c r="AH350" i="4"/>
  <c r="AI350" i="4"/>
  <c r="AJ350" i="4"/>
  <c r="AT350" i="4"/>
  <c r="AU350" i="4"/>
  <c r="AV350" i="4"/>
  <c r="BB350" i="4"/>
  <c r="BC350" i="4"/>
  <c r="BD350" i="4"/>
  <c r="BE350" i="4"/>
  <c r="BF350" i="4"/>
  <c r="BG350" i="4"/>
  <c r="BH350" i="4"/>
  <c r="BI350" i="4"/>
  <c r="BJ350" i="4"/>
  <c r="BL350" i="4"/>
  <c r="BM350" i="4"/>
  <c r="BN350" i="4"/>
  <c r="BO350" i="4"/>
  <c r="BT350" i="4"/>
  <c r="BU350" i="4"/>
  <c r="BV350" i="4"/>
  <c r="BW350" i="4"/>
  <c r="BX350" i="4"/>
  <c r="BY350" i="4"/>
  <c r="BZ350" i="4"/>
  <c r="CA350" i="4"/>
  <c r="CB350" i="4"/>
  <c r="CC350" i="4"/>
  <c r="CD350" i="4"/>
  <c r="CE350" i="4"/>
  <c r="CG350" i="4"/>
  <c r="CJ350" i="4"/>
  <c r="CK350" i="4"/>
  <c r="CL350" i="4"/>
  <c r="CN350" i="4"/>
  <c r="CP350" i="4"/>
  <c r="CQ350" i="4"/>
  <c r="C351" i="4"/>
  <c r="D351" i="4"/>
  <c r="E351" i="4"/>
  <c r="F351" i="4"/>
  <c r="N351" i="4"/>
  <c r="O351" i="4"/>
  <c r="P351" i="4"/>
  <c r="Q351" i="4"/>
  <c r="R351" i="4"/>
  <c r="S351" i="4"/>
  <c r="T351" i="4"/>
  <c r="U351" i="4"/>
  <c r="V351" i="4"/>
  <c r="W351" i="4"/>
  <c r="X351" i="4"/>
  <c r="AB351" i="4"/>
  <c r="AC351" i="4"/>
  <c r="AD351" i="4"/>
  <c r="AE351" i="4"/>
  <c r="AF351" i="4"/>
  <c r="AG351" i="4"/>
  <c r="AH351" i="4"/>
  <c r="AI351" i="4"/>
  <c r="AJ351" i="4"/>
  <c r="AT351" i="4"/>
  <c r="AU351" i="4"/>
  <c r="AV351" i="4"/>
  <c r="BB351" i="4"/>
  <c r="BC351" i="4"/>
  <c r="BD351" i="4"/>
  <c r="BE351" i="4"/>
  <c r="BF351" i="4"/>
  <c r="BG351" i="4"/>
  <c r="BH351" i="4"/>
  <c r="BI351" i="4"/>
  <c r="BJ351" i="4"/>
  <c r="BL351" i="4"/>
  <c r="BM351" i="4"/>
  <c r="BN351" i="4"/>
  <c r="BO351" i="4"/>
  <c r="BT351" i="4"/>
  <c r="BU351" i="4"/>
  <c r="BV351" i="4"/>
  <c r="BW351" i="4"/>
  <c r="BX351" i="4"/>
  <c r="BY351" i="4"/>
  <c r="BZ351" i="4"/>
  <c r="CA351" i="4"/>
  <c r="CB351" i="4"/>
  <c r="CC351" i="4"/>
  <c r="CD351" i="4"/>
  <c r="CE351" i="4"/>
  <c r="CG351" i="4"/>
  <c r="CJ351" i="4"/>
  <c r="CK351" i="4"/>
  <c r="CL351" i="4"/>
  <c r="CN351" i="4"/>
  <c r="CP351" i="4"/>
  <c r="CQ351" i="4"/>
  <c r="C352" i="4"/>
  <c r="D352" i="4"/>
  <c r="E352" i="4"/>
  <c r="F352" i="4"/>
  <c r="N352" i="4"/>
  <c r="O352" i="4"/>
  <c r="P352" i="4"/>
  <c r="Q352" i="4"/>
  <c r="R352" i="4"/>
  <c r="S352" i="4"/>
  <c r="T352" i="4"/>
  <c r="U352" i="4"/>
  <c r="V352" i="4"/>
  <c r="W352" i="4"/>
  <c r="X352" i="4"/>
  <c r="AB352" i="4"/>
  <c r="AC352" i="4"/>
  <c r="AD352" i="4"/>
  <c r="AE352" i="4"/>
  <c r="AF352" i="4"/>
  <c r="AG352" i="4"/>
  <c r="AH352" i="4"/>
  <c r="AI352" i="4"/>
  <c r="AJ352" i="4"/>
  <c r="AT352" i="4"/>
  <c r="AU352" i="4"/>
  <c r="AV352" i="4"/>
  <c r="BB352" i="4"/>
  <c r="BC352" i="4"/>
  <c r="BD352" i="4"/>
  <c r="BE352" i="4"/>
  <c r="BF352" i="4"/>
  <c r="BG352" i="4"/>
  <c r="BH352" i="4"/>
  <c r="BI352" i="4"/>
  <c r="BJ352" i="4"/>
  <c r="BL352" i="4"/>
  <c r="BM352" i="4"/>
  <c r="BN352" i="4"/>
  <c r="BO352" i="4"/>
  <c r="BT352" i="4"/>
  <c r="BU352" i="4"/>
  <c r="BV352" i="4"/>
  <c r="BW352" i="4"/>
  <c r="BX352" i="4"/>
  <c r="BY352" i="4"/>
  <c r="BZ352" i="4"/>
  <c r="CA352" i="4"/>
  <c r="CB352" i="4"/>
  <c r="CC352" i="4"/>
  <c r="CD352" i="4"/>
  <c r="CE352" i="4"/>
  <c r="CG352" i="4"/>
  <c r="CJ352" i="4"/>
  <c r="CK352" i="4"/>
  <c r="CL352" i="4"/>
  <c r="CN352" i="4"/>
  <c r="CP352" i="4"/>
  <c r="CQ352" i="4"/>
  <c r="C353" i="4"/>
  <c r="D353" i="4"/>
  <c r="E353" i="4"/>
  <c r="F353" i="4"/>
  <c r="N353" i="4"/>
  <c r="O353" i="4"/>
  <c r="P353" i="4"/>
  <c r="Q353" i="4"/>
  <c r="R353" i="4"/>
  <c r="S353" i="4"/>
  <c r="T353" i="4"/>
  <c r="U353" i="4"/>
  <c r="V353" i="4"/>
  <c r="W353" i="4"/>
  <c r="X353" i="4"/>
  <c r="AB353" i="4"/>
  <c r="AC353" i="4"/>
  <c r="AD353" i="4"/>
  <c r="AE353" i="4"/>
  <c r="AF353" i="4"/>
  <c r="AG353" i="4"/>
  <c r="AH353" i="4"/>
  <c r="AI353" i="4"/>
  <c r="AJ353" i="4"/>
  <c r="AT353" i="4"/>
  <c r="AU353" i="4"/>
  <c r="AV353" i="4"/>
  <c r="BB353" i="4"/>
  <c r="BC353" i="4"/>
  <c r="BD353" i="4"/>
  <c r="BE353" i="4"/>
  <c r="BF353" i="4"/>
  <c r="BG353" i="4"/>
  <c r="BH353" i="4"/>
  <c r="BI353" i="4"/>
  <c r="BJ353" i="4"/>
  <c r="BL353" i="4"/>
  <c r="BM353" i="4"/>
  <c r="BN353" i="4"/>
  <c r="BO353" i="4"/>
  <c r="BT353" i="4"/>
  <c r="BU353" i="4"/>
  <c r="BV353" i="4"/>
  <c r="BW353" i="4"/>
  <c r="BX353" i="4"/>
  <c r="BY353" i="4"/>
  <c r="BZ353" i="4"/>
  <c r="CA353" i="4"/>
  <c r="CB353" i="4"/>
  <c r="CC353" i="4"/>
  <c r="CD353" i="4"/>
  <c r="CE353" i="4"/>
  <c r="CG353" i="4"/>
  <c r="CJ353" i="4"/>
  <c r="CK353" i="4"/>
  <c r="CL353" i="4"/>
  <c r="CN353" i="4"/>
  <c r="CP353" i="4"/>
  <c r="CQ353" i="4"/>
  <c r="C354" i="4"/>
  <c r="D354" i="4"/>
  <c r="E354" i="4"/>
  <c r="F354" i="4"/>
  <c r="N354" i="4"/>
  <c r="O354" i="4"/>
  <c r="P354" i="4"/>
  <c r="Q354" i="4"/>
  <c r="R354" i="4"/>
  <c r="S354" i="4"/>
  <c r="T354" i="4"/>
  <c r="U354" i="4"/>
  <c r="V354" i="4"/>
  <c r="W354" i="4"/>
  <c r="X354" i="4"/>
  <c r="AB354" i="4"/>
  <c r="AC354" i="4"/>
  <c r="AD354" i="4"/>
  <c r="AE354" i="4"/>
  <c r="AF354" i="4"/>
  <c r="AG354" i="4"/>
  <c r="AH354" i="4"/>
  <c r="AI354" i="4"/>
  <c r="AJ354" i="4"/>
  <c r="AT354" i="4"/>
  <c r="AU354" i="4"/>
  <c r="AV354" i="4"/>
  <c r="BB354" i="4"/>
  <c r="BC354" i="4"/>
  <c r="BD354" i="4"/>
  <c r="BE354" i="4"/>
  <c r="BF354" i="4"/>
  <c r="BG354" i="4"/>
  <c r="BH354" i="4"/>
  <c r="BI354" i="4"/>
  <c r="BJ354" i="4"/>
  <c r="BL354" i="4"/>
  <c r="BM354" i="4"/>
  <c r="BN354" i="4"/>
  <c r="BO354" i="4"/>
  <c r="BT354" i="4"/>
  <c r="BU354" i="4"/>
  <c r="BV354" i="4"/>
  <c r="BW354" i="4"/>
  <c r="BX354" i="4"/>
  <c r="BY354" i="4"/>
  <c r="BZ354" i="4"/>
  <c r="CA354" i="4"/>
  <c r="CB354" i="4"/>
  <c r="CC354" i="4"/>
  <c r="CD354" i="4"/>
  <c r="CE354" i="4"/>
  <c r="CG354" i="4"/>
  <c r="CJ354" i="4"/>
  <c r="CK354" i="4"/>
  <c r="CL354" i="4"/>
  <c r="CN354" i="4"/>
  <c r="CP354" i="4"/>
  <c r="CQ354" i="4"/>
  <c r="C355" i="4"/>
  <c r="D355" i="4"/>
  <c r="E355" i="4"/>
  <c r="F355" i="4"/>
  <c r="N355" i="4"/>
  <c r="O355" i="4"/>
  <c r="P355" i="4"/>
  <c r="Q355" i="4"/>
  <c r="R355" i="4"/>
  <c r="S355" i="4"/>
  <c r="T355" i="4"/>
  <c r="U355" i="4"/>
  <c r="V355" i="4"/>
  <c r="W355" i="4"/>
  <c r="X355" i="4"/>
  <c r="AB355" i="4"/>
  <c r="AC355" i="4"/>
  <c r="AD355" i="4"/>
  <c r="AE355" i="4"/>
  <c r="AF355" i="4"/>
  <c r="AG355" i="4"/>
  <c r="AH355" i="4"/>
  <c r="AI355" i="4"/>
  <c r="AJ355" i="4"/>
  <c r="AT355" i="4"/>
  <c r="AU355" i="4"/>
  <c r="AV355" i="4"/>
  <c r="BB355" i="4"/>
  <c r="BC355" i="4"/>
  <c r="BD355" i="4"/>
  <c r="BE355" i="4"/>
  <c r="BF355" i="4"/>
  <c r="BG355" i="4"/>
  <c r="BH355" i="4"/>
  <c r="BI355" i="4"/>
  <c r="BJ355" i="4"/>
  <c r="BL355" i="4"/>
  <c r="BM355" i="4"/>
  <c r="BN355" i="4"/>
  <c r="BO355" i="4"/>
  <c r="BT355" i="4"/>
  <c r="BU355" i="4"/>
  <c r="BV355" i="4"/>
  <c r="BW355" i="4"/>
  <c r="BX355" i="4"/>
  <c r="BY355" i="4"/>
  <c r="BZ355" i="4"/>
  <c r="CA355" i="4"/>
  <c r="CB355" i="4"/>
  <c r="CC355" i="4"/>
  <c r="CD355" i="4"/>
  <c r="CE355" i="4"/>
  <c r="CG355" i="4"/>
  <c r="CJ355" i="4"/>
  <c r="CK355" i="4"/>
  <c r="CL355" i="4"/>
  <c r="CN355" i="4"/>
  <c r="CP355" i="4"/>
  <c r="CQ355" i="4"/>
  <c r="C356" i="4"/>
  <c r="D356" i="4"/>
  <c r="E356" i="4"/>
  <c r="F356" i="4"/>
  <c r="N356" i="4"/>
  <c r="O356" i="4"/>
  <c r="P356" i="4"/>
  <c r="Q356" i="4"/>
  <c r="R356" i="4"/>
  <c r="S356" i="4"/>
  <c r="T356" i="4"/>
  <c r="U356" i="4"/>
  <c r="V356" i="4"/>
  <c r="W356" i="4"/>
  <c r="X356" i="4"/>
  <c r="AB356" i="4"/>
  <c r="AC356" i="4"/>
  <c r="AD356" i="4"/>
  <c r="AE356" i="4"/>
  <c r="AF356" i="4"/>
  <c r="AG356" i="4"/>
  <c r="AH356" i="4"/>
  <c r="AI356" i="4"/>
  <c r="AJ356" i="4"/>
  <c r="AT356" i="4"/>
  <c r="AU356" i="4"/>
  <c r="AV356" i="4"/>
  <c r="BB356" i="4"/>
  <c r="BC356" i="4"/>
  <c r="BD356" i="4"/>
  <c r="BE356" i="4"/>
  <c r="BF356" i="4"/>
  <c r="BG356" i="4"/>
  <c r="BH356" i="4"/>
  <c r="BI356" i="4"/>
  <c r="BJ356" i="4"/>
  <c r="BL356" i="4"/>
  <c r="BM356" i="4"/>
  <c r="BN356" i="4"/>
  <c r="BO356" i="4"/>
  <c r="BT356" i="4"/>
  <c r="BU356" i="4"/>
  <c r="BV356" i="4"/>
  <c r="BW356" i="4"/>
  <c r="BX356" i="4"/>
  <c r="BY356" i="4"/>
  <c r="BZ356" i="4"/>
  <c r="CA356" i="4"/>
  <c r="CB356" i="4"/>
  <c r="CC356" i="4"/>
  <c r="CD356" i="4"/>
  <c r="CE356" i="4"/>
  <c r="CG356" i="4"/>
  <c r="CJ356" i="4"/>
  <c r="CK356" i="4"/>
  <c r="CL356" i="4"/>
  <c r="CN356" i="4"/>
  <c r="CP356" i="4"/>
  <c r="CQ356" i="4"/>
  <c r="C357" i="4"/>
  <c r="D357" i="4"/>
  <c r="E357" i="4"/>
  <c r="F357" i="4"/>
  <c r="N357" i="4"/>
  <c r="O357" i="4"/>
  <c r="P357" i="4"/>
  <c r="Q357" i="4"/>
  <c r="R357" i="4"/>
  <c r="S357" i="4"/>
  <c r="T357" i="4"/>
  <c r="U357" i="4"/>
  <c r="V357" i="4"/>
  <c r="W357" i="4"/>
  <c r="X357" i="4"/>
  <c r="AB357" i="4"/>
  <c r="AC357" i="4"/>
  <c r="AD357" i="4"/>
  <c r="AE357" i="4"/>
  <c r="AF357" i="4"/>
  <c r="AG357" i="4"/>
  <c r="AH357" i="4"/>
  <c r="AI357" i="4"/>
  <c r="AJ357" i="4"/>
  <c r="AT357" i="4"/>
  <c r="AU357" i="4"/>
  <c r="AV357" i="4"/>
  <c r="BB357" i="4"/>
  <c r="BC357" i="4"/>
  <c r="BD357" i="4"/>
  <c r="BE357" i="4"/>
  <c r="BF357" i="4"/>
  <c r="BG357" i="4"/>
  <c r="BH357" i="4"/>
  <c r="BI357" i="4"/>
  <c r="BJ357" i="4"/>
  <c r="BL357" i="4"/>
  <c r="BM357" i="4"/>
  <c r="BN357" i="4"/>
  <c r="BO357" i="4"/>
  <c r="BT357" i="4"/>
  <c r="BU357" i="4"/>
  <c r="BV357" i="4"/>
  <c r="BW357" i="4"/>
  <c r="BX357" i="4"/>
  <c r="BY357" i="4"/>
  <c r="BZ357" i="4"/>
  <c r="CA357" i="4"/>
  <c r="CB357" i="4"/>
  <c r="CC357" i="4"/>
  <c r="CD357" i="4"/>
  <c r="CE357" i="4"/>
  <c r="CG357" i="4"/>
  <c r="CJ357" i="4"/>
  <c r="CK357" i="4"/>
  <c r="CL357" i="4"/>
  <c r="CN357" i="4"/>
  <c r="CP357" i="4"/>
  <c r="CQ357" i="4"/>
  <c r="C358" i="4"/>
  <c r="D358" i="4"/>
  <c r="E358" i="4"/>
  <c r="F358" i="4"/>
  <c r="N358" i="4"/>
  <c r="O358" i="4"/>
  <c r="P358" i="4"/>
  <c r="Q358" i="4"/>
  <c r="R358" i="4"/>
  <c r="S358" i="4"/>
  <c r="T358" i="4"/>
  <c r="U358" i="4"/>
  <c r="V358" i="4"/>
  <c r="W358" i="4"/>
  <c r="X358" i="4"/>
  <c r="AB358" i="4"/>
  <c r="AC358" i="4"/>
  <c r="AD358" i="4"/>
  <c r="AE358" i="4"/>
  <c r="AF358" i="4"/>
  <c r="AG358" i="4"/>
  <c r="AH358" i="4"/>
  <c r="AI358" i="4"/>
  <c r="AJ358" i="4"/>
  <c r="AT358" i="4"/>
  <c r="AU358" i="4"/>
  <c r="AV358" i="4"/>
  <c r="BB358" i="4"/>
  <c r="BC358" i="4"/>
  <c r="BD358" i="4"/>
  <c r="BE358" i="4"/>
  <c r="BF358" i="4"/>
  <c r="BG358" i="4"/>
  <c r="BH358" i="4"/>
  <c r="BI358" i="4"/>
  <c r="BJ358" i="4"/>
  <c r="BL358" i="4"/>
  <c r="BM358" i="4"/>
  <c r="BN358" i="4"/>
  <c r="BO358" i="4"/>
  <c r="BT358" i="4"/>
  <c r="BU358" i="4"/>
  <c r="BV358" i="4"/>
  <c r="BW358" i="4"/>
  <c r="BX358" i="4"/>
  <c r="BY358" i="4"/>
  <c r="BZ358" i="4"/>
  <c r="CA358" i="4"/>
  <c r="CB358" i="4"/>
  <c r="CC358" i="4"/>
  <c r="CD358" i="4"/>
  <c r="CE358" i="4"/>
  <c r="CG358" i="4"/>
  <c r="CJ358" i="4"/>
  <c r="CK358" i="4"/>
  <c r="CL358" i="4"/>
  <c r="CN358" i="4"/>
  <c r="CP358" i="4"/>
  <c r="CQ358" i="4"/>
  <c r="C359" i="4"/>
  <c r="D359" i="4"/>
  <c r="E359" i="4"/>
  <c r="F359" i="4"/>
  <c r="N359" i="4"/>
  <c r="O359" i="4"/>
  <c r="P359" i="4"/>
  <c r="Q359" i="4"/>
  <c r="R359" i="4"/>
  <c r="S359" i="4"/>
  <c r="T359" i="4"/>
  <c r="U359" i="4"/>
  <c r="V359" i="4"/>
  <c r="W359" i="4"/>
  <c r="X359" i="4"/>
  <c r="AB359" i="4"/>
  <c r="AC359" i="4"/>
  <c r="AD359" i="4"/>
  <c r="AE359" i="4"/>
  <c r="AF359" i="4"/>
  <c r="AG359" i="4"/>
  <c r="AH359" i="4"/>
  <c r="AI359" i="4"/>
  <c r="AJ359" i="4"/>
  <c r="AT359" i="4"/>
  <c r="AU359" i="4"/>
  <c r="AV359" i="4"/>
  <c r="BB359" i="4"/>
  <c r="BC359" i="4"/>
  <c r="BD359" i="4"/>
  <c r="BE359" i="4"/>
  <c r="BF359" i="4"/>
  <c r="BG359" i="4"/>
  <c r="BH359" i="4"/>
  <c r="BI359" i="4"/>
  <c r="BJ359" i="4"/>
  <c r="BL359" i="4"/>
  <c r="BM359" i="4"/>
  <c r="BN359" i="4"/>
  <c r="BO359" i="4"/>
  <c r="BT359" i="4"/>
  <c r="BU359" i="4"/>
  <c r="BV359" i="4"/>
  <c r="BW359" i="4"/>
  <c r="BX359" i="4"/>
  <c r="BY359" i="4"/>
  <c r="BZ359" i="4"/>
  <c r="CA359" i="4"/>
  <c r="CB359" i="4"/>
  <c r="CC359" i="4"/>
  <c r="CD359" i="4"/>
  <c r="CE359" i="4"/>
  <c r="CG359" i="4"/>
  <c r="CJ359" i="4"/>
  <c r="CK359" i="4"/>
  <c r="CL359" i="4"/>
  <c r="CN359" i="4"/>
  <c r="CP359" i="4"/>
  <c r="CQ359" i="4"/>
  <c r="C360" i="4"/>
  <c r="D360" i="4"/>
  <c r="E360" i="4"/>
  <c r="F360" i="4"/>
  <c r="N360" i="4"/>
  <c r="O360" i="4"/>
  <c r="P360" i="4"/>
  <c r="Q360" i="4"/>
  <c r="R360" i="4"/>
  <c r="S360" i="4"/>
  <c r="T360" i="4"/>
  <c r="U360" i="4"/>
  <c r="V360" i="4"/>
  <c r="W360" i="4"/>
  <c r="X360" i="4"/>
  <c r="AB360" i="4"/>
  <c r="AC360" i="4"/>
  <c r="AD360" i="4"/>
  <c r="AE360" i="4"/>
  <c r="AF360" i="4"/>
  <c r="AG360" i="4"/>
  <c r="AH360" i="4"/>
  <c r="AI360" i="4"/>
  <c r="AJ360" i="4"/>
  <c r="AT360" i="4"/>
  <c r="AU360" i="4"/>
  <c r="AV360" i="4"/>
  <c r="BB360" i="4"/>
  <c r="BC360" i="4"/>
  <c r="BD360" i="4"/>
  <c r="BE360" i="4"/>
  <c r="BF360" i="4"/>
  <c r="BG360" i="4"/>
  <c r="BH360" i="4"/>
  <c r="BI360" i="4"/>
  <c r="BJ360" i="4"/>
  <c r="BL360" i="4"/>
  <c r="BM360" i="4"/>
  <c r="BN360" i="4"/>
  <c r="BO360" i="4"/>
  <c r="BT360" i="4"/>
  <c r="BU360" i="4"/>
  <c r="BV360" i="4"/>
  <c r="BW360" i="4"/>
  <c r="BX360" i="4"/>
  <c r="BY360" i="4"/>
  <c r="BZ360" i="4"/>
  <c r="CA360" i="4"/>
  <c r="CB360" i="4"/>
  <c r="CC360" i="4"/>
  <c r="CD360" i="4"/>
  <c r="CE360" i="4"/>
  <c r="CG360" i="4"/>
  <c r="CJ360" i="4"/>
  <c r="CK360" i="4"/>
  <c r="CL360" i="4"/>
  <c r="CN360" i="4"/>
  <c r="CP360" i="4"/>
  <c r="CQ360" i="4"/>
  <c r="C361" i="4"/>
  <c r="D361" i="4"/>
  <c r="E361" i="4"/>
  <c r="F361" i="4"/>
  <c r="N361" i="4"/>
  <c r="O361" i="4"/>
  <c r="P361" i="4"/>
  <c r="Q361" i="4"/>
  <c r="R361" i="4"/>
  <c r="S361" i="4"/>
  <c r="T361" i="4"/>
  <c r="U361" i="4"/>
  <c r="V361" i="4"/>
  <c r="W361" i="4"/>
  <c r="X361" i="4"/>
  <c r="AB361" i="4"/>
  <c r="AC361" i="4"/>
  <c r="AD361" i="4"/>
  <c r="AE361" i="4"/>
  <c r="AF361" i="4"/>
  <c r="AG361" i="4"/>
  <c r="AH361" i="4"/>
  <c r="AI361" i="4"/>
  <c r="AJ361" i="4"/>
  <c r="AT361" i="4"/>
  <c r="AU361" i="4"/>
  <c r="AV361" i="4"/>
  <c r="BB361" i="4"/>
  <c r="BC361" i="4"/>
  <c r="BD361" i="4"/>
  <c r="BE361" i="4"/>
  <c r="BF361" i="4"/>
  <c r="BG361" i="4"/>
  <c r="BH361" i="4"/>
  <c r="BI361" i="4"/>
  <c r="BJ361" i="4"/>
  <c r="BL361" i="4"/>
  <c r="BM361" i="4"/>
  <c r="BN361" i="4"/>
  <c r="BO361" i="4"/>
  <c r="BT361" i="4"/>
  <c r="BU361" i="4"/>
  <c r="BV361" i="4"/>
  <c r="BW361" i="4"/>
  <c r="BX361" i="4"/>
  <c r="BY361" i="4"/>
  <c r="BZ361" i="4"/>
  <c r="CA361" i="4"/>
  <c r="CB361" i="4"/>
  <c r="CC361" i="4"/>
  <c r="CD361" i="4"/>
  <c r="CE361" i="4"/>
  <c r="CG361" i="4"/>
  <c r="CJ361" i="4"/>
  <c r="CK361" i="4"/>
  <c r="CL361" i="4"/>
  <c r="CN361" i="4"/>
  <c r="CP361" i="4"/>
  <c r="CQ361" i="4"/>
  <c r="C362" i="4"/>
  <c r="D362" i="4"/>
  <c r="E362" i="4"/>
  <c r="F362" i="4"/>
  <c r="N362" i="4"/>
  <c r="O362" i="4"/>
  <c r="P362" i="4"/>
  <c r="Q362" i="4"/>
  <c r="R362" i="4"/>
  <c r="S362" i="4"/>
  <c r="T362" i="4"/>
  <c r="U362" i="4"/>
  <c r="V362" i="4"/>
  <c r="W362" i="4"/>
  <c r="X362" i="4"/>
  <c r="AB362" i="4"/>
  <c r="AC362" i="4"/>
  <c r="AD362" i="4"/>
  <c r="AE362" i="4"/>
  <c r="AF362" i="4"/>
  <c r="AG362" i="4"/>
  <c r="AH362" i="4"/>
  <c r="AI362" i="4"/>
  <c r="AJ362" i="4"/>
  <c r="AT362" i="4"/>
  <c r="AU362" i="4"/>
  <c r="AV362" i="4"/>
  <c r="BB362" i="4"/>
  <c r="BC362" i="4"/>
  <c r="BD362" i="4"/>
  <c r="BE362" i="4"/>
  <c r="BF362" i="4"/>
  <c r="BG362" i="4"/>
  <c r="BH362" i="4"/>
  <c r="BI362" i="4"/>
  <c r="BJ362" i="4"/>
  <c r="BL362" i="4"/>
  <c r="BM362" i="4"/>
  <c r="BN362" i="4"/>
  <c r="BO362" i="4"/>
  <c r="BT362" i="4"/>
  <c r="BU362" i="4"/>
  <c r="BV362" i="4"/>
  <c r="BW362" i="4"/>
  <c r="BX362" i="4"/>
  <c r="BY362" i="4"/>
  <c r="BZ362" i="4"/>
  <c r="CA362" i="4"/>
  <c r="CB362" i="4"/>
  <c r="CC362" i="4"/>
  <c r="CD362" i="4"/>
  <c r="CE362" i="4"/>
  <c r="CG362" i="4"/>
  <c r="CJ362" i="4"/>
  <c r="CK362" i="4"/>
  <c r="CL362" i="4"/>
  <c r="CN362" i="4"/>
  <c r="CP362" i="4"/>
  <c r="CQ362" i="4"/>
  <c r="C363" i="4"/>
  <c r="D363" i="4"/>
  <c r="E363" i="4"/>
  <c r="F363" i="4"/>
  <c r="N363" i="4"/>
  <c r="O363" i="4"/>
  <c r="P363" i="4"/>
  <c r="Q363" i="4"/>
  <c r="R363" i="4"/>
  <c r="S363" i="4"/>
  <c r="T363" i="4"/>
  <c r="U363" i="4"/>
  <c r="V363" i="4"/>
  <c r="W363" i="4"/>
  <c r="X363" i="4"/>
  <c r="AB363" i="4"/>
  <c r="AC363" i="4"/>
  <c r="AD363" i="4"/>
  <c r="AE363" i="4"/>
  <c r="AF363" i="4"/>
  <c r="AG363" i="4"/>
  <c r="AH363" i="4"/>
  <c r="AI363" i="4"/>
  <c r="AJ363" i="4"/>
  <c r="AT363" i="4"/>
  <c r="AU363" i="4"/>
  <c r="AV363" i="4"/>
  <c r="BB363" i="4"/>
  <c r="BC363" i="4"/>
  <c r="BD363" i="4"/>
  <c r="BE363" i="4"/>
  <c r="BF363" i="4"/>
  <c r="BG363" i="4"/>
  <c r="BH363" i="4"/>
  <c r="BI363" i="4"/>
  <c r="BJ363" i="4"/>
  <c r="BL363" i="4"/>
  <c r="BM363" i="4"/>
  <c r="BN363" i="4"/>
  <c r="BO363" i="4"/>
  <c r="BT363" i="4"/>
  <c r="BU363" i="4"/>
  <c r="BV363" i="4"/>
  <c r="BW363" i="4"/>
  <c r="BX363" i="4"/>
  <c r="BY363" i="4"/>
  <c r="BZ363" i="4"/>
  <c r="CA363" i="4"/>
  <c r="CB363" i="4"/>
  <c r="CC363" i="4"/>
  <c r="CD363" i="4"/>
  <c r="CE363" i="4"/>
  <c r="CG363" i="4"/>
  <c r="CJ363" i="4"/>
  <c r="CK363" i="4"/>
  <c r="CL363" i="4"/>
  <c r="CN363" i="4"/>
  <c r="CP363" i="4"/>
  <c r="CQ363" i="4"/>
  <c r="C364" i="4"/>
  <c r="D364" i="4"/>
  <c r="E364" i="4"/>
  <c r="F364" i="4"/>
  <c r="N364" i="4"/>
  <c r="O364" i="4"/>
  <c r="P364" i="4"/>
  <c r="Q364" i="4"/>
  <c r="R364" i="4"/>
  <c r="S364" i="4"/>
  <c r="T364" i="4"/>
  <c r="U364" i="4"/>
  <c r="V364" i="4"/>
  <c r="W364" i="4"/>
  <c r="X364" i="4"/>
  <c r="AB364" i="4"/>
  <c r="AC364" i="4"/>
  <c r="AD364" i="4"/>
  <c r="AE364" i="4"/>
  <c r="AF364" i="4"/>
  <c r="AG364" i="4"/>
  <c r="AH364" i="4"/>
  <c r="AI364" i="4"/>
  <c r="AJ364" i="4"/>
  <c r="AT364" i="4"/>
  <c r="AU364" i="4"/>
  <c r="AV364" i="4"/>
  <c r="BB364" i="4"/>
  <c r="BC364" i="4"/>
  <c r="BD364" i="4"/>
  <c r="BE364" i="4"/>
  <c r="BF364" i="4"/>
  <c r="BG364" i="4"/>
  <c r="BH364" i="4"/>
  <c r="BI364" i="4"/>
  <c r="BJ364" i="4"/>
  <c r="BL364" i="4"/>
  <c r="BM364" i="4"/>
  <c r="BN364" i="4"/>
  <c r="BO364" i="4"/>
  <c r="BT364" i="4"/>
  <c r="BU364" i="4"/>
  <c r="BV364" i="4"/>
  <c r="BW364" i="4"/>
  <c r="BX364" i="4"/>
  <c r="BY364" i="4"/>
  <c r="BZ364" i="4"/>
  <c r="CA364" i="4"/>
  <c r="CB364" i="4"/>
  <c r="CC364" i="4"/>
  <c r="CD364" i="4"/>
  <c r="CE364" i="4"/>
  <c r="CG364" i="4"/>
  <c r="CJ364" i="4"/>
  <c r="CK364" i="4"/>
  <c r="CL364" i="4"/>
  <c r="CN364" i="4"/>
  <c r="CP364" i="4"/>
  <c r="CQ364" i="4"/>
  <c r="C365" i="4"/>
  <c r="D365" i="4"/>
  <c r="E365" i="4"/>
  <c r="F365" i="4"/>
  <c r="N365" i="4"/>
  <c r="O365" i="4"/>
  <c r="P365" i="4"/>
  <c r="Q365" i="4"/>
  <c r="R365" i="4"/>
  <c r="S365" i="4"/>
  <c r="T365" i="4"/>
  <c r="U365" i="4"/>
  <c r="V365" i="4"/>
  <c r="W365" i="4"/>
  <c r="X365" i="4"/>
  <c r="AB365" i="4"/>
  <c r="AC365" i="4"/>
  <c r="AD365" i="4"/>
  <c r="AE365" i="4"/>
  <c r="AF365" i="4"/>
  <c r="AG365" i="4"/>
  <c r="AH365" i="4"/>
  <c r="AI365" i="4"/>
  <c r="AJ365" i="4"/>
  <c r="AT365" i="4"/>
  <c r="AU365" i="4"/>
  <c r="AV365" i="4"/>
  <c r="BB365" i="4"/>
  <c r="BC365" i="4"/>
  <c r="BD365" i="4"/>
  <c r="BE365" i="4"/>
  <c r="BF365" i="4"/>
  <c r="BG365" i="4"/>
  <c r="BH365" i="4"/>
  <c r="BI365" i="4"/>
  <c r="BJ365" i="4"/>
  <c r="BL365" i="4"/>
  <c r="BM365" i="4"/>
  <c r="BN365" i="4"/>
  <c r="BO365" i="4"/>
  <c r="BT365" i="4"/>
  <c r="BU365" i="4"/>
  <c r="BV365" i="4"/>
  <c r="BW365" i="4"/>
  <c r="BX365" i="4"/>
  <c r="BY365" i="4"/>
  <c r="BZ365" i="4"/>
  <c r="CA365" i="4"/>
  <c r="CB365" i="4"/>
  <c r="CC365" i="4"/>
  <c r="CD365" i="4"/>
  <c r="CE365" i="4"/>
  <c r="CG365" i="4"/>
  <c r="CJ365" i="4"/>
  <c r="CK365" i="4"/>
  <c r="CL365" i="4"/>
  <c r="CN365" i="4"/>
  <c r="CP365" i="4"/>
  <c r="CQ365" i="4"/>
  <c r="C366" i="4"/>
  <c r="D366" i="4"/>
  <c r="E366" i="4"/>
  <c r="F366" i="4"/>
  <c r="N366" i="4"/>
  <c r="O366" i="4"/>
  <c r="P366" i="4"/>
  <c r="Q366" i="4"/>
  <c r="R366" i="4"/>
  <c r="S366" i="4"/>
  <c r="T366" i="4"/>
  <c r="U366" i="4"/>
  <c r="V366" i="4"/>
  <c r="W366" i="4"/>
  <c r="X366" i="4"/>
  <c r="AB366" i="4"/>
  <c r="AC366" i="4"/>
  <c r="AD366" i="4"/>
  <c r="AE366" i="4"/>
  <c r="AF366" i="4"/>
  <c r="AG366" i="4"/>
  <c r="AH366" i="4"/>
  <c r="AI366" i="4"/>
  <c r="AJ366" i="4"/>
  <c r="AT366" i="4"/>
  <c r="AU366" i="4"/>
  <c r="AV366" i="4"/>
  <c r="BB366" i="4"/>
  <c r="BC366" i="4"/>
  <c r="BD366" i="4"/>
  <c r="BE366" i="4"/>
  <c r="BF366" i="4"/>
  <c r="BG366" i="4"/>
  <c r="BH366" i="4"/>
  <c r="BI366" i="4"/>
  <c r="BJ366" i="4"/>
  <c r="BL366" i="4"/>
  <c r="BM366" i="4"/>
  <c r="BN366" i="4"/>
  <c r="BO366" i="4"/>
  <c r="BT366" i="4"/>
  <c r="BU366" i="4"/>
  <c r="BV366" i="4"/>
  <c r="BW366" i="4"/>
  <c r="BX366" i="4"/>
  <c r="BY366" i="4"/>
  <c r="BZ366" i="4"/>
  <c r="CA366" i="4"/>
  <c r="CB366" i="4"/>
  <c r="CC366" i="4"/>
  <c r="CD366" i="4"/>
  <c r="CE366" i="4"/>
  <c r="CG366" i="4"/>
  <c r="CJ366" i="4"/>
  <c r="CK366" i="4"/>
  <c r="CL366" i="4"/>
  <c r="CN366" i="4"/>
  <c r="CP366" i="4"/>
  <c r="CQ366" i="4"/>
  <c r="C367" i="4"/>
  <c r="D367" i="4"/>
  <c r="E367" i="4"/>
  <c r="F367" i="4"/>
  <c r="N367" i="4"/>
  <c r="O367" i="4"/>
  <c r="P367" i="4"/>
  <c r="Q367" i="4"/>
  <c r="R367" i="4"/>
  <c r="S367" i="4"/>
  <c r="T367" i="4"/>
  <c r="U367" i="4"/>
  <c r="V367" i="4"/>
  <c r="W367" i="4"/>
  <c r="X367" i="4"/>
  <c r="AB367" i="4"/>
  <c r="AC367" i="4"/>
  <c r="AD367" i="4"/>
  <c r="AE367" i="4"/>
  <c r="AF367" i="4"/>
  <c r="AG367" i="4"/>
  <c r="AH367" i="4"/>
  <c r="AI367" i="4"/>
  <c r="AJ367" i="4"/>
  <c r="AT367" i="4"/>
  <c r="AU367" i="4"/>
  <c r="AV367" i="4"/>
  <c r="BB367" i="4"/>
  <c r="BC367" i="4"/>
  <c r="BD367" i="4"/>
  <c r="BE367" i="4"/>
  <c r="BF367" i="4"/>
  <c r="BG367" i="4"/>
  <c r="BH367" i="4"/>
  <c r="BI367" i="4"/>
  <c r="BJ367" i="4"/>
  <c r="BL367" i="4"/>
  <c r="BM367" i="4"/>
  <c r="BN367" i="4"/>
  <c r="BO367" i="4"/>
  <c r="BT367" i="4"/>
  <c r="BU367" i="4"/>
  <c r="BV367" i="4"/>
  <c r="BW367" i="4"/>
  <c r="BX367" i="4"/>
  <c r="BY367" i="4"/>
  <c r="BZ367" i="4"/>
  <c r="CA367" i="4"/>
  <c r="CB367" i="4"/>
  <c r="CC367" i="4"/>
  <c r="CD367" i="4"/>
  <c r="CE367" i="4"/>
  <c r="CG367" i="4"/>
  <c r="CJ367" i="4"/>
  <c r="CK367" i="4"/>
  <c r="CL367" i="4"/>
  <c r="CN367" i="4"/>
  <c r="CP367" i="4"/>
  <c r="CQ367" i="4"/>
  <c r="C368" i="4"/>
  <c r="D368" i="4"/>
  <c r="E368" i="4"/>
  <c r="F368" i="4"/>
  <c r="N368" i="4"/>
  <c r="O368" i="4"/>
  <c r="P368" i="4"/>
  <c r="Q368" i="4"/>
  <c r="R368" i="4"/>
  <c r="S368" i="4"/>
  <c r="T368" i="4"/>
  <c r="U368" i="4"/>
  <c r="V368" i="4"/>
  <c r="W368" i="4"/>
  <c r="X368" i="4"/>
  <c r="AB368" i="4"/>
  <c r="AC368" i="4"/>
  <c r="AD368" i="4"/>
  <c r="AE368" i="4"/>
  <c r="AF368" i="4"/>
  <c r="AG368" i="4"/>
  <c r="AH368" i="4"/>
  <c r="AI368" i="4"/>
  <c r="AJ368" i="4"/>
  <c r="AT368" i="4"/>
  <c r="AU368" i="4"/>
  <c r="AV368" i="4"/>
  <c r="BB368" i="4"/>
  <c r="BC368" i="4"/>
  <c r="BD368" i="4"/>
  <c r="BE368" i="4"/>
  <c r="BF368" i="4"/>
  <c r="BG368" i="4"/>
  <c r="BH368" i="4"/>
  <c r="BI368" i="4"/>
  <c r="BJ368" i="4"/>
  <c r="BL368" i="4"/>
  <c r="BM368" i="4"/>
  <c r="BN368" i="4"/>
  <c r="BO368" i="4"/>
  <c r="BT368" i="4"/>
  <c r="BU368" i="4"/>
  <c r="BV368" i="4"/>
  <c r="BW368" i="4"/>
  <c r="BX368" i="4"/>
  <c r="BY368" i="4"/>
  <c r="BZ368" i="4"/>
  <c r="CA368" i="4"/>
  <c r="CB368" i="4"/>
  <c r="CC368" i="4"/>
  <c r="CD368" i="4"/>
  <c r="CE368" i="4"/>
  <c r="CG368" i="4"/>
  <c r="CJ368" i="4"/>
  <c r="CK368" i="4"/>
  <c r="CL368" i="4"/>
  <c r="CN368" i="4"/>
  <c r="CP368" i="4"/>
  <c r="CQ368" i="4"/>
  <c r="C369" i="4"/>
  <c r="D369" i="4"/>
  <c r="E369" i="4"/>
  <c r="F369" i="4"/>
  <c r="N369" i="4"/>
  <c r="O369" i="4"/>
  <c r="P369" i="4"/>
  <c r="Q369" i="4"/>
  <c r="R369" i="4"/>
  <c r="S369" i="4"/>
  <c r="T369" i="4"/>
  <c r="U369" i="4"/>
  <c r="V369" i="4"/>
  <c r="W369" i="4"/>
  <c r="X369" i="4"/>
  <c r="AB369" i="4"/>
  <c r="AC369" i="4"/>
  <c r="AD369" i="4"/>
  <c r="AE369" i="4"/>
  <c r="AF369" i="4"/>
  <c r="AG369" i="4"/>
  <c r="AH369" i="4"/>
  <c r="AI369" i="4"/>
  <c r="AJ369" i="4"/>
  <c r="AT369" i="4"/>
  <c r="AU369" i="4"/>
  <c r="AV369" i="4"/>
  <c r="BB369" i="4"/>
  <c r="BC369" i="4"/>
  <c r="BD369" i="4"/>
  <c r="BE369" i="4"/>
  <c r="BF369" i="4"/>
  <c r="BG369" i="4"/>
  <c r="BH369" i="4"/>
  <c r="BI369" i="4"/>
  <c r="BJ369" i="4"/>
  <c r="BL369" i="4"/>
  <c r="BM369" i="4"/>
  <c r="BN369" i="4"/>
  <c r="BO369" i="4"/>
  <c r="BT369" i="4"/>
  <c r="BU369" i="4"/>
  <c r="BV369" i="4"/>
  <c r="BW369" i="4"/>
  <c r="BX369" i="4"/>
  <c r="BY369" i="4"/>
  <c r="BZ369" i="4"/>
  <c r="CA369" i="4"/>
  <c r="CB369" i="4"/>
  <c r="CC369" i="4"/>
  <c r="CD369" i="4"/>
  <c r="CE369" i="4"/>
  <c r="CG369" i="4"/>
  <c r="CJ369" i="4"/>
  <c r="CK369" i="4"/>
  <c r="CL369" i="4"/>
  <c r="CN369" i="4"/>
  <c r="CP369" i="4"/>
  <c r="CQ369" i="4"/>
  <c r="C370" i="4"/>
  <c r="D370" i="4"/>
  <c r="E370" i="4"/>
  <c r="F370" i="4"/>
  <c r="N370" i="4"/>
  <c r="O370" i="4"/>
  <c r="P370" i="4"/>
  <c r="Q370" i="4"/>
  <c r="R370" i="4"/>
  <c r="S370" i="4"/>
  <c r="T370" i="4"/>
  <c r="U370" i="4"/>
  <c r="V370" i="4"/>
  <c r="W370" i="4"/>
  <c r="X370" i="4"/>
  <c r="AB370" i="4"/>
  <c r="AC370" i="4"/>
  <c r="AD370" i="4"/>
  <c r="AE370" i="4"/>
  <c r="AF370" i="4"/>
  <c r="AG370" i="4"/>
  <c r="AH370" i="4"/>
  <c r="AI370" i="4"/>
  <c r="AJ370" i="4"/>
  <c r="AT370" i="4"/>
  <c r="AU370" i="4"/>
  <c r="AV370" i="4"/>
  <c r="BB370" i="4"/>
  <c r="BC370" i="4"/>
  <c r="BD370" i="4"/>
  <c r="BE370" i="4"/>
  <c r="BF370" i="4"/>
  <c r="BG370" i="4"/>
  <c r="BH370" i="4"/>
  <c r="BI370" i="4"/>
  <c r="BJ370" i="4"/>
  <c r="BL370" i="4"/>
  <c r="BM370" i="4"/>
  <c r="BN370" i="4"/>
  <c r="BO370" i="4"/>
  <c r="BT370" i="4"/>
  <c r="BU370" i="4"/>
  <c r="BV370" i="4"/>
  <c r="BW370" i="4"/>
  <c r="BX370" i="4"/>
  <c r="BY370" i="4"/>
  <c r="BZ370" i="4"/>
  <c r="CA370" i="4"/>
  <c r="CB370" i="4"/>
  <c r="CC370" i="4"/>
  <c r="CD370" i="4"/>
  <c r="CE370" i="4"/>
  <c r="CG370" i="4"/>
  <c r="CJ370" i="4"/>
  <c r="CK370" i="4"/>
  <c r="CL370" i="4"/>
  <c r="CN370" i="4"/>
  <c r="CP370" i="4"/>
  <c r="CQ370" i="4"/>
  <c r="C371" i="4"/>
  <c r="D371" i="4"/>
  <c r="E371" i="4"/>
  <c r="F371" i="4"/>
  <c r="N371" i="4"/>
  <c r="O371" i="4"/>
  <c r="P371" i="4"/>
  <c r="Q371" i="4"/>
  <c r="R371" i="4"/>
  <c r="S371" i="4"/>
  <c r="T371" i="4"/>
  <c r="U371" i="4"/>
  <c r="V371" i="4"/>
  <c r="W371" i="4"/>
  <c r="X371" i="4"/>
  <c r="AB371" i="4"/>
  <c r="AC371" i="4"/>
  <c r="AD371" i="4"/>
  <c r="AE371" i="4"/>
  <c r="AF371" i="4"/>
  <c r="AG371" i="4"/>
  <c r="AH371" i="4"/>
  <c r="AI371" i="4"/>
  <c r="AJ371" i="4"/>
  <c r="AT371" i="4"/>
  <c r="AU371" i="4"/>
  <c r="AV371" i="4"/>
  <c r="BB371" i="4"/>
  <c r="BC371" i="4"/>
  <c r="BD371" i="4"/>
  <c r="BE371" i="4"/>
  <c r="BF371" i="4"/>
  <c r="BG371" i="4"/>
  <c r="BH371" i="4"/>
  <c r="BI371" i="4"/>
  <c r="BJ371" i="4"/>
  <c r="BL371" i="4"/>
  <c r="BM371" i="4"/>
  <c r="BN371" i="4"/>
  <c r="BO371" i="4"/>
  <c r="BT371" i="4"/>
  <c r="BU371" i="4"/>
  <c r="BV371" i="4"/>
  <c r="BW371" i="4"/>
  <c r="BX371" i="4"/>
  <c r="BY371" i="4"/>
  <c r="BZ371" i="4"/>
  <c r="CA371" i="4"/>
  <c r="CB371" i="4"/>
  <c r="CC371" i="4"/>
  <c r="CD371" i="4"/>
  <c r="CE371" i="4"/>
  <c r="CG371" i="4"/>
  <c r="CJ371" i="4"/>
  <c r="CK371" i="4"/>
  <c r="CL371" i="4"/>
  <c r="CN371" i="4"/>
  <c r="CP371" i="4"/>
  <c r="CQ371" i="4"/>
  <c r="C372" i="4"/>
  <c r="D372" i="4"/>
  <c r="E372" i="4"/>
  <c r="F372" i="4"/>
  <c r="N372" i="4"/>
  <c r="O372" i="4"/>
  <c r="P372" i="4"/>
  <c r="Q372" i="4"/>
  <c r="R372" i="4"/>
  <c r="S372" i="4"/>
  <c r="T372" i="4"/>
  <c r="U372" i="4"/>
  <c r="V372" i="4"/>
  <c r="W372" i="4"/>
  <c r="X372" i="4"/>
  <c r="AB372" i="4"/>
  <c r="AC372" i="4"/>
  <c r="AD372" i="4"/>
  <c r="AE372" i="4"/>
  <c r="AF372" i="4"/>
  <c r="AG372" i="4"/>
  <c r="AH372" i="4"/>
  <c r="AI372" i="4"/>
  <c r="AJ372" i="4"/>
  <c r="AT372" i="4"/>
  <c r="AU372" i="4"/>
  <c r="AV372" i="4"/>
  <c r="BB372" i="4"/>
  <c r="BC372" i="4"/>
  <c r="BD372" i="4"/>
  <c r="BE372" i="4"/>
  <c r="BF372" i="4"/>
  <c r="BG372" i="4"/>
  <c r="BH372" i="4"/>
  <c r="BI372" i="4"/>
  <c r="BJ372" i="4"/>
  <c r="BL372" i="4"/>
  <c r="BM372" i="4"/>
  <c r="BN372" i="4"/>
  <c r="BO372" i="4"/>
  <c r="BT372" i="4"/>
  <c r="BU372" i="4"/>
  <c r="BV372" i="4"/>
  <c r="BW372" i="4"/>
  <c r="BX372" i="4"/>
  <c r="BY372" i="4"/>
  <c r="BZ372" i="4"/>
  <c r="CA372" i="4"/>
  <c r="CB372" i="4"/>
  <c r="CC372" i="4"/>
  <c r="CD372" i="4"/>
  <c r="CE372" i="4"/>
  <c r="CG372" i="4"/>
  <c r="CJ372" i="4"/>
  <c r="CK372" i="4"/>
  <c r="CL372" i="4"/>
  <c r="CN372" i="4"/>
  <c r="CP372" i="4"/>
  <c r="CQ372" i="4"/>
  <c r="C373" i="4"/>
  <c r="D373" i="4"/>
  <c r="E373" i="4"/>
  <c r="F373" i="4"/>
  <c r="N373" i="4"/>
  <c r="O373" i="4"/>
  <c r="P373" i="4"/>
  <c r="Q373" i="4"/>
  <c r="R373" i="4"/>
  <c r="S373" i="4"/>
  <c r="T373" i="4"/>
  <c r="U373" i="4"/>
  <c r="V373" i="4"/>
  <c r="W373" i="4"/>
  <c r="X373" i="4"/>
  <c r="AB373" i="4"/>
  <c r="AC373" i="4"/>
  <c r="AD373" i="4"/>
  <c r="AE373" i="4"/>
  <c r="AF373" i="4"/>
  <c r="AG373" i="4"/>
  <c r="AH373" i="4"/>
  <c r="AI373" i="4"/>
  <c r="AJ373" i="4"/>
  <c r="AT373" i="4"/>
  <c r="AU373" i="4"/>
  <c r="AV373" i="4"/>
  <c r="BB373" i="4"/>
  <c r="BC373" i="4"/>
  <c r="BD373" i="4"/>
  <c r="BE373" i="4"/>
  <c r="BF373" i="4"/>
  <c r="BG373" i="4"/>
  <c r="BH373" i="4"/>
  <c r="BI373" i="4"/>
  <c r="BJ373" i="4"/>
  <c r="BL373" i="4"/>
  <c r="BM373" i="4"/>
  <c r="BN373" i="4"/>
  <c r="BO373" i="4"/>
  <c r="BT373" i="4"/>
  <c r="BU373" i="4"/>
  <c r="BV373" i="4"/>
  <c r="BW373" i="4"/>
  <c r="BX373" i="4"/>
  <c r="BY373" i="4"/>
  <c r="BZ373" i="4"/>
  <c r="CA373" i="4"/>
  <c r="CB373" i="4"/>
  <c r="CC373" i="4"/>
  <c r="CD373" i="4"/>
  <c r="CE373" i="4"/>
  <c r="CG373" i="4"/>
  <c r="CJ373" i="4"/>
  <c r="CK373" i="4"/>
  <c r="CL373" i="4"/>
  <c r="CN373" i="4"/>
  <c r="CP373" i="4"/>
  <c r="CQ373" i="4"/>
  <c r="C374" i="4"/>
  <c r="D374" i="4"/>
  <c r="E374" i="4"/>
  <c r="F374" i="4"/>
  <c r="N374" i="4"/>
  <c r="O374" i="4"/>
  <c r="P374" i="4"/>
  <c r="Q374" i="4"/>
  <c r="R374" i="4"/>
  <c r="S374" i="4"/>
  <c r="T374" i="4"/>
  <c r="U374" i="4"/>
  <c r="V374" i="4"/>
  <c r="W374" i="4"/>
  <c r="X374" i="4"/>
  <c r="AB374" i="4"/>
  <c r="AC374" i="4"/>
  <c r="AD374" i="4"/>
  <c r="AE374" i="4"/>
  <c r="AF374" i="4"/>
  <c r="AG374" i="4"/>
  <c r="AH374" i="4"/>
  <c r="AI374" i="4"/>
  <c r="AJ374" i="4"/>
  <c r="AT374" i="4"/>
  <c r="AU374" i="4"/>
  <c r="AV374" i="4"/>
  <c r="BB374" i="4"/>
  <c r="BC374" i="4"/>
  <c r="BD374" i="4"/>
  <c r="BE374" i="4"/>
  <c r="BF374" i="4"/>
  <c r="BG374" i="4"/>
  <c r="BH374" i="4"/>
  <c r="BI374" i="4"/>
  <c r="BJ374" i="4"/>
  <c r="BL374" i="4"/>
  <c r="BM374" i="4"/>
  <c r="BN374" i="4"/>
  <c r="BO374" i="4"/>
  <c r="BT374" i="4"/>
  <c r="BU374" i="4"/>
  <c r="BV374" i="4"/>
  <c r="BW374" i="4"/>
  <c r="BX374" i="4"/>
  <c r="BY374" i="4"/>
  <c r="BZ374" i="4"/>
  <c r="CA374" i="4"/>
  <c r="CB374" i="4"/>
  <c r="CC374" i="4"/>
  <c r="CD374" i="4"/>
  <c r="CE374" i="4"/>
  <c r="CG374" i="4"/>
  <c r="CJ374" i="4"/>
  <c r="CK374" i="4"/>
  <c r="CL374" i="4"/>
  <c r="CN374" i="4"/>
  <c r="CP374" i="4"/>
  <c r="CQ374" i="4"/>
  <c r="C375" i="4"/>
  <c r="D375" i="4"/>
  <c r="E375" i="4"/>
  <c r="F375" i="4"/>
  <c r="N375" i="4"/>
  <c r="O375" i="4"/>
  <c r="P375" i="4"/>
  <c r="Q375" i="4"/>
  <c r="R375" i="4"/>
  <c r="S375" i="4"/>
  <c r="T375" i="4"/>
  <c r="U375" i="4"/>
  <c r="V375" i="4"/>
  <c r="W375" i="4"/>
  <c r="X375" i="4"/>
  <c r="AB375" i="4"/>
  <c r="AC375" i="4"/>
  <c r="AD375" i="4"/>
  <c r="AE375" i="4"/>
  <c r="AF375" i="4"/>
  <c r="AG375" i="4"/>
  <c r="AH375" i="4"/>
  <c r="AI375" i="4"/>
  <c r="AJ375" i="4"/>
  <c r="AT375" i="4"/>
  <c r="AU375" i="4"/>
  <c r="AV375" i="4"/>
  <c r="BB375" i="4"/>
  <c r="BC375" i="4"/>
  <c r="BD375" i="4"/>
  <c r="BE375" i="4"/>
  <c r="BF375" i="4"/>
  <c r="BG375" i="4"/>
  <c r="BH375" i="4"/>
  <c r="BI375" i="4"/>
  <c r="BJ375" i="4"/>
  <c r="BL375" i="4"/>
  <c r="BM375" i="4"/>
  <c r="BN375" i="4"/>
  <c r="BO375" i="4"/>
  <c r="BT375" i="4"/>
  <c r="BU375" i="4"/>
  <c r="BV375" i="4"/>
  <c r="BW375" i="4"/>
  <c r="BX375" i="4"/>
  <c r="BY375" i="4"/>
  <c r="BZ375" i="4"/>
  <c r="CA375" i="4"/>
  <c r="CB375" i="4"/>
  <c r="CC375" i="4"/>
  <c r="CD375" i="4"/>
  <c r="CE375" i="4"/>
  <c r="CG375" i="4"/>
  <c r="CJ375" i="4"/>
  <c r="CK375" i="4"/>
  <c r="CL375" i="4"/>
  <c r="CN375" i="4"/>
  <c r="CP375" i="4"/>
  <c r="CQ375" i="4"/>
  <c r="C376" i="4"/>
  <c r="D376" i="4"/>
  <c r="E376" i="4"/>
  <c r="F376" i="4"/>
  <c r="N376" i="4"/>
  <c r="O376" i="4"/>
  <c r="P376" i="4"/>
  <c r="Q376" i="4"/>
  <c r="R376" i="4"/>
  <c r="S376" i="4"/>
  <c r="T376" i="4"/>
  <c r="U376" i="4"/>
  <c r="V376" i="4"/>
  <c r="W376" i="4"/>
  <c r="X376" i="4"/>
  <c r="AB376" i="4"/>
  <c r="AC376" i="4"/>
  <c r="AD376" i="4"/>
  <c r="AE376" i="4"/>
  <c r="AF376" i="4"/>
  <c r="AG376" i="4"/>
  <c r="AH376" i="4"/>
  <c r="AI376" i="4"/>
  <c r="AJ376" i="4"/>
  <c r="AT376" i="4"/>
  <c r="AU376" i="4"/>
  <c r="AV376" i="4"/>
  <c r="BB376" i="4"/>
  <c r="BC376" i="4"/>
  <c r="BD376" i="4"/>
  <c r="BE376" i="4"/>
  <c r="BF376" i="4"/>
  <c r="BG376" i="4"/>
  <c r="BH376" i="4"/>
  <c r="BI376" i="4"/>
  <c r="BJ376" i="4"/>
  <c r="BL376" i="4"/>
  <c r="BM376" i="4"/>
  <c r="BN376" i="4"/>
  <c r="BO376" i="4"/>
  <c r="BT376" i="4"/>
  <c r="BU376" i="4"/>
  <c r="BV376" i="4"/>
  <c r="BW376" i="4"/>
  <c r="BX376" i="4"/>
  <c r="BY376" i="4"/>
  <c r="BZ376" i="4"/>
  <c r="CA376" i="4"/>
  <c r="CB376" i="4"/>
  <c r="CC376" i="4"/>
  <c r="CD376" i="4"/>
  <c r="CE376" i="4"/>
  <c r="CG376" i="4"/>
  <c r="CJ376" i="4"/>
  <c r="CK376" i="4"/>
  <c r="CL376" i="4"/>
  <c r="CN376" i="4"/>
  <c r="CP376" i="4"/>
  <c r="CQ376" i="4"/>
  <c r="C377" i="4"/>
  <c r="D377" i="4"/>
  <c r="E377" i="4"/>
  <c r="F377" i="4"/>
  <c r="N377" i="4"/>
  <c r="O377" i="4"/>
  <c r="P377" i="4"/>
  <c r="Q377" i="4"/>
  <c r="R377" i="4"/>
  <c r="S377" i="4"/>
  <c r="T377" i="4"/>
  <c r="U377" i="4"/>
  <c r="V377" i="4"/>
  <c r="W377" i="4"/>
  <c r="X377" i="4"/>
  <c r="AB377" i="4"/>
  <c r="AC377" i="4"/>
  <c r="AD377" i="4"/>
  <c r="AE377" i="4"/>
  <c r="AF377" i="4"/>
  <c r="AG377" i="4"/>
  <c r="AH377" i="4"/>
  <c r="AI377" i="4"/>
  <c r="AJ377" i="4"/>
  <c r="AT377" i="4"/>
  <c r="AU377" i="4"/>
  <c r="AV377" i="4"/>
  <c r="BB377" i="4"/>
  <c r="BC377" i="4"/>
  <c r="BD377" i="4"/>
  <c r="BE377" i="4"/>
  <c r="BF377" i="4"/>
  <c r="BG377" i="4"/>
  <c r="BH377" i="4"/>
  <c r="BI377" i="4"/>
  <c r="BJ377" i="4"/>
  <c r="BL377" i="4"/>
  <c r="BM377" i="4"/>
  <c r="BN377" i="4"/>
  <c r="BO377" i="4"/>
  <c r="BT377" i="4"/>
  <c r="BU377" i="4"/>
  <c r="BV377" i="4"/>
  <c r="BW377" i="4"/>
  <c r="BX377" i="4"/>
  <c r="BY377" i="4"/>
  <c r="BZ377" i="4"/>
  <c r="CA377" i="4"/>
  <c r="CB377" i="4"/>
  <c r="CC377" i="4"/>
  <c r="CD377" i="4"/>
  <c r="CE377" i="4"/>
  <c r="CG377" i="4"/>
  <c r="CJ377" i="4"/>
  <c r="CK377" i="4"/>
  <c r="CL377" i="4"/>
  <c r="CN377" i="4"/>
  <c r="CP377" i="4"/>
  <c r="CQ377" i="4"/>
  <c r="C378" i="4"/>
  <c r="D378" i="4"/>
  <c r="E378" i="4"/>
  <c r="F378" i="4"/>
  <c r="N378" i="4"/>
  <c r="O378" i="4"/>
  <c r="P378" i="4"/>
  <c r="Q378" i="4"/>
  <c r="R378" i="4"/>
  <c r="S378" i="4"/>
  <c r="T378" i="4"/>
  <c r="U378" i="4"/>
  <c r="V378" i="4"/>
  <c r="W378" i="4"/>
  <c r="X378" i="4"/>
  <c r="AB378" i="4"/>
  <c r="AC378" i="4"/>
  <c r="AD378" i="4"/>
  <c r="AE378" i="4"/>
  <c r="AF378" i="4"/>
  <c r="AG378" i="4"/>
  <c r="AH378" i="4"/>
  <c r="AI378" i="4"/>
  <c r="AJ378" i="4"/>
  <c r="AT378" i="4"/>
  <c r="AU378" i="4"/>
  <c r="AV378" i="4"/>
  <c r="BB378" i="4"/>
  <c r="BC378" i="4"/>
  <c r="BD378" i="4"/>
  <c r="BE378" i="4"/>
  <c r="BF378" i="4"/>
  <c r="BG378" i="4"/>
  <c r="BH378" i="4"/>
  <c r="BI378" i="4"/>
  <c r="BJ378" i="4"/>
  <c r="BL378" i="4"/>
  <c r="BM378" i="4"/>
  <c r="BN378" i="4"/>
  <c r="BO378" i="4"/>
  <c r="BT378" i="4"/>
  <c r="BU378" i="4"/>
  <c r="BV378" i="4"/>
  <c r="BW378" i="4"/>
  <c r="BX378" i="4"/>
  <c r="BY378" i="4"/>
  <c r="BZ378" i="4"/>
  <c r="CA378" i="4"/>
  <c r="CB378" i="4"/>
  <c r="CC378" i="4"/>
  <c r="CD378" i="4"/>
  <c r="CE378" i="4"/>
  <c r="CG378" i="4"/>
  <c r="CJ378" i="4"/>
  <c r="CK378" i="4"/>
  <c r="CL378" i="4"/>
  <c r="CN378" i="4"/>
  <c r="CP378" i="4"/>
  <c r="CQ378" i="4"/>
  <c r="C379" i="4"/>
  <c r="D379" i="4"/>
  <c r="E379" i="4"/>
  <c r="F379" i="4"/>
  <c r="N379" i="4"/>
  <c r="O379" i="4"/>
  <c r="P379" i="4"/>
  <c r="Q379" i="4"/>
  <c r="R379" i="4"/>
  <c r="S379" i="4"/>
  <c r="T379" i="4"/>
  <c r="U379" i="4"/>
  <c r="V379" i="4"/>
  <c r="W379" i="4"/>
  <c r="X379" i="4"/>
  <c r="AB379" i="4"/>
  <c r="AC379" i="4"/>
  <c r="AD379" i="4"/>
  <c r="AE379" i="4"/>
  <c r="AF379" i="4"/>
  <c r="AG379" i="4"/>
  <c r="AH379" i="4"/>
  <c r="AI379" i="4"/>
  <c r="AJ379" i="4"/>
  <c r="AT379" i="4"/>
  <c r="AU379" i="4"/>
  <c r="AV379" i="4"/>
  <c r="BB379" i="4"/>
  <c r="BC379" i="4"/>
  <c r="BD379" i="4"/>
  <c r="BE379" i="4"/>
  <c r="BF379" i="4"/>
  <c r="BG379" i="4"/>
  <c r="BH379" i="4"/>
  <c r="BI379" i="4"/>
  <c r="BJ379" i="4"/>
  <c r="BL379" i="4"/>
  <c r="BM379" i="4"/>
  <c r="BN379" i="4"/>
  <c r="BO379" i="4"/>
  <c r="BT379" i="4"/>
  <c r="BU379" i="4"/>
  <c r="BV379" i="4"/>
  <c r="BW379" i="4"/>
  <c r="BX379" i="4"/>
  <c r="BY379" i="4"/>
  <c r="BZ379" i="4"/>
  <c r="CA379" i="4"/>
  <c r="CB379" i="4"/>
  <c r="CC379" i="4"/>
  <c r="CD379" i="4"/>
  <c r="CE379" i="4"/>
  <c r="CG379" i="4"/>
  <c r="CJ379" i="4"/>
  <c r="CK379" i="4"/>
  <c r="CL379" i="4"/>
  <c r="CN379" i="4"/>
  <c r="CP379" i="4"/>
  <c r="CQ379" i="4"/>
  <c r="C380" i="4"/>
  <c r="D380" i="4"/>
  <c r="E380" i="4"/>
  <c r="F380" i="4"/>
  <c r="N380" i="4"/>
  <c r="O380" i="4"/>
  <c r="P380" i="4"/>
  <c r="Q380" i="4"/>
  <c r="R380" i="4"/>
  <c r="S380" i="4"/>
  <c r="T380" i="4"/>
  <c r="U380" i="4"/>
  <c r="V380" i="4"/>
  <c r="W380" i="4"/>
  <c r="X380" i="4"/>
  <c r="AB380" i="4"/>
  <c r="AC380" i="4"/>
  <c r="AD380" i="4"/>
  <c r="AE380" i="4"/>
  <c r="AF380" i="4"/>
  <c r="AG380" i="4"/>
  <c r="AH380" i="4"/>
  <c r="AI380" i="4"/>
  <c r="AJ380" i="4"/>
  <c r="AT380" i="4"/>
  <c r="AU380" i="4"/>
  <c r="AV380" i="4"/>
  <c r="BB380" i="4"/>
  <c r="BC380" i="4"/>
  <c r="BD380" i="4"/>
  <c r="BE380" i="4"/>
  <c r="BF380" i="4"/>
  <c r="BG380" i="4"/>
  <c r="BH380" i="4"/>
  <c r="BI380" i="4"/>
  <c r="BJ380" i="4"/>
  <c r="BL380" i="4"/>
  <c r="BM380" i="4"/>
  <c r="BN380" i="4"/>
  <c r="BO380" i="4"/>
  <c r="BT380" i="4"/>
  <c r="BU380" i="4"/>
  <c r="BV380" i="4"/>
  <c r="BW380" i="4"/>
  <c r="BX380" i="4"/>
  <c r="BY380" i="4"/>
  <c r="BZ380" i="4"/>
  <c r="CA380" i="4"/>
  <c r="CB380" i="4"/>
  <c r="CC380" i="4"/>
  <c r="CD380" i="4"/>
  <c r="CE380" i="4"/>
  <c r="CG380" i="4"/>
  <c r="CJ380" i="4"/>
  <c r="CK380" i="4"/>
  <c r="CL380" i="4"/>
  <c r="CN380" i="4"/>
  <c r="CP380" i="4"/>
  <c r="CQ380" i="4"/>
  <c r="C381" i="4"/>
  <c r="D381" i="4"/>
  <c r="E381" i="4"/>
  <c r="F381" i="4"/>
  <c r="N381" i="4"/>
  <c r="O381" i="4"/>
  <c r="P381" i="4"/>
  <c r="Q381" i="4"/>
  <c r="R381" i="4"/>
  <c r="S381" i="4"/>
  <c r="T381" i="4"/>
  <c r="U381" i="4"/>
  <c r="V381" i="4"/>
  <c r="W381" i="4"/>
  <c r="X381" i="4"/>
  <c r="AB381" i="4"/>
  <c r="AC381" i="4"/>
  <c r="AD381" i="4"/>
  <c r="AE381" i="4"/>
  <c r="AF381" i="4"/>
  <c r="AG381" i="4"/>
  <c r="AH381" i="4"/>
  <c r="AI381" i="4"/>
  <c r="AJ381" i="4"/>
  <c r="AT381" i="4"/>
  <c r="AU381" i="4"/>
  <c r="AV381" i="4"/>
  <c r="BB381" i="4"/>
  <c r="BC381" i="4"/>
  <c r="BD381" i="4"/>
  <c r="BE381" i="4"/>
  <c r="BF381" i="4"/>
  <c r="BG381" i="4"/>
  <c r="BH381" i="4"/>
  <c r="BI381" i="4"/>
  <c r="BJ381" i="4"/>
  <c r="BL381" i="4"/>
  <c r="BM381" i="4"/>
  <c r="BN381" i="4"/>
  <c r="BO381" i="4"/>
  <c r="BT381" i="4"/>
  <c r="BU381" i="4"/>
  <c r="BV381" i="4"/>
  <c r="BW381" i="4"/>
  <c r="BX381" i="4"/>
  <c r="BY381" i="4"/>
  <c r="BZ381" i="4"/>
  <c r="CA381" i="4"/>
  <c r="CB381" i="4"/>
  <c r="CC381" i="4"/>
  <c r="CD381" i="4"/>
  <c r="CE381" i="4"/>
  <c r="CG381" i="4"/>
  <c r="CJ381" i="4"/>
  <c r="CK381" i="4"/>
  <c r="CL381" i="4"/>
  <c r="CN381" i="4"/>
  <c r="CP381" i="4"/>
  <c r="CQ381" i="4"/>
  <c r="C382" i="4"/>
  <c r="D382" i="4"/>
  <c r="E382" i="4"/>
  <c r="F382" i="4"/>
  <c r="N382" i="4"/>
  <c r="O382" i="4"/>
  <c r="P382" i="4"/>
  <c r="Q382" i="4"/>
  <c r="R382" i="4"/>
  <c r="S382" i="4"/>
  <c r="T382" i="4"/>
  <c r="U382" i="4"/>
  <c r="V382" i="4"/>
  <c r="W382" i="4"/>
  <c r="X382" i="4"/>
  <c r="AB382" i="4"/>
  <c r="AC382" i="4"/>
  <c r="AD382" i="4"/>
  <c r="AE382" i="4"/>
  <c r="AF382" i="4"/>
  <c r="AG382" i="4"/>
  <c r="AH382" i="4"/>
  <c r="AI382" i="4"/>
  <c r="AJ382" i="4"/>
  <c r="AT382" i="4"/>
  <c r="AU382" i="4"/>
  <c r="AV382" i="4"/>
  <c r="BB382" i="4"/>
  <c r="BC382" i="4"/>
  <c r="BD382" i="4"/>
  <c r="BE382" i="4"/>
  <c r="BF382" i="4"/>
  <c r="BG382" i="4"/>
  <c r="BH382" i="4"/>
  <c r="BI382" i="4"/>
  <c r="BJ382" i="4"/>
  <c r="BL382" i="4"/>
  <c r="BM382" i="4"/>
  <c r="BN382" i="4"/>
  <c r="BO382" i="4"/>
  <c r="BT382" i="4"/>
  <c r="BU382" i="4"/>
  <c r="BV382" i="4"/>
  <c r="BW382" i="4"/>
  <c r="BX382" i="4"/>
  <c r="BY382" i="4"/>
  <c r="BZ382" i="4"/>
  <c r="CA382" i="4"/>
  <c r="CB382" i="4"/>
  <c r="CC382" i="4"/>
  <c r="CD382" i="4"/>
  <c r="CE382" i="4"/>
  <c r="CG382" i="4"/>
  <c r="CJ382" i="4"/>
  <c r="CK382" i="4"/>
  <c r="CL382" i="4"/>
  <c r="CN382" i="4"/>
  <c r="CP382" i="4"/>
  <c r="CQ382" i="4"/>
  <c r="C383" i="4"/>
  <c r="D383" i="4"/>
  <c r="E383" i="4"/>
  <c r="F383" i="4"/>
  <c r="N383" i="4"/>
  <c r="O383" i="4"/>
  <c r="P383" i="4"/>
  <c r="Q383" i="4"/>
  <c r="R383" i="4"/>
  <c r="S383" i="4"/>
  <c r="T383" i="4"/>
  <c r="U383" i="4"/>
  <c r="V383" i="4"/>
  <c r="W383" i="4"/>
  <c r="X383" i="4"/>
  <c r="AB383" i="4"/>
  <c r="AC383" i="4"/>
  <c r="AD383" i="4"/>
  <c r="AE383" i="4"/>
  <c r="AF383" i="4"/>
  <c r="AG383" i="4"/>
  <c r="AH383" i="4"/>
  <c r="AI383" i="4"/>
  <c r="AJ383" i="4"/>
  <c r="AT383" i="4"/>
  <c r="AU383" i="4"/>
  <c r="AV383" i="4"/>
  <c r="BB383" i="4"/>
  <c r="BC383" i="4"/>
  <c r="BD383" i="4"/>
  <c r="BE383" i="4"/>
  <c r="BF383" i="4"/>
  <c r="BG383" i="4"/>
  <c r="BH383" i="4"/>
  <c r="BI383" i="4"/>
  <c r="BJ383" i="4"/>
  <c r="BL383" i="4"/>
  <c r="BM383" i="4"/>
  <c r="BN383" i="4"/>
  <c r="BO383" i="4"/>
  <c r="BT383" i="4"/>
  <c r="BU383" i="4"/>
  <c r="BV383" i="4"/>
  <c r="BW383" i="4"/>
  <c r="BX383" i="4"/>
  <c r="BY383" i="4"/>
  <c r="BZ383" i="4"/>
  <c r="CA383" i="4"/>
  <c r="CB383" i="4"/>
  <c r="CC383" i="4"/>
  <c r="CD383" i="4"/>
  <c r="CE383" i="4"/>
  <c r="CG383" i="4"/>
  <c r="CJ383" i="4"/>
  <c r="CK383" i="4"/>
  <c r="CL383" i="4"/>
  <c r="CN383" i="4"/>
  <c r="CP383" i="4"/>
  <c r="CQ383" i="4"/>
  <c r="C384" i="4"/>
  <c r="D384" i="4"/>
  <c r="E384" i="4"/>
  <c r="F384" i="4"/>
  <c r="N384" i="4"/>
  <c r="O384" i="4"/>
  <c r="P384" i="4"/>
  <c r="Q384" i="4"/>
  <c r="R384" i="4"/>
  <c r="S384" i="4"/>
  <c r="T384" i="4"/>
  <c r="U384" i="4"/>
  <c r="V384" i="4"/>
  <c r="W384" i="4"/>
  <c r="X384" i="4"/>
  <c r="AB384" i="4"/>
  <c r="AC384" i="4"/>
  <c r="AD384" i="4"/>
  <c r="AE384" i="4"/>
  <c r="AF384" i="4"/>
  <c r="AG384" i="4"/>
  <c r="AH384" i="4"/>
  <c r="AI384" i="4"/>
  <c r="AJ384" i="4"/>
  <c r="AT384" i="4"/>
  <c r="AU384" i="4"/>
  <c r="AV384" i="4"/>
  <c r="BB384" i="4"/>
  <c r="BC384" i="4"/>
  <c r="BD384" i="4"/>
  <c r="BE384" i="4"/>
  <c r="BF384" i="4"/>
  <c r="BG384" i="4"/>
  <c r="BH384" i="4"/>
  <c r="BI384" i="4"/>
  <c r="BJ384" i="4"/>
  <c r="BL384" i="4"/>
  <c r="BM384" i="4"/>
  <c r="BN384" i="4"/>
  <c r="BO384" i="4"/>
  <c r="BT384" i="4"/>
  <c r="BU384" i="4"/>
  <c r="BV384" i="4"/>
  <c r="BW384" i="4"/>
  <c r="BX384" i="4"/>
  <c r="BY384" i="4"/>
  <c r="BZ384" i="4"/>
  <c r="CA384" i="4"/>
  <c r="CB384" i="4"/>
  <c r="CC384" i="4"/>
  <c r="CD384" i="4"/>
  <c r="CE384" i="4"/>
  <c r="CG384" i="4"/>
  <c r="CJ384" i="4"/>
  <c r="CK384" i="4"/>
  <c r="CL384" i="4"/>
  <c r="CN384" i="4"/>
  <c r="CP384" i="4"/>
  <c r="CQ384" i="4"/>
  <c r="C385" i="4"/>
  <c r="D385" i="4"/>
  <c r="E385" i="4"/>
  <c r="F385" i="4"/>
  <c r="N385" i="4"/>
  <c r="O385" i="4"/>
  <c r="P385" i="4"/>
  <c r="Q385" i="4"/>
  <c r="R385" i="4"/>
  <c r="S385" i="4"/>
  <c r="T385" i="4"/>
  <c r="U385" i="4"/>
  <c r="V385" i="4"/>
  <c r="W385" i="4"/>
  <c r="X385" i="4"/>
  <c r="AB385" i="4"/>
  <c r="AC385" i="4"/>
  <c r="AD385" i="4"/>
  <c r="AE385" i="4"/>
  <c r="AF385" i="4"/>
  <c r="AG385" i="4"/>
  <c r="AH385" i="4"/>
  <c r="AI385" i="4"/>
  <c r="AJ385" i="4"/>
  <c r="AT385" i="4"/>
  <c r="AU385" i="4"/>
  <c r="AV385" i="4"/>
  <c r="BB385" i="4"/>
  <c r="BC385" i="4"/>
  <c r="BD385" i="4"/>
  <c r="BE385" i="4"/>
  <c r="BF385" i="4"/>
  <c r="BG385" i="4"/>
  <c r="BH385" i="4"/>
  <c r="BI385" i="4"/>
  <c r="BJ385" i="4"/>
  <c r="BL385" i="4"/>
  <c r="BM385" i="4"/>
  <c r="BN385" i="4"/>
  <c r="BO385" i="4"/>
  <c r="BT385" i="4"/>
  <c r="BU385" i="4"/>
  <c r="BV385" i="4"/>
  <c r="BW385" i="4"/>
  <c r="BX385" i="4"/>
  <c r="BY385" i="4"/>
  <c r="BZ385" i="4"/>
  <c r="CA385" i="4"/>
  <c r="CB385" i="4"/>
  <c r="CC385" i="4"/>
  <c r="CD385" i="4"/>
  <c r="CE385" i="4"/>
  <c r="CG385" i="4"/>
  <c r="CJ385" i="4"/>
  <c r="CK385" i="4"/>
  <c r="CL385" i="4"/>
  <c r="CN385" i="4"/>
  <c r="CP385" i="4"/>
  <c r="CQ385" i="4"/>
  <c r="C386" i="4"/>
  <c r="D386" i="4"/>
  <c r="E386" i="4"/>
  <c r="F386" i="4"/>
  <c r="N386" i="4"/>
  <c r="O386" i="4"/>
  <c r="P386" i="4"/>
  <c r="Q386" i="4"/>
  <c r="R386" i="4"/>
  <c r="S386" i="4"/>
  <c r="T386" i="4"/>
  <c r="U386" i="4"/>
  <c r="V386" i="4"/>
  <c r="W386" i="4"/>
  <c r="X386" i="4"/>
  <c r="AB386" i="4"/>
  <c r="AC386" i="4"/>
  <c r="AD386" i="4"/>
  <c r="AE386" i="4"/>
  <c r="AF386" i="4"/>
  <c r="AG386" i="4"/>
  <c r="AH386" i="4"/>
  <c r="AI386" i="4"/>
  <c r="AJ386" i="4"/>
  <c r="AT386" i="4"/>
  <c r="AU386" i="4"/>
  <c r="AV386" i="4"/>
  <c r="BB386" i="4"/>
  <c r="BC386" i="4"/>
  <c r="BD386" i="4"/>
  <c r="BE386" i="4"/>
  <c r="BF386" i="4"/>
  <c r="BG386" i="4"/>
  <c r="BH386" i="4"/>
  <c r="BI386" i="4"/>
  <c r="BJ386" i="4"/>
  <c r="BL386" i="4"/>
  <c r="BM386" i="4"/>
  <c r="BN386" i="4"/>
  <c r="BO386" i="4"/>
  <c r="BT386" i="4"/>
  <c r="BU386" i="4"/>
  <c r="BV386" i="4"/>
  <c r="BW386" i="4"/>
  <c r="BX386" i="4"/>
  <c r="BY386" i="4"/>
  <c r="BZ386" i="4"/>
  <c r="CA386" i="4"/>
  <c r="CB386" i="4"/>
  <c r="CC386" i="4"/>
  <c r="CD386" i="4"/>
  <c r="CE386" i="4"/>
  <c r="CG386" i="4"/>
  <c r="CJ386" i="4"/>
  <c r="CK386" i="4"/>
  <c r="CL386" i="4"/>
  <c r="CN386" i="4"/>
  <c r="CP386" i="4"/>
  <c r="CQ386" i="4"/>
  <c r="C387" i="4"/>
  <c r="D387" i="4"/>
  <c r="E387" i="4"/>
  <c r="F387" i="4"/>
  <c r="N387" i="4"/>
  <c r="O387" i="4"/>
  <c r="P387" i="4"/>
  <c r="Q387" i="4"/>
  <c r="R387" i="4"/>
  <c r="S387" i="4"/>
  <c r="T387" i="4"/>
  <c r="U387" i="4"/>
  <c r="V387" i="4"/>
  <c r="W387" i="4"/>
  <c r="X387" i="4"/>
  <c r="AB387" i="4"/>
  <c r="AC387" i="4"/>
  <c r="AD387" i="4"/>
  <c r="AE387" i="4"/>
  <c r="AF387" i="4"/>
  <c r="AG387" i="4"/>
  <c r="AH387" i="4"/>
  <c r="AI387" i="4"/>
  <c r="AJ387" i="4"/>
  <c r="AT387" i="4"/>
  <c r="AU387" i="4"/>
  <c r="AV387" i="4"/>
  <c r="BB387" i="4"/>
  <c r="BC387" i="4"/>
  <c r="BD387" i="4"/>
  <c r="BE387" i="4"/>
  <c r="BF387" i="4"/>
  <c r="BG387" i="4"/>
  <c r="BH387" i="4"/>
  <c r="BI387" i="4"/>
  <c r="BJ387" i="4"/>
  <c r="BL387" i="4"/>
  <c r="BM387" i="4"/>
  <c r="BN387" i="4"/>
  <c r="BO387" i="4"/>
  <c r="BT387" i="4"/>
  <c r="BU387" i="4"/>
  <c r="BV387" i="4"/>
  <c r="BW387" i="4"/>
  <c r="BX387" i="4"/>
  <c r="BY387" i="4"/>
  <c r="BZ387" i="4"/>
  <c r="CA387" i="4"/>
  <c r="CB387" i="4"/>
  <c r="CC387" i="4"/>
  <c r="CD387" i="4"/>
  <c r="CE387" i="4"/>
  <c r="CG387" i="4"/>
  <c r="CJ387" i="4"/>
  <c r="CK387" i="4"/>
  <c r="CL387" i="4"/>
  <c r="CN387" i="4"/>
  <c r="CP387" i="4"/>
  <c r="CQ387" i="4"/>
  <c r="C388" i="4"/>
  <c r="D388" i="4"/>
  <c r="E388" i="4"/>
  <c r="F388" i="4"/>
  <c r="N388" i="4"/>
  <c r="O388" i="4"/>
  <c r="P388" i="4"/>
  <c r="Q388" i="4"/>
  <c r="R388" i="4"/>
  <c r="S388" i="4"/>
  <c r="T388" i="4"/>
  <c r="U388" i="4"/>
  <c r="V388" i="4"/>
  <c r="W388" i="4"/>
  <c r="X388" i="4"/>
  <c r="AB388" i="4"/>
  <c r="AC388" i="4"/>
  <c r="AD388" i="4"/>
  <c r="AE388" i="4"/>
  <c r="AF388" i="4"/>
  <c r="AG388" i="4"/>
  <c r="AH388" i="4"/>
  <c r="AI388" i="4"/>
  <c r="AJ388" i="4"/>
  <c r="AT388" i="4"/>
  <c r="AU388" i="4"/>
  <c r="AV388" i="4"/>
  <c r="BB388" i="4"/>
  <c r="BC388" i="4"/>
  <c r="BD388" i="4"/>
  <c r="BE388" i="4"/>
  <c r="BF388" i="4"/>
  <c r="BG388" i="4"/>
  <c r="BH388" i="4"/>
  <c r="BI388" i="4"/>
  <c r="BJ388" i="4"/>
  <c r="BL388" i="4"/>
  <c r="BM388" i="4"/>
  <c r="BN388" i="4"/>
  <c r="BO388" i="4"/>
  <c r="BT388" i="4"/>
  <c r="BU388" i="4"/>
  <c r="BV388" i="4"/>
  <c r="BW388" i="4"/>
  <c r="BX388" i="4"/>
  <c r="BY388" i="4"/>
  <c r="BZ388" i="4"/>
  <c r="CA388" i="4"/>
  <c r="CB388" i="4"/>
  <c r="CC388" i="4"/>
  <c r="CD388" i="4"/>
  <c r="CE388" i="4"/>
  <c r="CG388" i="4"/>
  <c r="CJ388" i="4"/>
  <c r="CK388" i="4"/>
  <c r="CL388" i="4"/>
  <c r="CN388" i="4"/>
  <c r="CP388" i="4"/>
  <c r="CQ388" i="4"/>
  <c r="C389" i="4"/>
  <c r="D389" i="4"/>
  <c r="E389" i="4"/>
  <c r="F389" i="4"/>
  <c r="N389" i="4"/>
  <c r="O389" i="4"/>
  <c r="P389" i="4"/>
  <c r="Q389" i="4"/>
  <c r="R389" i="4"/>
  <c r="S389" i="4"/>
  <c r="T389" i="4"/>
  <c r="U389" i="4"/>
  <c r="V389" i="4"/>
  <c r="W389" i="4"/>
  <c r="X389" i="4"/>
  <c r="AB389" i="4"/>
  <c r="AC389" i="4"/>
  <c r="AD389" i="4"/>
  <c r="AE389" i="4"/>
  <c r="AF389" i="4"/>
  <c r="AG389" i="4"/>
  <c r="AH389" i="4"/>
  <c r="AI389" i="4"/>
  <c r="AJ389" i="4"/>
  <c r="AT389" i="4"/>
  <c r="AU389" i="4"/>
  <c r="AV389" i="4"/>
  <c r="BB389" i="4"/>
  <c r="BC389" i="4"/>
  <c r="BD389" i="4"/>
  <c r="BE389" i="4"/>
  <c r="BF389" i="4"/>
  <c r="BG389" i="4"/>
  <c r="BH389" i="4"/>
  <c r="BI389" i="4"/>
  <c r="BJ389" i="4"/>
  <c r="BL389" i="4"/>
  <c r="BM389" i="4"/>
  <c r="BN389" i="4"/>
  <c r="BO389" i="4"/>
  <c r="BT389" i="4"/>
  <c r="BU389" i="4"/>
  <c r="BV389" i="4"/>
  <c r="BW389" i="4"/>
  <c r="BX389" i="4"/>
  <c r="BY389" i="4"/>
  <c r="BZ389" i="4"/>
  <c r="CA389" i="4"/>
  <c r="CB389" i="4"/>
  <c r="CC389" i="4"/>
  <c r="CD389" i="4"/>
  <c r="CE389" i="4"/>
  <c r="CG389" i="4"/>
  <c r="CJ389" i="4"/>
  <c r="CK389" i="4"/>
  <c r="CL389" i="4"/>
  <c r="CN389" i="4"/>
  <c r="CP389" i="4"/>
  <c r="CQ389" i="4"/>
  <c r="C390" i="4"/>
  <c r="D390" i="4"/>
  <c r="E390" i="4"/>
  <c r="F390" i="4"/>
  <c r="N390" i="4"/>
  <c r="O390" i="4"/>
  <c r="P390" i="4"/>
  <c r="Q390" i="4"/>
  <c r="R390" i="4"/>
  <c r="S390" i="4"/>
  <c r="T390" i="4"/>
  <c r="U390" i="4"/>
  <c r="V390" i="4"/>
  <c r="W390" i="4"/>
  <c r="X390" i="4"/>
  <c r="AB390" i="4"/>
  <c r="AC390" i="4"/>
  <c r="AD390" i="4"/>
  <c r="AE390" i="4"/>
  <c r="AF390" i="4"/>
  <c r="AG390" i="4"/>
  <c r="AH390" i="4"/>
  <c r="AI390" i="4"/>
  <c r="AJ390" i="4"/>
  <c r="AT390" i="4"/>
  <c r="AU390" i="4"/>
  <c r="AV390" i="4"/>
  <c r="BB390" i="4"/>
  <c r="BC390" i="4"/>
  <c r="BD390" i="4"/>
  <c r="BE390" i="4"/>
  <c r="BF390" i="4"/>
  <c r="BG390" i="4"/>
  <c r="BH390" i="4"/>
  <c r="BI390" i="4"/>
  <c r="BJ390" i="4"/>
  <c r="BL390" i="4"/>
  <c r="BM390" i="4"/>
  <c r="BN390" i="4"/>
  <c r="BO390" i="4"/>
  <c r="BT390" i="4"/>
  <c r="BU390" i="4"/>
  <c r="BV390" i="4"/>
  <c r="BW390" i="4"/>
  <c r="BX390" i="4"/>
  <c r="BY390" i="4"/>
  <c r="BZ390" i="4"/>
  <c r="CA390" i="4"/>
  <c r="CB390" i="4"/>
  <c r="CC390" i="4"/>
  <c r="CD390" i="4"/>
  <c r="CE390" i="4"/>
  <c r="CG390" i="4"/>
  <c r="CJ390" i="4"/>
  <c r="CK390" i="4"/>
  <c r="CL390" i="4"/>
  <c r="CN390" i="4"/>
  <c r="CP390" i="4"/>
  <c r="CQ390" i="4"/>
  <c r="C391" i="4"/>
  <c r="D391" i="4"/>
  <c r="E391" i="4"/>
  <c r="F391" i="4"/>
  <c r="N391" i="4"/>
  <c r="O391" i="4"/>
  <c r="P391" i="4"/>
  <c r="Q391" i="4"/>
  <c r="R391" i="4"/>
  <c r="S391" i="4"/>
  <c r="T391" i="4"/>
  <c r="U391" i="4"/>
  <c r="V391" i="4"/>
  <c r="W391" i="4"/>
  <c r="X391" i="4"/>
  <c r="AB391" i="4"/>
  <c r="AC391" i="4"/>
  <c r="AD391" i="4"/>
  <c r="AE391" i="4"/>
  <c r="AF391" i="4"/>
  <c r="AG391" i="4"/>
  <c r="AH391" i="4"/>
  <c r="AI391" i="4"/>
  <c r="AJ391" i="4"/>
  <c r="AT391" i="4"/>
  <c r="AU391" i="4"/>
  <c r="AV391" i="4"/>
  <c r="BB391" i="4"/>
  <c r="BC391" i="4"/>
  <c r="BD391" i="4"/>
  <c r="BE391" i="4"/>
  <c r="BF391" i="4"/>
  <c r="BG391" i="4"/>
  <c r="BH391" i="4"/>
  <c r="BI391" i="4"/>
  <c r="BJ391" i="4"/>
  <c r="BL391" i="4"/>
  <c r="BM391" i="4"/>
  <c r="BN391" i="4"/>
  <c r="BO391" i="4"/>
  <c r="BT391" i="4"/>
  <c r="BU391" i="4"/>
  <c r="BV391" i="4"/>
  <c r="BW391" i="4"/>
  <c r="BX391" i="4"/>
  <c r="BY391" i="4"/>
  <c r="BZ391" i="4"/>
  <c r="CA391" i="4"/>
  <c r="CB391" i="4"/>
  <c r="CC391" i="4"/>
  <c r="CD391" i="4"/>
  <c r="CE391" i="4"/>
  <c r="CG391" i="4"/>
  <c r="CJ391" i="4"/>
  <c r="CK391" i="4"/>
  <c r="CL391" i="4"/>
  <c r="CN391" i="4"/>
  <c r="CP391" i="4"/>
  <c r="CQ391" i="4"/>
  <c r="C392" i="4"/>
  <c r="D392" i="4"/>
  <c r="E392" i="4"/>
  <c r="F392" i="4"/>
  <c r="N392" i="4"/>
  <c r="O392" i="4"/>
  <c r="P392" i="4"/>
  <c r="Q392" i="4"/>
  <c r="R392" i="4"/>
  <c r="S392" i="4"/>
  <c r="T392" i="4"/>
  <c r="U392" i="4"/>
  <c r="V392" i="4"/>
  <c r="W392" i="4"/>
  <c r="X392" i="4"/>
  <c r="AB392" i="4"/>
  <c r="AC392" i="4"/>
  <c r="AD392" i="4"/>
  <c r="AE392" i="4"/>
  <c r="AF392" i="4"/>
  <c r="AG392" i="4"/>
  <c r="AH392" i="4"/>
  <c r="AI392" i="4"/>
  <c r="AJ392" i="4"/>
  <c r="AT392" i="4"/>
  <c r="AU392" i="4"/>
  <c r="AV392" i="4"/>
  <c r="BB392" i="4"/>
  <c r="BC392" i="4"/>
  <c r="BD392" i="4"/>
  <c r="BE392" i="4"/>
  <c r="BF392" i="4"/>
  <c r="BG392" i="4"/>
  <c r="BH392" i="4"/>
  <c r="BI392" i="4"/>
  <c r="BJ392" i="4"/>
  <c r="BL392" i="4"/>
  <c r="BM392" i="4"/>
  <c r="BN392" i="4"/>
  <c r="BO392" i="4"/>
  <c r="BT392" i="4"/>
  <c r="BU392" i="4"/>
  <c r="BV392" i="4"/>
  <c r="BW392" i="4"/>
  <c r="BX392" i="4"/>
  <c r="BY392" i="4"/>
  <c r="BZ392" i="4"/>
  <c r="CA392" i="4"/>
  <c r="CB392" i="4"/>
  <c r="CC392" i="4"/>
  <c r="CD392" i="4"/>
  <c r="CE392" i="4"/>
  <c r="CG392" i="4"/>
  <c r="CJ392" i="4"/>
  <c r="CK392" i="4"/>
  <c r="CL392" i="4"/>
  <c r="CN392" i="4"/>
  <c r="CP392" i="4"/>
  <c r="CQ392" i="4"/>
  <c r="C393" i="4"/>
  <c r="D393" i="4"/>
  <c r="E393" i="4"/>
  <c r="F393" i="4"/>
  <c r="N393" i="4"/>
  <c r="O393" i="4"/>
  <c r="P393" i="4"/>
  <c r="Q393" i="4"/>
  <c r="R393" i="4"/>
  <c r="S393" i="4"/>
  <c r="T393" i="4"/>
  <c r="U393" i="4"/>
  <c r="V393" i="4"/>
  <c r="W393" i="4"/>
  <c r="X393" i="4"/>
  <c r="AB393" i="4"/>
  <c r="AC393" i="4"/>
  <c r="AD393" i="4"/>
  <c r="AE393" i="4"/>
  <c r="AF393" i="4"/>
  <c r="AG393" i="4"/>
  <c r="AH393" i="4"/>
  <c r="AI393" i="4"/>
  <c r="AJ393" i="4"/>
  <c r="AT393" i="4"/>
  <c r="AU393" i="4"/>
  <c r="AV393" i="4"/>
  <c r="BB393" i="4"/>
  <c r="BC393" i="4"/>
  <c r="BD393" i="4"/>
  <c r="BE393" i="4"/>
  <c r="BF393" i="4"/>
  <c r="BG393" i="4"/>
  <c r="BH393" i="4"/>
  <c r="BI393" i="4"/>
  <c r="BJ393" i="4"/>
  <c r="BL393" i="4"/>
  <c r="BM393" i="4"/>
  <c r="BN393" i="4"/>
  <c r="BO393" i="4"/>
  <c r="BT393" i="4"/>
  <c r="BU393" i="4"/>
  <c r="BV393" i="4"/>
  <c r="BW393" i="4"/>
  <c r="BX393" i="4"/>
  <c r="BY393" i="4"/>
  <c r="BZ393" i="4"/>
  <c r="CA393" i="4"/>
  <c r="CB393" i="4"/>
  <c r="CC393" i="4"/>
  <c r="CD393" i="4"/>
  <c r="CE393" i="4"/>
  <c r="CG393" i="4"/>
  <c r="CJ393" i="4"/>
  <c r="CK393" i="4"/>
  <c r="CL393" i="4"/>
  <c r="CN393" i="4"/>
  <c r="CP393" i="4"/>
  <c r="CQ393" i="4"/>
  <c r="C394" i="4"/>
  <c r="D394" i="4"/>
  <c r="E394" i="4"/>
  <c r="F394" i="4"/>
  <c r="N394" i="4"/>
  <c r="O394" i="4"/>
  <c r="P394" i="4"/>
  <c r="Q394" i="4"/>
  <c r="R394" i="4"/>
  <c r="S394" i="4"/>
  <c r="T394" i="4"/>
  <c r="U394" i="4"/>
  <c r="V394" i="4"/>
  <c r="W394" i="4"/>
  <c r="X394" i="4"/>
  <c r="AB394" i="4"/>
  <c r="AC394" i="4"/>
  <c r="AD394" i="4"/>
  <c r="AE394" i="4"/>
  <c r="AF394" i="4"/>
  <c r="AG394" i="4"/>
  <c r="AH394" i="4"/>
  <c r="AI394" i="4"/>
  <c r="AJ394" i="4"/>
  <c r="AT394" i="4"/>
  <c r="AU394" i="4"/>
  <c r="AV394" i="4"/>
  <c r="BB394" i="4"/>
  <c r="BC394" i="4"/>
  <c r="BD394" i="4"/>
  <c r="BE394" i="4"/>
  <c r="BF394" i="4"/>
  <c r="BG394" i="4"/>
  <c r="BH394" i="4"/>
  <c r="BI394" i="4"/>
  <c r="BJ394" i="4"/>
  <c r="BL394" i="4"/>
  <c r="BM394" i="4"/>
  <c r="BN394" i="4"/>
  <c r="BO394" i="4"/>
  <c r="BT394" i="4"/>
  <c r="BU394" i="4"/>
  <c r="BV394" i="4"/>
  <c r="BW394" i="4"/>
  <c r="BX394" i="4"/>
  <c r="BY394" i="4"/>
  <c r="BZ394" i="4"/>
  <c r="CA394" i="4"/>
  <c r="CB394" i="4"/>
  <c r="CC394" i="4"/>
  <c r="CD394" i="4"/>
  <c r="CE394" i="4"/>
  <c r="CG394" i="4"/>
  <c r="CJ394" i="4"/>
  <c r="CK394" i="4"/>
  <c r="CL394" i="4"/>
  <c r="CN394" i="4"/>
  <c r="CP394" i="4"/>
  <c r="CQ394" i="4"/>
  <c r="C395" i="4"/>
  <c r="D395" i="4"/>
  <c r="E395" i="4"/>
  <c r="F395" i="4"/>
  <c r="N395" i="4"/>
  <c r="O395" i="4"/>
  <c r="P395" i="4"/>
  <c r="Q395" i="4"/>
  <c r="R395" i="4"/>
  <c r="S395" i="4"/>
  <c r="T395" i="4"/>
  <c r="U395" i="4"/>
  <c r="V395" i="4"/>
  <c r="W395" i="4"/>
  <c r="X395" i="4"/>
  <c r="AB395" i="4"/>
  <c r="AC395" i="4"/>
  <c r="AD395" i="4"/>
  <c r="AE395" i="4"/>
  <c r="AF395" i="4"/>
  <c r="AG395" i="4"/>
  <c r="AH395" i="4"/>
  <c r="AI395" i="4"/>
  <c r="AJ395" i="4"/>
  <c r="AT395" i="4"/>
  <c r="AU395" i="4"/>
  <c r="AV395" i="4"/>
  <c r="BB395" i="4"/>
  <c r="BC395" i="4"/>
  <c r="BD395" i="4"/>
  <c r="BE395" i="4"/>
  <c r="BF395" i="4"/>
  <c r="BG395" i="4"/>
  <c r="BH395" i="4"/>
  <c r="BI395" i="4"/>
  <c r="BJ395" i="4"/>
  <c r="BL395" i="4"/>
  <c r="BM395" i="4"/>
  <c r="BN395" i="4"/>
  <c r="BO395" i="4"/>
  <c r="BT395" i="4"/>
  <c r="BU395" i="4"/>
  <c r="BV395" i="4"/>
  <c r="BW395" i="4"/>
  <c r="BX395" i="4"/>
  <c r="BY395" i="4"/>
  <c r="BZ395" i="4"/>
  <c r="CA395" i="4"/>
  <c r="CB395" i="4"/>
  <c r="CC395" i="4"/>
  <c r="CD395" i="4"/>
  <c r="CE395" i="4"/>
  <c r="CG395" i="4"/>
  <c r="CJ395" i="4"/>
  <c r="CK395" i="4"/>
  <c r="CL395" i="4"/>
  <c r="CN395" i="4"/>
  <c r="CP395" i="4"/>
  <c r="CQ395" i="4"/>
  <c r="C396" i="4"/>
  <c r="D396" i="4"/>
  <c r="E396" i="4"/>
  <c r="F396" i="4"/>
  <c r="N396" i="4"/>
  <c r="O396" i="4"/>
  <c r="P396" i="4"/>
  <c r="Q396" i="4"/>
  <c r="R396" i="4"/>
  <c r="S396" i="4"/>
  <c r="T396" i="4"/>
  <c r="U396" i="4"/>
  <c r="V396" i="4"/>
  <c r="W396" i="4"/>
  <c r="X396" i="4"/>
  <c r="AB396" i="4"/>
  <c r="AC396" i="4"/>
  <c r="AD396" i="4"/>
  <c r="AE396" i="4"/>
  <c r="AF396" i="4"/>
  <c r="AG396" i="4"/>
  <c r="AH396" i="4"/>
  <c r="AI396" i="4"/>
  <c r="AJ396" i="4"/>
  <c r="AT396" i="4"/>
  <c r="AU396" i="4"/>
  <c r="AV396" i="4"/>
  <c r="BB396" i="4"/>
  <c r="BC396" i="4"/>
  <c r="BD396" i="4"/>
  <c r="BE396" i="4"/>
  <c r="BF396" i="4"/>
  <c r="BG396" i="4"/>
  <c r="BH396" i="4"/>
  <c r="BI396" i="4"/>
  <c r="BJ396" i="4"/>
  <c r="BL396" i="4"/>
  <c r="BM396" i="4"/>
  <c r="BN396" i="4"/>
  <c r="BO396" i="4"/>
  <c r="BT396" i="4"/>
  <c r="BU396" i="4"/>
  <c r="BV396" i="4"/>
  <c r="BW396" i="4"/>
  <c r="BX396" i="4"/>
  <c r="BY396" i="4"/>
  <c r="BZ396" i="4"/>
  <c r="CA396" i="4"/>
  <c r="CB396" i="4"/>
  <c r="CC396" i="4"/>
  <c r="CD396" i="4"/>
  <c r="CE396" i="4"/>
  <c r="CG396" i="4"/>
  <c r="CJ396" i="4"/>
  <c r="CK396" i="4"/>
  <c r="CL396" i="4"/>
  <c r="CN396" i="4"/>
  <c r="CP396" i="4"/>
  <c r="CQ396" i="4"/>
  <c r="C397" i="4"/>
  <c r="D397" i="4"/>
  <c r="E397" i="4"/>
  <c r="F397" i="4"/>
  <c r="N397" i="4"/>
  <c r="O397" i="4"/>
  <c r="P397" i="4"/>
  <c r="Q397" i="4"/>
  <c r="R397" i="4"/>
  <c r="S397" i="4"/>
  <c r="T397" i="4"/>
  <c r="U397" i="4"/>
  <c r="V397" i="4"/>
  <c r="W397" i="4"/>
  <c r="X397" i="4"/>
  <c r="AB397" i="4"/>
  <c r="AC397" i="4"/>
  <c r="AD397" i="4"/>
  <c r="AE397" i="4"/>
  <c r="AF397" i="4"/>
  <c r="AG397" i="4"/>
  <c r="AH397" i="4"/>
  <c r="AI397" i="4"/>
  <c r="AJ397" i="4"/>
  <c r="AT397" i="4"/>
  <c r="AU397" i="4"/>
  <c r="AV397" i="4"/>
  <c r="BB397" i="4"/>
  <c r="BC397" i="4"/>
  <c r="BD397" i="4"/>
  <c r="BE397" i="4"/>
  <c r="BF397" i="4"/>
  <c r="BG397" i="4"/>
  <c r="BH397" i="4"/>
  <c r="BI397" i="4"/>
  <c r="BJ397" i="4"/>
  <c r="BL397" i="4"/>
  <c r="BM397" i="4"/>
  <c r="BN397" i="4"/>
  <c r="BO397" i="4"/>
  <c r="BT397" i="4"/>
  <c r="BU397" i="4"/>
  <c r="BV397" i="4"/>
  <c r="BW397" i="4"/>
  <c r="BX397" i="4"/>
  <c r="BY397" i="4"/>
  <c r="BZ397" i="4"/>
  <c r="CA397" i="4"/>
  <c r="CB397" i="4"/>
  <c r="CC397" i="4"/>
  <c r="CD397" i="4"/>
  <c r="CE397" i="4"/>
  <c r="CG397" i="4"/>
  <c r="CJ397" i="4"/>
  <c r="CK397" i="4"/>
  <c r="CL397" i="4"/>
  <c r="CN397" i="4"/>
  <c r="CP397" i="4"/>
  <c r="CQ397" i="4"/>
  <c r="C398" i="4"/>
  <c r="D398" i="4"/>
  <c r="E398" i="4"/>
  <c r="F398" i="4"/>
  <c r="N398" i="4"/>
  <c r="O398" i="4"/>
  <c r="P398" i="4"/>
  <c r="Q398" i="4"/>
  <c r="R398" i="4"/>
  <c r="S398" i="4"/>
  <c r="T398" i="4"/>
  <c r="U398" i="4"/>
  <c r="V398" i="4"/>
  <c r="W398" i="4"/>
  <c r="X398" i="4"/>
  <c r="AB398" i="4"/>
  <c r="AC398" i="4"/>
  <c r="AD398" i="4"/>
  <c r="AE398" i="4"/>
  <c r="AF398" i="4"/>
  <c r="AG398" i="4"/>
  <c r="AH398" i="4"/>
  <c r="AI398" i="4"/>
  <c r="AJ398" i="4"/>
  <c r="AT398" i="4"/>
  <c r="AU398" i="4"/>
  <c r="AV398" i="4"/>
  <c r="BB398" i="4"/>
  <c r="BC398" i="4"/>
  <c r="BD398" i="4"/>
  <c r="BE398" i="4"/>
  <c r="BF398" i="4"/>
  <c r="BG398" i="4"/>
  <c r="BH398" i="4"/>
  <c r="BI398" i="4"/>
  <c r="BJ398" i="4"/>
  <c r="BL398" i="4"/>
  <c r="BM398" i="4"/>
  <c r="BN398" i="4"/>
  <c r="BO398" i="4"/>
  <c r="BT398" i="4"/>
  <c r="BU398" i="4"/>
  <c r="BV398" i="4"/>
  <c r="BW398" i="4"/>
  <c r="BX398" i="4"/>
  <c r="BY398" i="4"/>
  <c r="BZ398" i="4"/>
  <c r="CA398" i="4"/>
  <c r="CB398" i="4"/>
  <c r="CC398" i="4"/>
  <c r="CD398" i="4"/>
  <c r="CE398" i="4"/>
  <c r="CG398" i="4"/>
  <c r="CJ398" i="4"/>
  <c r="CK398" i="4"/>
  <c r="CL398" i="4"/>
  <c r="CN398" i="4"/>
  <c r="CP398" i="4"/>
  <c r="CQ398" i="4"/>
  <c r="C399" i="4"/>
  <c r="D399" i="4"/>
  <c r="E399" i="4"/>
  <c r="F399" i="4"/>
  <c r="N399" i="4"/>
  <c r="O399" i="4"/>
  <c r="P399" i="4"/>
  <c r="Q399" i="4"/>
  <c r="R399" i="4"/>
  <c r="S399" i="4"/>
  <c r="T399" i="4"/>
  <c r="U399" i="4"/>
  <c r="V399" i="4"/>
  <c r="W399" i="4"/>
  <c r="X399" i="4"/>
  <c r="AB399" i="4"/>
  <c r="AC399" i="4"/>
  <c r="AD399" i="4"/>
  <c r="AE399" i="4"/>
  <c r="AF399" i="4"/>
  <c r="AG399" i="4"/>
  <c r="AH399" i="4"/>
  <c r="AI399" i="4"/>
  <c r="AJ399" i="4"/>
  <c r="AT399" i="4"/>
  <c r="AU399" i="4"/>
  <c r="AV399" i="4"/>
  <c r="BB399" i="4"/>
  <c r="BC399" i="4"/>
  <c r="BD399" i="4"/>
  <c r="BE399" i="4"/>
  <c r="BF399" i="4"/>
  <c r="BG399" i="4"/>
  <c r="BH399" i="4"/>
  <c r="BI399" i="4"/>
  <c r="BJ399" i="4"/>
  <c r="BL399" i="4"/>
  <c r="BM399" i="4"/>
  <c r="BN399" i="4"/>
  <c r="BO399" i="4"/>
  <c r="BT399" i="4"/>
  <c r="BU399" i="4"/>
  <c r="BV399" i="4"/>
  <c r="BW399" i="4"/>
  <c r="BX399" i="4"/>
  <c r="BY399" i="4"/>
  <c r="BZ399" i="4"/>
  <c r="CA399" i="4"/>
  <c r="CB399" i="4"/>
  <c r="CC399" i="4"/>
  <c r="CD399" i="4"/>
  <c r="CE399" i="4"/>
  <c r="CG399" i="4"/>
  <c r="CJ399" i="4"/>
  <c r="CK399" i="4"/>
  <c r="CL399" i="4"/>
  <c r="CN399" i="4"/>
  <c r="CP399" i="4"/>
  <c r="CQ399" i="4"/>
  <c r="C400" i="4"/>
  <c r="D400" i="4"/>
  <c r="E400" i="4"/>
  <c r="F400" i="4"/>
  <c r="N400" i="4"/>
  <c r="O400" i="4"/>
  <c r="P400" i="4"/>
  <c r="Q400" i="4"/>
  <c r="R400" i="4"/>
  <c r="S400" i="4"/>
  <c r="T400" i="4"/>
  <c r="U400" i="4"/>
  <c r="V400" i="4"/>
  <c r="W400" i="4"/>
  <c r="X400" i="4"/>
  <c r="AB400" i="4"/>
  <c r="AC400" i="4"/>
  <c r="AD400" i="4"/>
  <c r="AE400" i="4"/>
  <c r="AF400" i="4"/>
  <c r="AG400" i="4"/>
  <c r="AH400" i="4"/>
  <c r="AI400" i="4"/>
  <c r="AJ400" i="4"/>
  <c r="AT400" i="4"/>
  <c r="AU400" i="4"/>
  <c r="AV400" i="4"/>
  <c r="BB400" i="4"/>
  <c r="BC400" i="4"/>
  <c r="BD400" i="4"/>
  <c r="BE400" i="4"/>
  <c r="BF400" i="4"/>
  <c r="BG400" i="4"/>
  <c r="BH400" i="4"/>
  <c r="BI400" i="4"/>
  <c r="BJ400" i="4"/>
  <c r="BL400" i="4"/>
  <c r="BM400" i="4"/>
  <c r="BN400" i="4"/>
  <c r="BO400" i="4"/>
  <c r="BT400" i="4"/>
  <c r="BU400" i="4"/>
  <c r="BV400" i="4"/>
  <c r="BW400" i="4"/>
  <c r="BX400" i="4"/>
  <c r="BY400" i="4"/>
  <c r="BZ400" i="4"/>
  <c r="CA400" i="4"/>
  <c r="CB400" i="4"/>
  <c r="CC400" i="4"/>
  <c r="CD400" i="4"/>
  <c r="CE400" i="4"/>
  <c r="CG400" i="4"/>
  <c r="CJ400" i="4"/>
  <c r="CK400" i="4"/>
  <c r="CL400" i="4"/>
  <c r="CN400" i="4"/>
  <c r="CP400" i="4"/>
  <c r="CQ400" i="4"/>
  <c r="C401" i="4"/>
  <c r="D401" i="4"/>
  <c r="E401" i="4"/>
  <c r="F401" i="4"/>
  <c r="N401" i="4"/>
  <c r="O401" i="4"/>
  <c r="P401" i="4"/>
  <c r="Q401" i="4"/>
  <c r="R401" i="4"/>
  <c r="S401" i="4"/>
  <c r="T401" i="4"/>
  <c r="U401" i="4"/>
  <c r="V401" i="4"/>
  <c r="W401" i="4"/>
  <c r="X401" i="4"/>
  <c r="AB401" i="4"/>
  <c r="AC401" i="4"/>
  <c r="AD401" i="4"/>
  <c r="AE401" i="4"/>
  <c r="AF401" i="4"/>
  <c r="AG401" i="4"/>
  <c r="AH401" i="4"/>
  <c r="AI401" i="4"/>
  <c r="AJ401" i="4"/>
  <c r="AT401" i="4"/>
  <c r="AU401" i="4"/>
  <c r="AV401" i="4"/>
  <c r="BB401" i="4"/>
  <c r="BC401" i="4"/>
  <c r="BD401" i="4"/>
  <c r="BE401" i="4"/>
  <c r="BF401" i="4"/>
  <c r="BG401" i="4"/>
  <c r="BH401" i="4"/>
  <c r="BI401" i="4"/>
  <c r="BJ401" i="4"/>
  <c r="BL401" i="4"/>
  <c r="BM401" i="4"/>
  <c r="BN401" i="4"/>
  <c r="BO401" i="4"/>
  <c r="BT401" i="4"/>
  <c r="BU401" i="4"/>
  <c r="BV401" i="4"/>
  <c r="BW401" i="4"/>
  <c r="BX401" i="4"/>
  <c r="BY401" i="4"/>
  <c r="BZ401" i="4"/>
  <c r="CA401" i="4"/>
  <c r="CB401" i="4"/>
  <c r="CC401" i="4"/>
  <c r="CD401" i="4"/>
  <c r="CE401" i="4"/>
  <c r="CG401" i="4"/>
  <c r="CJ401" i="4"/>
  <c r="CK401" i="4"/>
  <c r="CL401" i="4"/>
  <c r="CN401" i="4"/>
  <c r="CP401" i="4"/>
  <c r="CQ401" i="4"/>
  <c r="C402" i="4"/>
  <c r="D402" i="4"/>
  <c r="E402" i="4"/>
  <c r="F402" i="4"/>
  <c r="N402" i="4"/>
  <c r="O402" i="4"/>
  <c r="P402" i="4"/>
  <c r="Q402" i="4"/>
  <c r="R402" i="4"/>
  <c r="S402" i="4"/>
  <c r="T402" i="4"/>
  <c r="U402" i="4"/>
  <c r="V402" i="4"/>
  <c r="W402" i="4"/>
  <c r="X402" i="4"/>
  <c r="AB402" i="4"/>
  <c r="AC402" i="4"/>
  <c r="AD402" i="4"/>
  <c r="AE402" i="4"/>
  <c r="AF402" i="4"/>
  <c r="AG402" i="4"/>
  <c r="AH402" i="4"/>
  <c r="AI402" i="4"/>
  <c r="AJ402" i="4"/>
  <c r="AT402" i="4"/>
  <c r="AU402" i="4"/>
  <c r="AV402" i="4"/>
  <c r="BB402" i="4"/>
  <c r="BC402" i="4"/>
  <c r="BD402" i="4"/>
  <c r="BE402" i="4"/>
  <c r="BF402" i="4"/>
  <c r="BG402" i="4"/>
  <c r="BH402" i="4"/>
  <c r="BI402" i="4"/>
  <c r="BJ402" i="4"/>
  <c r="BL402" i="4"/>
  <c r="BM402" i="4"/>
  <c r="BN402" i="4"/>
  <c r="BO402" i="4"/>
  <c r="BT402" i="4"/>
  <c r="BU402" i="4"/>
  <c r="BV402" i="4"/>
  <c r="BW402" i="4"/>
  <c r="BX402" i="4"/>
  <c r="BY402" i="4"/>
  <c r="BZ402" i="4"/>
  <c r="CA402" i="4"/>
  <c r="CB402" i="4"/>
  <c r="CC402" i="4"/>
  <c r="CD402" i="4"/>
  <c r="CE402" i="4"/>
  <c r="CG402" i="4"/>
  <c r="CJ402" i="4"/>
  <c r="CK402" i="4"/>
  <c r="CL402" i="4"/>
  <c r="CN402" i="4"/>
  <c r="CP402" i="4"/>
  <c r="CQ402" i="4"/>
  <c r="C403" i="4"/>
  <c r="D403" i="4"/>
  <c r="E403" i="4"/>
  <c r="F403" i="4"/>
  <c r="N403" i="4"/>
  <c r="O403" i="4"/>
  <c r="P403" i="4"/>
  <c r="Q403" i="4"/>
  <c r="R403" i="4"/>
  <c r="S403" i="4"/>
  <c r="T403" i="4"/>
  <c r="U403" i="4"/>
  <c r="V403" i="4"/>
  <c r="W403" i="4"/>
  <c r="X403" i="4"/>
  <c r="AB403" i="4"/>
  <c r="AC403" i="4"/>
  <c r="AD403" i="4"/>
  <c r="AE403" i="4"/>
  <c r="AF403" i="4"/>
  <c r="AG403" i="4"/>
  <c r="AH403" i="4"/>
  <c r="AI403" i="4"/>
  <c r="AJ403" i="4"/>
  <c r="AT403" i="4"/>
  <c r="AU403" i="4"/>
  <c r="AV403" i="4"/>
  <c r="BB403" i="4"/>
  <c r="BC403" i="4"/>
  <c r="BD403" i="4"/>
  <c r="BE403" i="4"/>
  <c r="BF403" i="4"/>
  <c r="BG403" i="4"/>
  <c r="BH403" i="4"/>
  <c r="BI403" i="4"/>
  <c r="BJ403" i="4"/>
  <c r="BL403" i="4"/>
  <c r="BM403" i="4"/>
  <c r="BN403" i="4"/>
  <c r="BO403" i="4"/>
  <c r="BT403" i="4"/>
  <c r="BU403" i="4"/>
  <c r="BV403" i="4"/>
  <c r="BW403" i="4"/>
  <c r="BX403" i="4"/>
  <c r="BY403" i="4"/>
  <c r="BZ403" i="4"/>
  <c r="CA403" i="4"/>
  <c r="CB403" i="4"/>
  <c r="CC403" i="4"/>
  <c r="CD403" i="4"/>
  <c r="CE403" i="4"/>
  <c r="CG403" i="4"/>
  <c r="CJ403" i="4"/>
  <c r="CK403" i="4"/>
  <c r="CL403" i="4"/>
  <c r="CN403" i="4"/>
  <c r="CP403" i="4"/>
  <c r="CQ403" i="4"/>
  <c r="C404" i="4"/>
  <c r="D404" i="4"/>
  <c r="E404" i="4"/>
  <c r="F404" i="4"/>
  <c r="N404" i="4"/>
  <c r="O404" i="4"/>
  <c r="P404" i="4"/>
  <c r="Q404" i="4"/>
  <c r="R404" i="4"/>
  <c r="S404" i="4"/>
  <c r="T404" i="4"/>
  <c r="U404" i="4"/>
  <c r="V404" i="4"/>
  <c r="W404" i="4"/>
  <c r="X404" i="4"/>
  <c r="AB404" i="4"/>
  <c r="AC404" i="4"/>
  <c r="AD404" i="4"/>
  <c r="AE404" i="4"/>
  <c r="AF404" i="4"/>
  <c r="AG404" i="4"/>
  <c r="AH404" i="4"/>
  <c r="AI404" i="4"/>
  <c r="AJ404" i="4"/>
  <c r="AT404" i="4"/>
  <c r="AU404" i="4"/>
  <c r="AV404" i="4"/>
  <c r="BB404" i="4"/>
  <c r="BC404" i="4"/>
  <c r="BD404" i="4"/>
  <c r="BE404" i="4"/>
  <c r="BF404" i="4"/>
  <c r="BG404" i="4"/>
  <c r="BH404" i="4"/>
  <c r="BI404" i="4"/>
  <c r="BJ404" i="4"/>
  <c r="BL404" i="4"/>
  <c r="BM404" i="4"/>
  <c r="BN404" i="4"/>
  <c r="BO404" i="4"/>
  <c r="BT404" i="4"/>
  <c r="BU404" i="4"/>
  <c r="BV404" i="4"/>
  <c r="BW404" i="4"/>
  <c r="BX404" i="4"/>
  <c r="BY404" i="4"/>
  <c r="BZ404" i="4"/>
  <c r="CA404" i="4"/>
  <c r="CB404" i="4"/>
  <c r="CC404" i="4"/>
  <c r="CD404" i="4"/>
  <c r="CE404" i="4"/>
  <c r="CG404" i="4"/>
  <c r="CJ404" i="4"/>
  <c r="CK404" i="4"/>
  <c r="CL404" i="4"/>
  <c r="CN404" i="4"/>
  <c r="CP404" i="4"/>
  <c r="CQ404" i="4"/>
  <c r="C405" i="4"/>
  <c r="D405" i="4"/>
  <c r="E405" i="4"/>
  <c r="F405" i="4"/>
  <c r="N405" i="4"/>
  <c r="O405" i="4"/>
  <c r="P405" i="4"/>
  <c r="Q405" i="4"/>
  <c r="R405" i="4"/>
  <c r="S405" i="4"/>
  <c r="T405" i="4"/>
  <c r="U405" i="4"/>
  <c r="V405" i="4"/>
  <c r="W405" i="4"/>
  <c r="X405" i="4"/>
  <c r="AB405" i="4"/>
  <c r="AC405" i="4"/>
  <c r="AD405" i="4"/>
  <c r="AE405" i="4"/>
  <c r="AF405" i="4"/>
  <c r="AG405" i="4"/>
  <c r="AH405" i="4"/>
  <c r="AI405" i="4"/>
  <c r="AJ405" i="4"/>
  <c r="AT405" i="4"/>
  <c r="AU405" i="4"/>
  <c r="AV405" i="4"/>
  <c r="BB405" i="4"/>
  <c r="BC405" i="4"/>
  <c r="BD405" i="4"/>
  <c r="BE405" i="4"/>
  <c r="BF405" i="4"/>
  <c r="BG405" i="4"/>
  <c r="BH405" i="4"/>
  <c r="BI405" i="4"/>
  <c r="BJ405" i="4"/>
  <c r="BL405" i="4"/>
  <c r="BM405" i="4"/>
  <c r="BN405" i="4"/>
  <c r="BO405" i="4"/>
  <c r="BT405" i="4"/>
  <c r="BU405" i="4"/>
  <c r="BV405" i="4"/>
  <c r="BW405" i="4"/>
  <c r="BX405" i="4"/>
  <c r="BY405" i="4"/>
  <c r="BZ405" i="4"/>
  <c r="CA405" i="4"/>
  <c r="CB405" i="4"/>
  <c r="CC405" i="4"/>
  <c r="CD405" i="4"/>
  <c r="CE405" i="4"/>
  <c r="CG405" i="4"/>
  <c r="CJ405" i="4"/>
  <c r="CK405" i="4"/>
  <c r="CL405" i="4"/>
  <c r="CN405" i="4"/>
  <c r="CP405" i="4"/>
  <c r="CQ405" i="4"/>
  <c r="C406" i="4"/>
  <c r="D406" i="4"/>
  <c r="E406" i="4"/>
  <c r="F406" i="4"/>
  <c r="N406" i="4"/>
  <c r="O406" i="4"/>
  <c r="P406" i="4"/>
  <c r="Q406" i="4"/>
  <c r="R406" i="4"/>
  <c r="S406" i="4"/>
  <c r="T406" i="4"/>
  <c r="U406" i="4"/>
  <c r="V406" i="4"/>
  <c r="W406" i="4"/>
  <c r="X406" i="4"/>
  <c r="AB406" i="4"/>
  <c r="AC406" i="4"/>
  <c r="AD406" i="4"/>
  <c r="AE406" i="4"/>
  <c r="AF406" i="4"/>
  <c r="AG406" i="4"/>
  <c r="AH406" i="4"/>
  <c r="AI406" i="4"/>
  <c r="AJ406" i="4"/>
  <c r="AT406" i="4"/>
  <c r="AU406" i="4"/>
  <c r="AV406" i="4"/>
  <c r="BB406" i="4"/>
  <c r="BC406" i="4"/>
  <c r="BD406" i="4"/>
  <c r="BE406" i="4"/>
  <c r="BF406" i="4"/>
  <c r="BG406" i="4"/>
  <c r="BH406" i="4"/>
  <c r="BI406" i="4"/>
  <c r="BJ406" i="4"/>
  <c r="BL406" i="4"/>
  <c r="BM406" i="4"/>
  <c r="BN406" i="4"/>
  <c r="BO406" i="4"/>
  <c r="BT406" i="4"/>
  <c r="BU406" i="4"/>
  <c r="BV406" i="4"/>
  <c r="BW406" i="4"/>
  <c r="BX406" i="4"/>
  <c r="BY406" i="4"/>
  <c r="BZ406" i="4"/>
  <c r="CA406" i="4"/>
  <c r="CB406" i="4"/>
  <c r="CC406" i="4"/>
  <c r="CD406" i="4"/>
  <c r="CE406" i="4"/>
  <c r="CG406" i="4"/>
  <c r="CJ406" i="4"/>
  <c r="CK406" i="4"/>
  <c r="CL406" i="4"/>
  <c r="CN406" i="4"/>
  <c r="CP406" i="4"/>
  <c r="CQ406" i="4"/>
  <c r="C407" i="4"/>
  <c r="D407" i="4"/>
  <c r="E407" i="4"/>
  <c r="F407" i="4"/>
  <c r="N407" i="4"/>
  <c r="O407" i="4"/>
  <c r="P407" i="4"/>
  <c r="Q407" i="4"/>
  <c r="R407" i="4"/>
  <c r="S407" i="4"/>
  <c r="T407" i="4"/>
  <c r="U407" i="4"/>
  <c r="V407" i="4"/>
  <c r="W407" i="4"/>
  <c r="X407" i="4"/>
  <c r="AB407" i="4"/>
  <c r="AC407" i="4"/>
  <c r="AD407" i="4"/>
  <c r="AE407" i="4"/>
  <c r="AF407" i="4"/>
  <c r="AG407" i="4"/>
  <c r="AH407" i="4"/>
  <c r="AI407" i="4"/>
  <c r="AJ407" i="4"/>
  <c r="AT407" i="4"/>
  <c r="AU407" i="4"/>
  <c r="AV407" i="4"/>
  <c r="BB407" i="4"/>
  <c r="BC407" i="4"/>
  <c r="BD407" i="4"/>
  <c r="BE407" i="4"/>
  <c r="BF407" i="4"/>
  <c r="BG407" i="4"/>
  <c r="BH407" i="4"/>
  <c r="BI407" i="4"/>
  <c r="BJ407" i="4"/>
  <c r="BL407" i="4"/>
  <c r="BM407" i="4"/>
  <c r="BN407" i="4"/>
  <c r="BO407" i="4"/>
  <c r="BT407" i="4"/>
  <c r="BU407" i="4"/>
  <c r="BV407" i="4"/>
  <c r="BW407" i="4"/>
  <c r="BX407" i="4"/>
  <c r="BY407" i="4"/>
  <c r="BZ407" i="4"/>
  <c r="CA407" i="4"/>
  <c r="CB407" i="4"/>
  <c r="CC407" i="4"/>
  <c r="CD407" i="4"/>
  <c r="CE407" i="4"/>
  <c r="CG407" i="4"/>
  <c r="CJ407" i="4"/>
  <c r="CK407" i="4"/>
  <c r="CL407" i="4"/>
  <c r="CN407" i="4"/>
  <c r="CP407" i="4"/>
  <c r="CQ407" i="4"/>
  <c r="C408" i="4"/>
  <c r="D408" i="4"/>
  <c r="E408" i="4"/>
  <c r="F408" i="4"/>
  <c r="N408" i="4"/>
  <c r="O408" i="4"/>
  <c r="P408" i="4"/>
  <c r="Q408" i="4"/>
  <c r="R408" i="4"/>
  <c r="S408" i="4"/>
  <c r="T408" i="4"/>
  <c r="U408" i="4"/>
  <c r="V408" i="4"/>
  <c r="W408" i="4"/>
  <c r="X408" i="4"/>
  <c r="AB408" i="4"/>
  <c r="AC408" i="4"/>
  <c r="AD408" i="4"/>
  <c r="AE408" i="4"/>
  <c r="AF408" i="4"/>
  <c r="AG408" i="4"/>
  <c r="AH408" i="4"/>
  <c r="AI408" i="4"/>
  <c r="AJ408" i="4"/>
  <c r="AT408" i="4"/>
  <c r="AU408" i="4"/>
  <c r="AV408" i="4"/>
  <c r="BB408" i="4"/>
  <c r="BC408" i="4"/>
  <c r="BD408" i="4"/>
  <c r="BE408" i="4"/>
  <c r="BF408" i="4"/>
  <c r="BG408" i="4"/>
  <c r="BH408" i="4"/>
  <c r="BI408" i="4"/>
  <c r="BJ408" i="4"/>
  <c r="BL408" i="4"/>
  <c r="BM408" i="4"/>
  <c r="BN408" i="4"/>
  <c r="BO408" i="4"/>
  <c r="BT408" i="4"/>
  <c r="BU408" i="4"/>
  <c r="BV408" i="4"/>
  <c r="BW408" i="4"/>
  <c r="BX408" i="4"/>
  <c r="BY408" i="4"/>
  <c r="BZ408" i="4"/>
  <c r="CA408" i="4"/>
  <c r="CB408" i="4"/>
  <c r="CC408" i="4"/>
  <c r="CD408" i="4"/>
  <c r="CE408" i="4"/>
  <c r="CG408" i="4"/>
  <c r="CJ408" i="4"/>
  <c r="CK408" i="4"/>
  <c r="CL408" i="4"/>
  <c r="CN408" i="4"/>
  <c r="CP408" i="4"/>
  <c r="CQ408" i="4"/>
  <c r="C409" i="4"/>
  <c r="D409" i="4"/>
  <c r="E409" i="4"/>
  <c r="F409" i="4"/>
  <c r="N409" i="4"/>
  <c r="O409" i="4"/>
  <c r="P409" i="4"/>
  <c r="Q409" i="4"/>
  <c r="R409" i="4"/>
  <c r="S409" i="4"/>
  <c r="T409" i="4"/>
  <c r="U409" i="4"/>
  <c r="V409" i="4"/>
  <c r="W409" i="4"/>
  <c r="X409" i="4"/>
  <c r="AB409" i="4"/>
  <c r="AC409" i="4"/>
  <c r="AD409" i="4"/>
  <c r="AE409" i="4"/>
  <c r="AF409" i="4"/>
  <c r="AG409" i="4"/>
  <c r="AH409" i="4"/>
  <c r="AI409" i="4"/>
  <c r="AJ409" i="4"/>
  <c r="AT409" i="4"/>
  <c r="AU409" i="4"/>
  <c r="AV409" i="4"/>
  <c r="BB409" i="4"/>
  <c r="BC409" i="4"/>
  <c r="BD409" i="4"/>
  <c r="BE409" i="4"/>
  <c r="BF409" i="4"/>
  <c r="BG409" i="4"/>
  <c r="BH409" i="4"/>
  <c r="BI409" i="4"/>
  <c r="BJ409" i="4"/>
  <c r="BL409" i="4"/>
  <c r="BM409" i="4"/>
  <c r="BN409" i="4"/>
  <c r="BO409" i="4"/>
  <c r="BT409" i="4"/>
  <c r="BU409" i="4"/>
  <c r="BV409" i="4"/>
  <c r="BW409" i="4"/>
  <c r="BX409" i="4"/>
  <c r="BY409" i="4"/>
  <c r="BZ409" i="4"/>
  <c r="CA409" i="4"/>
  <c r="CB409" i="4"/>
  <c r="CC409" i="4"/>
  <c r="CD409" i="4"/>
  <c r="CE409" i="4"/>
  <c r="CG409" i="4"/>
  <c r="CJ409" i="4"/>
  <c r="CK409" i="4"/>
  <c r="CL409" i="4"/>
  <c r="CN409" i="4"/>
  <c r="CP409" i="4"/>
  <c r="CQ409" i="4"/>
  <c r="C410" i="4"/>
  <c r="D410" i="4"/>
  <c r="E410" i="4"/>
  <c r="F410" i="4"/>
  <c r="N410" i="4"/>
  <c r="O410" i="4"/>
  <c r="P410" i="4"/>
  <c r="Q410" i="4"/>
  <c r="R410" i="4"/>
  <c r="S410" i="4"/>
  <c r="T410" i="4"/>
  <c r="U410" i="4"/>
  <c r="V410" i="4"/>
  <c r="W410" i="4"/>
  <c r="X410" i="4"/>
  <c r="AB410" i="4"/>
  <c r="AC410" i="4"/>
  <c r="AD410" i="4"/>
  <c r="AE410" i="4"/>
  <c r="AF410" i="4"/>
  <c r="AG410" i="4"/>
  <c r="AH410" i="4"/>
  <c r="AI410" i="4"/>
  <c r="AJ410" i="4"/>
  <c r="AT410" i="4"/>
  <c r="AU410" i="4"/>
  <c r="AV410" i="4"/>
  <c r="BB410" i="4"/>
  <c r="BC410" i="4"/>
  <c r="BD410" i="4"/>
  <c r="BE410" i="4"/>
  <c r="BF410" i="4"/>
  <c r="BG410" i="4"/>
  <c r="BH410" i="4"/>
  <c r="BI410" i="4"/>
  <c r="BJ410" i="4"/>
  <c r="BL410" i="4"/>
  <c r="BM410" i="4"/>
  <c r="BN410" i="4"/>
  <c r="BO410" i="4"/>
  <c r="BT410" i="4"/>
  <c r="BU410" i="4"/>
  <c r="BV410" i="4"/>
  <c r="BW410" i="4"/>
  <c r="BX410" i="4"/>
  <c r="BY410" i="4"/>
  <c r="BZ410" i="4"/>
  <c r="CA410" i="4"/>
  <c r="CB410" i="4"/>
  <c r="CC410" i="4"/>
  <c r="CD410" i="4"/>
  <c r="CE410" i="4"/>
  <c r="CG410" i="4"/>
  <c r="CJ410" i="4"/>
  <c r="CK410" i="4"/>
  <c r="CL410" i="4"/>
  <c r="CN410" i="4"/>
  <c r="CP410" i="4"/>
  <c r="CQ410" i="4"/>
  <c r="C411" i="4"/>
  <c r="D411" i="4"/>
  <c r="E411" i="4"/>
  <c r="F411" i="4"/>
  <c r="N411" i="4"/>
  <c r="O411" i="4"/>
  <c r="P411" i="4"/>
  <c r="Q411" i="4"/>
  <c r="R411" i="4"/>
  <c r="S411" i="4"/>
  <c r="T411" i="4"/>
  <c r="U411" i="4"/>
  <c r="V411" i="4"/>
  <c r="W411" i="4"/>
  <c r="X411" i="4"/>
  <c r="AB411" i="4"/>
  <c r="AC411" i="4"/>
  <c r="AD411" i="4"/>
  <c r="AE411" i="4"/>
  <c r="AF411" i="4"/>
  <c r="AG411" i="4"/>
  <c r="AH411" i="4"/>
  <c r="AI411" i="4"/>
  <c r="AJ411" i="4"/>
  <c r="AT411" i="4"/>
  <c r="AU411" i="4"/>
  <c r="AV411" i="4"/>
  <c r="BB411" i="4"/>
  <c r="BC411" i="4"/>
  <c r="BD411" i="4"/>
  <c r="BE411" i="4"/>
  <c r="BF411" i="4"/>
  <c r="BG411" i="4"/>
  <c r="BH411" i="4"/>
  <c r="BI411" i="4"/>
  <c r="BJ411" i="4"/>
  <c r="BL411" i="4"/>
  <c r="BM411" i="4"/>
  <c r="BN411" i="4"/>
  <c r="BO411" i="4"/>
  <c r="BT411" i="4"/>
  <c r="BU411" i="4"/>
  <c r="BV411" i="4"/>
  <c r="BW411" i="4"/>
  <c r="BX411" i="4"/>
  <c r="BY411" i="4"/>
  <c r="BZ411" i="4"/>
  <c r="CA411" i="4"/>
  <c r="CB411" i="4"/>
  <c r="CC411" i="4"/>
  <c r="CD411" i="4"/>
  <c r="CE411" i="4"/>
  <c r="CG411" i="4"/>
  <c r="CJ411" i="4"/>
  <c r="CK411" i="4"/>
  <c r="CL411" i="4"/>
  <c r="CN411" i="4"/>
  <c r="CP411" i="4"/>
  <c r="CQ411" i="4"/>
  <c r="C412" i="4"/>
  <c r="D412" i="4"/>
  <c r="E412" i="4"/>
  <c r="F412" i="4"/>
  <c r="N412" i="4"/>
  <c r="O412" i="4"/>
  <c r="P412" i="4"/>
  <c r="Q412" i="4"/>
  <c r="R412" i="4"/>
  <c r="S412" i="4"/>
  <c r="T412" i="4"/>
  <c r="U412" i="4"/>
  <c r="V412" i="4"/>
  <c r="W412" i="4"/>
  <c r="X412" i="4"/>
  <c r="AB412" i="4"/>
  <c r="AC412" i="4"/>
  <c r="AD412" i="4"/>
  <c r="AE412" i="4"/>
  <c r="AF412" i="4"/>
  <c r="AG412" i="4"/>
  <c r="AH412" i="4"/>
  <c r="AI412" i="4"/>
  <c r="AJ412" i="4"/>
  <c r="AT412" i="4"/>
  <c r="AU412" i="4"/>
  <c r="AV412" i="4"/>
  <c r="BB412" i="4"/>
  <c r="BC412" i="4"/>
  <c r="BD412" i="4"/>
  <c r="BE412" i="4"/>
  <c r="BF412" i="4"/>
  <c r="BG412" i="4"/>
  <c r="BH412" i="4"/>
  <c r="BI412" i="4"/>
  <c r="BJ412" i="4"/>
  <c r="BL412" i="4"/>
  <c r="BM412" i="4"/>
  <c r="BN412" i="4"/>
  <c r="BO412" i="4"/>
  <c r="BT412" i="4"/>
  <c r="BU412" i="4"/>
  <c r="BV412" i="4"/>
  <c r="BW412" i="4"/>
  <c r="BX412" i="4"/>
  <c r="BY412" i="4"/>
  <c r="BZ412" i="4"/>
  <c r="CA412" i="4"/>
  <c r="CB412" i="4"/>
  <c r="CC412" i="4"/>
  <c r="CD412" i="4"/>
  <c r="CE412" i="4"/>
  <c r="CG412" i="4"/>
  <c r="CJ412" i="4"/>
  <c r="CK412" i="4"/>
  <c r="CL412" i="4"/>
  <c r="CN412" i="4"/>
  <c r="CP412" i="4"/>
  <c r="CQ412" i="4"/>
  <c r="C413" i="4"/>
  <c r="D413" i="4"/>
  <c r="E413" i="4"/>
  <c r="F413" i="4"/>
  <c r="N413" i="4"/>
  <c r="O413" i="4"/>
  <c r="P413" i="4"/>
  <c r="Q413" i="4"/>
  <c r="R413" i="4"/>
  <c r="S413" i="4"/>
  <c r="T413" i="4"/>
  <c r="U413" i="4"/>
  <c r="V413" i="4"/>
  <c r="W413" i="4"/>
  <c r="X413" i="4"/>
  <c r="AB413" i="4"/>
  <c r="AC413" i="4"/>
  <c r="AD413" i="4"/>
  <c r="AE413" i="4"/>
  <c r="AF413" i="4"/>
  <c r="AG413" i="4"/>
  <c r="AH413" i="4"/>
  <c r="AI413" i="4"/>
  <c r="AJ413" i="4"/>
  <c r="AT413" i="4"/>
  <c r="AU413" i="4"/>
  <c r="AV413" i="4"/>
  <c r="BB413" i="4"/>
  <c r="BC413" i="4"/>
  <c r="BD413" i="4"/>
  <c r="BE413" i="4"/>
  <c r="BF413" i="4"/>
  <c r="BG413" i="4"/>
  <c r="BH413" i="4"/>
  <c r="BI413" i="4"/>
  <c r="BJ413" i="4"/>
  <c r="BL413" i="4"/>
  <c r="BM413" i="4"/>
  <c r="BN413" i="4"/>
  <c r="BO413" i="4"/>
  <c r="BT413" i="4"/>
  <c r="BU413" i="4"/>
  <c r="BV413" i="4"/>
  <c r="BW413" i="4"/>
  <c r="BX413" i="4"/>
  <c r="BY413" i="4"/>
  <c r="BZ413" i="4"/>
  <c r="CA413" i="4"/>
  <c r="CB413" i="4"/>
  <c r="CC413" i="4"/>
  <c r="CD413" i="4"/>
  <c r="CE413" i="4"/>
  <c r="CG413" i="4"/>
  <c r="CJ413" i="4"/>
  <c r="CK413" i="4"/>
  <c r="CL413" i="4"/>
  <c r="CN413" i="4"/>
  <c r="CP413" i="4"/>
  <c r="CQ413" i="4"/>
  <c r="C414" i="4"/>
  <c r="D414" i="4"/>
  <c r="E414" i="4"/>
  <c r="F414" i="4"/>
  <c r="N414" i="4"/>
  <c r="O414" i="4"/>
  <c r="P414" i="4"/>
  <c r="Q414" i="4"/>
  <c r="R414" i="4"/>
  <c r="S414" i="4"/>
  <c r="T414" i="4"/>
  <c r="U414" i="4"/>
  <c r="V414" i="4"/>
  <c r="W414" i="4"/>
  <c r="X414" i="4"/>
  <c r="AB414" i="4"/>
  <c r="AC414" i="4"/>
  <c r="AD414" i="4"/>
  <c r="AE414" i="4"/>
  <c r="AF414" i="4"/>
  <c r="AG414" i="4"/>
  <c r="AH414" i="4"/>
  <c r="AI414" i="4"/>
  <c r="AJ414" i="4"/>
  <c r="AT414" i="4"/>
  <c r="AU414" i="4"/>
  <c r="AV414" i="4"/>
  <c r="BB414" i="4"/>
  <c r="BC414" i="4"/>
  <c r="BD414" i="4"/>
  <c r="BE414" i="4"/>
  <c r="BF414" i="4"/>
  <c r="BG414" i="4"/>
  <c r="BH414" i="4"/>
  <c r="BI414" i="4"/>
  <c r="BJ414" i="4"/>
  <c r="BL414" i="4"/>
  <c r="BM414" i="4"/>
  <c r="BN414" i="4"/>
  <c r="BO414" i="4"/>
  <c r="BT414" i="4"/>
  <c r="BU414" i="4"/>
  <c r="BV414" i="4"/>
  <c r="BW414" i="4"/>
  <c r="BX414" i="4"/>
  <c r="BY414" i="4"/>
  <c r="BZ414" i="4"/>
  <c r="CA414" i="4"/>
  <c r="CB414" i="4"/>
  <c r="CC414" i="4"/>
  <c r="CD414" i="4"/>
  <c r="CE414" i="4"/>
  <c r="CG414" i="4"/>
  <c r="CJ414" i="4"/>
  <c r="CK414" i="4"/>
  <c r="CL414" i="4"/>
  <c r="CN414" i="4"/>
  <c r="CP414" i="4"/>
  <c r="CQ414" i="4"/>
  <c r="C415" i="4"/>
  <c r="D415" i="4"/>
  <c r="E415" i="4"/>
  <c r="F415" i="4"/>
  <c r="N415" i="4"/>
  <c r="O415" i="4"/>
  <c r="P415" i="4"/>
  <c r="Q415" i="4"/>
  <c r="R415" i="4"/>
  <c r="S415" i="4"/>
  <c r="T415" i="4"/>
  <c r="U415" i="4"/>
  <c r="V415" i="4"/>
  <c r="W415" i="4"/>
  <c r="X415" i="4"/>
  <c r="AB415" i="4"/>
  <c r="AC415" i="4"/>
  <c r="AD415" i="4"/>
  <c r="AE415" i="4"/>
  <c r="AF415" i="4"/>
  <c r="AG415" i="4"/>
  <c r="AH415" i="4"/>
  <c r="AI415" i="4"/>
  <c r="AJ415" i="4"/>
  <c r="AT415" i="4"/>
  <c r="AU415" i="4"/>
  <c r="AV415" i="4"/>
  <c r="BB415" i="4"/>
  <c r="BC415" i="4"/>
  <c r="BD415" i="4"/>
  <c r="BE415" i="4"/>
  <c r="BF415" i="4"/>
  <c r="BG415" i="4"/>
  <c r="BH415" i="4"/>
  <c r="BI415" i="4"/>
  <c r="BJ415" i="4"/>
  <c r="BL415" i="4"/>
  <c r="BM415" i="4"/>
  <c r="BN415" i="4"/>
  <c r="BO415" i="4"/>
  <c r="BT415" i="4"/>
  <c r="BU415" i="4"/>
  <c r="BV415" i="4"/>
  <c r="BW415" i="4"/>
  <c r="BX415" i="4"/>
  <c r="BY415" i="4"/>
  <c r="BZ415" i="4"/>
  <c r="CA415" i="4"/>
  <c r="CB415" i="4"/>
  <c r="CC415" i="4"/>
  <c r="CD415" i="4"/>
  <c r="CE415" i="4"/>
  <c r="CG415" i="4"/>
  <c r="CJ415" i="4"/>
  <c r="CK415" i="4"/>
  <c r="CL415" i="4"/>
  <c r="CN415" i="4"/>
  <c r="CP415" i="4"/>
  <c r="CQ415" i="4"/>
  <c r="C416" i="4"/>
  <c r="D416" i="4"/>
  <c r="E416" i="4"/>
  <c r="F416" i="4"/>
  <c r="N416" i="4"/>
  <c r="O416" i="4"/>
  <c r="P416" i="4"/>
  <c r="Q416" i="4"/>
  <c r="R416" i="4"/>
  <c r="S416" i="4"/>
  <c r="T416" i="4"/>
  <c r="U416" i="4"/>
  <c r="V416" i="4"/>
  <c r="W416" i="4"/>
  <c r="X416" i="4"/>
  <c r="AB416" i="4"/>
  <c r="AC416" i="4"/>
  <c r="AD416" i="4"/>
  <c r="AE416" i="4"/>
  <c r="AF416" i="4"/>
  <c r="AG416" i="4"/>
  <c r="AH416" i="4"/>
  <c r="AI416" i="4"/>
  <c r="AJ416" i="4"/>
  <c r="AT416" i="4"/>
  <c r="AU416" i="4"/>
  <c r="AV416" i="4"/>
  <c r="BB416" i="4"/>
  <c r="BC416" i="4"/>
  <c r="BD416" i="4"/>
  <c r="BE416" i="4"/>
  <c r="BF416" i="4"/>
  <c r="BG416" i="4"/>
  <c r="BH416" i="4"/>
  <c r="BI416" i="4"/>
  <c r="BJ416" i="4"/>
  <c r="BL416" i="4"/>
  <c r="BM416" i="4"/>
  <c r="BN416" i="4"/>
  <c r="BO416" i="4"/>
  <c r="BT416" i="4"/>
  <c r="BU416" i="4"/>
  <c r="BV416" i="4"/>
  <c r="BW416" i="4"/>
  <c r="BX416" i="4"/>
  <c r="BY416" i="4"/>
  <c r="BZ416" i="4"/>
  <c r="CA416" i="4"/>
  <c r="CB416" i="4"/>
  <c r="CC416" i="4"/>
  <c r="CD416" i="4"/>
  <c r="CE416" i="4"/>
  <c r="CG416" i="4"/>
  <c r="CJ416" i="4"/>
  <c r="CK416" i="4"/>
  <c r="CL416" i="4"/>
  <c r="CN416" i="4"/>
  <c r="CP416" i="4"/>
  <c r="CQ416" i="4"/>
  <c r="C417" i="4"/>
  <c r="D417" i="4"/>
  <c r="E417" i="4"/>
  <c r="F417" i="4"/>
  <c r="N417" i="4"/>
  <c r="O417" i="4"/>
  <c r="P417" i="4"/>
  <c r="Q417" i="4"/>
  <c r="R417" i="4"/>
  <c r="S417" i="4"/>
  <c r="T417" i="4"/>
  <c r="U417" i="4"/>
  <c r="V417" i="4"/>
  <c r="W417" i="4"/>
  <c r="X417" i="4"/>
  <c r="AB417" i="4"/>
  <c r="AC417" i="4"/>
  <c r="AD417" i="4"/>
  <c r="AE417" i="4"/>
  <c r="AF417" i="4"/>
  <c r="AG417" i="4"/>
  <c r="AH417" i="4"/>
  <c r="AI417" i="4"/>
  <c r="AJ417" i="4"/>
  <c r="AT417" i="4"/>
  <c r="AU417" i="4"/>
  <c r="AV417" i="4"/>
  <c r="BB417" i="4"/>
  <c r="BC417" i="4"/>
  <c r="BD417" i="4"/>
  <c r="BE417" i="4"/>
  <c r="BF417" i="4"/>
  <c r="BG417" i="4"/>
  <c r="BH417" i="4"/>
  <c r="BI417" i="4"/>
  <c r="BJ417" i="4"/>
  <c r="BL417" i="4"/>
  <c r="BM417" i="4"/>
  <c r="BN417" i="4"/>
  <c r="BO417" i="4"/>
  <c r="BT417" i="4"/>
  <c r="BU417" i="4"/>
  <c r="BV417" i="4"/>
  <c r="BW417" i="4"/>
  <c r="BX417" i="4"/>
  <c r="BY417" i="4"/>
  <c r="BZ417" i="4"/>
  <c r="CA417" i="4"/>
  <c r="CB417" i="4"/>
  <c r="CC417" i="4"/>
  <c r="CD417" i="4"/>
  <c r="CE417" i="4"/>
  <c r="CG417" i="4"/>
  <c r="CJ417" i="4"/>
  <c r="CK417" i="4"/>
  <c r="CL417" i="4"/>
  <c r="CN417" i="4"/>
  <c r="CP417" i="4"/>
  <c r="CQ417" i="4"/>
  <c r="C418" i="4"/>
  <c r="D418" i="4"/>
  <c r="E418" i="4"/>
  <c r="F418" i="4"/>
  <c r="N418" i="4"/>
  <c r="O418" i="4"/>
  <c r="P418" i="4"/>
  <c r="Q418" i="4"/>
  <c r="R418" i="4"/>
  <c r="S418" i="4"/>
  <c r="T418" i="4"/>
  <c r="U418" i="4"/>
  <c r="V418" i="4"/>
  <c r="W418" i="4"/>
  <c r="X418" i="4"/>
  <c r="AB418" i="4"/>
  <c r="AC418" i="4"/>
  <c r="AD418" i="4"/>
  <c r="AE418" i="4"/>
  <c r="AF418" i="4"/>
  <c r="AG418" i="4"/>
  <c r="AH418" i="4"/>
  <c r="AI418" i="4"/>
  <c r="AJ418" i="4"/>
  <c r="AT418" i="4"/>
  <c r="AU418" i="4"/>
  <c r="AV418" i="4"/>
  <c r="BB418" i="4"/>
  <c r="BC418" i="4"/>
  <c r="BD418" i="4"/>
  <c r="BE418" i="4"/>
  <c r="BF418" i="4"/>
  <c r="BG418" i="4"/>
  <c r="BH418" i="4"/>
  <c r="BI418" i="4"/>
  <c r="BJ418" i="4"/>
  <c r="BL418" i="4"/>
  <c r="BM418" i="4"/>
  <c r="BN418" i="4"/>
  <c r="BO418" i="4"/>
  <c r="BT418" i="4"/>
  <c r="BU418" i="4"/>
  <c r="BV418" i="4"/>
  <c r="BW418" i="4"/>
  <c r="BX418" i="4"/>
  <c r="BY418" i="4"/>
  <c r="BZ418" i="4"/>
  <c r="CA418" i="4"/>
  <c r="CB418" i="4"/>
  <c r="CC418" i="4"/>
  <c r="CD418" i="4"/>
  <c r="CE418" i="4"/>
  <c r="CG418" i="4"/>
  <c r="CJ418" i="4"/>
  <c r="CK418" i="4"/>
  <c r="CL418" i="4"/>
  <c r="CN418" i="4"/>
  <c r="CP418" i="4"/>
  <c r="CQ418" i="4"/>
  <c r="C419" i="4"/>
  <c r="D419" i="4"/>
  <c r="E419" i="4"/>
  <c r="F419" i="4"/>
  <c r="N419" i="4"/>
  <c r="O419" i="4"/>
  <c r="P419" i="4"/>
  <c r="Q419" i="4"/>
  <c r="R419" i="4"/>
  <c r="S419" i="4"/>
  <c r="T419" i="4"/>
  <c r="U419" i="4"/>
  <c r="V419" i="4"/>
  <c r="W419" i="4"/>
  <c r="X419" i="4"/>
  <c r="AB419" i="4"/>
  <c r="AC419" i="4"/>
  <c r="AD419" i="4"/>
  <c r="AE419" i="4"/>
  <c r="AF419" i="4"/>
  <c r="AG419" i="4"/>
  <c r="AH419" i="4"/>
  <c r="AI419" i="4"/>
  <c r="AJ419" i="4"/>
  <c r="AT419" i="4"/>
  <c r="AU419" i="4"/>
  <c r="AV419" i="4"/>
  <c r="BB419" i="4"/>
  <c r="BC419" i="4"/>
  <c r="BD419" i="4"/>
  <c r="BE419" i="4"/>
  <c r="BF419" i="4"/>
  <c r="BG419" i="4"/>
  <c r="BH419" i="4"/>
  <c r="BI419" i="4"/>
  <c r="BJ419" i="4"/>
  <c r="BL419" i="4"/>
  <c r="BM419" i="4"/>
  <c r="BN419" i="4"/>
  <c r="BO419" i="4"/>
  <c r="BT419" i="4"/>
  <c r="BU419" i="4"/>
  <c r="BV419" i="4"/>
  <c r="BW419" i="4"/>
  <c r="BX419" i="4"/>
  <c r="BY419" i="4"/>
  <c r="BZ419" i="4"/>
  <c r="CA419" i="4"/>
  <c r="CB419" i="4"/>
  <c r="CC419" i="4"/>
  <c r="CD419" i="4"/>
  <c r="CE419" i="4"/>
  <c r="CG419" i="4"/>
  <c r="CJ419" i="4"/>
  <c r="CK419" i="4"/>
  <c r="CL419" i="4"/>
  <c r="CN419" i="4"/>
  <c r="CP419" i="4"/>
  <c r="CQ419" i="4"/>
  <c r="C420" i="4"/>
  <c r="D420" i="4"/>
  <c r="E420" i="4"/>
  <c r="F420" i="4"/>
  <c r="N420" i="4"/>
  <c r="O420" i="4"/>
  <c r="P420" i="4"/>
  <c r="Q420" i="4"/>
  <c r="R420" i="4"/>
  <c r="S420" i="4"/>
  <c r="T420" i="4"/>
  <c r="U420" i="4"/>
  <c r="V420" i="4"/>
  <c r="W420" i="4"/>
  <c r="X420" i="4"/>
  <c r="AB420" i="4"/>
  <c r="AC420" i="4"/>
  <c r="AD420" i="4"/>
  <c r="AE420" i="4"/>
  <c r="AF420" i="4"/>
  <c r="AG420" i="4"/>
  <c r="AH420" i="4"/>
  <c r="AI420" i="4"/>
  <c r="AJ420" i="4"/>
  <c r="AT420" i="4"/>
  <c r="AU420" i="4"/>
  <c r="AV420" i="4"/>
  <c r="BB420" i="4"/>
  <c r="BC420" i="4"/>
  <c r="BD420" i="4"/>
  <c r="BE420" i="4"/>
  <c r="BF420" i="4"/>
  <c r="BG420" i="4"/>
  <c r="BH420" i="4"/>
  <c r="BI420" i="4"/>
  <c r="BJ420" i="4"/>
  <c r="BL420" i="4"/>
  <c r="BM420" i="4"/>
  <c r="BN420" i="4"/>
  <c r="BO420" i="4"/>
  <c r="BT420" i="4"/>
  <c r="BU420" i="4"/>
  <c r="BV420" i="4"/>
  <c r="BW420" i="4"/>
  <c r="BX420" i="4"/>
  <c r="BY420" i="4"/>
  <c r="BZ420" i="4"/>
  <c r="CA420" i="4"/>
  <c r="CB420" i="4"/>
  <c r="CC420" i="4"/>
  <c r="CD420" i="4"/>
  <c r="CE420" i="4"/>
  <c r="CG420" i="4"/>
  <c r="CJ420" i="4"/>
  <c r="CK420" i="4"/>
  <c r="CL420" i="4"/>
  <c r="CN420" i="4"/>
  <c r="CP420" i="4"/>
  <c r="CQ420" i="4"/>
  <c r="C421" i="4"/>
  <c r="D421" i="4"/>
  <c r="E421" i="4"/>
  <c r="F421" i="4"/>
  <c r="N421" i="4"/>
  <c r="O421" i="4"/>
  <c r="P421" i="4"/>
  <c r="Q421" i="4"/>
  <c r="R421" i="4"/>
  <c r="S421" i="4"/>
  <c r="T421" i="4"/>
  <c r="U421" i="4"/>
  <c r="V421" i="4"/>
  <c r="W421" i="4"/>
  <c r="X421" i="4"/>
  <c r="AB421" i="4"/>
  <c r="AC421" i="4"/>
  <c r="AD421" i="4"/>
  <c r="AE421" i="4"/>
  <c r="AF421" i="4"/>
  <c r="AG421" i="4"/>
  <c r="AH421" i="4"/>
  <c r="AI421" i="4"/>
  <c r="AJ421" i="4"/>
  <c r="AT421" i="4"/>
  <c r="AU421" i="4"/>
  <c r="AV421" i="4"/>
  <c r="BB421" i="4"/>
  <c r="BC421" i="4"/>
  <c r="BD421" i="4"/>
  <c r="BE421" i="4"/>
  <c r="BF421" i="4"/>
  <c r="BG421" i="4"/>
  <c r="BH421" i="4"/>
  <c r="BI421" i="4"/>
  <c r="BJ421" i="4"/>
  <c r="BL421" i="4"/>
  <c r="BM421" i="4"/>
  <c r="BN421" i="4"/>
  <c r="BO421" i="4"/>
  <c r="BT421" i="4"/>
  <c r="BU421" i="4"/>
  <c r="BV421" i="4"/>
  <c r="BW421" i="4"/>
  <c r="BX421" i="4"/>
  <c r="BY421" i="4"/>
  <c r="BZ421" i="4"/>
  <c r="CA421" i="4"/>
  <c r="CB421" i="4"/>
  <c r="CC421" i="4"/>
  <c r="CD421" i="4"/>
  <c r="CE421" i="4"/>
  <c r="CG421" i="4"/>
  <c r="CJ421" i="4"/>
  <c r="CK421" i="4"/>
  <c r="CL421" i="4"/>
  <c r="CN421" i="4"/>
  <c r="CP421" i="4"/>
  <c r="CQ421" i="4"/>
  <c r="C422" i="4"/>
  <c r="D422" i="4"/>
  <c r="E422" i="4"/>
  <c r="F422" i="4"/>
  <c r="N422" i="4"/>
  <c r="O422" i="4"/>
  <c r="P422" i="4"/>
  <c r="Q422" i="4"/>
  <c r="R422" i="4"/>
  <c r="S422" i="4"/>
  <c r="T422" i="4"/>
  <c r="U422" i="4"/>
  <c r="V422" i="4"/>
  <c r="W422" i="4"/>
  <c r="X422" i="4"/>
  <c r="AB422" i="4"/>
  <c r="AC422" i="4"/>
  <c r="AD422" i="4"/>
  <c r="AE422" i="4"/>
  <c r="AF422" i="4"/>
  <c r="AG422" i="4"/>
  <c r="AH422" i="4"/>
  <c r="AI422" i="4"/>
  <c r="AJ422" i="4"/>
  <c r="AT422" i="4"/>
  <c r="AU422" i="4"/>
  <c r="AV422" i="4"/>
  <c r="BB422" i="4"/>
  <c r="BC422" i="4"/>
  <c r="BD422" i="4"/>
  <c r="BE422" i="4"/>
  <c r="BF422" i="4"/>
  <c r="BG422" i="4"/>
  <c r="BH422" i="4"/>
  <c r="BI422" i="4"/>
  <c r="BJ422" i="4"/>
  <c r="BL422" i="4"/>
  <c r="BM422" i="4"/>
  <c r="BN422" i="4"/>
  <c r="BO422" i="4"/>
  <c r="BT422" i="4"/>
  <c r="BU422" i="4"/>
  <c r="BV422" i="4"/>
  <c r="BW422" i="4"/>
  <c r="BX422" i="4"/>
  <c r="BY422" i="4"/>
  <c r="BZ422" i="4"/>
  <c r="CA422" i="4"/>
  <c r="CB422" i="4"/>
  <c r="CC422" i="4"/>
  <c r="CD422" i="4"/>
  <c r="CE422" i="4"/>
  <c r="CG422" i="4"/>
  <c r="CJ422" i="4"/>
  <c r="CK422" i="4"/>
  <c r="CL422" i="4"/>
  <c r="CN422" i="4"/>
  <c r="CP422" i="4"/>
  <c r="CQ422" i="4"/>
  <c r="C423" i="4"/>
  <c r="D423" i="4"/>
  <c r="E423" i="4"/>
  <c r="F423" i="4"/>
  <c r="N423" i="4"/>
  <c r="O423" i="4"/>
  <c r="P423" i="4"/>
  <c r="Q423" i="4"/>
  <c r="R423" i="4"/>
  <c r="S423" i="4"/>
  <c r="T423" i="4"/>
  <c r="U423" i="4"/>
  <c r="V423" i="4"/>
  <c r="W423" i="4"/>
  <c r="X423" i="4"/>
  <c r="AB423" i="4"/>
  <c r="AC423" i="4"/>
  <c r="AD423" i="4"/>
  <c r="AE423" i="4"/>
  <c r="AF423" i="4"/>
  <c r="AG423" i="4"/>
  <c r="AH423" i="4"/>
  <c r="AI423" i="4"/>
  <c r="AJ423" i="4"/>
  <c r="AT423" i="4"/>
  <c r="AU423" i="4"/>
  <c r="AV423" i="4"/>
  <c r="BB423" i="4"/>
  <c r="BC423" i="4"/>
  <c r="BD423" i="4"/>
  <c r="BE423" i="4"/>
  <c r="BF423" i="4"/>
  <c r="BG423" i="4"/>
  <c r="BH423" i="4"/>
  <c r="BI423" i="4"/>
  <c r="BJ423" i="4"/>
  <c r="BL423" i="4"/>
  <c r="BM423" i="4"/>
  <c r="BN423" i="4"/>
  <c r="BO423" i="4"/>
  <c r="BT423" i="4"/>
  <c r="BU423" i="4"/>
  <c r="BV423" i="4"/>
  <c r="BW423" i="4"/>
  <c r="BX423" i="4"/>
  <c r="BY423" i="4"/>
  <c r="BZ423" i="4"/>
  <c r="CA423" i="4"/>
  <c r="CB423" i="4"/>
  <c r="CC423" i="4"/>
  <c r="CD423" i="4"/>
  <c r="CE423" i="4"/>
  <c r="CG423" i="4"/>
  <c r="CJ423" i="4"/>
  <c r="CK423" i="4"/>
  <c r="CL423" i="4"/>
  <c r="CN423" i="4"/>
  <c r="CP423" i="4"/>
  <c r="CQ423" i="4"/>
  <c r="C424" i="4"/>
  <c r="D424" i="4"/>
  <c r="E424" i="4"/>
  <c r="F424" i="4"/>
  <c r="N424" i="4"/>
  <c r="O424" i="4"/>
  <c r="P424" i="4"/>
  <c r="Q424" i="4"/>
  <c r="R424" i="4"/>
  <c r="S424" i="4"/>
  <c r="T424" i="4"/>
  <c r="U424" i="4"/>
  <c r="V424" i="4"/>
  <c r="W424" i="4"/>
  <c r="X424" i="4"/>
  <c r="AB424" i="4"/>
  <c r="AC424" i="4"/>
  <c r="AD424" i="4"/>
  <c r="AE424" i="4"/>
  <c r="AF424" i="4"/>
  <c r="AG424" i="4"/>
  <c r="AH424" i="4"/>
  <c r="AI424" i="4"/>
  <c r="AJ424" i="4"/>
  <c r="AT424" i="4"/>
  <c r="AU424" i="4"/>
  <c r="AV424" i="4"/>
  <c r="BB424" i="4"/>
  <c r="BC424" i="4"/>
  <c r="BD424" i="4"/>
  <c r="BE424" i="4"/>
  <c r="BF424" i="4"/>
  <c r="BG424" i="4"/>
  <c r="BH424" i="4"/>
  <c r="BI424" i="4"/>
  <c r="BJ424" i="4"/>
  <c r="BL424" i="4"/>
  <c r="BM424" i="4"/>
  <c r="BN424" i="4"/>
  <c r="BO424" i="4"/>
  <c r="BT424" i="4"/>
  <c r="BU424" i="4"/>
  <c r="BV424" i="4"/>
  <c r="BW424" i="4"/>
  <c r="BX424" i="4"/>
  <c r="BY424" i="4"/>
  <c r="BZ424" i="4"/>
  <c r="CA424" i="4"/>
  <c r="CB424" i="4"/>
  <c r="CC424" i="4"/>
  <c r="CD424" i="4"/>
  <c r="CE424" i="4"/>
  <c r="CG424" i="4"/>
  <c r="CJ424" i="4"/>
  <c r="CK424" i="4"/>
  <c r="CL424" i="4"/>
  <c r="CN424" i="4"/>
  <c r="CP424" i="4"/>
  <c r="CQ424" i="4"/>
  <c r="C425" i="4"/>
  <c r="D425" i="4"/>
  <c r="E425" i="4"/>
  <c r="F425" i="4"/>
  <c r="N425" i="4"/>
  <c r="O425" i="4"/>
  <c r="P425" i="4"/>
  <c r="Q425" i="4"/>
  <c r="R425" i="4"/>
  <c r="S425" i="4"/>
  <c r="T425" i="4"/>
  <c r="U425" i="4"/>
  <c r="V425" i="4"/>
  <c r="W425" i="4"/>
  <c r="X425" i="4"/>
  <c r="AB425" i="4"/>
  <c r="AC425" i="4"/>
  <c r="AD425" i="4"/>
  <c r="AE425" i="4"/>
  <c r="AF425" i="4"/>
  <c r="AG425" i="4"/>
  <c r="AH425" i="4"/>
  <c r="AI425" i="4"/>
  <c r="AJ425" i="4"/>
  <c r="AT425" i="4"/>
  <c r="AU425" i="4"/>
  <c r="AV425" i="4"/>
  <c r="BB425" i="4"/>
  <c r="BC425" i="4"/>
  <c r="BD425" i="4"/>
  <c r="BE425" i="4"/>
  <c r="BF425" i="4"/>
  <c r="BG425" i="4"/>
  <c r="BH425" i="4"/>
  <c r="BI425" i="4"/>
  <c r="BJ425" i="4"/>
  <c r="BL425" i="4"/>
  <c r="BM425" i="4"/>
  <c r="BN425" i="4"/>
  <c r="BO425" i="4"/>
  <c r="BT425" i="4"/>
  <c r="BU425" i="4"/>
  <c r="BV425" i="4"/>
  <c r="BW425" i="4"/>
  <c r="BX425" i="4"/>
  <c r="BY425" i="4"/>
  <c r="BZ425" i="4"/>
  <c r="CA425" i="4"/>
  <c r="CB425" i="4"/>
  <c r="CC425" i="4"/>
  <c r="CD425" i="4"/>
  <c r="CE425" i="4"/>
  <c r="CG425" i="4"/>
  <c r="CJ425" i="4"/>
  <c r="CK425" i="4"/>
  <c r="CL425" i="4"/>
  <c r="CN425" i="4"/>
  <c r="CP425" i="4"/>
  <c r="CQ425" i="4"/>
  <c r="C426" i="4"/>
  <c r="D426" i="4"/>
  <c r="E426" i="4"/>
  <c r="F426" i="4"/>
  <c r="N426" i="4"/>
  <c r="O426" i="4"/>
  <c r="P426" i="4"/>
  <c r="Q426" i="4"/>
  <c r="R426" i="4"/>
  <c r="S426" i="4"/>
  <c r="T426" i="4"/>
  <c r="U426" i="4"/>
  <c r="V426" i="4"/>
  <c r="W426" i="4"/>
  <c r="X426" i="4"/>
  <c r="AB426" i="4"/>
  <c r="AC426" i="4"/>
  <c r="AD426" i="4"/>
  <c r="AE426" i="4"/>
  <c r="AF426" i="4"/>
  <c r="AG426" i="4"/>
  <c r="AH426" i="4"/>
  <c r="AI426" i="4"/>
  <c r="AJ426" i="4"/>
  <c r="AT426" i="4"/>
  <c r="AU426" i="4"/>
  <c r="AV426" i="4"/>
  <c r="BB426" i="4"/>
  <c r="BC426" i="4"/>
  <c r="BD426" i="4"/>
  <c r="BE426" i="4"/>
  <c r="BF426" i="4"/>
  <c r="BG426" i="4"/>
  <c r="BH426" i="4"/>
  <c r="BI426" i="4"/>
  <c r="BJ426" i="4"/>
  <c r="BL426" i="4"/>
  <c r="BM426" i="4"/>
  <c r="BN426" i="4"/>
  <c r="BO426" i="4"/>
  <c r="BT426" i="4"/>
  <c r="BU426" i="4"/>
  <c r="BV426" i="4"/>
  <c r="BW426" i="4"/>
  <c r="BX426" i="4"/>
  <c r="BY426" i="4"/>
  <c r="BZ426" i="4"/>
  <c r="CA426" i="4"/>
  <c r="CB426" i="4"/>
  <c r="CC426" i="4"/>
  <c r="CD426" i="4"/>
  <c r="CE426" i="4"/>
  <c r="CG426" i="4"/>
  <c r="CJ426" i="4"/>
  <c r="CK426" i="4"/>
  <c r="CL426" i="4"/>
  <c r="CN426" i="4"/>
  <c r="CP426" i="4"/>
  <c r="CQ426" i="4"/>
  <c r="C427" i="4"/>
  <c r="D427" i="4"/>
  <c r="E427" i="4"/>
  <c r="F427" i="4"/>
  <c r="N427" i="4"/>
  <c r="O427" i="4"/>
  <c r="P427" i="4"/>
  <c r="Q427" i="4"/>
  <c r="R427" i="4"/>
  <c r="S427" i="4"/>
  <c r="T427" i="4"/>
  <c r="U427" i="4"/>
  <c r="V427" i="4"/>
  <c r="W427" i="4"/>
  <c r="X427" i="4"/>
  <c r="AB427" i="4"/>
  <c r="AC427" i="4"/>
  <c r="AD427" i="4"/>
  <c r="AE427" i="4"/>
  <c r="AF427" i="4"/>
  <c r="AG427" i="4"/>
  <c r="AH427" i="4"/>
  <c r="AI427" i="4"/>
  <c r="AJ427" i="4"/>
  <c r="AT427" i="4"/>
  <c r="AU427" i="4"/>
  <c r="AV427" i="4"/>
  <c r="BB427" i="4"/>
  <c r="BC427" i="4"/>
  <c r="BD427" i="4"/>
  <c r="BE427" i="4"/>
  <c r="BF427" i="4"/>
  <c r="BG427" i="4"/>
  <c r="BH427" i="4"/>
  <c r="BI427" i="4"/>
  <c r="BJ427" i="4"/>
  <c r="BL427" i="4"/>
  <c r="BM427" i="4"/>
  <c r="BN427" i="4"/>
  <c r="BO427" i="4"/>
  <c r="BT427" i="4"/>
  <c r="BU427" i="4"/>
  <c r="BV427" i="4"/>
  <c r="BW427" i="4"/>
  <c r="BX427" i="4"/>
  <c r="BY427" i="4"/>
  <c r="BZ427" i="4"/>
  <c r="CA427" i="4"/>
  <c r="CB427" i="4"/>
  <c r="CC427" i="4"/>
  <c r="CD427" i="4"/>
  <c r="CE427" i="4"/>
  <c r="CG427" i="4"/>
  <c r="CJ427" i="4"/>
  <c r="CK427" i="4"/>
  <c r="CL427" i="4"/>
  <c r="CN427" i="4"/>
  <c r="CP427" i="4"/>
  <c r="CQ427" i="4"/>
  <c r="C428" i="4"/>
  <c r="D428" i="4"/>
  <c r="E428" i="4"/>
  <c r="F428" i="4"/>
  <c r="N428" i="4"/>
  <c r="O428" i="4"/>
  <c r="P428" i="4"/>
  <c r="Q428" i="4"/>
  <c r="R428" i="4"/>
  <c r="S428" i="4"/>
  <c r="T428" i="4"/>
  <c r="U428" i="4"/>
  <c r="V428" i="4"/>
  <c r="W428" i="4"/>
  <c r="X428" i="4"/>
  <c r="AB428" i="4"/>
  <c r="AC428" i="4"/>
  <c r="AD428" i="4"/>
  <c r="AE428" i="4"/>
  <c r="AF428" i="4"/>
  <c r="AG428" i="4"/>
  <c r="AH428" i="4"/>
  <c r="AI428" i="4"/>
  <c r="AJ428" i="4"/>
  <c r="AT428" i="4"/>
  <c r="AU428" i="4"/>
  <c r="AV428" i="4"/>
  <c r="BB428" i="4"/>
  <c r="BC428" i="4"/>
  <c r="BD428" i="4"/>
  <c r="BE428" i="4"/>
  <c r="BF428" i="4"/>
  <c r="BG428" i="4"/>
  <c r="BH428" i="4"/>
  <c r="BI428" i="4"/>
  <c r="BJ428" i="4"/>
  <c r="BL428" i="4"/>
  <c r="BM428" i="4"/>
  <c r="BN428" i="4"/>
  <c r="BO428" i="4"/>
  <c r="BT428" i="4"/>
  <c r="BU428" i="4"/>
  <c r="BV428" i="4"/>
  <c r="BW428" i="4"/>
  <c r="BX428" i="4"/>
  <c r="BY428" i="4"/>
  <c r="BZ428" i="4"/>
  <c r="CA428" i="4"/>
  <c r="CB428" i="4"/>
  <c r="CC428" i="4"/>
  <c r="CD428" i="4"/>
  <c r="CE428" i="4"/>
  <c r="CG428" i="4"/>
  <c r="CJ428" i="4"/>
  <c r="CK428" i="4"/>
  <c r="CL428" i="4"/>
  <c r="CN428" i="4"/>
  <c r="CP428" i="4"/>
  <c r="CQ428" i="4"/>
  <c r="C429" i="4"/>
  <c r="D429" i="4"/>
  <c r="E429" i="4"/>
  <c r="F429" i="4"/>
  <c r="N429" i="4"/>
  <c r="O429" i="4"/>
  <c r="P429" i="4"/>
  <c r="Q429" i="4"/>
  <c r="R429" i="4"/>
  <c r="S429" i="4"/>
  <c r="T429" i="4"/>
  <c r="U429" i="4"/>
  <c r="V429" i="4"/>
  <c r="W429" i="4"/>
  <c r="X429" i="4"/>
  <c r="AB429" i="4"/>
  <c r="AC429" i="4"/>
  <c r="AD429" i="4"/>
  <c r="AE429" i="4"/>
  <c r="AF429" i="4"/>
  <c r="AG429" i="4"/>
  <c r="AH429" i="4"/>
  <c r="AI429" i="4"/>
  <c r="AJ429" i="4"/>
  <c r="AT429" i="4"/>
  <c r="AU429" i="4"/>
  <c r="AV429" i="4"/>
  <c r="BB429" i="4"/>
  <c r="BC429" i="4"/>
  <c r="BD429" i="4"/>
  <c r="BE429" i="4"/>
  <c r="BF429" i="4"/>
  <c r="BG429" i="4"/>
  <c r="BH429" i="4"/>
  <c r="BI429" i="4"/>
  <c r="BJ429" i="4"/>
  <c r="BL429" i="4"/>
  <c r="BM429" i="4"/>
  <c r="BN429" i="4"/>
  <c r="BO429" i="4"/>
  <c r="BT429" i="4"/>
  <c r="BU429" i="4"/>
  <c r="BV429" i="4"/>
  <c r="BW429" i="4"/>
  <c r="BX429" i="4"/>
  <c r="BY429" i="4"/>
  <c r="BZ429" i="4"/>
  <c r="CA429" i="4"/>
  <c r="CB429" i="4"/>
  <c r="CC429" i="4"/>
  <c r="CD429" i="4"/>
  <c r="CE429" i="4"/>
  <c r="CG429" i="4"/>
  <c r="CJ429" i="4"/>
  <c r="CK429" i="4"/>
  <c r="CL429" i="4"/>
  <c r="CN429" i="4"/>
  <c r="CP429" i="4"/>
  <c r="CQ429" i="4"/>
  <c r="C430" i="4"/>
  <c r="D430" i="4"/>
  <c r="E430" i="4"/>
  <c r="F430" i="4"/>
  <c r="N430" i="4"/>
  <c r="O430" i="4"/>
  <c r="P430" i="4"/>
  <c r="Q430" i="4"/>
  <c r="R430" i="4"/>
  <c r="S430" i="4"/>
  <c r="T430" i="4"/>
  <c r="U430" i="4"/>
  <c r="V430" i="4"/>
  <c r="W430" i="4"/>
  <c r="X430" i="4"/>
  <c r="AB430" i="4"/>
  <c r="AC430" i="4"/>
  <c r="AD430" i="4"/>
  <c r="AE430" i="4"/>
  <c r="AF430" i="4"/>
  <c r="AG430" i="4"/>
  <c r="AH430" i="4"/>
  <c r="AI430" i="4"/>
  <c r="AJ430" i="4"/>
  <c r="AT430" i="4"/>
  <c r="AU430" i="4"/>
  <c r="AV430" i="4"/>
  <c r="BB430" i="4"/>
  <c r="BC430" i="4"/>
  <c r="BD430" i="4"/>
  <c r="BE430" i="4"/>
  <c r="BF430" i="4"/>
  <c r="BG430" i="4"/>
  <c r="BH430" i="4"/>
  <c r="BI430" i="4"/>
  <c r="BJ430" i="4"/>
  <c r="BL430" i="4"/>
  <c r="BM430" i="4"/>
  <c r="BN430" i="4"/>
  <c r="BO430" i="4"/>
  <c r="BT430" i="4"/>
  <c r="BU430" i="4"/>
  <c r="BV430" i="4"/>
  <c r="BW430" i="4"/>
  <c r="BX430" i="4"/>
  <c r="BY430" i="4"/>
  <c r="BZ430" i="4"/>
  <c r="CA430" i="4"/>
  <c r="CB430" i="4"/>
  <c r="CC430" i="4"/>
  <c r="CD430" i="4"/>
  <c r="CE430" i="4"/>
  <c r="CG430" i="4"/>
  <c r="CJ430" i="4"/>
  <c r="CK430" i="4"/>
  <c r="CL430" i="4"/>
  <c r="CN430" i="4"/>
  <c r="CP430" i="4"/>
  <c r="CQ430" i="4"/>
  <c r="C431" i="4"/>
  <c r="D431" i="4"/>
  <c r="E431" i="4"/>
  <c r="F431" i="4"/>
  <c r="N431" i="4"/>
  <c r="O431" i="4"/>
  <c r="P431" i="4"/>
  <c r="Q431" i="4"/>
  <c r="R431" i="4"/>
  <c r="S431" i="4"/>
  <c r="T431" i="4"/>
  <c r="U431" i="4"/>
  <c r="V431" i="4"/>
  <c r="W431" i="4"/>
  <c r="X431" i="4"/>
  <c r="AB431" i="4"/>
  <c r="AC431" i="4"/>
  <c r="AD431" i="4"/>
  <c r="AE431" i="4"/>
  <c r="AF431" i="4"/>
  <c r="AG431" i="4"/>
  <c r="AH431" i="4"/>
  <c r="AI431" i="4"/>
  <c r="AJ431" i="4"/>
  <c r="AT431" i="4"/>
  <c r="AU431" i="4"/>
  <c r="AV431" i="4"/>
  <c r="BB431" i="4"/>
  <c r="BC431" i="4"/>
  <c r="BD431" i="4"/>
  <c r="BE431" i="4"/>
  <c r="BF431" i="4"/>
  <c r="BG431" i="4"/>
  <c r="BH431" i="4"/>
  <c r="BI431" i="4"/>
  <c r="BJ431" i="4"/>
  <c r="BL431" i="4"/>
  <c r="BM431" i="4"/>
  <c r="BN431" i="4"/>
  <c r="BO431" i="4"/>
  <c r="BT431" i="4"/>
  <c r="BU431" i="4"/>
  <c r="BV431" i="4"/>
  <c r="BW431" i="4"/>
  <c r="BX431" i="4"/>
  <c r="BY431" i="4"/>
  <c r="BZ431" i="4"/>
  <c r="CA431" i="4"/>
  <c r="CB431" i="4"/>
  <c r="CC431" i="4"/>
  <c r="CD431" i="4"/>
  <c r="CE431" i="4"/>
  <c r="CG431" i="4"/>
  <c r="CJ431" i="4"/>
  <c r="CK431" i="4"/>
  <c r="CL431" i="4"/>
  <c r="CN431" i="4"/>
  <c r="CP431" i="4"/>
  <c r="CQ431" i="4"/>
  <c r="C432" i="4"/>
  <c r="D432" i="4"/>
  <c r="E432" i="4"/>
  <c r="F432" i="4"/>
  <c r="N432" i="4"/>
  <c r="O432" i="4"/>
  <c r="P432" i="4"/>
  <c r="Q432" i="4"/>
  <c r="R432" i="4"/>
  <c r="S432" i="4"/>
  <c r="T432" i="4"/>
  <c r="U432" i="4"/>
  <c r="V432" i="4"/>
  <c r="W432" i="4"/>
  <c r="X432" i="4"/>
  <c r="AB432" i="4"/>
  <c r="AC432" i="4"/>
  <c r="AD432" i="4"/>
  <c r="AE432" i="4"/>
  <c r="AF432" i="4"/>
  <c r="AG432" i="4"/>
  <c r="AH432" i="4"/>
  <c r="AI432" i="4"/>
  <c r="AJ432" i="4"/>
  <c r="AT432" i="4"/>
  <c r="AU432" i="4"/>
  <c r="AV432" i="4"/>
  <c r="BB432" i="4"/>
  <c r="BC432" i="4"/>
  <c r="BD432" i="4"/>
  <c r="BE432" i="4"/>
  <c r="BF432" i="4"/>
  <c r="BG432" i="4"/>
  <c r="BH432" i="4"/>
  <c r="BI432" i="4"/>
  <c r="BJ432" i="4"/>
  <c r="BL432" i="4"/>
  <c r="BM432" i="4"/>
  <c r="BN432" i="4"/>
  <c r="BO432" i="4"/>
  <c r="BT432" i="4"/>
  <c r="BU432" i="4"/>
  <c r="BV432" i="4"/>
  <c r="BW432" i="4"/>
  <c r="BX432" i="4"/>
  <c r="BY432" i="4"/>
  <c r="BZ432" i="4"/>
  <c r="CA432" i="4"/>
  <c r="CB432" i="4"/>
  <c r="CC432" i="4"/>
  <c r="CD432" i="4"/>
  <c r="CE432" i="4"/>
  <c r="CG432" i="4"/>
  <c r="CJ432" i="4"/>
  <c r="CK432" i="4"/>
  <c r="CL432" i="4"/>
  <c r="CN432" i="4"/>
  <c r="CP432" i="4"/>
  <c r="CQ432" i="4"/>
  <c r="C433" i="4"/>
  <c r="D433" i="4"/>
  <c r="E433" i="4"/>
  <c r="F433" i="4"/>
  <c r="N433" i="4"/>
  <c r="O433" i="4"/>
  <c r="P433" i="4"/>
  <c r="Q433" i="4"/>
  <c r="R433" i="4"/>
  <c r="S433" i="4"/>
  <c r="T433" i="4"/>
  <c r="U433" i="4"/>
  <c r="V433" i="4"/>
  <c r="W433" i="4"/>
  <c r="X433" i="4"/>
  <c r="AB433" i="4"/>
  <c r="AC433" i="4"/>
  <c r="AD433" i="4"/>
  <c r="AE433" i="4"/>
  <c r="AF433" i="4"/>
  <c r="AG433" i="4"/>
  <c r="AH433" i="4"/>
  <c r="AI433" i="4"/>
  <c r="AJ433" i="4"/>
  <c r="AT433" i="4"/>
  <c r="AU433" i="4"/>
  <c r="AV433" i="4"/>
  <c r="BB433" i="4"/>
  <c r="BC433" i="4"/>
  <c r="BD433" i="4"/>
  <c r="BE433" i="4"/>
  <c r="BF433" i="4"/>
  <c r="BG433" i="4"/>
  <c r="BH433" i="4"/>
  <c r="BI433" i="4"/>
  <c r="BJ433" i="4"/>
  <c r="BL433" i="4"/>
  <c r="BM433" i="4"/>
  <c r="BN433" i="4"/>
  <c r="BO433" i="4"/>
  <c r="BT433" i="4"/>
  <c r="BU433" i="4"/>
  <c r="BV433" i="4"/>
  <c r="BW433" i="4"/>
  <c r="BX433" i="4"/>
  <c r="BY433" i="4"/>
  <c r="BZ433" i="4"/>
  <c r="CA433" i="4"/>
  <c r="CB433" i="4"/>
  <c r="CC433" i="4"/>
  <c r="CD433" i="4"/>
  <c r="CE433" i="4"/>
  <c r="CG433" i="4"/>
  <c r="CJ433" i="4"/>
  <c r="CK433" i="4"/>
  <c r="CL433" i="4"/>
  <c r="CN433" i="4"/>
  <c r="CP433" i="4"/>
  <c r="CQ433" i="4"/>
  <c r="C434" i="4"/>
  <c r="D434" i="4"/>
  <c r="E434" i="4"/>
  <c r="F434" i="4"/>
  <c r="N434" i="4"/>
  <c r="O434" i="4"/>
  <c r="P434" i="4"/>
  <c r="Q434" i="4"/>
  <c r="R434" i="4"/>
  <c r="S434" i="4"/>
  <c r="T434" i="4"/>
  <c r="U434" i="4"/>
  <c r="V434" i="4"/>
  <c r="W434" i="4"/>
  <c r="X434" i="4"/>
  <c r="AB434" i="4"/>
  <c r="AC434" i="4"/>
  <c r="AD434" i="4"/>
  <c r="AE434" i="4"/>
  <c r="AF434" i="4"/>
  <c r="AG434" i="4"/>
  <c r="AH434" i="4"/>
  <c r="AI434" i="4"/>
  <c r="AJ434" i="4"/>
  <c r="AT434" i="4"/>
  <c r="AU434" i="4"/>
  <c r="AV434" i="4"/>
  <c r="BB434" i="4"/>
  <c r="BC434" i="4"/>
  <c r="BD434" i="4"/>
  <c r="BE434" i="4"/>
  <c r="BF434" i="4"/>
  <c r="BG434" i="4"/>
  <c r="BH434" i="4"/>
  <c r="BI434" i="4"/>
  <c r="BJ434" i="4"/>
  <c r="BL434" i="4"/>
  <c r="BM434" i="4"/>
  <c r="BN434" i="4"/>
  <c r="BO434" i="4"/>
  <c r="BT434" i="4"/>
  <c r="BU434" i="4"/>
  <c r="BV434" i="4"/>
  <c r="BW434" i="4"/>
  <c r="BX434" i="4"/>
  <c r="BY434" i="4"/>
  <c r="BZ434" i="4"/>
  <c r="CA434" i="4"/>
  <c r="CB434" i="4"/>
  <c r="CC434" i="4"/>
  <c r="CD434" i="4"/>
  <c r="CE434" i="4"/>
  <c r="CG434" i="4"/>
  <c r="CJ434" i="4"/>
  <c r="CK434" i="4"/>
  <c r="CL434" i="4"/>
  <c r="CN434" i="4"/>
  <c r="CP434" i="4"/>
  <c r="CQ434" i="4"/>
  <c r="C435" i="4"/>
  <c r="D435" i="4"/>
  <c r="E435" i="4"/>
  <c r="F435" i="4"/>
  <c r="N435" i="4"/>
  <c r="O435" i="4"/>
  <c r="P435" i="4"/>
  <c r="Q435" i="4"/>
  <c r="R435" i="4"/>
  <c r="S435" i="4"/>
  <c r="T435" i="4"/>
  <c r="U435" i="4"/>
  <c r="V435" i="4"/>
  <c r="W435" i="4"/>
  <c r="X435" i="4"/>
  <c r="AB435" i="4"/>
  <c r="AC435" i="4"/>
  <c r="AD435" i="4"/>
  <c r="AE435" i="4"/>
  <c r="AF435" i="4"/>
  <c r="AG435" i="4"/>
  <c r="AH435" i="4"/>
  <c r="AI435" i="4"/>
  <c r="AJ435" i="4"/>
  <c r="AT435" i="4"/>
  <c r="AU435" i="4"/>
  <c r="AV435" i="4"/>
  <c r="BB435" i="4"/>
  <c r="BC435" i="4"/>
  <c r="BD435" i="4"/>
  <c r="BE435" i="4"/>
  <c r="BF435" i="4"/>
  <c r="BG435" i="4"/>
  <c r="BH435" i="4"/>
  <c r="BI435" i="4"/>
  <c r="BJ435" i="4"/>
  <c r="BL435" i="4"/>
  <c r="BM435" i="4"/>
  <c r="BN435" i="4"/>
  <c r="BO435" i="4"/>
  <c r="BT435" i="4"/>
  <c r="BU435" i="4"/>
  <c r="BV435" i="4"/>
  <c r="BW435" i="4"/>
  <c r="BX435" i="4"/>
  <c r="BY435" i="4"/>
  <c r="BZ435" i="4"/>
  <c r="CA435" i="4"/>
  <c r="CB435" i="4"/>
  <c r="CC435" i="4"/>
  <c r="CD435" i="4"/>
  <c r="CE435" i="4"/>
  <c r="CG435" i="4"/>
  <c r="CJ435" i="4"/>
  <c r="CK435" i="4"/>
  <c r="CL435" i="4"/>
  <c r="CN435" i="4"/>
  <c r="CP435" i="4"/>
  <c r="CQ435" i="4"/>
  <c r="C436" i="4"/>
  <c r="D436" i="4"/>
  <c r="E436" i="4"/>
  <c r="F436" i="4"/>
  <c r="N436" i="4"/>
  <c r="O436" i="4"/>
  <c r="P436" i="4"/>
  <c r="Q436" i="4"/>
  <c r="R436" i="4"/>
  <c r="S436" i="4"/>
  <c r="T436" i="4"/>
  <c r="U436" i="4"/>
  <c r="V436" i="4"/>
  <c r="W436" i="4"/>
  <c r="X436" i="4"/>
  <c r="AB436" i="4"/>
  <c r="AC436" i="4"/>
  <c r="AD436" i="4"/>
  <c r="AE436" i="4"/>
  <c r="AF436" i="4"/>
  <c r="AG436" i="4"/>
  <c r="AH436" i="4"/>
  <c r="AI436" i="4"/>
  <c r="AJ436" i="4"/>
  <c r="AT436" i="4"/>
  <c r="AU436" i="4"/>
  <c r="AV436" i="4"/>
  <c r="BB436" i="4"/>
  <c r="BC436" i="4"/>
  <c r="BD436" i="4"/>
  <c r="BE436" i="4"/>
  <c r="BF436" i="4"/>
  <c r="BG436" i="4"/>
  <c r="BH436" i="4"/>
  <c r="BI436" i="4"/>
  <c r="BJ436" i="4"/>
  <c r="BL436" i="4"/>
  <c r="BM436" i="4"/>
  <c r="BN436" i="4"/>
  <c r="BO436" i="4"/>
  <c r="BT436" i="4"/>
  <c r="BU436" i="4"/>
  <c r="BV436" i="4"/>
  <c r="BW436" i="4"/>
  <c r="BX436" i="4"/>
  <c r="BY436" i="4"/>
  <c r="BZ436" i="4"/>
  <c r="CA436" i="4"/>
  <c r="CB436" i="4"/>
  <c r="CC436" i="4"/>
  <c r="CD436" i="4"/>
  <c r="CE436" i="4"/>
  <c r="CG436" i="4"/>
  <c r="CJ436" i="4"/>
  <c r="CK436" i="4"/>
  <c r="CL436" i="4"/>
  <c r="CN436" i="4"/>
  <c r="CP436" i="4"/>
  <c r="CQ436" i="4"/>
  <c r="C437" i="4"/>
  <c r="D437" i="4"/>
  <c r="E437" i="4"/>
  <c r="F437" i="4"/>
  <c r="N437" i="4"/>
  <c r="O437" i="4"/>
  <c r="P437" i="4"/>
  <c r="Q437" i="4"/>
  <c r="R437" i="4"/>
  <c r="S437" i="4"/>
  <c r="T437" i="4"/>
  <c r="U437" i="4"/>
  <c r="V437" i="4"/>
  <c r="W437" i="4"/>
  <c r="X437" i="4"/>
  <c r="AB437" i="4"/>
  <c r="AC437" i="4"/>
  <c r="AD437" i="4"/>
  <c r="AE437" i="4"/>
  <c r="AF437" i="4"/>
  <c r="AG437" i="4"/>
  <c r="AH437" i="4"/>
  <c r="AI437" i="4"/>
  <c r="AJ437" i="4"/>
  <c r="AT437" i="4"/>
  <c r="AU437" i="4"/>
  <c r="AV437" i="4"/>
  <c r="BB437" i="4"/>
  <c r="BC437" i="4"/>
  <c r="BD437" i="4"/>
  <c r="BE437" i="4"/>
  <c r="BF437" i="4"/>
  <c r="BG437" i="4"/>
  <c r="BH437" i="4"/>
  <c r="BI437" i="4"/>
  <c r="BJ437" i="4"/>
  <c r="BL437" i="4"/>
  <c r="BM437" i="4"/>
  <c r="BN437" i="4"/>
  <c r="BO437" i="4"/>
  <c r="BT437" i="4"/>
  <c r="BU437" i="4"/>
  <c r="BV437" i="4"/>
  <c r="BW437" i="4"/>
  <c r="BX437" i="4"/>
  <c r="BY437" i="4"/>
  <c r="BZ437" i="4"/>
  <c r="CA437" i="4"/>
  <c r="CB437" i="4"/>
  <c r="CC437" i="4"/>
  <c r="CD437" i="4"/>
  <c r="CE437" i="4"/>
  <c r="CG437" i="4"/>
  <c r="CJ437" i="4"/>
  <c r="CK437" i="4"/>
  <c r="CL437" i="4"/>
  <c r="CN437" i="4"/>
  <c r="CP437" i="4"/>
  <c r="CQ437" i="4"/>
  <c r="C438" i="4"/>
  <c r="D438" i="4"/>
  <c r="E438" i="4"/>
  <c r="F438" i="4"/>
  <c r="N438" i="4"/>
  <c r="O438" i="4"/>
  <c r="P438" i="4"/>
  <c r="Q438" i="4"/>
  <c r="R438" i="4"/>
  <c r="S438" i="4"/>
  <c r="T438" i="4"/>
  <c r="U438" i="4"/>
  <c r="V438" i="4"/>
  <c r="W438" i="4"/>
  <c r="X438" i="4"/>
  <c r="AB438" i="4"/>
  <c r="AC438" i="4"/>
  <c r="AD438" i="4"/>
  <c r="AE438" i="4"/>
  <c r="AF438" i="4"/>
  <c r="AG438" i="4"/>
  <c r="AH438" i="4"/>
  <c r="AI438" i="4"/>
  <c r="AJ438" i="4"/>
  <c r="AT438" i="4"/>
  <c r="AU438" i="4"/>
  <c r="AV438" i="4"/>
  <c r="BB438" i="4"/>
  <c r="BC438" i="4"/>
  <c r="BD438" i="4"/>
  <c r="BE438" i="4"/>
  <c r="BF438" i="4"/>
  <c r="BG438" i="4"/>
  <c r="BH438" i="4"/>
  <c r="BI438" i="4"/>
  <c r="BJ438" i="4"/>
  <c r="BL438" i="4"/>
  <c r="BM438" i="4"/>
  <c r="BN438" i="4"/>
  <c r="BO438" i="4"/>
  <c r="BT438" i="4"/>
  <c r="BU438" i="4"/>
  <c r="BV438" i="4"/>
  <c r="BW438" i="4"/>
  <c r="BX438" i="4"/>
  <c r="BY438" i="4"/>
  <c r="BZ438" i="4"/>
  <c r="CA438" i="4"/>
  <c r="CB438" i="4"/>
  <c r="CC438" i="4"/>
  <c r="CD438" i="4"/>
  <c r="CE438" i="4"/>
  <c r="CG438" i="4"/>
  <c r="CJ438" i="4"/>
  <c r="CK438" i="4"/>
  <c r="CL438" i="4"/>
  <c r="CN438" i="4"/>
  <c r="CP438" i="4"/>
  <c r="CQ438" i="4"/>
  <c r="C439" i="4"/>
  <c r="D439" i="4"/>
  <c r="E439" i="4"/>
  <c r="F439" i="4"/>
  <c r="N439" i="4"/>
  <c r="O439" i="4"/>
  <c r="P439" i="4"/>
  <c r="Q439" i="4"/>
  <c r="R439" i="4"/>
  <c r="S439" i="4"/>
  <c r="T439" i="4"/>
  <c r="U439" i="4"/>
  <c r="V439" i="4"/>
  <c r="W439" i="4"/>
  <c r="X439" i="4"/>
  <c r="AB439" i="4"/>
  <c r="AC439" i="4"/>
  <c r="AD439" i="4"/>
  <c r="AE439" i="4"/>
  <c r="AF439" i="4"/>
  <c r="AG439" i="4"/>
  <c r="AH439" i="4"/>
  <c r="AI439" i="4"/>
  <c r="AJ439" i="4"/>
  <c r="AT439" i="4"/>
  <c r="AU439" i="4"/>
  <c r="AV439" i="4"/>
  <c r="BB439" i="4"/>
  <c r="BC439" i="4"/>
  <c r="BD439" i="4"/>
  <c r="BE439" i="4"/>
  <c r="BF439" i="4"/>
  <c r="BG439" i="4"/>
  <c r="BH439" i="4"/>
  <c r="BI439" i="4"/>
  <c r="BJ439" i="4"/>
  <c r="BL439" i="4"/>
  <c r="BM439" i="4"/>
  <c r="BN439" i="4"/>
  <c r="BO439" i="4"/>
  <c r="BT439" i="4"/>
  <c r="BU439" i="4"/>
  <c r="BV439" i="4"/>
  <c r="BW439" i="4"/>
  <c r="BX439" i="4"/>
  <c r="BY439" i="4"/>
  <c r="BZ439" i="4"/>
  <c r="CA439" i="4"/>
  <c r="CB439" i="4"/>
  <c r="CC439" i="4"/>
  <c r="CD439" i="4"/>
  <c r="CE439" i="4"/>
  <c r="CG439" i="4"/>
  <c r="CJ439" i="4"/>
  <c r="CK439" i="4"/>
  <c r="CL439" i="4"/>
  <c r="CN439" i="4"/>
  <c r="CP439" i="4"/>
  <c r="CQ439" i="4"/>
  <c r="C440" i="4"/>
  <c r="D440" i="4"/>
  <c r="E440" i="4"/>
  <c r="F440" i="4"/>
  <c r="N440" i="4"/>
  <c r="O440" i="4"/>
  <c r="P440" i="4"/>
  <c r="Q440" i="4"/>
  <c r="R440" i="4"/>
  <c r="S440" i="4"/>
  <c r="T440" i="4"/>
  <c r="U440" i="4"/>
  <c r="V440" i="4"/>
  <c r="W440" i="4"/>
  <c r="X440" i="4"/>
  <c r="AB440" i="4"/>
  <c r="AC440" i="4"/>
  <c r="AD440" i="4"/>
  <c r="AE440" i="4"/>
  <c r="AF440" i="4"/>
  <c r="AG440" i="4"/>
  <c r="AH440" i="4"/>
  <c r="AI440" i="4"/>
  <c r="AJ440" i="4"/>
  <c r="AT440" i="4"/>
  <c r="AU440" i="4"/>
  <c r="AV440" i="4"/>
  <c r="BB440" i="4"/>
  <c r="BC440" i="4"/>
  <c r="BD440" i="4"/>
  <c r="BE440" i="4"/>
  <c r="BF440" i="4"/>
  <c r="BG440" i="4"/>
  <c r="BH440" i="4"/>
  <c r="BI440" i="4"/>
  <c r="BJ440" i="4"/>
  <c r="BL440" i="4"/>
  <c r="BM440" i="4"/>
  <c r="BN440" i="4"/>
  <c r="BO440" i="4"/>
  <c r="BT440" i="4"/>
  <c r="BU440" i="4"/>
  <c r="BV440" i="4"/>
  <c r="BW440" i="4"/>
  <c r="BX440" i="4"/>
  <c r="BY440" i="4"/>
  <c r="BZ440" i="4"/>
  <c r="CA440" i="4"/>
  <c r="CB440" i="4"/>
  <c r="CC440" i="4"/>
  <c r="CD440" i="4"/>
  <c r="CE440" i="4"/>
  <c r="CG440" i="4"/>
  <c r="CJ440" i="4"/>
  <c r="CK440" i="4"/>
  <c r="CL440" i="4"/>
  <c r="CN440" i="4"/>
  <c r="CP440" i="4"/>
  <c r="CQ440" i="4"/>
  <c r="C441" i="4"/>
  <c r="D441" i="4"/>
  <c r="E441" i="4"/>
  <c r="F441" i="4"/>
  <c r="N441" i="4"/>
  <c r="O441" i="4"/>
  <c r="P441" i="4"/>
  <c r="Q441" i="4"/>
  <c r="R441" i="4"/>
  <c r="S441" i="4"/>
  <c r="T441" i="4"/>
  <c r="U441" i="4"/>
  <c r="V441" i="4"/>
  <c r="W441" i="4"/>
  <c r="X441" i="4"/>
  <c r="AB441" i="4"/>
  <c r="AC441" i="4"/>
  <c r="AD441" i="4"/>
  <c r="AE441" i="4"/>
  <c r="AF441" i="4"/>
  <c r="AG441" i="4"/>
  <c r="AH441" i="4"/>
  <c r="AI441" i="4"/>
  <c r="AJ441" i="4"/>
  <c r="AT441" i="4"/>
  <c r="AU441" i="4"/>
  <c r="AV441" i="4"/>
  <c r="BB441" i="4"/>
  <c r="BC441" i="4"/>
  <c r="BD441" i="4"/>
  <c r="BE441" i="4"/>
  <c r="BF441" i="4"/>
  <c r="BG441" i="4"/>
  <c r="BH441" i="4"/>
  <c r="BI441" i="4"/>
  <c r="BJ441" i="4"/>
  <c r="BL441" i="4"/>
  <c r="BM441" i="4"/>
  <c r="BN441" i="4"/>
  <c r="BO441" i="4"/>
  <c r="BT441" i="4"/>
  <c r="BU441" i="4"/>
  <c r="BV441" i="4"/>
  <c r="BW441" i="4"/>
  <c r="BX441" i="4"/>
  <c r="BY441" i="4"/>
  <c r="BZ441" i="4"/>
  <c r="CA441" i="4"/>
  <c r="CB441" i="4"/>
  <c r="CC441" i="4"/>
  <c r="CD441" i="4"/>
  <c r="CE441" i="4"/>
  <c r="CG441" i="4"/>
  <c r="CJ441" i="4"/>
  <c r="CK441" i="4"/>
  <c r="CL441" i="4"/>
  <c r="CN441" i="4"/>
  <c r="CP441" i="4"/>
  <c r="CQ441" i="4"/>
  <c r="C442" i="4"/>
  <c r="D442" i="4"/>
  <c r="E442" i="4"/>
  <c r="F442" i="4"/>
  <c r="N442" i="4"/>
  <c r="O442" i="4"/>
  <c r="P442" i="4"/>
  <c r="Q442" i="4"/>
  <c r="R442" i="4"/>
  <c r="S442" i="4"/>
  <c r="T442" i="4"/>
  <c r="U442" i="4"/>
  <c r="V442" i="4"/>
  <c r="W442" i="4"/>
  <c r="X442" i="4"/>
  <c r="AB442" i="4"/>
  <c r="AC442" i="4"/>
  <c r="AD442" i="4"/>
  <c r="AE442" i="4"/>
  <c r="AF442" i="4"/>
  <c r="AG442" i="4"/>
  <c r="AH442" i="4"/>
  <c r="AI442" i="4"/>
  <c r="AJ442" i="4"/>
  <c r="AT442" i="4"/>
  <c r="AU442" i="4"/>
  <c r="AV442" i="4"/>
  <c r="BB442" i="4"/>
  <c r="BC442" i="4"/>
  <c r="BD442" i="4"/>
  <c r="BE442" i="4"/>
  <c r="BF442" i="4"/>
  <c r="BG442" i="4"/>
  <c r="BH442" i="4"/>
  <c r="BI442" i="4"/>
  <c r="BJ442" i="4"/>
  <c r="BL442" i="4"/>
  <c r="BM442" i="4"/>
  <c r="BN442" i="4"/>
  <c r="BO442" i="4"/>
  <c r="BT442" i="4"/>
  <c r="BU442" i="4"/>
  <c r="BV442" i="4"/>
  <c r="BW442" i="4"/>
  <c r="BX442" i="4"/>
  <c r="BY442" i="4"/>
  <c r="BZ442" i="4"/>
  <c r="CA442" i="4"/>
  <c r="CB442" i="4"/>
  <c r="CC442" i="4"/>
  <c r="CD442" i="4"/>
  <c r="CE442" i="4"/>
  <c r="CG442" i="4"/>
  <c r="CJ442" i="4"/>
  <c r="CK442" i="4"/>
  <c r="CL442" i="4"/>
  <c r="CN442" i="4"/>
  <c r="CP442" i="4"/>
  <c r="CQ442" i="4"/>
  <c r="C443" i="4"/>
  <c r="D443" i="4"/>
  <c r="E443" i="4"/>
  <c r="F443" i="4"/>
  <c r="N443" i="4"/>
  <c r="O443" i="4"/>
  <c r="P443" i="4"/>
  <c r="Q443" i="4"/>
  <c r="R443" i="4"/>
  <c r="S443" i="4"/>
  <c r="T443" i="4"/>
  <c r="U443" i="4"/>
  <c r="V443" i="4"/>
  <c r="W443" i="4"/>
  <c r="X443" i="4"/>
  <c r="AB443" i="4"/>
  <c r="AC443" i="4"/>
  <c r="AD443" i="4"/>
  <c r="AE443" i="4"/>
  <c r="AF443" i="4"/>
  <c r="AG443" i="4"/>
  <c r="AH443" i="4"/>
  <c r="AI443" i="4"/>
  <c r="AJ443" i="4"/>
  <c r="AT443" i="4"/>
  <c r="AU443" i="4"/>
  <c r="AV443" i="4"/>
  <c r="BB443" i="4"/>
  <c r="BC443" i="4"/>
  <c r="BD443" i="4"/>
  <c r="BE443" i="4"/>
  <c r="BF443" i="4"/>
  <c r="BG443" i="4"/>
  <c r="BH443" i="4"/>
  <c r="BI443" i="4"/>
  <c r="BJ443" i="4"/>
  <c r="BL443" i="4"/>
  <c r="BM443" i="4"/>
  <c r="BN443" i="4"/>
  <c r="BO443" i="4"/>
  <c r="BT443" i="4"/>
  <c r="BU443" i="4"/>
  <c r="BV443" i="4"/>
  <c r="BW443" i="4"/>
  <c r="BX443" i="4"/>
  <c r="BY443" i="4"/>
  <c r="BZ443" i="4"/>
  <c r="CA443" i="4"/>
  <c r="CB443" i="4"/>
  <c r="CC443" i="4"/>
  <c r="CD443" i="4"/>
  <c r="CE443" i="4"/>
  <c r="CG443" i="4"/>
  <c r="CJ443" i="4"/>
  <c r="CK443" i="4"/>
  <c r="CL443" i="4"/>
  <c r="CN443" i="4"/>
  <c r="CP443" i="4"/>
  <c r="CQ443" i="4"/>
  <c r="C444" i="4"/>
  <c r="D444" i="4"/>
  <c r="E444" i="4"/>
  <c r="F444" i="4"/>
  <c r="N444" i="4"/>
  <c r="O444" i="4"/>
  <c r="P444" i="4"/>
  <c r="Q444" i="4"/>
  <c r="R444" i="4"/>
  <c r="S444" i="4"/>
  <c r="T444" i="4"/>
  <c r="U444" i="4"/>
  <c r="V444" i="4"/>
  <c r="W444" i="4"/>
  <c r="X444" i="4"/>
  <c r="AB444" i="4"/>
  <c r="AC444" i="4"/>
  <c r="AD444" i="4"/>
  <c r="AE444" i="4"/>
  <c r="AF444" i="4"/>
  <c r="AG444" i="4"/>
  <c r="AH444" i="4"/>
  <c r="AI444" i="4"/>
  <c r="AJ444" i="4"/>
  <c r="AT444" i="4"/>
  <c r="AU444" i="4"/>
  <c r="AV444" i="4"/>
  <c r="BB444" i="4"/>
  <c r="BC444" i="4"/>
  <c r="BD444" i="4"/>
  <c r="BE444" i="4"/>
  <c r="BF444" i="4"/>
  <c r="BG444" i="4"/>
  <c r="BH444" i="4"/>
  <c r="BI444" i="4"/>
  <c r="BJ444" i="4"/>
  <c r="BL444" i="4"/>
  <c r="BM444" i="4"/>
  <c r="BN444" i="4"/>
  <c r="BO444" i="4"/>
  <c r="BT444" i="4"/>
  <c r="BU444" i="4"/>
  <c r="BV444" i="4"/>
  <c r="BW444" i="4"/>
  <c r="BX444" i="4"/>
  <c r="BY444" i="4"/>
  <c r="BZ444" i="4"/>
  <c r="CA444" i="4"/>
  <c r="CB444" i="4"/>
  <c r="CC444" i="4"/>
  <c r="CD444" i="4"/>
  <c r="CE444" i="4"/>
  <c r="CG444" i="4"/>
  <c r="CJ444" i="4"/>
  <c r="CK444" i="4"/>
  <c r="CL444" i="4"/>
  <c r="CN444" i="4"/>
  <c r="CP444" i="4"/>
  <c r="CQ444" i="4"/>
  <c r="C445" i="4"/>
  <c r="D445" i="4"/>
  <c r="E445" i="4"/>
  <c r="F445" i="4"/>
  <c r="N445" i="4"/>
  <c r="O445" i="4"/>
  <c r="P445" i="4"/>
  <c r="Q445" i="4"/>
  <c r="R445" i="4"/>
  <c r="S445" i="4"/>
  <c r="T445" i="4"/>
  <c r="U445" i="4"/>
  <c r="V445" i="4"/>
  <c r="W445" i="4"/>
  <c r="X445" i="4"/>
  <c r="AB445" i="4"/>
  <c r="AC445" i="4"/>
  <c r="AD445" i="4"/>
  <c r="AE445" i="4"/>
  <c r="AF445" i="4"/>
  <c r="AG445" i="4"/>
  <c r="AH445" i="4"/>
  <c r="AI445" i="4"/>
  <c r="AJ445" i="4"/>
  <c r="AT445" i="4"/>
  <c r="AU445" i="4"/>
  <c r="AV445" i="4"/>
  <c r="BB445" i="4"/>
  <c r="BC445" i="4"/>
  <c r="BD445" i="4"/>
  <c r="BE445" i="4"/>
  <c r="BF445" i="4"/>
  <c r="BG445" i="4"/>
  <c r="BH445" i="4"/>
  <c r="BI445" i="4"/>
  <c r="BJ445" i="4"/>
  <c r="BL445" i="4"/>
  <c r="BM445" i="4"/>
  <c r="BN445" i="4"/>
  <c r="BO445" i="4"/>
  <c r="BT445" i="4"/>
  <c r="BU445" i="4"/>
  <c r="BV445" i="4"/>
  <c r="BW445" i="4"/>
  <c r="BX445" i="4"/>
  <c r="BY445" i="4"/>
  <c r="BZ445" i="4"/>
  <c r="CA445" i="4"/>
  <c r="CB445" i="4"/>
  <c r="CC445" i="4"/>
  <c r="CD445" i="4"/>
  <c r="CE445" i="4"/>
  <c r="CG445" i="4"/>
  <c r="CJ445" i="4"/>
  <c r="CK445" i="4"/>
  <c r="CL445" i="4"/>
  <c r="CN445" i="4"/>
  <c r="CP445" i="4"/>
  <c r="CQ445" i="4"/>
  <c r="C446" i="4"/>
  <c r="D446" i="4"/>
  <c r="E446" i="4"/>
  <c r="F446" i="4"/>
  <c r="N446" i="4"/>
  <c r="O446" i="4"/>
  <c r="P446" i="4"/>
  <c r="Q446" i="4"/>
  <c r="R446" i="4"/>
  <c r="S446" i="4"/>
  <c r="T446" i="4"/>
  <c r="U446" i="4"/>
  <c r="V446" i="4"/>
  <c r="W446" i="4"/>
  <c r="X446" i="4"/>
  <c r="AB446" i="4"/>
  <c r="AC446" i="4"/>
  <c r="AD446" i="4"/>
  <c r="AE446" i="4"/>
  <c r="AF446" i="4"/>
  <c r="AG446" i="4"/>
  <c r="AH446" i="4"/>
  <c r="AI446" i="4"/>
  <c r="AJ446" i="4"/>
  <c r="AT446" i="4"/>
  <c r="AU446" i="4"/>
  <c r="AV446" i="4"/>
  <c r="BB446" i="4"/>
  <c r="BC446" i="4"/>
  <c r="BD446" i="4"/>
  <c r="BE446" i="4"/>
  <c r="BF446" i="4"/>
  <c r="BG446" i="4"/>
  <c r="BH446" i="4"/>
  <c r="BI446" i="4"/>
  <c r="BJ446" i="4"/>
  <c r="BL446" i="4"/>
  <c r="BM446" i="4"/>
  <c r="BN446" i="4"/>
  <c r="BO446" i="4"/>
  <c r="BT446" i="4"/>
  <c r="BU446" i="4"/>
  <c r="BV446" i="4"/>
  <c r="BW446" i="4"/>
  <c r="BX446" i="4"/>
  <c r="BY446" i="4"/>
  <c r="BZ446" i="4"/>
  <c r="CA446" i="4"/>
  <c r="CB446" i="4"/>
  <c r="CC446" i="4"/>
  <c r="CD446" i="4"/>
  <c r="CE446" i="4"/>
  <c r="CG446" i="4"/>
  <c r="CJ446" i="4"/>
  <c r="CK446" i="4"/>
  <c r="CL446" i="4"/>
  <c r="CN446" i="4"/>
  <c r="CP446" i="4"/>
  <c r="CQ446" i="4"/>
  <c r="C447" i="4"/>
  <c r="D447" i="4"/>
  <c r="E447" i="4"/>
  <c r="F447" i="4"/>
  <c r="N447" i="4"/>
  <c r="O447" i="4"/>
  <c r="P447" i="4"/>
  <c r="Q447" i="4"/>
  <c r="R447" i="4"/>
  <c r="S447" i="4"/>
  <c r="T447" i="4"/>
  <c r="U447" i="4"/>
  <c r="V447" i="4"/>
  <c r="W447" i="4"/>
  <c r="X447" i="4"/>
  <c r="AB447" i="4"/>
  <c r="AC447" i="4"/>
  <c r="AD447" i="4"/>
  <c r="AE447" i="4"/>
  <c r="AF447" i="4"/>
  <c r="AG447" i="4"/>
  <c r="AH447" i="4"/>
  <c r="AI447" i="4"/>
  <c r="AJ447" i="4"/>
  <c r="AT447" i="4"/>
  <c r="AU447" i="4"/>
  <c r="AV447" i="4"/>
  <c r="BB447" i="4"/>
  <c r="BC447" i="4"/>
  <c r="BD447" i="4"/>
  <c r="BE447" i="4"/>
  <c r="BF447" i="4"/>
  <c r="BG447" i="4"/>
  <c r="BH447" i="4"/>
  <c r="BI447" i="4"/>
  <c r="BJ447" i="4"/>
  <c r="BL447" i="4"/>
  <c r="BM447" i="4"/>
  <c r="BN447" i="4"/>
  <c r="BO447" i="4"/>
  <c r="BT447" i="4"/>
  <c r="BU447" i="4"/>
  <c r="BV447" i="4"/>
  <c r="BW447" i="4"/>
  <c r="BX447" i="4"/>
  <c r="BY447" i="4"/>
  <c r="BZ447" i="4"/>
  <c r="CA447" i="4"/>
  <c r="CB447" i="4"/>
  <c r="CC447" i="4"/>
  <c r="CD447" i="4"/>
  <c r="CE447" i="4"/>
  <c r="CG447" i="4"/>
  <c r="CJ447" i="4"/>
  <c r="CK447" i="4"/>
  <c r="CL447" i="4"/>
  <c r="CN447" i="4"/>
  <c r="CP447" i="4"/>
  <c r="CQ447" i="4"/>
  <c r="C448" i="4"/>
  <c r="D448" i="4"/>
  <c r="E448" i="4"/>
  <c r="F448" i="4"/>
  <c r="N448" i="4"/>
  <c r="O448" i="4"/>
  <c r="P448" i="4"/>
  <c r="Q448" i="4"/>
  <c r="R448" i="4"/>
  <c r="S448" i="4"/>
  <c r="T448" i="4"/>
  <c r="U448" i="4"/>
  <c r="V448" i="4"/>
  <c r="W448" i="4"/>
  <c r="X448" i="4"/>
  <c r="AB448" i="4"/>
  <c r="AC448" i="4"/>
  <c r="AD448" i="4"/>
  <c r="AE448" i="4"/>
  <c r="AF448" i="4"/>
  <c r="AG448" i="4"/>
  <c r="AH448" i="4"/>
  <c r="AI448" i="4"/>
  <c r="AJ448" i="4"/>
  <c r="AT448" i="4"/>
  <c r="AU448" i="4"/>
  <c r="AV448" i="4"/>
  <c r="BB448" i="4"/>
  <c r="BC448" i="4"/>
  <c r="BD448" i="4"/>
  <c r="BE448" i="4"/>
  <c r="BF448" i="4"/>
  <c r="BG448" i="4"/>
  <c r="BH448" i="4"/>
  <c r="BI448" i="4"/>
  <c r="BJ448" i="4"/>
  <c r="BL448" i="4"/>
  <c r="BM448" i="4"/>
  <c r="BN448" i="4"/>
  <c r="BO448" i="4"/>
  <c r="BT448" i="4"/>
  <c r="BU448" i="4"/>
  <c r="BV448" i="4"/>
  <c r="BW448" i="4"/>
  <c r="BX448" i="4"/>
  <c r="BY448" i="4"/>
  <c r="BZ448" i="4"/>
  <c r="CA448" i="4"/>
  <c r="CB448" i="4"/>
  <c r="CC448" i="4"/>
  <c r="CD448" i="4"/>
  <c r="CE448" i="4"/>
  <c r="CG448" i="4"/>
  <c r="CJ448" i="4"/>
  <c r="CK448" i="4"/>
  <c r="CL448" i="4"/>
  <c r="CN448" i="4"/>
  <c r="CP448" i="4"/>
  <c r="CQ448" i="4"/>
  <c r="C449" i="4"/>
  <c r="D449" i="4"/>
  <c r="E449" i="4"/>
  <c r="F449" i="4"/>
  <c r="N449" i="4"/>
  <c r="O449" i="4"/>
  <c r="P449" i="4"/>
  <c r="Q449" i="4"/>
  <c r="R449" i="4"/>
  <c r="S449" i="4"/>
  <c r="T449" i="4"/>
  <c r="U449" i="4"/>
  <c r="V449" i="4"/>
  <c r="W449" i="4"/>
  <c r="X449" i="4"/>
  <c r="AB449" i="4"/>
  <c r="AC449" i="4"/>
  <c r="AD449" i="4"/>
  <c r="AE449" i="4"/>
  <c r="AF449" i="4"/>
  <c r="AG449" i="4"/>
  <c r="AH449" i="4"/>
  <c r="AI449" i="4"/>
  <c r="AJ449" i="4"/>
  <c r="AT449" i="4"/>
  <c r="AU449" i="4"/>
  <c r="AV449" i="4"/>
  <c r="BB449" i="4"/>
  <c r="BC449" i="4"/>
  <c r="BD449" i="4"/>
  <c r="BE449" i="4"/>
  <c r="BF449" i="4"/>
  <c r="BG449" i="4"/>
  <c r="BH449" i="4"/>
  <c r="BI449" i="4"/>
  <c r="BJ449" i="4"/>
  <c r="BL449" i="4"/>
  <c r="BM449" i="4"/>
  <c r="BN449" i="4"/>
  <c r="BO449" i="4"/>
  <c r="BT449" i="4"/>
  <c r="BU449" i="4"/>
  <c r="BV449" i="4"/>
  <c r="BW449" i="4"/>
  <c r="BX449" i="4"/>
  <c r="BY449" i="4"/>
  <c r="BZ449" i="4"/>
  <c r="CA449" i="4"/>
  <c r="CB449" i="4"/>
  <c r="CC449" i="4"/>
  <c r="CD449" i="4"/>
  <c r="CE449" i="4"/>
  <c r="CG449" i="4"/>
  <c r="CJ449" i="4"/>
  <c r="CK449" i="4"/>
  <c r="CL449" i="4"/>
  <c r="CN449" i="4"/>
  <c r="CP449" i="4"/>
  <c r="CQ449" i="4"/>
  <c r="C450" i="4"/>
  <c r="D450" i="4"/>
  <c r="E450" i="4"/>
  <c r="F450" i="4"/>
  <c r="N450" i="4"/>
  <c r="O450" i="4"/>
  <c r="P450" i="4"/>
  <c r="Q450" i="4"/>
  <c r="R450" i="4"/>
  <c r="S450" i="4"/>
  <c r="T450" i="4"/>
  <c r="U450" i="4"/>
  <c r="V450" i="4"/>
  <c r="W450" i="4"/>
  <c r="X450" i="4"/>
  <c r="AB450" i="4"/>
  <c r="AC450" i="4"/>
  <c r="AD450" i="4"/>
  <c r="AE450" i="4"/>
  <c r="AF450" i="4"/>
  <c r="AG450" i="4"/>
  <c r="AH450" i="4"/>
  <c r="AI450" i="4"/>
  <c r="AJ450" i="4"/>
  <c r="AT450" i="4"/>
  <c r="AU450" i="4"/>
  <c r="AV450" i="4"/>
  <c r="BB450" i="4"/>
  <c r="BC450" i="4"/>
  <c r="BD450" i="4"/>
  <c r="BE450" i="4"/>
  <c r="BF450" i="4"/>
  <c r="BG450" i="4"/>
  <c r="BH450" i="4"/>
  <c r="BI450" i="4"/>
  <c r="BJ450" i="4"/>
  <c r="BL450" i="4"/>
  <c r="BM450" i="4"/>
  <c r="BN450" i="4"/>
  <c r="BO450" i="4"/>
  <c r="BT450" i="4"/>
  <c r="BU450" i="4"/>
  <c r="BV450" i="4"/>
  <c r="BW450" i="4"/>
  <c r="BX450" i="4"/>
  <c r="BY450" i="4"/>
  <c r="BZ450" i="4"/>
  <c r="CA450" i="4"/>
  <c r="CB450" i="4"/>
  <c r="CC450" i="4"/>
  <c r="CD450" i="4"/>
  <c r="CE450" i="4"/>
  <c r="CG450" i="4"/>
  <c r="CJ450" i="4"/>
  <c r="CK450" i="4"/>
  <c r="CL450" i="4"/>
  <c r="CN450" i="4"/>
  <c r="CP450" i="4"/>
  <c r="CQ450" i="4"/>
  <c r="C451" i="4"/>
  <c r="D451" i="4"/>
  <c r="E451" i="4"/>
  <c r="F451" i="4"/>
  <c r="N451" i="4"/>
  <c r="O451" i="4"/>
  <c r="P451" i="4"/>
  <c r="Q451" i="4"/>
  <c r="R451" i="4"/>
  <c r="S451" i="4"/>
  <c r="T451" i="4"/>
  <c r="U451" i="4"/>
  <c r="V451" i="4"/>
  <c r="W451" i="4"/>
  <c r="X451" i="4"/>
  <c r="AB451" i="4"/>
  <c r="AC451" i="4"/>
  <c r="AD451" i="4"/>
  <c r="AE451" i="4"/>
  <c r="AF451" i="4"/>
  <c r="AG451" i="4"/>
  <c r="AH451" i="4"/>
  <c r="AI451" i="4"/>
  <c r="AJ451" i="4"/>
  <c r="AT451" i="4"/>
  <c r="AU451" i="4"/>
  <c r="AV451" i="4"/>
  <c r="BB451" i="4"/>
  <c r="BC451" i="4"/>
  <c r="BD451" i="4"/>
  <c r="BE451" i="4"/>
  <c r="BF451" i="4"/>
  <c r="BG451" i="4"/>
  <c r="BH451" i="4"/>
  <c r="BI451" i="4"/>
  <c r="BJ451" i="4"/>
  <c r="BL451" i="4"/>
  <c r="BM451" i="4"/>
  <c r="BN451" i="4"/>
  <c r="BO451" i="4"/>
  <c r="BT451" i="4"/>
  <c r="BU451" i="4"/>
  <c r="BV451" i="4"/>
  <c r="BW451" i="4"/>
  <c r="BX451" i="4"/>
  <c r="BY451" i="4"/>
  <c r="BZ451" i="4"/>
  <c r="CA451" i="4"/>
  <c r="CB451" i="4"/>
  <c r="CC451" i="4"/>
  <c r="CD451" i="4"/>
  <c r="CE451" i="4"/>
  <c r="CG451" i="4"/>
  <c r="CJ451" i="4"/>
  <c r="CK451" i="4"/>
  <c r="CL451" i="4"/>
  <c r="CN451" i="4"/>
  <c r="CP451" i="4"/>
  <c r="CQ451" i="4"/>
  <c r="C452" i="4"/>
  <c r="D452" i="4"/>
  <c r="E452" i="4"/>
  <c r="F452" i="4"/>
  <c r="N452" i="4"/>
  <c r="O452" i="4"/>
  <c r="P452" i="4"/>
  <c r="Q452" i="4"/>
  <c r="R452" i="4"/>
  <c r="S452" i="4"/>
  <c r="T452" i="4"/>
  <c r="U452" i="4"/>
  <c r="V452" i="4"/>
  <c r="W452" i="4"/>
  <c r="X452" i="4"/>
  <c r="AB452" i="4"/>
  <c r="AC452" i="4"/>
  <c r="AD452" i="4"/>
  <c r="AE452" i="4"/>
  <c r="AF452" i="4"/>
  <c r="AG452" i="4"/>
  <c r="AH452" i="4"/>
  <c r="AI452" i="4"/>
  <c r="AJ452" i="4"/>
  <c r="AT452" i="4"/>
  <c r="AU452" i="4"/>
  <c r="AV452" i="4"/>
  <c r="BB452" i="4"/>
  <c r="BC452" i="4"/>
  <c r="BD452" i="4"/>
  <c r="BE452" i="4"/>
  <c r="BF452" i="4"/>
  <c r="BG452" i="4"/>
  <c r="BH452" i="4"/>
  <c r="BI452" i="4"/>
  <c r="BJ452" i="4"/>
  <c r="BL452" i="4"/>
  <c r="BM452" i="4"/>
  <c r="BN452" i="4"/>
  <c r="BO452" i="4"/>
  <c r="BT452" i="4"/>
  <c r="BU452" i="4"/>
  <c r="BV452" i="4"/>
  <c r="BW452" i="4"/>
  <c r="BX452" i="4"/>
  <c r="BY452" i="4"/>
  <c r="BZ452" i="4"/>
  <c r="CA452" i="4"/>
  <c r="CB452" i="4"/>
  <c r="CC452" i="4"/>
  <c r="CD452" i="4"/>
  <c r="CE452" i="4"/>
  <c r="CG452" i="4"/>
  <c r="CJ452" i="4"/>
  <c r="CK452" i="4"/>
  <c r="CL452" i="4"/>
  <c r="CN452" i="4"/>
  <c r="CP452" i="4"/>
  <c r="CQ452" i="4"/>
  <c r="C453" i="4"/>
  <c r="D453" i="4"/>
  <c r="E453" i="4"/>
  <c r="F453" i="4"/>
  <c r="N453" i="4"/>
  <c r="O453" i="4"/>
  <c r="P453" i="4"/>
  <c r="Q453" i="4"/>
  <c r="R453" i="4"/>
  <c r="S453" i="4"/>
  <c r="T453" i="4"/>
  <c r="U453" i="4"/>
  <c r="V453" i="4"/>
  <c r="W453" i="4"/>
  <c r="X453" i="4"/>
  <c r="AB453" i="4"/>
  <c r="AC453" i="4"/>
  <c r="AD453" i="4"/>
  <c r="AE453" i="4"/>
  <c r="AF453" i="4"/>
  <c r="AG453" i="4"/>
  <c r="AH453" i="4"/>
  <c r="AI453" i="4"/>
  <c r="AJ453" i="4"/>
  <c r="AT453" i="4"/>
  <c r="AU453" i="4"/>
  <c r="AV453" i="4"/>
  <c r="BB453" i="4"/>
  <c r="BC453" i="4"/>
  <c r="BD453" i="4"/>
  <c r="BE453" i="4"/>
  <c r="BF453" i="4"/>
  <c r="BG453" i="4"/>
  <c r="BH453" i="4"/>
  <c r="BI453" i="4"/>
  <c r="BJ453" i="4"/>
  <c r="BL453" i="4"/>
  <c r="BM453" i="4"/>
  <c r="BN453" i="4"/>
  <c r="BO453" i="4"/>
  <c r="BT453" i="4"/>
  <c r="BU453" i="4"/>
  <c r="BV453" i="4"/>
  <c r="BW453" i="4"/>
  <c r="BX453" i="4"/>
  <c r="BY453" i="4"/>
  <c r="BZ453" i="4"/>
  <c r="CA453" i="4"/>
  <c r="CB453" i="4"/>
  <c r="CC453" i="4"/>
  <c r="CD453" i="4"/>
  <c r="CE453" i="4"/>
  <c r="CG453" i="4"/>
  <c r="CJ453" i="4"/>
  <c r="CK453" i="4"/>
  <c r="CL453" i="4"/>
  <c r="CN453" i="4"/>
  <c r="CP453" i="4"/>
  <c r="CQ453" i="4"/>
  <c r="C454" i="4"/>
  <c r="D454" i="4"/>
  <c r="E454" i="4"/>
  <c r="F454" i="4"/>
  <c r="N454" i="4"/>
  <c r="O454" i="4"/>
  <c r="P454" i="4"/>
  <c r="Q454" i="4"/>
  <c r="R454" i="4"/>
  <c r="S454" i="4"/>
  <c r="T454" i="4"/>
  <c r="U454" i="4"/>
  <c r="V454" i="4"/>
  <c r="W454" i="4"/>
  <c r="X454" i="4"/>
  <c r="AB454" i="4"/>
  <c r="AC454" i="4"/>
  <c r="AD454" i="4"/>
  <c r="AE454" i="4"/>
  <c r="AF454" i="4"/>
  <c r="AG454" i="4"/>
  <c r="AH454" i="4"/>
  <c r="AI454" i="4"/>
  <c r="AJ454" i="4"/>
  <c r="AT454" i="4"/>
  <c r="AU454" i="4"/>
  <c r="AV454" i="4"/>
  <c r="BB454" i="4"/>
  <c r="BC454" i="4"/>
  <c r="BD454" i="4"/>
  <c r="BE454" i="4"/>
  <c r="BF454" i="4"/>
  <c r="BG454" i="4"/>
  <c r="BH454" i="4"/>
  <c r="BI454" i="4"/>
  <c r="BJ454" i="4"/>
  <c r="BL454" i="4"/>
  <c r="BM454" i="4"/>
  <c r="BN454" i="4"/>
  <c r="BO454" i="4"/>
  <c r="BT454" i="4"/>
  <c r="BU454" i="4"/>
  <c r="BV454" i="4"/>
  <c r="BW454" i="4"/>
  <c r="BX454" i="4"/>
  <c r="BY454" i="4"/>
  <c r="BZ454" i="4"/>
  <c r="CA454" i="4"/>
  <c r="CB454" i="4"/>
  <c r="CC454" i="4"/>
  <c r="CD454" i="4"/>
  <c r="CE454" i="4"/>
  <c r="CG454" i="4"/>
  <c r="CJ454" i="4"/>
  <c r="CK454" i="4"/>
  <c r="CL454" i="4"/>
  <c r="CN454" i="4"/>
  <c r="CP454" i="4"/>
  <c r="CQ454" i="4"/>
  <c r="C455" i="4"/>
  <c r="D455" i="4"/>
  <c r="E455" i="4"/>
  <c r="F455" i="4"/>
  <c r="N455" i="4"/>
  <c r="O455" i="4"/>
  <c r="P455" i="4"/>
  <c r="Q455" i="4"/>
  <c r="R455" i="4"/>
  <c r="S455" i="4"/>
  <c r="T455" i="4"/>
  <c r="U455" i="4"/>
  <c r="V455" i="4"/>
  <c r="W455" i="4"/>
  <c r="X455" i="4"/>
  <c r="AB455" i="4"/>
  <c r="AC455" i="4"/>
  <c r="AD455" i="4"/>
  <c r="AE455" i="4"/>
  <c r="AF455" i="4"/>
  <c r="AG455" i="4"/>
  <c r="AH455" i="4"/>
  <c r="AI455" i="4"/>
  <c r="AJ455" i="4"/>
  <c r="AT455" i="4"/>
  <c r="AU455" i="4"/>
  <c r="AV455" i="4"/>
  <c r="BB455" i="4"/>
  <c r="BC455" i="4"/>
  <c r="BD455" i="4"/>
  <c r="BE455" i="4"/>
  <c r="BF455" i="4"/>
  <c r="BG455" i="4"/>
  <c r="BH455" i="4"/>
  <c r="BI455" i="4"/>
  <c r="BJ455" i="4"/>
  <c r="BL455" i="4"/>
  <c r="BM455" i="4"/>
  <c r="BN455" i="4"/>
  <c r="BO455" i="4"/>
  <c r="BT455" i="4"/>
  <c r="BU455" i="4"/>
  <c r="BV455" i="4"/>
  <c r="BW455" i="4"/>
  <c r="BX455" i="4"/>
  <c r="BY455" i="4"/>
  <c r="BZ455" i="4"/>
  <c r="CA455" i="4"/>
  <c r="CB455" i="4"/>
  <c r="CC455" i="4"/>
  <c r="CD455" i="4"/>
  <c r="CE455" i="4"/>
  <c r="CG455" i="4"/>
  <c r="CJ455" i="4"/>
  <c r="CK455" i="4"/>
  <c r="CL455" i="4"/>
  <c r="CN455" i="4"/>
  <c r="CP455" i="4"/>
  <c r="CQ455" i="4"/>
  <c r="C456" i="4"/>
  <c r="D456" i="4"/>
  <c r="E456" i="4"/>
  <c r="F456" i="4"/>
  <c r="N456" i="4"/>
  <c r="O456" i="4"/>
  <c r="P456" i="4"/>
  <c r="Q456" i="4"/>
  <c r="R456" i="4"/>
  <c r="S456" i="4"/>
  <c r="T456" i="4"/>
  <c r="U456" i="4"/>
  <c r="V456" i="4"/>
  <c r="W456" i="4"/>
  <c r="X456" i="4"/>
  <c r="AB456" i="4"/>
  <c r="AC456" i="4"/>
  <c r="AD456" i="4"/>
  <c r="AE456" i="4"/>
  <c r="AF456" i="4"/>
  <c r="AG456" i="4"/>
  <c r="AH456" i="4"/>
  <c r="AI456" i="4"/>
  <c r="AJ456" i="4"/>
  <c r="AT456" i="4"/>
  <c r="AU456" i="4"/>
  <c r="AV456" i="4"/>
  <c r="BB456" i="4"/>
  <c r="BC456" i="4"/>
  <c r="BD456" i="4"/>
  <c r="BE456" i="4"/>
  <c r="BF456" i="4"/>
  <c r="BG456" i="4"/>
  <c r="BH456" i="4"/>
  <c r="BI456" i="4"/>
  <c r="BJ456" i="4"/>
  <c r="BL456" i="4"/>
  <c r="BM456" i="4"/>
  <c r="BN456" i="4"/>
  <c r="BO456" i="4"/>
  <c r="BT456" i="4"/>
  <c r="BU456" i="4"/>
  <c r="BV456" i="4"/>
  <c r="BW456" i="4"/>
  <c r="BX456" i="4"/>
  <c r="BY456" i="4"/>
  <c r="BZ456" i="4"/>
  <c r="CA456" i="4"/>
  <c r="CB456" i="4"/>
  <c r="CC456" i="4"/>
  <c r="CD456" i="4"/>
  <c r="CE456" i="4"/>
  <c r="CG456" i="4"/>
  <c r="CJ456" i="4"/>
  <c r="CK456" i="4"/>
  <c r="CL456" i="4"/>
  <c r="CN456" i="4"/>
  <c r="CP456" i="4"/>
  <c r="CQ456" i="4"/>
  <c r="C457" i="4"/>
  <c r="D457" i="4"/>
  <c r="E457" i="4"/>
  <c r="F457" i="4"/>
  <c r="N457" i="4"/>
  <c r="O457" i="4"/>
  <c r="P457" i="4"/>
  <c r="Q457" i="4"/>
  <c r="R457" i="4"/>
  <c r="S457" i="4"/>
  <c r="T457" i="4"/>
  <c r="U457" i="4"/>
  <c r="V457" i="4"/>
  <c r="W457" i="4"/>
  <c r="X457" i="4"/>
  <c r="AB457" i="4"/>
  <c r="AC457" i="4"/>
  <c r="AD457" i="4"/>
  <c r="AE457" i="4"/>
  <c r="AF457" i="4"/>
  <c r="AG457" i="4"/>
  <c r="AH457" i="4"/>
  <c r="AI457" i="4"/>
  <c r="AJ457" i="4"/>
  <c r="AT457" i="4"/>
  <c r="AU457" i="4"/>
  <c r="AV457" i="4"/>
  <c r="BB457" i="4"/>
  <c r="BC457" i="4"/>
  <c r="BD457" i="4"/>
  <c r="BE457" i="4"/>
  <c r="BF457" i="4"/>
  <c r="BG457" i="4"/>
  <c r="BH457" i="4"/>
  <c r="BI457" i="4"/>
  <c r="BJ457" i="4"/>
  <c r="BL457" i="4"/>
  <c r="BM457" i="4"/>
  <c r="BN457" i="4"/>
  <c r="BO457" i="4"/>
  <c r="BT457" i="4"/>
  <c r="BU457" i="4"/>
  <c r="BV457" i="4"/>
  <c r="BW457" i="4"/>
  <c r="BX457" i="4"/>
  <c r="BY457" i="4"/>
  <c r="BZ457" i="4"/>
  <c r="CA457" i="4"/>
  <c r="CB457" i="4"/>
  <c r="CC457" i="4"/>
  <c r="CD457" i="4"/>
  <c r="CE457" i="4"/>
  <c r="CG457" i="4"/>
  <c r="CJ457" i="4"/>
  <c r="CK457" i="4"/>
  <c r="CL457" i="4"/>
  <c r="CN457" i="4"/>
  <c r="CP457" i="4"/>
  <c r="CQ457" i="4"/>
  <c r="C458" i="4"/>
  <c r="D458" i="4"/>
  <c r="E458" i="4"/>
  <c r="F458" i="4"/>
  <c r="N458" i="4"/>
  <c r="O458" i="4"/>
  <c r="P458" i="4"/>
  <c r="Q458" i="4"/>
  <c r="R458" i="4"/>
  <c r="S458" i="4"/>
  <c r="T458" i="4"/>
  <c r="U458" i="4"/>
  <c r="V458" i="4"/>
  <c r="W458" i="4"/>
  <c r="X458" i="4"/>
  <c r="AB458" i="4"/>
  <c r="AC458" i="4"/>
  <c r="AD458" i="4"/>
  <c r="AE458" i="4"/>
  <c r="AF458" i="4"/>
  <c r="AG458" i="4"/>
  <c r="AH458" i="4"/>
  <c r="AI458" i="4"/>
  <c r="AJ458" i="4"/>
  <c r="AT458" i="4"/>
  <c r="AU458" i="4"/>
  <c r="AV458" i="4"/>
  <c r="BB458" i="4"/>
  <c r="BC458" i="4"/>
  <c r="BD458" i="4"/>
  <c r="BE458" i="4"/>
  <c r="BF458" i="4"/>
  <c r="BG458" i="4"/>
  <c r="BH458" i="4"/>
  <c r="BI458" i="4"/>
  <c r="BJ458" i="4"/>
  <c r="BL458" i="4"/>
  <c r="BM458" i="4"/>
  <c r="BN458" i="4"/>
  <c r="BO458" i="4"/>
  <c r="BT458" i="4"/>
  <c r="BU458" i="4"/>
  <c r="BV458" i="4"/>
  <c r="BW458" i="4"/>
  <c r="BX458" i="4"/>
  <c r="BY458" i="4"/>
  <c r="BZ458" i="4"/>
  <c r="CA458" i="4"/>
  <c r="CB458" i="4"/>
  <c r="CC458" i="4"/>
  <c r="CD458" i="4"/>
  <c r="CE458" i="4"/>
  <c r="CG458" i="4"/>
  <c r="CJ458" i="4"/>
  <c r="CK458" i="4"/>
  <c r="CL458" i="4"/>
  <c r="CN458" i="4"/>
  <c r="CP458" i="4"/>
  <c r="CQ458" i="4"/>
  <c r="C459" i="4"/>
  <c r="D459" i="4"/>
  <c r="E459" i="4"/>
  <c r="F459" i="4"/>
  <c r="N459" i="4"/>
  <c r="O459" i="4"/>
  <c r="P459" i="4"/>
  <c r="Q459" i="4"/>
  <c r="R459" i="4"/>
  <c r="S459" i="4"/>
  <c r="T459" i="4"/>
  <c r="U459" i="4"/>
  <c r="V459" i="4"/>
  <c r="W459" i="4"/>
  <c r="X459" i="4"/>
  <c r="AB459" i="4"/>
  <c r="AC459" i="4"/>
  <c r="AD459" i="4"/>
  <c r="AE459" i="4"/>
  <c r="AF459" i="4"/>
  <c r="AG459" i="4"/>
  <c r="AH459" i="4"/>
  <c r="AI459" i="4"/>
  <c r="AJ459" i="4"/>
  <c r="AT459" i="4"/>
  <c r="AU459" i="4"/>
  <c r="AV459" i="4"/>
  <c r="BB459" i="4"/>
  <c r="BC459" i="4"/>
  <c r="BD459" i="4"/>
  <c r="BE459" i="4"/>
  <c r="BF459" i="4"/>
  <c r="BG459" i="4"/>
  <c r="BH459" i="4"/>
  <c r="BI459" i="4"/>
  <c r="BJ459" i="4"/>
  <c r="BL459" i="4"/>
  <c r="BM459" i="4"/>
  <c r="BN459" i="4"/>
  <c r="BO459" i="4"/>
  <c r="BT459" i="4"/>
  <c r="BU459" i="4"/>
  <c r="BV459" i="4"/>
  <c r="BW459" i="4"/>
  <c r="BX459" i="4"/>
  <c r="BY459" i="4"/>
  <c r="BZ459" i="4"/>
  <c r="CA459" i="4"/>
  <c r="CB459" i="4"/>
  <c r="CC459" i="4"/>
  <c r="CD459" i="4"/>
  <c r="CE459" i="4"/>
  <c r="CG459" i="4"/>
  <c r="CJ459" i="4"/>
  <c r="CK459" i="4"/>
  <c r="CL459" i="4"/>
  <c r="CN459" i="4"/>
  <c r="CP459" i="4"/>
  <c r="CQ459" i="4"/>
  <c r="D467" i="1"/>
  <c r="D466" i="1"/>
  <c r="D472" i="1"/>
  <c r="D471" i="1"/>
  <c r="D470" i="1"/>
  <c r="D469" i="1"/>
  <c r="D468" i="1"/>
  <c r="D465" i="1"/>
  <c r="D464" i="1"/>
  <c r="D463" i="1"/>
  <c r="D462" i="1"/>
  <c r="K22" i="2"/>
  <c r="CY185" i="5" l="1"/>
  <c r="CY183" i="5"/>
  <c r="D474" i="1"/>
  <c r="CY184" i="5"/>
  <c r="CY182" i="5"/>
  <c r="CY180" i="5"/>
  <c r="D477" i="1"/>
  <c r="CY181" i="5"/>
  <c r="CY186" i="5"/>
  <c r="CY179" i="5"/>
  <c r="CZ200" i="5"/>
  <c r="CY192" i="5" s="1"/>
  <c r="CY108" i="5"/>
  <c r="CY109" i="5"/>
  <c r="CY101" i="5"/>
  <c r="CY102" i="5"/>
  <c r="CY103" i="5"/>
  <c r="CY104" i="5"/>
  <c r="CY105" i="5"/>
  <c r="CY106" i="5"/>
  <c r="CY107" i="5"/>
  <c r="DN30" i="5"/>
  <c r="DN27" i="5"/>
  <c r="DF13" i="5"/>
  <c r="DE12" i="5"/>
  <c r="CY12" i="5"/>
  <c r="DE5" i="5"/>
  <c r="CY5" i="5"/>
  <c r="DA12" i="5"/>
  <c r="CY6" i="5"/>
  <c r="CZ5" i="5"/>
  <c r="CZ12" i="5"/>
  <c r="DA5" i="5"/>
  <c r="DE6" i="5"/>
  <c r="DN15" i="5"/>
  <c r="DB12" i="5"/>
  <c r="CY7" i="5"/>
  <c r="DE7" i="5"/>
  <c r="CZ6" i="5"/>
  <c r="DB5" i="5"/>
  <c r="DC12" i="5"/>
  <c r="CY8" i="5"/>
  <c r="DC5" i="5"/>
  <c r="CZ7" i="5"/>
  <c r="DA6" i="5"/>
  <c r="DE8" i="5"/>
  <c r="DF5" i="5"/>
  <c r="CZ8" i="5"/>
  <c r="DE9" i="5"/>
  <c r="DA7" i="5"/>
  <c r="DB6" i="5"/>
  <c r="CY9" i="5"/>
  <c r="DD12" i="5"/>
  <c r="DD5" i="5"/>
  <c r="DA8" i="5"/>
  <c r="DF12" i="5"/>
  <c r="DC6" i="5"/>
  <c r="CY10" i="5"/>
  <c r="DE10" i="5"/>
  <c r="CZ9" i="5"/>
  <c r="DB7" i="5"/>
  <c r="DF6" i="5"/>
  <c r="DD6" i="5"/>
  <c r="DB8" i="5"/>
  <c r="DC7" i="5"/>
  <c r="DA9" i="5"/>
  <c r="CZ10" i="5"/>
  <c r="CY11" i="5"/>
  <c r="DE13" i="5"/>
  <c r="DE11" i="5"/>
  <c r="CZ13" i="5"/>
  <c r="CY13" i="5"/>
  <c r="DA10" i="5"/>
  <c r="DD7" i="5"/>
  <c r="DC8" i="5"/>
  <c r="DB9" i="5"/>
  <c r="CZ11" i="5"/>
  <c r="DA11" i="5"/>
  <c r="DC9" i="5"/>
  <c r="DD8" i="5"/>
  <c r="DF7" i="5"/>
  <c r="DB10" i="5"/>
  <c r="DD9" i="5"/>
  <c r="DB11" i="5"/>
  <c r="DF8" i="5"/>
  <c r="DC10" i="5"/>
  <c r="DA13" i="5"/>
  <c r="DF9" i="5"/>
  <c r="DC11" i="5"/>
  <c r="DD10" i="5"/>
  <c r="DB13" i="5"/>
  <c r="DC13" i="5"/>
  <c r="DD11" i="5"/>
  <c r="DF11" i="5"/>
  <c r="DF10" i="5"/>
  <c r="DD13" i="5"/>
  <c r="D475" i="1"/>
  <c r="D476" i="1"/>
  <c r="CY198" i="5" l="1"/>
  <c r="D478" i="1"/>
  <c r="CY194" i="5"/>
  <c r="CY196" i="5"/>
  <c r="CY199" i="5"/>
  <c r="CY200" i="5"/>
  <c r="DF27" i="5"/>
  <c r="DE19" i="5"/>
  <c r="DE26" i="5"/>
  <c r="CZ26" i="5"/>
  <c r="CY19" i="5"/>
  <c r="CY26" i="5"/>
  <c r="DE20" i="5"/>
  <c r="DA26" i="5"/>
  <c r="CY20" i="5"/>
  <c r="CZ20" i="5"/>
  <c r="CZ19" i="5"/>
  <c r="CZ21" i="5"/>
  <c r="DB26" i="5"/>
  <c r="DA19" i="5"/>
  <c r="CY21" i="5"/>
  <c r="DE21" i="5"/>
  <c r="DA20" i="5"/>
  <c r="CY22" i="5"/>
  <c r="DE22" i="5"/>
  <c r="DB19" i="5"/>
  <c r="DC26" i="5"/>
  <c r="CY23" i="5"/>
  <c r="DD26" i="5"/>
  <c r="DB20" i="5"/>
  <c r="DA21" i="5"/>
  <c r="DC19" i="5"/>
  <c r="DE23" i="5"/>
  <c r="CZ22" i="5"/>
  <c r="DE24" i="5"/>
  <c r="DD19" i="5"/>
  <c r="DB21" i="5"/>
  <c r="CY24" i="5"/>
  <c r="DA22" i="5"/>
  <c r="CZ23" i="5"/>
  <c r="DC20" i="5"/>
  <c r="DF19" i="5"/>
  <c r="DD20" i="5"/>
  <c r="CZ24" i="5"/>
  <c r="DC21" i="5"/>
  <c r="DE25" i="5"/>
  <c r="CY25" i="5"/>
  <c r="DA23" i="5"/>
  <c r="DB22" i="5"/>
  <c r="DF26" i="5"/>
  <c r="DF20" i="5"/>
  <c r="DC22" i="5"/>
  <c r="CZ25" i="5"/>
  <c r="DE27" i="5"/>
  <c r="CZ27" i="5"/>
  <c r="DD21" i="5"/>
  <c r="CY27" i="5"/>
  <c r="DB23" i="5"/>
  <c r="DA24" i="5"/>
  <c r="DB24" i="5"/>
  <c r="DF21" i="5"/>
  <c r="DC23" i="5"/>
  <c r="DA25" i="5"/>
  <c r="DD22" i="5"/>
  <c r="DF22" i="5"/>
  <c r="DC24" i="5"/>
  <c r="DB25" i="5"/>
  <c r="DD23" i="5"/>
  <c r="DA27" i="5"/>
  <c r="DF23" i="5"/>
  <c r="DC25" i="5"/>
  <c r="DB27" i="5"/>
  <c r="DD24" i="5"/>
  <c r="DF24" i="5"/>
  <c r="DD25" i="5"/>
  <c r="DC27" i="5"/>
  <c r="CY197" i="5"/>
  <c r="CY195" i="5"/>
  <c r="CY193" i="5"/>
  <c r="DD27" i="5"/>
  <c r="DF25" i="5"/>
  <c r="DN29" i="5"/>
  <c r="O46" i="2"/>
  <c r="O45" i="2"/>
  <c r="O37" i="2"/>
  <c r="T18" i="2"/>
  <c r="T13" i="2"/>
  <c r="T5" i="2"/>
  <c r="G38" i="2"/>
  <c r="G37" i="2"/>
  <c r="G36" i="2"/>
  <c r="G35" i="2"/>
  <c r="G34" i="2"/>
  <c r="G33" i="2"/>
  <c r="AG463" i="1"/>
  <c r="Z461" i="1"/>
  <c r="Y461" i="1"/>
  <c r="X461" i="1"/>
  <c r="W461" i="1"/>
  <c r="V461" i="1"/>
  <c r="U461" i="1"/>
  <c r="AN461" i="1"/>
  <c r="AM461" i="1"/>
  <c r="AL461" i="1"/>
  <c r="AK461" i="1"/>
  <c r="AJ461" i="1"/>
  <c r="T461" i="1"/>
  <c r="S461" i="1"/>
  <c r="R461" i="1"/>
  <c r="Q461" i="1"/>
  <c r="P461" i="1"/>
  <c r="CA462" i="1"/>
  <c r="CA461" i="1"/>
  <c r="CA464" i="1"/>
  <c r="BZ464" i="1"/>
  <c r="BY464" i="1"/>
  <c r="CA463" i="1"/>
  <c r="BZ463" i="1"/>
  <c r="BY463" i="1"/>
  <c r="BZ462" i="1"/>
  <c r="BY462" i="1"/>
  <c r="BZ461" i="1"/>
  <c r="BY461" i="1"/>
  <c r="BX464" i="1"/>
  <c r="BX463" i="1"/>
  <c r="BX462" i="1"/>
  <c r="BX461" i="1"/>
  <c r="BW461" i="1"/>
  <c r="BV461" i="1"/>
  <c r="BU461" i="1"/>
  <c r="BT461" i="1"/>
  <c r="AN462" i="1" l="1"/>
  <c r="BW462" i="1"/>
  <c r="U463" i="1"/>
  <c r="T462" i="1"/>
  <c r="T6" i="2"/>
  <c r="T19" i="2"/>
  <c r="BR461" i="1"/>
  <c r="BQ461" i="1"/>
  <c r="BP461" i="1"/>
  <c r="BO461" i="1"/>
  <c r="BN461" i="1"/>
  <c r="BM461" i="1"/>
  <c r="BL461" i="1"/>
  <c r="BK461" i="1"/>
  <c r="BJ461" i="1"/>
  <c r="BL462" i="1" l="1"/>
  <c r="BN462" i="1"/>
  <c r="BS462" i="1"/>
  <c r="T7" i="2"/>
  <c r="T20" i="2"/>
  <c r="BE454" i="1"/>
  <c r="AW454" i="4" s="1"/>
  <c r="BE453" i="1"/>
  <c r="AW453" i="4" s="1"/>
  <c r="BE446" i="1"/>
  <c r="AW446" i="4" s="1"/>
  <c r="DC459" i="1"/>
  <c r="DC458" i="1"/>
  <c r="DC457" i="1"/>
  <c r="DC456" i="1"/>
  <c r="DC455" i="1"/>
  <c r="DC454" i="1"/>
  <c r="DC453" i="1"/>
  <c r="DC452" i="1"/>
  <c r="DC451" i="1"/>
  <c r="DC450" i="1"/>
  <c r="DC449" i="1"/>
  <c r="DC448" i="1"/>
  <c r="DC447" i="1"/>
  <c r="DC446" i="1"/>
  <c r="DC445" i="1"/>
  <c r="DC444" i="1"/>
  <c r="DC443" i="1"/>
  <c r="DC442" i="1"/>
  <c r="DC441" i="1"/>
  <c r="DC440" i="1"/>
  <c r="DC439" i="1"/>
  <c r="DC438" i="1"/>
  <c r="DC437" i="1"/>
  <c r="DC436" i="1"/>
  <c r="DC435" i="1"/>
  <c r="DC434" i="1"/>
  <c r="DC433" i="1"/>
  <c r="DC432" i="1"/>
  <c r="DC431" i="1"/>
  <c r="DC430" i="1"/>
  <c r="DC429" i="1"/>
  <c r="DC428" i="1"/>
  <c r="DC427" i="1"/>
  <c r="DC426" i="1"/>
  <c r="DC425" i="1"/>
  <c r="DC424" i="1"/>
  <c r="DC423" i="1"/>
  <c r="DC422" i="1"/>
  <c r="DC421" i="1"/>
  <c r="DC420" i="1"/>
  <c r="DC419" i="1"/>
  <c r="DC418" i="1"/>
  <c r="DC417" i="1"/>
  <c r="DC416" i="1"/>
  <c r="DC415" i="1"/>
  <c r="DC414" i="1"/>
  <c r="DC413" i="1"/>
  <c r="DC412" i="1"/>
  <c r="DC411" i="1"/>
  <c r="DC410" i="1"/>
  <c r="DC409" i="1"/>
  <c r="DC408" i="1"/>
  <c r="DC407" i="1"/>
  <c r="DC406" i="1"/>
  <c r="DC405" i="1"/>
  <c r="DC404" i="1"/>
  <c r="DC403" i="1"/>
  <c r="DC402" i="1"/>
  <c r="DC401" i="1"/>
  <c r="DC400" i="1"/>
  <c r="DC399" i="1"/>
  <c r="DC398" i="1"/>
  <c r="DC397" i="1"/>
  <c r="DC396" i="1"/>
  <c r="DC395" i="1"/>
  <c r="DC394" i="1"/>
  <c r="DC393" i="1"/>
  <c r="DC392" i="1"/>
  <c r="DC391" i="1"/>
  <c r="DC390" i="1"/>
  <c r="DC389" i="1"/>
  <c r="DC388" i="1"/>
  <c r="DC387" i="1"/>
  <c r="DC386" i="1"/>
  <c r="DC385" i="1"/>
  <c r="DC384" i="1"/>
  <c r="DC383" i="1"/>
  <c r="DC382" i="1"/>
  <c r="DC381" i="1"/>
  <c r="DC380" i="1"/>
  <c r="DC379" i="1"/>
  <c r="DC378" i="1"/>
  <c r="DC377" i="1"/>
  <c r="DC376" i="1"/>
  <c r="DC375" i="1"/>
  <c r="DC374" i="1"/>
  <c r="DC373" i="1"/>
  <c r="DC372" i="1"/>
  <c r="DC371" i="1"/>
  <c r="DC370" i="1"/>
  <c r="DC369" i="1"/>
  <c r="DC368" i="1"/>
  <c r="DC367" i="1"/>
  <c r="DC366" i="1"/>
  <c r="DC365" i="1"/>
  <c r="DC364" i="1"/>
  <c r="DC363" i="1"/>
  <c r="DC362" i="1"/>
  <c r="DC361" i="1"/>
  <c r="DC360" i="1"/>
  <c r="DC359" i="1"/>
  <c r="DC358" i="1"/>
  <c r="DC357" i="1"/>
  <c r="DC356" i="1"/>
  <c r="DC355" i="1"/>
  <c r="DC354" i="1"/>
  <c r="DC353" i="1"/>
  <c r="DC352" i="1"/>
  <c r="DC351" i="1"/>
  <c r="DC350" i="1"/>
  <c r="DC349" i="1"/>
  <c r="DC348" i="1"/>
  <c r="DC347" i="1"/>
  <c r="DC346" i="1"/>
  <c r="DC345" i="1"/>
  <c r="DC344" i="1"/>
  <c r="DC343" i="1"/>
  <c r="DC342" i="1"/>
  <c r="DC341" i="1"/>
  <c r="DC340" i="1"/>
  <c r="DC339" i="1"/>
  <c r="DC338" i="1"/>
  <c r="DC337" i="1"/>
  <c r="DC336" i="1"/>
  <c r="DC335" i="1"/>
  <c r="DC334" i="1"/>
  <c r="DC333" i="1"/>
  <c r="DC332" i="1"/>
  <c r="DC331" i="1"/>
  <c r="DC330" i="1"/>
  <c r="DC329" i="1"/>
  <c r="DC328" i="1"/>
  <c r="DC327" i="1"/>
  <c r="DC326" i="1"/>
  <c r="DC325" i="1"/>
  <c r="DC324" i="1"/>
  <c r="DC323" i="1"/>
  <c r="DC322" i="1"/>
  <c r="DC321" i="1"/>
  <c r="DC320" i="1"/>
  <c r="DC319" i="1"/>
  <c r="DC318" i="1"/>
  <c r="DC317" i="1"/>
  <c r="DC316" i="1"/>
  <c r="DC315" i="1"/>
  <c r="DC314" i="1"/>
  <c r="DC313" i="1"/>
  <c r="DC312" i="1"/>
  <c r="DC311" i="1"/>
  <c r="DC310" i="1"/>
  <c r="DC309" i="1"/>
  <c r="DC308" i="1"/>
  <c r="DC307" i="1"/>
  <c r="DC306" i="1"/>
  <c r="DC305" i="1"/>
  <c r="DC304" i="1"/>
  <c r="DC303" i="1"/>
  <c r="DC302" i="1"/>
  <c r="DC301" i="1"/>
  <c r="DC300" i="1"/>
  <c r="DC299" i="1"/>
  <c r="DC298" i="1"/>
  <c r="DC297" i="1"/>
  <c r="DC296" i="1"/>
  <c r="DC295" i="1"/>
  <c r="DC294" i="1"/>
  <c r="DC293" i="1"/>
  <c r="DC292" i="1"/>
  <c r="DC291" i="1"/>
  <c r="DC290" i="1"/>
  <c r="DC289" i="1"/>
  <c r="DC288" i="1"/>
  <c r="DC287" i="1"/>
  <c r="DC286" i="1"/>
  <c r="DC285" i="1"/>
  <c r="DC284" i="1"/>
  <c r="DC283" i="1"/>
  <c r="DC282" i="1"/>
  <c r="DC281" i="1"/>
  <c r="DC280" i="1"/>
  <c r="DC279" i="1"/>
  <c r="DC278" i="1"/>
  <c r="DC277" i="1"/>
  <c r="DC276" i="1"/>
  <c r="DC275" i="1"/>
  <c r="DC274" i="1"/>
  <c r="DC273" i="1"/>
  <c r="DC272" i="1"/>
  <c r="DC271" i="1"/>
  <c r="DC270" i="1"/>
  <c r="DC269" i="1"/>
  <c r="DC268" i="1"/>
  <c r="DC267" i="1"/>
  <c r="DC266" i="1"/>
  <c r="DC265" i="1"/>
  <c r="DC264" i="1"/>
  <c r="DC263" i="1"/>
  <c r="DC262" i="1"/>
  <c r="DC261" i="1"/>
  <c r="DC260" i="1"/>
  <c r="DC259" i="1"/>
  <c r="DC258" i="1"/>
  <c r="DC257" i="1"/>
  <c r="DC256" i="1"/>
  <c r="DC255" i="1"/>
  <c r="DC254" i="1"/>
  <c r="DC253" i="1"/>
  <c r="DC252" i="1"/>
  <c r="DC251" i="1"/>
  <c r="DC250" i="1"/>
  <c r="DC249" i="1"/>
  <c r="DC248" i="1"/>
  <c r="DC247" i="1"/>
  <c r="DC246" i="1"/>
  <c r="DC245" i="1"/>
  <c r="DC244" i="1"/>
  <c r="DC243" i="1"/>
  <c r="DC242" i="1"/>
  <c r="DC241" i="1"/>
  <c r="DC240" i="1"/>
  <c r="DC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DC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C213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C200" i="1"/>
  <c r="DC199" i="1"/>
  <c r="DC198" i="1"/>
  <c r="DC197" i="1"/>
  <c r="DC196" i="1"/>
  <c r="DC195" i="1"/>
  <c r="DC194" i="1"/>
  <c r="DC193" i="1"/>
  <c r="DC192" i="1"/>
  <c r="DC191" i="1"/>
  <c r="DC190" i="1"/>
  <c r="DC189" i="1"/>
  <c r="DC188" i="1"/>
  <c r="DC187" i="1"/>
  <c r="DC186" i="1"/>
  <c r="DC185" i="1"/>
  <c r="DC184" i="1"/>
  <c r="DC183" i="1"/>
  <c r="DC182" i="1"/>
  <c r="DC181" i="1"/>
  <c r="DC180" i="1"/>
  <c r="DC179" i="1"/>
  <c r="DC178" i="1"/>
  <c r="DC177" i="1"/>
  <c r="DC176" i="1"/>
  <c r="DC175" i="1"/>
  <c r="DC174" i="1"/>
  <c r="DC173" i="1"/>
  <c r="DC172" i="1"/>
  <c r="DC171" i="1"/>
  <c r="DC170" i="1"/>
  <c r="DC169" i="1"/>
  <c r="DC168" i="1"/>
  <c r="DC167" i="1"/>
  <c r="DC166" i="1"/>
  <c r="DC165" i="1"/>
  <c r="DC164" i="1"/>
  <c r="DC163" i="1"/>
  <c r="DC162" i="1"/>
  <c r="DC161" i="1"/>
  <c r="DC160" i="1"/>
  <c r="DC159" i="1"/>
  <c r="DC158" i="1"/>
  <c r="DC157" i="1"/>
  <c r="DC156" i="1"/>
  <c r="DC155" i="1"/>
  <c r="DC154" i="1"/>
  <c r="DC153" i="1"/>
  <c r="DC152" i="1"/>
  <c r="DC151" i="1"/>
  <c r="DC150" i="1"/>
  <c r="DC149" i="1"/>
  <c r="DC148" i="1"/>
  <c r="DC147" i="1"/>
  <c r="DC146" i="1"/>
  <c r="DC145" i="1"/>
  <c r="DC144" i="1"/>
  <c r="DC143" i="1"/>
  <c r="DC142" i="1"/>
  <c r="DC141" i="1"/>
  <c r="DC140" i="1"/>
  <c r="DC139" i="1"/>
  <c r="DC138" i="1"/>
  <c r="DC137" i="1"/>
  <c r="DC136" i="1"/>
  <c r="DC135" i="1"/>
  <c r="DC134" i="1"/>
  <c r="DC133" i="1"/>
  <c r="DC132" i="1"/>
  <c r="DC131" i="1"/>
  <c r="DC130" i="1"/>
  <c r="DC129" i="1"/>
  <c r="DC128" i="1"/>
  <c r="DC127" i="1"/>
  <c r="DC126" i="1"/>
  <c r="DC125" i="1"/>
  <c r="DC124" i="1"/>
  <c r="DC123" i="1"/>
  <c r="DC122" i="1"/>
  <c r="DC121" i="1"/>
  <c r="DC120" i="1"/>
  <c r="DC119" i="1"/>
  <c r="DC118" i="1"/>
  <c r="DC117" i="1"/>
  <c r="DC116" i="1"/>
  <c r="DC115" i="1"/>
  <c r="DC114" i="1"/>
  <c r="DC113" i="1"/>
  <c r="DC112" i="1"/>
  <c r="DC111" i="1"/>
  <c r="DC110" i="1"/>
  <c r="DC109" i="1"/>
  <c r="DC108" i="1"/>
  <c r="DC107" i="1"/>
  <c r="DC106" i="1"/>
  <c r="DC105" i="1"/>
  <c r="DC104" i="1"/>
  <c r="DC103" i="1"/>
  <c r="DC102" i="1"/>
  <c r="DC101" i="1"/>
  <c r="DC100" i="1"/>
  <c r="DC99" i="1"/>
  <c r="DC98" i="1"/>
  <c r="DC97" i="1"/>
  <c r="DC96" i="1"/>
  <c r="DC95" i="1"/>
  <c r="DC94" i="1"/>
  <c r="DC93" i="1"/>
  <c r="DC92" i="1"/>
  <c r="DC91" i="1"/>
  <c r="DC90" i="1"/>
  <c r="DC89" i="1"/>
  <c r="DC88" i="1"/>
  <c r="DC87" i="1"/>
  <c r="DC86" i="1"/>
  <c r="DC85" i="1"/>
  <c r="DC84" i="1"/>
  <c r="DC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C70" i="1"/>
  <c r="DC69" i="1"/>
  <c r="DC68" i="1"/>
  <c r="DC67" i="1"/>
  <c r="DC66" i="1"/>
  <c r="DC65" i="1"/>
  <c r="DC64" i="1"/>
  <c r="DC63" i="1"/>
  <c r="DC62" i="1"/>
  <c r="DC61" i="1"/>
  <c r="DC60" i="1"/>
  <c r="DC59" i="1"/>
  <c r="DC58" i="1"/>
  <c r="DC57" i="1"/>
  <c r="DC56" i="1"/>
  <c r="DC55" i="1"/>
  <c r="DC54" i="1"/>
  <c r="DC53" i="1"/>
  <c r="DC52" i="1"/>
  <c r="DC51" i="1"/>
  <c r="DC50" i="1"/>
  <c r="DC49" i="1"/>
  <c r="DC48" i="1"/>
  <c r="DC47" i="1"/>
  <c r="DC46" i="1"/>
  <c r="DC45" i="1"/>
  <c r="DC44" i="1"/>
  <c r="DC43" i="1"/>
  <c r="DC42" i="1"/>
  <c r="DC41" i="1"/>
  <c r="DC40" i="1"/>
  <c r="DC39" i="1"/>
  <c r="DC38" i="1"/>
  <c r="DC37" i="1"/>
  <c r="DC36" i="1"/>
  <c r="DC35" i="1"/>
  <c r="DC34" i="1"/>
  <c r="DC33" i="1"/>
  <c r="DC32" i="1"/>
  <c r="DC31" i="1"/>
  <c r="DC30" i="1"/>
  <c r="DC29" i="1"/>
  <c r="DC28" i="1"/>
  <c r="DC27" i="1"/>
  <c r="DC26" i="1"/>
  <c r="DC25" i="1"/>
  <c r="DC24" i="1"/>
  <c r="DC23" i="1"/>
  <c r="DC22" i="1"/>
  <c r="DC21" i="1"/>
  <c r="DC20" i="1"/>
  <c r="DC19" i="1"/>
  <c r="DC18" i="1"/>
  <c r="DC17" i="1"/>
  <c r="DC16" i="1"/>
  <c r="DC15" i="1"/>
  <c r="DC14" i="1"/>
  <c r="DC13" i="1"/>
  <c r="DC12" i="1"/>
  <c r="DC11" i="1"/>
  <c r="DC10" i="1"/>
  <c r="DC9" i="1"/>
  <c r="DC8" i="1"/>
  <c r="DC7" i="1"/>
  <c r="G30" i="2"/>
  <c r="G28" i="2"/>
  <c r="G27" i="2"/>
  <c r="G26" i="2"/>
  <c r="K13" i="2"/>
  <c r="H87" i="2"/>
  <c r="H81" i="2"/>
  <c r="D34" i="2"/>
  <c r="T8" i="2" l="1"/>
  <c r="T21" i="2"/>
  <c r="H82" i="2"/>
  <c r="BH276" i="1"/>
  <c r="AZ276" i="4" s="1"/>
  <c r="AU282" i="1"/>
  <c r="AM282" i="4" s="1"/>
  <c r="K64" i="2"/>
  <c r="K62" i="2"/>
  <c r="K66" i="2"/>
  <c r="BH209" i="1"/>
  <c r="AZ209" i="4" s="1"/>
  <c r="BH259" i="1"/>
  <c r="AZ259" i="4" s="1"/>
  <c r="BH263" i="1"/>
  <c r="AZ263" i="4" s="1"/>
  <c r="BH266" i="1"/>
  <c r="AZ266" i="4" s="1"/>
  <c r="BG268" i="1"/>
  <c r="BF268" i="1"/>
  <c r="BE268" i="1"/>
  <c r="K31" i="2"/>
  <c r="K30" i="2"/>
  <c r="K29" i="2"/>
  <c r="K28" i="2"/>
  <c r="K27" i="2"/>
  <c r="K26" i="2"/>
  <c r="K25" i="2"/>
  <c r="K24" i="2"/>
  <c r="K23" i="2"/>
  <c r="K21" i="2"/>
  <c r="K20" i="2"/>
  <c r="K19" i="2"/>
  <c r="K18" i="2"/>
  <c r="K17" i="2"/>
  <c r="K16" i="2"/>
  <c r="K15" i="2"/>
  <c r="AU249" i="1"/>
  <c r="BH242" i="1"/>
  <c r="AZ242" i="4" s="1"/>
  <c r="BH238" i="1"/>
  <c r="AZ238" i="4" s="1"/>
  <c r="BH234" i="1"/>
  <c r="AZ234" i="4" s="1"/>
  <c r="BH233" i="1"/>
  <c r="AZ233" i="4" s="1"/>
  <c r="BH231" i="1"/>
  <c r="AZ231" i="4" s="1"/>
  <c r="BH229" i="1"/>
  <c r="AZ229" i="4" s="1"/>
  <c r="BH228" i="1"/>
  <c r="AZ228" i="4" s="1"/>
  <c r="BH227" i="1"/>
  <c r="AZ227" i="4" s="1"/>
  <c r="BH226" i="1"/>
  <c r="AZ226" i="4" s="1"/>
  <c r="BH225" i="1"/>
  <c r="AZ225" i="4" s="1"/>
  <c r="BH224" i="1"/>
  <c r="BH223" i="1"/>
  <c r="AZ223" i="4" s="1"/>
  <c r="BH222" i="1"/>
  <c r="AZ222" i="4" s="1"/>
  <c r="BH221" i="1"/>
  <c r="AZ221" i="4" s="1"/>
  <c r="AZ224" i="4" l="1"/>
  <c r="GP40" i="5"/>
  <c r="GJ40" i="5"/>
  <c r="AM249" i="4"/>
  <c r="FV20" i="5"/>
  <c r="FV13" i="5"/>
  <c r="FV18" i="5"/>
  <c r="AX268" i="4"/>
  <c r="GP28" i="5"/>
  <c r="GJ28" i="5"/>
  <c r="AW268" i="4"/>
  <c r="GP4" i="5"/>
  <c r="GJ4" i="5"/>
  <c r="AY268" i="4"/>
  <c r="GP16" i="5"/>
  <c r="GJ16" i="5"/>
  <c r="T9" i="2"/>
  <c r="T22" i="2"/>
  <c r="H83" i="2"/>
  <c r="D38" i="2"/>
  <c r="T10" i="2" l="1"/>
  <c r="GJ17" i="5"/>
  <c r="GK16" i="5"/>
  <c r="GP5" i="5"/>
  <c r="GK28" i="5"/>
  <c r="GJ29" i="5"/>
  <c r="FV14" i="5"/>
  <c r="GP41" i="5"/>
  <c r="GP17" i="5"/>
  <c r="GK4" i="5"/>
  <c r="GJ5" i="5"/>
  <c r="GP29" i="5"/>
  <c r="GK40" i="5"/>
  <c r="GJ41" i="5"/>
  <c r="T23" i="2"/>
  <c r="H84" i="2"/>
  <c r="T11" i="2"/>
  <c r="AU195" i="1"/>
  <c r="AM195" i="4" s="1"/>
  <c r="AU194" i="1"/>
  <c r="AM194" i="4" s="1"/>
  <c r="AU193" i="1"/>
  <c r="AM193" i="4" s="1"/>
  <c r="AU192" i="1"/>
  <c r="AM192" i="4" s="1"/>
  <c r="AU191" i="1"/>
  <c r="AM191" i="4" s="1"/>
  <c r="GP30" i="5" l="1"/>
  <c r="GJ6" i="5"/>
  <c r="GK5" i="5"/>
  <c r="GP18" i="5"/>
  <c r="FV15" i="5"/>
  <c r="GK29" i="5"/>
  <c r="GJ30" i="5"/>
  <c r="GP6" i="5"/>
  <c r="GL16" i="5"/>
  <c r="GJ42" i="5"/>
  <c r="GK41" i="5"/>
  <c r="GL40" i="5"/>
  <c r="GL4" i="5"/>
  <c r="GP42" i="5"/>
  <c r="GL28" i="5"/>
  <c r="GJ18" i="5"/>
  <c r="GK17" i="5"/>
  <c r="T24" i="2"/>
  <c r="T12" i="2"/>
  <c r="H85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L17" i="5" l="1"/>
  <c r="GL41" i="5"/>
  <c r="GM16" i="5"/>
  <c r="GP7" i="5"/>
  <c r="GL29" i="5"/>
  <c r="FV16" i="5"/>
  <c r="GP19" i="5"/>
  <c r="GK6" i="5"/>
  <c r="GJ7" i="5"/>
  <c r="GP31" i="5"/>
  <c r="GJ19" i="5"/>
  <c r="GK18" i="5"/>
  <c r="GM28" i="5"/>
  <c r="GM4" i="5"/>
  <c r="GM40" i="5"/>
  <c r="GK42" i="5"/>
  <c r="GK30" i="5"/>
  <c r="GJ31" i="5"/>
  <c r="GL5" i="5"/>
  <c r="T25" i="2"/>
  <c r="H86" i="2"/>
  <c r="T14" i="2"/>
  <c r="BH147" i="1"/>
  <c r="BH140" i="1"/>
  <c r="AU134" i="1"/>
  <c r="AM134" i="4" s="1"/>
  <c r="AU126" i="1"/>
  <c r="AU124" i="1"/>
  <c r="AU117" i="1"/>
  <c r="O48" i="2"/>
  <c r="O44" i="2"/>
  <c r="O42" i="2"/>
  <c r="O41" i="2"/>
  <c r="O43" i="2"/>
  <c r="O40" i="2"/>
  <c r="O39" i="2"/>
  <c r="O47" i="2"/>
  <c r="O33" i="2"/>
  <c r="Q33" i="2"/>
  <c r="AZ140" i="4" l="1"/>
  <c r="GL30" i="5"/>
  <c r="GN40" i="5"/>
  <c r="FV40" i="5"/>
  <c r="FV33" i="5"/>
  <c r="FV38" i="5"/>
  <c r="GJ32" i="5"/>
  <c r="GK31" i="5"/>
  <c r="GJ43" i="5"/>
  <c r="GP43" i="5"/>
  <c r="GN28" i="5"/>
  <c r="GL18" i="5"/>
  <c r="GP32" i="5"/>
  <c r="GK7" i="5"/>
  <c r="GJ8" i="5"/>
  <c r="AM124" i="4"/>
  <c r="FV8" i="5"/>
  <c r="FV3" i="5"/>
  <c r="FV10" i="5"/>
  <c r="FU10" i="5"/>
  <c r="AZ147" i="4"/>
  <c r="GP46" i="5"/>
  <c r="GJ46" i="5"/>
  <c r="GM5" i="5"/>
  <c r="GL42" i="5"/>
  <c r="GN4" i="5"/>
  <c r="GJ20" i="5"/>
  <c r="GK19" i="5"/>
  <c r="GL6" i="5"/>
  <c r="GP20" i="5"/>
  <c r="FV17" i="5"/>
  <c r="FV19" i="5"/>
  <c r="GM29" i="5"/>
  <c r="GP8" i="5"/>
  <c r="GN16" i="5"/>
  <c r="GM41" i="5"/>
  <c r="GM17" i="5"/>
  <c r="EW5" i="5"/>
  <c r="EW10" i="5"/>
  <c r="AM126" i="4"/>
  <c r="ER10" i="5"/>
  <c r="ER5" i="5"/>
  <c r="T27" i="2"/>
  <c r="S26" i="2" s="1"/>
  <c r="BE117" i="1"/>
  <c r="AM117" i="4"/>
  <c r="S5" i="2"/>
  <c r="S13" i="2"/>
  <c r="S7" i="2"/>
  <c r="S6" i="2"/>
  <c r="S8" i="2"/>
  <c r="S9" i="2"/>
  <c r="S10" i="2"/>
  <c r="S11" i="2"/>
  <c r="S12" i="2"/>
  <c r="O49" i="2"/>
  <c r="BF117" i="1"/>
  <c r="P33" i="2"/>
  <c r="Q32" i="2"/>
  <c r="P32" i="2"/>
  <c r="O32" i="2"/>
  <c r="Q31" i="2"/>
  <c r="P31" i="2"/>
  <c r="O31" i="2"/>
  <c r="Q30" i="2"/>
  <c r="P30" i="2"/>
  <c r="O30" i="2"/>
  <c r="S30" i="2"/>
  <c r="R30" i="2"/>
  <c r="AX117" i="4" l="1"/>
  <c r="GJ34" i="5"/>
  <c r="GP34" i="5"/>
  <c r="AW117" i="4"/>
  <c r="GJ10" i="5"/>
  <c r="GP10" i="5"/>
  <c r="GN41" i="5"/>
  <c r="GP9" i="5"/>
  <c r="FU19" i="5"/>
  <c r="FU18" i="5"/>
  <c r="FU20" i="5"/>
  <c r="FU13" i="5"/>
  <c r="FU14" i="5"/>
  <c r="FU15" i="5"/>
  <c r="FU17" i="5"/>
  <c r="GM6" i="5"/>
  <c r="GJ21" i="5"/>
  <c r="GK20" i="5"/>
  <c r="GJ23" i="5"/>
  <c r="GO4" i="5"/>
  <c r="GK46" i="5"/>
  <c r="GK8" i="5"/>
  <c r="GJ9" i="5"/>
  <c r="GJ11" i="5"/>
  <c r="GP33" i="5"/>
  <c r="GM18" i="5"/>
  <c r="GP44" i="5"/>
  <c r="GJ44" i="5"/>
  <c r="GK43" i="5"/>
  <c r="GL31" i="5"/>
  <c r="GM30" i="5"/>
  <c r="GQ4" i="5"/>
  <c r="GN17" i="5"/>
  <c r="GO16" i="5"/>
  <c r="GN29" i="5"/>
  <c r="FU16" i="5"/>
  <c r="GP21" i="5"/>
  <c r="GL19" i="5"/>
  <c r="GM42" i="5"/>
  <c r="GN5" i="5"/>
  <c r="FV4" i="5"/>
  <c r="GL7" i="5"/>
  <c r="GO28" i="5"/>
  <c r="GQ28" i="5" s="1"/>
  <c r="GK32" i="5"/>
  <c r="GJ33" i="5"/>
  <c r="FV34" i="5"/>
  <c r="GO40" i="5"/>
  <c r="EJ28" i="5"/>
  <c r="ES10" i="5"/>
  <c r="ET37" i="5"/>
  <c r="ER6" i="5"/>
  <c r="ES5" i="5"/>
  <c r="EJ23" i="5"/>
  <c r="ET32" i="5"/>
  <c r="EW6" i="5"/>
  <c r="S14" i="2"/>
  <c r="S21" i="2"/>
  <c r="S20" i="2"/>
  <c r="S18" i="2"/>
  <c r="S19" i="2"/>
  <c r="S22" i="2"/>
  <c r="S24" i="2"/>
  <c r="S23" i="2"/>
  <c r="S25" i="2"/>
  <c r="P22" i="2"/>
  <c r="P21" i="2"/>
  <c r="P20" i="2"/>
  <c r="P19" i="2"/>
  <c r="P14" i="2"/>
  <c r="P13" i="2"/>
  <c r="P12" i="2"/>
  <c r="P11" i="2"/>
  <c r="P10" i="2"/>
  <c r="P9" i="2"/>
  <c r="P8" i="2"/>
  <c r="P7" i="2"/>
  <c r="P6" i="2"/>
  <c r="P5" i="2"/>
  <c r="K65" i="2"/>
  <c r="K63" i="2"/>
  <c r="K61" i="2"/>
  <c r="K60" i="2"/>
  <c r="K59" i="2"/>
  <c r="K58" i="2"/>
  <c r="K57" i="2"/>
  <c r="L53" i="2"/>
  <c r="L39" i="2"/>
  <c r="K14" i="2"/>
  <c r="K32" i="2" s="1"/>
  <c r="L9" i="2"/>
  <c r="L8" i="2"/>
  <c r="L7" i="2"/>
  <c r="L6" i="2"/>
  <c r="L5" i="2"/>
  <c r="G39" i="2"/>
  <c r="G29" i="2"/>
  <c r="G25" i="2"/>
  <c r="G24" i="2"/>
  <c r="G23" i="2"/>
  <c r="G22" i="2"/>
  <c r="G21" i="2"/>
  <c r="G17" i="2"/>
  <c r="G16" i="2"/>
  <c r="G15" i="2"/>
  <c r="G14" i="2"/>
  <c r="G13" i="2"/>
  <c r="H10" i="2"/>
  <c r="H5" i="2"/>
  <c r="H6" i="2" s="1"/>
  <c r="D33" i="2"/>
  <c r="D32" i="2"/>
  <c r="D31" i="2"/>
  <c r="D30" i="2"/>
  <c r="D29" i="2"/>
  <c r="D28" i="2"/>
  <c r="D23" i="2"/>
  <c r="D24" i="2"/>
  <c r="C19" i="2"/>
  <c r="C12" i="2"/>
  <c r="C13" i="2" s="1"/>
  <c r="C8" i="2"/>
  <c r="C7" i="2"/>
  <c r="C6" i="2"/>
  <c r="C5" i="2"/>
  <c r="GQ40" i="5" l="1"/>
  <c r="GK33" i="5"/>
  <c r="GJ35" i="5"/>
  <c r="GM7" i="5"/>
  <c r="GO5" i="5"/>
  <c r="GQ5" i="5" s="1"/>
  <c r="GM19" i="5"/>
  <c r="GP23" i="5"/>
  <c r="GJ45" i="5"/>
  <c r="GK44" i="5"/>
  <c r="GN18" i="5"/>
  <c r="GP35" i="5"/>
  <c r="GK9" i="5"/>
  <c r="GL20" i="5"/>
  <c r="GN6" i="5"/>
  <c r="GO41" i="5"/>
  <c r="GK10" i="5"/>
  <c r="FV35" i="5"/>
  <c r="GL32" i="5"/>
  <c r="FV5" i="5"/>
  <c r="GN42" i="5"/>
  <c r="GO29" i="5"/>
  <c r="GQ29" i="5"/>
  <c r="GO17" i="5"/>
  <c r="GN30" i="5"/>
  <c r="GM31" i="5"/>
  <c r="GL43" i="5"/>
  <c r="GP45" i="5"/>
  <c r="GL8" i="5"/>
  <c r="GK11" i="5"/>
  <c r="GL46" i="5"/>
  <c r="GK21" i="5"/>
  <c r="GP11" i="5"/>
  <c r="GK34" i="5"/>
  <c r="GK35" i="5" s="1"/>
  <c r="GQ16" i="5"/>
  <c r="EW7" i="5"/>
  <c r="ET33" i="5"/>
  <c r="EJ32" i="5"/>
  <c r="ET5" i="5"/>
  <c r="ET10" i="5"/>
  <c r="EJ37" i="5"/>
  <c r="EJ24" i="5"/>
  <c r="ES6" i="5"/>
  <c r="ER7" i="5"/>
  <c r="S27" i="2"/>
  <c r="H32" i="2"/>
  <c r="H33" i="2" s="1"/>
  <c r="K67" i="2"/>
  <c r="G18" i="2"/>
  <c r="P15" i="2"/>
  <c r="O15" i="2" s="1"/>
  <c r="P23" i="2"/>
  <c r="O23" i="2" s="1"/>
  <c r="L40" i="2"/>
  <c r="L10" i="2"/>
  <c r="H7" i="2"/>
  <c r="G20" i="2"/>
  <c r="D35" i="2"/>
  <c r="C9" i="2"/>
  <c r="D9" i="2" s="1"/>
  <c r="D25" i="2"/>
  <c r="C25" i="2" s="1"/>
  <c r="C14" i="2"/>
  <c r="GL21" i="5" l="1"/>
  <c r="GL23" i="5" s="1"/>
  <c r="GK23" i="5"/>
  <c r="GP47" i="5"/>
  <c r="GO42" i="5"/>
  <c r="FV6" i="5"/>
  <c r="GM32" i="5"/>
  <c r="FV36" i="5"/>
  <c r="GL10" i="5"/>
  <c r="GQ41" i="5"/>
  <c r="GO6" i="5"/>
  <c r="GQ6" i="5" s="1"/>
  <c r="GM20" i="5"/>
  <c r="GL44" i="5"/>
  <c r="GN19" i="5"/>
  <c r="GN7" i="5"/>
  <c r="GL33" i="5"/>
  <c r="GL34" i="5"/>
  <c r="GM8" i="5"/>
  <c r="GM46" i="5"/>
  <c r="GM43" i="5"/>
  <c r="GN31" i="5"/>
  <c r="GO30" i="5"/>
  <c r="GQ17" i="5"/>
  <c r="GL9" i="5"/>
  <c r="GO18" i="5"/>
  <c r="GQ18" i="5" s="1"/>
  <c r="GK45" i="5"/>
  <c r="GJ47" i="5"/>
  <c r="EJ25" i="5"/>
  <c r="ES7" i="5"/>
  <c r="ER8" i="5"/>
  <c r="EU10" i="5"/>
  <c r="EJ46" i="5"/>
  <c r="EJ33" i="5"/>
  <c r="ET6" i="5"/>
  <c r="EU5" i="5"/>
  <c r="EJ41" i="5"/>
  <c r="EW8" i="5"/>
  <c r="ET34" i="5"/>
  <c r="C35" i="2"/>
  <c r="C34" i="2"/>
  <c r="C32" i="2"/>
  <c r="C28" i="2"/>
  <c r="C31" i="2"/>
  <c r="C30" i="2"/>
  <c r="C33" i="2"/>
  <c r="C29" i="2"/>
  <c r="K10" i="2"/>
  <c r="O22" i="2"/>
  <c r="O14" i="2"/>
  <c r="O10" i="2"/>
  <c r="O6" i="2"/>
  <c r="O19" i="2"/>
  <c r="O11" i="2"/>
  <c r="O7" i="2"/>
  <c r="O20" i="2"/>
  <c r="O12" i="2"/>
  <c r="O8" i="2"/>
  <c r="O21" i="2"/>
  <c r="O13" i="2"/>
  <c r="O9" i="2"/>
  <c r="O5" i="2"/>
  <c r="H88" i="2"/>
  <c r="H89" i="2"/>
  <c r="L41" i="2"/>
  <c r="K6" i="2"/>
  <c r="K7" i="2"/>
  <c r="K8" i="2"/>
  <c r="K9" i="2"/>
  <c r="K5" i="2"/>
  <c r="H8" i="2"/>
  <c r="D5" i="2"/>
  <c r="D6" i="2"/>
  <c r="D8" i="2"/>
  <c r="D7" i="2"/>
  <c r="C24" i="2"/>
  <c r="C23" i="2"/>
  <c r="C15" i="2"/>
  <c r="GL45" i="5" l="1"/>
  <c r="GK47" i="5"/>
  <c r="GO31" i="5"/>
  <c r="GN8" i="5"/>
  <c r="GO7" i="5"/>
  <c r="GQ7" i="5" s="1"/>
  <c r="GO19" i="5"/>
  <c r="GQ19" i="5" s="1"/>
  <c r="GN20" i="5"/>
  <c r="FV7" i="5"/>
  <c r="FV9" i="5" s="1"/>
  <c r="FU6" i="5" s="1"/>
  <c r="GM21" i="5"/>
  <c r="GM23" i="5" s="1"/>
  <c r="GM9" i="5"/>
  <c r="GQ30" i="5"/>
  <c r="GN43" i="5"/>
  <c r="GN46" i="5"/>
  <c r="GL11" i="5"/>
  <c r="GM34" i="5"/>
  <c r="GM33" i="5"/>
  <c r="GM44" i="5"/>
  <c r="GM10" i="5"/>
  <c r="FV37" i="5"/>
  <c r="GL35" i="5"/>
  <c r="GN32" i="5"/>
  <c r="GQ42" i="5"/>
  <c r="ET14" i="5"/>
  <c r="EV5" i="5"/>
  <c r="ET19" i="5"/>
  <c r="EV10" i="5"/>
  <c r="EX10" i="5" s="1"/>
  <c r="ET7" i="5"/>
  <c r="EJ34" i="5"/>
  <c r="EW9" i="5"/>
  <c r="EW11" i="5" s="1"/>
  <c r="ET35" i="5"/>
  <c r="EJ42" i="5"/>
  <c r="EU6" i="5"/>
  <c r="ES8" i="5"/>
  <c r="EJ26" i="5"/>
  <c r="ER9" i="5"/>
  <c r="L42" i="2"/>
  <c r="H9" i="2"/>
  <c r="H4" i="2" s="1"/>
  <c r="C16" i="2"/>
  <c r="C17" i="2" s="1"/>
  <c r="GO32" i="5" l="1"/>
  <c r="GN44" i="5"/>
  <c r="GN33" i="5"/>
  <c r="GN34" i="5"/>
  <c r="GM35" i="5"/>
  <c r="GO46" i="5"/>
  <c r="GM11" i="5"/>
  <c r="GN9" i="5"/>
  <c r="FU7" i="5"/>
  <c r="FU9" i="5"/>
  <c r="FU3" i="5"/>
  <c r="FU8" i="5"/>
  <c r="FU4" i="5"/>
  <c r="FU5" i="5"/>
  <c r="GO20" i="5"/>
  <c r="GQ20" i="5" s="1"/>
  <c r="GM45" i="5"/>
  <c r="GL47" i="5"/>
  <c r="FU37" i="5"/>
  <c r="FV39" i="5"/>
  <c r="GN10" i="5"/>
  <c r="GO43" i="5"/>
  <c r="GQ43" i="5" s="1"/>
  <c r="GN21" i="5"/>
  <c r="GO8" i="5"/>
  <c r="GQ8" i="5" s="1"/>
  <c r="GQ31" i="5"/>
  <c r="EJ35" i="5"/>
  <c r="ET8" i="5"/>
  <c r="EV6" i="5"/>
  <c r="ET15" i="5"/>
  <c r="ET36" i="5"/>
  <c r="ET23" i="5"/>
  <c r="EX5" i="5"/>
  <c r="ES9" i="5"/>
  <c r="ES11" i="5" s="1"/>
  <c r="EJ27" i="5"/>
  <c r="ER11" i="5"/>
  <c r="ET38" i="5"/>
  <c r="ES35" i="5" s="1"/>
  <c r="EJ43" i="5"/>
  <c r="EU7" i="5"/>
  <c r="ET28" i="5"/>
  <c r="L43" i="2"/>
  <c r="G6" i="2"/>
  <c r="G5" i="2"/>
  <c r="G10" i="2"/>
  <c r="G7" i="2"/>
  <c r="G8" i="2"/>
  <c r="G9" i="2"/>
  <c r="C18" i="2"/>
  <c r="C20" i="2" s="1"/>
  <c r="D17" i="2" s="1"/>
  <c r="GN35" i="5" l="1"/>
  <c r="GO21" i="5"/>
  <c r="GO10" i="5"/>
  <c r="GN45" i="5"/>
  <c r="GQ46" i="5"/>
  <c r="GO34" i="5"/>
  <c r="GO44" i="5"/>
  <c r="GQ21" i="5"/>
  <c r="GQ23" i="5" s="1"/>
  <c r="GM47" i="5"/>
  <c r="FU39" i="5"/>
  <c r="FU38" i="5"/>
  <c r="FU33" i="5"/>
  <c r="FU40" i="5"/>
  <c r="FU34" i="5"/>
  <c r="FU35" i="5"/>
  <c r="FU36" i="5"/>
  <c r="GN23" i="5"/>
  <c r="GO9" i="5"/>
  <c r="GO11" i="5" s="1"/>
  <c r="GN11" i="5"/>
  <c r="GQ34" i="5"/>
  <c r="GO33" i="5"/>
  <c r="GQ32" i="5"/>
  <c r="EJ38" i="5"/>
  <c r="ET16" i="5"/>
  <c r="EV7" i="5"/>
  <c r="ES38" i="5"/>
  <c r="ES32" i="5"/>
  <c r="ES37" i="5"/>
  <c r="ES33" i="5"/>
  <c r="ES34" i="5"/>
  <c r="ES36" i="5"/>
  <c r="EJ44" i="5"/>
  <c r="EU8" i="5"/>
  <c r="EJ29" i="5"/>
  <c r="EJ36" i="5"/>
  <c r="EI36" i="5" s="1"/>
  <c r="ET9" i="5"/>
  <c r="ET24" i="5"/>
  <c r="EX6" i="5"/>
  <c r="EI35" i="5"/>
  <c r="L44" i="2"/>
  <c r="G4" i="2"/>
  <c r="D14" i="2"/>
  <c r="D20" i="2"/>
  <c r="D12" i="2"/>
  <c r="D16" i="2"/>
  <c r="D15" i="2"/>
  <c r="D13" i="2"/>
  <c r="D19" i="2"/>
  <c r="D18" i="2"/>
  <c r="GQ9" i="5" l="1"/>
  <c r="GI21" i="5"/>
  <c r="GI23" i="5"/>
  <c r="GH22" i="5"/>
  <c r="GB22" i="5"/>
  <c r="GC22" i="5"/>
  <c r="GD22" i="5"/>
  <c r="GE22" i="5"/>
  <c r="GF22" i="5"/>
  <c r="GG22" i="5"/>
  <c r="GI22" i="5"/>
  <c r="GB16" i="5"/>
  <c r="GH16" i="5"/>
  <c r="GH17" i="5"/>
  <c r="GC16" i="5"/>
  <c r="GB17" i="5"/>
  <c r="GD16" i="5"/>
  <c r="GC17" i="5"/>
  <c r="GH18" i="5"/>
  <c r="GB18" i="5"/>
  <c r="GC18" i="5"/>
  <c r="GB19" i="5"/>
  <c r="GE16" i="5"/>
  <c r="GD17" i="5"/>
  <c r="GH19" i="5"/>
  <c r="GD18" i="5"/>
  <c r="GH20" i="5"/>
  <c r="GC19" i="5"/>
  <c r="GB20" i="5"/>
  <c r="GE17" i="5"/>
  <c r="GF16" i="5"/>
  <c r="GD19" i="5"/>
  <c r="GH21" i="5"/>
  <c r="GC20" i="5"/>
  <c r="GB23" i="5"/>
  <c r="GB21" i="5"/>
  <c r="GG16" i="5"/>
  <c r="GE18" i="5"/>
  <c r="GF17" i="5"/>
  <c r="GC21" i="5"/>
  <c r="GD20" i="5"/>
  <c r="GH23" i="5"/>
  <c r="GE19" i="5"/>
  <c r="GI16" i="5"/>
  <c r="GG17" i="5"/>
  <c r="GF18" i="5"/>
  <c r="GI18" i="5"/>
  <c r="GE20" i="5"/>
  <c r="GC23" i="5"/>
  <c r="GG18" i="5"/>
  <c r="GF19" i="5"/>
  <c r="GD21" i="5"/>
  <c r="GI17" i="5"/>
  <c r="GD23" i="5"/>
  <c r="GE23" i="5"/>
  <c r="GE21" i="5"/>
  <c r="GI19" i="5"/>
  <c r="GG19" i="5"/>
  <c r="GF20" i="5"/>
  <c r="GF21" i="5"/>
  <c r="GI20" i="5"/>
  <c r="GG20" i="5"/>
  <c r="GQ33" i="5"/>
  <c r="GQ35" i="5" s="1"/>
  <c r="GQ12" i="5"/>
  <c r="GF23" i="5"/>
  <c r="GG21" i="5"/>
  <c r="GO23" i="5"/>
  <c r="GG23" i="5" s="1"/>
  <c r="GQ44" i="5"/>
  <c r="GO35" i="5"/>
  <c r="GO45" i="5"/>
  <c r="GN47" i="5"/>
  <c r="GQ10" i="5"/>
  <c r="EJ45" i="5"/>
  <c r="EU9" i="5"/>
  <c r="ET11" i="5"/>
  <c r="EV8" i="5"/>
  <c r="ET17" i="5"/>
  <c r="EU11" i="5"/>
  <c r="EI29" i="5"/>
  <c r="EI23" i="5"/>
  <c r="EI28" i="5"/>
  <c r="EI24" i="5"/>
  <c r="EI25" i="5"/>
  <c r="EI26" i="5"/>
  <c r="EI27" i="5"/>
  <c r="ET25" i="5"/>
  <c r="EX7" i="5"/>
  <c r="EI38" i="5"/>
  <c r="EI37" i="5"/>
  <c r="EI32" i="5"/>
  <c r="EI33" i="5"/>
  <c r="EI34" i="5"/>
  <c r="L45" i="2"/>
  <c r="H90" i="2"/>
  <c r="G86" i="2" s="1"/>
  <c r="GI35" i="5" l="1"/>
  <c r="GB28" i="5"/>
  <c r="GH28" i="5"/>
  <c r="GH29" i="5"/>
  <c r="GB29" i="5"/>
  <c r="GC28" i="5"/>
  <c r="GH30" i="5"/>
  <c r="GC29" i="5"/>
  <c r="GD28" i="5"/>
  <c r="GB30" i="5"/>
  <c r="GC30" i="5"/>
  <c r="GE28" i="5"/>
  <c r="GH31" i="5"/>
  <c r="GB31" i="5"/>
  <c r="GD29" i="5"/>
  <c r="GH32" i="5"/>
  <c r="GC31" i="5"/>
  <c r="GD30" i="5"/>
  <c r="GE29" i="5"/>
  <c r="GF28" i="5"/>
  <c r="GB32" i="5"/>
  <c r="GG28" i="5"/>
  <c r="GH33" i="5"/>
  <c r="GH34" i="5"/>
  <c r="GC32" i="5"/>
  <c r="GI28" i="5"/>
  <c r="GF29" i="5"/>
  <c r="GB33" i="5"/>
  <c r="GE30" i="5"/>
  <c r="GD31" i="5"/>
  <c r="GB34" i="5"/>
  <c r="GC35" i="5"/>
  <c r="GG29" i="5"/>
  <c r="GE31" i="5"/>
  <c r="GI29" i="5"/>
  <c r="GD32" i="5"/>
  <c r="GH35" i="5"/>
  <c r="GC33" i="5"/>
  <c r="GC34" i="5"/>
  <c r="GF30" i="5"/>
  <c r="GB35" i="5"/>
  <c r="GG30" i="5"/>
  <c r="GD34" i="5"/>
  <c r="GD33" i="5"/>
  <c r="GE32" i="5"/>
  <c r="GF31" i="5"/>
  <c r="GF32" i="5"/>
  <c r="GE34" i="5"/>
  <c r="GG31" i="5"/>
  <c r="GE33" i="5"/>
  <c r="GI30" i="5"/>
  <c r="GD35" i="5"/>
  <c r="GF35" i="5"/>
  <c r="GI31" i="5"/>
  <c r="GG32" i="5"/>
  <c r="GF33" i="5"/>
  <c r="GE35" i="5"/>
  <c r="GF34" i="5"/>
  <c r="GI32" i="5"/>
  <c r="GG33" i="5"/>
  <c r="GI34" i="5"/>
  <c r="GG34" i="5"/>
  <c r="GQ45" i="5"/>
  <c r="GQ47" i="5" s="1"/>
  <c r="GI44" i="5" s="1"/>
  <c r="GG35" i="5"/>
  <c r="GQ36" i="5"/>
  <c r="GQ24" i="5"/>
  <c r="GI33" i="5"/>
  <c r="GO47" i="5"/>
  <c r="GQ11" i="5"/>
  <c r="ET20" i="5"/>
  <c r="ES17" i="5" s="1"/>
  <c r="EJ47" i="5"/>
  <c r="EI45" i="5" s="1"/>
  <c r="EV9" i="5"/>
  <c r="ET18" i="5"/>
  <c r="EX8" i="5"/>
  <c r="ET26" i="5"/>
  <c r="L46" i="2"/>
  <c r="G90" i="2"/>
  <c r="G88" i="2"/>
  <c r="G89" i="2"/>
  <c r="G81" i="2"/>
  <c r="G87" i="2"/>
  <c r="G82" i="2"/>
  <c r="G83" i="2"/>
  <c r="G84" i="2"/>
  <c r="G85" i="2"/>
  <c r="GG47" i="5" l="1"/>
  <c r="ES18" i="5"/>
  <c r="GI11" i="5"/>
  <c r="GB4" i="5"/>
  <c r="GH4" i="5"/>
  <c r="GB5" i="5"/>
  <c r="GH5" i="5"/>
  <c r="GC4" i="5"/>
  <c r="GH6" i="5"/>
  <c r="GB6" i="5"/>
  <c r="GC5" i="5"/>
  <c r="GD4" i="5"/>
  <c r="GE4" i="5"/>
  <c r="GC6" i="5"/>
  <c r="GH7" i="5"/>
  <c r="GB7" i="5"/>
  <c r="GD5" i="5"/>
  <c r="GD6" i="5"/>
  <c r="GE5" i="5"/>
  <c r="GC7" i="5"/>
  <c r="GH8" i="5"/>
  <c r="GF4" i="5"/>
  <c r="GB8" i="5"/>
  <c r="GD7" i="5"/>
  <c r="GB9" i="5"/>
  <c r="GG4" i="5"/>
  <c r="GE6" i="5"/>
  <c r="GB11" i="5"/>
  <c r="GC8" i="5"/>
  <c r="GH9" i="5"/>
  <c r="GH10" i="5"/>
  <c r="GF5" i="5"/>
  <c r="GI4" i="5"/>
  <c r="GB10" i="5"/>
  <c r="GC11" i="5"/>
  <c r="GE7" i="5"/>
  <c r="GH11" i="5"/>
  <c r="GD8" i="5"/>
  <c r="GI5" i="5"/>
  <c r="GC10" i="5"/>
  <c r="GF6" i="5"/>
  <c r="GC9" i="5"/>
  <c r="GG5" i="5"/>
  <c r="GD9" i="5"/>
  <c r="GI6" i="5"/>
  <c r="GG6" i="5"/>
  <c r="GE8" i="5"/>
  <c r="GF7" i="5"/>
  <c r="GD10" i="5"/>
  <c r="GI7" i="5"/>
  <c r="GE10" i="5"/>
  <c r="GD11" i="5"/>
  <c r="GG7" i="5"/>
  <c r="GF8" i="5"/>
  <c r="GE9" i="5"/>
  <c r="GI8" i="5"/>
  <c r="GE11" i="5"/>
  <c r="GF9" i="5"/>
  <c r="GF10" i="5"/>
  <c r="GG8" i="5"/>
  <c r="GF11" i="5"/>
  <c r="GG9" i="5"/>
  <c r="GI9" i="5"/>
  <c r="GG11" i="5"/>
  <c r="GG10" i="5"/>
  <c r="GF47" i="5"/>
  <c r="GI47" i="5"/>
  <c r="GH40" i="5"/>
  <c r="GB40" i="5"/>
  <c r="GC40" i="5"/>
  <c r="GB41" i="5"/>
  <c r="GH41" i="5"/>
  <c r="GH42" i="5"/>
  <c r="GD40" i="5"/>
  <c r="GC41" i="5"/>
  <c r="GB42" i="5"/>
  <c r="GE40" i="5"/>
  <c r="GD41" i="5"/>
  <c r="GC42" i="5"/>
  <c r="GE41" i="5"/>
  <c r="GB46" i="5"/>
  <c r="GB43" i="5"/>
  <c r="GH43" i="5"/>
  <c r="GD42" i="5"/>
  <c r="GH46" i="5"/>
  <c r="GF40" i="5"/>
  <c r="GF41" i="5"/>
  <c r="GE42" i="5"/>
  <c r="GH44" i="5"/>
  <c r="GG40" i="5"/>
  <c r="GB44" i="5"/>
  <c r="GC43" i="5"/>
  <c r="GC46" i="5"/>
  <c r="GF42" i="5"/>
  <c r="GG41" i="5"/>
  <c r="GI40" i="5"/>
  <c r="GH45" i="5"/>
  <c r="GC44" i="5"/>
  <c r="GD46" i="5"/>
  <c r="GD43" i="5"/>
  <c r="GB45" i="5"/>
  <c r="GC45" i="5"/>
  <c r="GI41" i="5"/>
  <c r="GE46" i="5"/>
  <c r="GD44" i="5"/>
  <c r="GH47" i="5"/>
  <c r="GG42" i="5"/>
  <c r="GB47" i="5"/>
  <c r="GE43" i="5"/>
  <c r="GE44" i="5"/>
  <c r="GF46" i="5"/>
  <c r="GC47" i="5"/>
  <c r="GD45" i="5"/>
  <c r="GF43" i="5"/>
  <c r="GI42" i="5"/>
  <c r="GG43" i="5"/>
  <c r="GD47" i="5"/>
  <c r="GI43" i="5"/>
  <c r="GE45" i="5"/>
  <c r="GG46" i="5"/>
  <c r="GF44" i="5"/>
  <c r="GE47" i="5"/>
  <c r="GG44" i="5"/>
  <c r="GI46" i="5"/>
  <c r="GF45" i="5"/>
  <c r="GI45" i="5"/>
  <c r="GI10" i="5"/>
  <c r="GG45" i="5"/>
  <c r="GQ48" i="5"/>
  <c r="ET27" i="5"/>
  <c r="EX9" i="5"/>
  <c r="EI47" i="5"/>
  <c r="EI46" i="5"/>
  <c r="EI41" i="5"/>
  <c r="EI42" i="5"/>
  <c r="EI43" i="5"/>
  <c r="EI44" i="5"/>
  <c r="ES20" i="5"/>
  <c r="ES19" i="5"/>
  <c r="ES14" i="5"/>
  <c r="ES15" i="5"/>
  <c r="ES16" i="5"/>
  <c r="EX12" i="5"/>
  <c r="EV11" i="5"/>
  <c r="L47" i="2"/>
  <c r="EX11" i="5" l="1"/>
  <c r="EN11" i="5" s="1"/>
  <c r="ET29" i="5"/>
  <c r="ES27" i="5" s="1"/>
  <c r="L48" i="2"/>
  <c r="EP9" i="5" l="1"/>
  <c r="ES29" i="5"/>
  <c r="ES28" i="5"/>
  <c r="ES23" i="5"/>
  <c r="ES24" i="5"/>
  <c r="ES25" i="5"/>
  <c r="ES26" i="5"/>
  <c r="EP11" i="5"/>
  <c r="EI10" i="5"/>
  <c r="EI5" i="5"/>
  <c r="EI6" i="5"/>
  <c r="EI7" i="5"/>
  <c r="EI8" i="5"/>
  <c r="EI9" i="5"/>
  <c r="EI11" i="5"/>
  <c r="EJ10" i="5"/>
  <c r="EJ5" i="5"/>
  <c r="EO10" i="5"/>
  <c r="EO5" i="5"/>
  <c r="EO6" i="5"/>
  <c r="EK5" i="5"/>
  <c r="EK10" i="5"/>
  <c r="EJ6" i="5"/>
  <c r="EJ7" i="5"/>
  <c r="EL5" i="5"/>
  <c r="EO7" i="5"/>
  <c r="EL10" i="5"/>
  <c r="EK6" i="5"/>
  <c r="EK7" i="5"/>
  <c r="EL6" i="5"/>
  <c r="EJ8" i="5"/>
  <c r="EM5" i="5"/>
  <c r="EM10" i="5"/>
  <c r="EO8" i="5"/>
  <c r="EK8" i="5"/>
  <c r="EM6" i="5"/>
  <c r="EO9" i="5"/>
  <c r="EJ9" i="5"/>
  <c r="EO11" i="5"/>
  <c r="EL7" i="5"/>
  <c r="EN10" i="5"/>
  <c r="EP10" i="5"/>
  <c r="EN5" i="5"/>
  <c r="EL8" i="5"/>
  <c r="EK9" i="5"/>
  <c r="EN6" i="5"/>
  <c r="EP5" i="5"/>
  <c r="EK11" i="5"/>
  <c r="EM7" i="5"/>
  <c r="EJ11" i="5"/>
  <c r="EL9" i="5"/>
  <c r="EM8" i="5"/>
  <c r="EP6" i="5"/>
  <c r="EN7" i="5"/>
  <c r="EL11" i="5"/>
  <c r="EN8" i="5"/>
  <c r="EM9" i="5"/>
  <c r="EP7" i="5"/>
  <c r="EM11" i="5"/>
  <c r="EN9" i="5"/>
  <c r="EP8" i="5"/>
  <c r="L49" i="2"/>
  <c r="L50" i="2" l="1"/>
  <c r="L51" i="2" l="1"/>
  <c r="L52" i="2" l="1"/>
  <c r="L54" i="2" l="1"/>
  <c r="K54" i="2" l="1"/>
  <c r="K53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DU40" i="5"/>
  <c r="DU46" i="5"/>
  <c r="DU41" i="5"/>
  <c r="DU42" i="5"/>
  <c r="DU43" i="5"/>
  <c r="DU45" i="5"/>
  <c r="DU47" i="5"/>
  <c r="DU44" i="5"/>
  <c r="AA17" i="5"/>
  <c r="AA14" i="5"/>
  <c r="AA16" i="5"/>
  <c r="AA15" i="5"/>
  <c r="AA23" i="5"/>
  <c r="AA21" i="5"/>
  <c r="AA22" i="5"/>
  <c r="AA24" i="5"/>
  <c r="AA31" i="5"/>
  <c r="AA29" i="5"/>
  <c r="AA28" i="5"/>
  <c r="AA30" i="5"/>
</calcChain>
</file>

<file path=xl/sharedStrings.xml><?xml version="1.0" encoding="utf-8"?>
<sst xmlns="http://schemas.openxmlformats.org/spreadsheetml/2006/main" count="15564" uniqueCount="1586">
  <si>
    <t>Folio</t>
  </si>
  <si>
    <t>Género</t>
  </si>
  <si>
    <t>Edad (años)</t>
  </si>
  <si>
    <t>¿Cuántos años de experiencia tiene manejando un vehículo de carga?</t>
  </si>
  <si>
    <t>C2</t>
  </si>
  <si>
    <t>C3</t>
  </si>
  <si>
    <t>T2</t>
  </si>
  <si>
    <t>T3</t>
  </si>
  <si>
    <t>Otro (especificar)</t>
  </si>
  <si>
    <t>¿Cuál es el tipo de unidad que conduce?</t>
  </si>
  <si>
    <t>Caja seca</t>
  </si>
  <si>
    <t>Caja seca refrigerada</t>
  </si>
  <si>
    <t>Remolque</t>
  </si>
  <si>
    <t>Refrigeradas</t>
  </si>
  <si>
    <t>Tanque</t>
  </si>
  <si>
    <t>Hazmat</t>
  </si>
  <si>
    <t>Otra (especificar)</t>
  </si>
  <si>
    <t>¿Con qué unidad de arrastre?</t>
  </si>
  <si>
    <t>¿Qué año modelo es la unidad?</t>
  </si>
  <si>
    <t>Año modelo</t>
  </si>
  <si>
    <t>¿Cuántos km recorridos tiene?</t>
  </si>
  <si>
    <t>Gasolina</t>
  </si>
  <si>
    <t>Gas</t>
  </si>
  <si>
    <t>Diesel</t>
  </si>
  <si>
    <t>Huachicol</t>
  </si>
  <si>
    <t>¿Qué combustible utiliza la unidad?</t>
  </si>
  <si>
    <t>No sabe</t>
  </si>
  <si>
    <t>No ha cambiado</t>
  </si>
  <si>
    <t>Sí</t>
  </si>
  <si>
    <t>¿Fue motor reconfigurado?</t>
  </si>
  <si>
    <t>¿Fue motor nuevo?</t>
  </si>
  <si>
    <t>¿Qué año es el motor?</t>
  </si>
  <si>
    <t>¿Cuál es la marca del motor que tiene la unidad?</t>
  </si>
  <si>
    <t>¿Qué porcentaje de ese recorrido es de vacío?</t>
  </si>
  <si>
    <t>De vacío (km/lt)</t>
  </si>
  <si>
    <t>Cargada (km/lt)</t>
  </si>
  <si>
    <t>¿Cuántos tanques de combustible tiene la unidad?</t>
  </si>
  <si>
    <t>¿De qué capacidad son los tanques? (litros)</t>
  </si>
  <si>
    <t>¿Cuántos kilómetros alcanza a recorrer con tanques llenos? (kms)</t>
  </si>
  <si>
    <t>Enfriamiento de cabina</t>
  </si>
  <si>
    <t>GPS para rastreo</t>
  </si>
  <si>
    <t>GPS para optimizar la ruta</t>
  </si>
  <si>
    <t>¿La unidad cuenta con:</t>
  </si>
  <si>
    <t>Realiza cambio de aceite (kms)</t>
  </si>
  <si>
    <t>Cambia frenos (kms)</t>
  </si>
  <si>
    <t>Hace afinación de motor (kms)</t>
  </si>
  <si>
    <t>Cambia llantas (kms)</t>
  </si>
  <si>
    <t>¿Sabe con qué frecuencia promedio (en kms recorridos o tiempo)?</t>
  </si>
  <si>
    <t>Productos perecederos</t>
  </si>
  <si>
    <t>Alimentos no perecederos</t>
  </si>
  <si>
    <t>Químicos</t>
  </si>
  <si>
    <t>Materiales para construcción</t>
  </si>
  <si>
    <t>Materias primas para producción</t>
  </si>
  <si>
    <t>Granos</t>
  </si>
  <si>
    <t>Materias primas para emsamble</t>
  </si>
  <si>
    <t>Productos refrigerados</t>
  </si>
  <si>
    <t>Materiales peligrosos</t>
  </si>
  <si>
    <t>Otros (especificar)</t>
  </si>
  <si>
    <t>Usted</t>
  </si>
  <si>
    <t>El Dueño</t>
  </si>
  <si>
    <t>El Cliente</t>
  </si>
  <si>
    <t>Ambos</t>
  </si>
  <si>
    <t>¿Quién fija las rutas?</t>
  </si>
  <si>
    <t>Tiempo</t>
  </si>
  <si>
    <t>Cuota</t>
  </si>
  <si>
    <t>Distancia</t>
  </si>
  <si>
    <t>No</t>
  </si>
  <si>
    <t>Inflado automático de llantas</t>
  </si>
  <si>
    <t>Uso de catalizador</t>
  </si>
  <si>
    <t>Reducción de peso muerto</t>
  </si>
  <si>
    <t>Lubricante de baja fricción</t>
  </si>
  <si>
    <t>Faldones traseros</t>
  </si>
  <si>
    <t>Conducción eficiente</t>
  </si>
  <si>
    <t>¿Cuenta la unidad con algún tipo de tecnología o estrategia para reducir el consumo de combustible?</t>
  </si>
  <si>
    <t>¿Participa o ha participado en el Programa?</t>
  </si>
  <si>
    <t>¿Sabía usted que el Programa de Trasporte Limpio ofrece opciones para reducir el consumo de combustible y emisiones?</t>
  </si>
  <si>
    <t>¿Cuál es su opinión del programa?</t>
  </si>
  <si>
    <t>¿Qué sugiere para el programa le interese?</t>
  </si>
  <si>
    <t>No me interesa</t>
  </si>
  <si>
    <t>¿Por qué?</t>
  </si>
  <si>
    <t>Mecánica</t>
  </si>
  <si>
    <t>¿Qué cursos de capacitación (gratuitos) le pueden ser de utilidad?</t>
  </si>
  <si>
    <t>Escolaridad (Grado máximo de estudios)</t>
  </si>
  <si>
    <t>Lugar de residencia (Población y Estado)</t>
  </si>
  <si>
    <t>9 ¿Sabe usted si se ha cambiado motor a la unidad?</t>
  </si>
  <si>
    <t>¿Cuántos km recorre al mes ó año aproximadamente?</t>
  </si>
  <si>
    <t>¿Cuántos kilómetros por litro (en promedio) le da la unidad?</t>
  </si>
  <si>
    <t>¿Qué tipo de productos mueve en general? (Seleccionar las que apliquen)</t>
  </si>
  <si>
    <t>Por orden de importancia (del 1 al 3), ¿Cuál es el factor que determina la ruta?</t>
  </si>
  <si>
    <t>Manejo eficiente</t>
  </si>
  <si>
    <t>Edad</t>
  </si>
  <si>
    <t>Escolaridad</t>
  </si>
  <si>
    <t>Lugar de residencia</t>
  </si>
  <si>
    <t>Años de experiencia manejando vehículos de carga</t>
  </si>
  <si>
    <t>Conduce unidad C2</t>
  </si>
  <si>
    <t>Conduce unidad C3</t>
  </si>
  <si>
    <t>Conduce unidad T2</t>
  </si>
  <si>
    <t>Conduce unidad T3</t>
  </si>
  <si>
    <t>Conduce Otro tipo de unidad</t>
  </si>
  <si>
    <t>Unidad de arrastre tipo Caja seca</t>
  </si>
  <si>
    <t>Unidad de arrastre tipo Caja seca refrigerada</t>
  </si>
  <si>
    <t>Unidad de arrastre tipo Remolque</t>
  </si>
  <si>
    <t>Unidad de arrastre tipo Refrigeradas</t>
  </si>
  <si>
    <t>Unidad de arrastre tipo Tanque</t>
  </si>
  <si>
    <t>Unidad de arrastre tipo Hazmat</t>
  </si>
  <si>
    <t>Otro tipo de unidad de arrastre</t>
  </si>
  <si>
    <t>Kms recorridos de la unidad</t>
  </si>
  <si>
    <t>Utiliza Gasolina</t>
  </si>
  <si>
    <t>Utiliza Gas</t>
  </si>
  <si>
    <t>Utiliza Diesel</t>
  </si>
  <si>
    <t>Utiliza Huachicol</t>
  </si>
  <si>
    <t>Utiliza Otro combustible</t>
  </si>
  <si>
    <t>No sabe si se ha cambiado el motor a la unidad</t>
  </si>
  <si>
    <t>No se ha cambiado el motor a la unidad</t>
  </si>
  <si>
    <t>Sí se cambió el motor a uno reconfigurado</t>
  </si>
  <si>
    <t>Sí se cambió el motor a uno nuevo</t>
  </si>
  <si>
    <t>Año del motor de la unidad</t>
  </si>
  <si>
    <t>Marca del motor de la unidad</t>
  </si>
  <si>
    <t>Porcentaje de kms que recorre vacío</t>
  </si>
  <si>
    <t>Rendimiento de la unidad Cargada</t>
  </si>
  <si>
    <t>Rendimiento de la unidad en Vacío</t>
  </si>
  <si>
    <t>Tanques de combustible de la unidad</t>
  </si>
  <si>
    <t>Capacidad de los tanques</t>
  </si>
  <si>
    <t>Kms que recorre con tanques llenos</t>
  </si>
  <si>
    <t>Cuenta con Enfriamiento de cabina</t>
  </si>
  <si>
    <t>Cuenta con GPS para rastreo</t>
  </si>
  <si>
    <t>Transporta Productos perecederos</t>
  </si>
  <si>
    <t>Transporta Alimentos no perecederos</t>
  </si>
  <si>
    <t>Transporta Químicos</t>
  </si>
  <si>
    <t>Transporta Materiales para construcción</t>
  </si>
  <si>
    <t>Transporta Materias para producción</t>
  </si>
  <si>
    <t>Transporta Granos</t>
  </si>
  <si>
    <t>Transporta Materias primas para ensamble</t>
  </si>
  <si>
    <t>Transporta Productos refrigerados</t>
  </si>
  <si>
    <t>Transporta Materiales peligrosos</t>
  </si>
  <si>
    <t>Transporta Otros productos</t>
  </si>
  <si>
    <t>Usted fija la ruta</t>
  </si>
  <si>
    <t>El Dueño fija la ruta</t>
  </si>
  <si>
    <t>El Cliente fija la ruta</t>
  </si>
  <si>
    <t>Ambos fijan la ruta</t>
  </si>
  <si>
    <t>El Tiempo fija la ruta</t>
  </si>
  <si>
    <t>La Cuota fija la ruta</t>
  </si>
  <si>
    <t>La Distancia fija la ruta</t>
  </si>
  <si>
    <t>Otro factor determina la ruta</t>
  </si>
  <si>
    <t>No tiene tecnología para el consumo de combustible</t>
  </si>
  <si>
    <t>Sí tiene tecnología para el consumo de combustible</t>
  </si>
  <si>
    <t>Usa catalizador</t>
  </si>
  <si>
    <t>Tiene inflado automático de llantas</t>
  </si>
  <si>
    <t>Tiene reducción de peso muerto</t>
  </si>
  <si>
    <t>Usa lubricante de baja fricción</t>
  </si>
  <si>
    <t>Tiene faldones traseros</t>
  </si>
  <si>
    <t>Usa conducción eficiente</t>
  </si>
  <si>
    <t>No conoce el Programa de Transporte Limpio</t>
  </si>
  <si>
    <t>Sí conoce el Programa de Transporte Limpio</t>
  </si>
  <si>
    <t>No participa en el Programa de Transporte Limpio</t>
  </si>
  <si>
    <t>Sí participa en el Programa de Transporte Limpio</t>
  </si>
  <si>
    <t>Opinión del Programa de Transporte Limpio</t>
  </si>
  <si>
    <t>Sugerencias al Programa de Transporte Limpio</t>
  </si>
  <si>
    <t>¿Por qué no le interesan los cursos?</t>
  </si>
  <si>
    <t>No le interesan cursos de capacitación</t>
  </si>
  <si>
    <t>Le interesan cursos de Manejo eficiente</t>
  </si>
  <si>
    <t>Le interesan cursos de Mecánica</t>
  </si>
  <si>
    <t>Le interesan Otros cursos</t>
  </si>
  <si>
    <t>Cuenta con GPS para optimizar la ruta</t>
  </si>
  <si>
    <t>Filtro de partículas (kms)</t>
  </si>
  <si>
    <t>Usa otra tecnología para ahorro de combustible</t>
  </si>
  <si>
    <t>El dueño de esta unidad cuenta:</t>
  </si>
  <si>
    <t>Unicamente esta unidad</t>
  </si>
  <si>
    <t>2 Unidades</t>
  </si>
  <si>
    <t>Entre 3 y 5 Unidades</t>
  </si>
  <si>
    <t>Entre 6 y 30 Unidades</t>
  </si>
  <si>
    <t>Kms por mes (M) por año (A)</t>
  </si>
  <si>
    <t>Frecuencia de cambio de aceite</t>
  </si>
  <si>
    <t>Frecuencia de cambio de frenos</t>
  </si>
  <si>
    <t>Frecuencia de afinación de motor</t>
  </si>
  <si>
    <t>Frecuencia de cambio de llantas</t>
  </si>
  <si>
    <t>Frecuencia de cambio de filtro de partículas</t>
  </si>
  <si>
    <t>¿ Por Qué?</t>
  </si>
  <si>
    <t>¿Qué cursos de capacitación ha tomado?</t>
  </si>
  <si>
    <t>Ninguno</t>
  </si>
  <si>
    <t>No ha tomado cursos de capacitación</t>
  </si>
  <si>
    <t>Manejo eficiente para ahorro de combustible</t>
  </si>
  <si>
    <t>Mecánica para mantenimiento preventivo o correctivo</t>
  </si>
  <si>
    <t>Una Unidad</t>
  </si>
  <si>
    <t>Entre 3 y 5 unidades</t>
  </si>
  <si>
    <t>Entre 6 y 30 unidades</t>
  </si>
  <si>
    <t>Observaciones del encuestador</t>
  </si>
  <si>
    <t>Kms que recorre AL MES</t>
  </si>
  <si>
    <t>X</t>
  </si>
  <si>
    <t>M</t>
  </si>
  <si>
    <t>SECUNDARIA</t>
  </si>
  <si>
    <t>OAXACA,OAX.</t>
  </si>
  <si>
    <t>CHEVROLET</t>
  </si>
  <si>
    <t>NO SABE</t>
  </si>
  <si>
    <t>C-001</t>
  </si>
  <si>
    <t>C-002</t>
  </si>
  <si>
    <t>PRIMARIA</t>
  </si>
  <si>
    <t>PUEBLA, PUE</t>
  </si>
  <si>
    <t>INTERNATIONAL</t>
  </si>
  <si>
    <t>NO</t>
  </si>
  <si>
    <t>Razón por la que no participa en el programa</t>
  </si>
  <si>
    <t>AL PATRON NO LE INTERESA</t>
  </si>
  <si>
    <t>ES BUENO, AHORRA COMBUSTIBLE</t>
  </si>
  <si>
    <t>DAR INCENTIVOS</t>
  </si>
  <si>
    <t>PÉRDIDA DE TIEMPO</t>
  </si>
  <si>
    <t>TRANSPORTA MATERIALES ASFÁLTICOS</t>
  </si>
  <si>
    <t>C-005</t>
  </si>
  <si>
    <t>TAPACHULA, CHIS</t>
  </si>
  <si>
    <t>SEGURIDAD</t>
  </si>
  <si>
    <t>DARLO A CONOCER</t>
  </si>
  <si>
    <t>C-006</t>
  </si>
  <si>
    <t>DINA</t>
  </si>
  <si>
    <t>CAMINA POR CAMINOS SIN PAVIMENTO Y A VECES BRECHAS</t>
  </si>
  <si>
    <t>C-007</t>
  </si>
  <si>
    <t>PREPARATORIA</t>
  </si>
  <si>
    <t>COATEPEC, VER.</t>
  </si>
  <si>
    <t>C-008</t>
  </si>
  <si>
    <t>C-010</t>
  </si>
  <si>
    <t>VERACRUZ, VER.</t>
  </si>
  <si>
    <t>C-011</t>
  </si>
  <si>
    <t>BACHILLERATO</t>
  </si>
  <si>
    <t>C-012</t>
  </si>
  <si>
    <t>NO HAY INCENTIVOS</t>
  </si>
  <si>
    <t>C-014</t>
  </si>
  <si>
    <t>Ha tomado cursos de Manejo eficiente</t>
  </si>
  <si>
    <t>ha tomado cursos de Mecánica para mantenimiento</t>
  </si>
  <si>
    <t>Ha tomado Otros cursos</t>
  </si>
  <si>
    <t>C-015</t>
  </si>
  <si>
    <t>IZTAPALAPA, D.F.</t>
  </si>
  <si>
    <t>NAVISTAR</t>
  </si>
  <si>
    <t>C-016</t>
  </si>
  <si>
    <t>TRANSPORTA DIESEL</t>
  </si>
  <si>
    <t>C-017</t>
  </si>
  <si>
    <t>FORD</t>
  </si>
  <si>
    <t>NO APLICA</t>
  </si>
  <si>
    <t>C-019</t>
  </si>
  <si>
    <t>CÓRDOBA, VER</t>
  </si>
  <si>
    <t>MERCEDES BENZ</t>
  </si>
  <si>
    <t>C-020</t>
  </si>
  <si>
    <t>C-021</t>
  </si>
  <si>
    <t>LICENCIATURA</t>
  </si>
  <si>
    <t>CARRERA TRUNCA 2 AÑOS</t>
  </si>
  <si>
    <t>C-022</t>
  </si>
  <si>
    <t>C-024</t>
  </si>
  <si>
    <t>ETLA,OAX.</t>
  </si>
  <si>
    <t>XOXOCOTLÁN,OAX.</t>
  </si>
  <si>
    <t>SAN ANDRÉS ZAUTLA, OAX.</t>
  </si>
  <si>
    <t>C-025</t>
  </si>
  <si>
    <t>CUILAPAN, OAX</t>
  </si>
  <si>
    <t>NISSAN</t>
  </si>
  <si>
    <t>C-026</t>
  </si>
  <si>
    <t>C-029</t>
  </si>
  <si>
    <t>C-030</t>
  </si>
  <si>
    <t>C-031</t>
  </si>
  <si>
    <t>C-034</t>
  </si>
  <si>
    <t>C-035</t>
  </si>
  <si>
    <t>FUE AYUDANTE DE MECÁNICO</t>
  </si>
  <si>
    <t>C-036</t>
  </si>
  <si>
    <t>C-038</t>
  </si>
  <si>
    <t>C-040</t>
  </si>
  <si>
    <t>NO SIRVE EL CUENTAKILÓMETROS</t>
  </si>
  <si>
    <t>BUENO</t>
  </si>
  <si>
    <t>C-041</t>
  </si>
  <si>
    <t>C-042</t>
  </si>
  <si>
    <t>TIEMPO</t>
  </si>
  <si>
    <t>C-043</t>
  </si>
  <si>
    <t>DETROIT</t>
  </si>
  <si>
    <t>CAPACITACION</t>
  </si>
  <si>
    <t>C-044</t>
  </si>
  <si>
    <t>DAÑADO</t>
  </si>
  <si>
    <t>NO TIENE TIEMPO</t>
  </si>
  <si>
    <t>C-045</t>
  </si>
  <si>
    <t xml:space="preserve">NO SABE </t>
  </si>
  <si>
    <t>ES BASICO PARA TRANSPORTISTAS</t>
  </si>
  <si>
    <t>C-046</t>
  </si>
  <si>
    <t>BOMBERO, PRECAUCION</t>
  </si>
  <si>
    <t>DESCARGA DE MATERIALES PELIGROSOS</t>
  </si>
  <si>
    <t>C-047</t>
  </si>
  <si>
    <t>C-048</t>
  </si>
  <si>
    <t>C-049</t>
  </si>
  <si>
    <t>C-050</t>
  </si>
  <si>
    <t>SABER SI ME BENEFICIA</t>
  </si>
  <si>
    <t>NO ME INTERESA</t>
  </si>
  <si>
    <t>C-051</t>
  </si>
  <si>
    <t>C-052</t>
  </si>
  <si>
    <t>BICAM</t>
  </si>
  <si>
    <t>UN CURSO</t>
  </si>
  <si>
    <t>C-053</t>
  </si>
  <si>
    <t>C-054</t>
  </si>
  <si>
    <t>PACCAR</t>
  </si>
  <si>
    <t>QUE ME LO EXPLIQUEN</t>
  </si>
  <si>
    <t>SEÑALAMIENTO</t>
  </si>
  <si>
    <t>C-055</t>
  </si>
  <si>
    <t>C-056</t>
  </si>
  <si>
    <t>C-057</t>
  </si>
  <si>
    <t>C-058</t>
  </si>
  <si>
    <t>C-059</t>
  </si>
  <si>
    <t>C-060</t>
  </si>
  <si>
    <t>C-061</t>
  </si>
  <si>
    <t>FALTA DE TIEMPO</t>
  </si>
  <si>
    <t>PUBLICIDAD</t>
  </si>
  <si>
    <t>MERCANCIA SECA</t>
  </si>
  <si>
    <t>C-062</t>
  </si>
  <si>
    <t>C-063</t>
  </si>
  <si>
    <t>C-064</t>
  </si>
  <si>
    <t>PAPELERIA</t>
  </si>
  <si>
    <t>NO LE INTERESA</t>
  </si>
  <si>
    <t>C-065</t>
  </si>
  <si>
    <t>BUENA FORMA DE NO CONTAMINAR</t>
  </si>
  <si>
    <t>MAYOR INFORMACION</t>
  </si>
  <si>
    <t>PROTECCION CIVIL</t>
  </si>
  <si>
    <t>C-066</t>
  </si>
  <si>
    <t>C-067</t>
  </si>
  <si>
    <t>C-068</t>
  </si>
  <si>
    <t>GENERAL</t>
  </si>
  <si>
    <t>C-069</t>
  </si>
  <si>
    <t>C-070</t>
  </si>
  <si>
    <t>NO LE GUSTA</t>
  </si>
  <si>
    <t>NO ME GUSTO</t>
  </si>
  <si>
    <t>C-071</t>
  </si>
  <si>
    <t>SOLO LOS DE LA EMPRESA</t>
  </si>
  <si>
    <t>C-072</t>
  </si>
  <si>
    <t>CUMMINS</t>
  </si>
  <si>
    <t>MAQUINARIA</t>
  </si>
  <si>
    <t>MANEJO A LA DEFENSIVA</t>
  </si>
  <si>
    <t>C-074</t>
  </si>
  <si>
    <t>CONTENEDOR</t>
  </si>
  <si>
    <t>C-075</t>
  </si>
  <si>
    <t>VOLVO</t>
  </si>
  <si>
    <t>C-076</t>
  </si>
  <si>
    <t>C-077</t>
  </si>
  <si>
    <t>MEDICAMENTOS</t>
  </si>
  <si>
    <t>C-078</t>
  </si>
  <si>
    <t>C-079</t>
  </si>
  <si>
    <t>C-080</t>
  </si>
  <si>
    <t>C-081</t>
  </si>
  <si>
    <t>C-082</t>
  </si>
  <si>
    <t>NO LE SIRVIO</t>
  </si>
  <si>
    <t>MEJOR EXPLICADO</t>
  </si>
  <si>
    <t>C-083</t>
  </si>
  <si>
    <t>C-084</t>
  </si>
  <si>
    <t>C-085</t>
  </si>
  <si>
    <t>AGUA POTABLE</t>
  </si>
  <si>
    <t>C-086</t>
  </si>
  <si>
    <t>C-087</t>
  </si>
  <si>
    <t>C-088</t>
  </si>
  <si>
    <t>C-089</t>
  </si>
  <si>
    <t>C-090</t>
  </si>
  <si>
    <t>C-091</t>
  </si>
  <si>
    <t>MUDANZAS</t>
  </si>
  <si>
    <t>C-092</t>
  </si>
  <si>
    <t>EL PATRON NO QUIERE</t>
  </si>
  <si>
    <t>C-093</t>
  </si>
  <si>
    <t>C-094</t>
  </si>
  <si>
    <t>C-095</t>
  </si>
  <si>
    <t>C-096</t>
  </si>
  <si>
    <t>C-097</t>
  </si>
  <si>
    <t>C-098</t>
  </si>
  <si>
    <t>C-099</t>
  </si>
  <si>
    <t>PRIMEROS AUXILIOS</t>
  </si>
  <si>
    <t>C-100</t>
  </si>
  <si>
    <t>C-101</t>
  </si>
  <si>
    <t>C-102</t>
  </si>
  <si>
    <t>C-103</t>
  </si>
  <si>
    <t>JABON</t>
  </si>
  <si>
    <t>C-104</t>
  </si>
  <si>
    <t>C-105</t>
  </si>
  <si>
    <t>ACEITE</t>
  </si>
  <si>
    <t>C-106</t>
  </si>
  <si>
    <t>C-107</t>
  </si>
  <si>
    <t>C-108</t>
  </si>
  <si>
    <t>C-109</t>
  </si>
  <si>
    <t>C-110</t>
  </si>
  <si>
    <t>C-111</t>
  </si>
  <si>
    <t>C-112</t>
  </si>
  <si>
    <t>C-113</t>
  </si>
  <si>
    <t>C-114</t>
  </si>
  <si>
    <t>MANEJO  LA DEFENSIVA</t>
  </si>
  <si>
    <t>C-115</t>
  </si>
  <si>
    <t xml:space="preserve"> </t>
  </si>
  <si>
    <t>C-116</t>
  </si>
  <si>
    <t>C-117</t>
  </si>
  <si>
    <t>TECNOLOGIA EN EL TRANSPORTE</t>
  </si>
  <si>
    <t>C-118</t>
  </si>
  <si>
    <t>POLIETILENO</t>
  </si>
  <si>
    <t>V. CARRANZA, D.F.</t>
  </si>
  <si>
    <t>CHALCO, EDO. MEX.</t>
  </si>
  <si>
    <t>VALLE DE CHALCO, EDO. MEX</t>
  </si>
  <si>
    <t>NAUCALPAN, EDO. MEX.</t>
  </si>
  <si>
    <t>HUIXQUILUCAN, EDO. MEX.</t>
  </si>
  <si>
    <t>KENWORTH</t>
  </si>
  <si>
    <t>MILPA ALTA, D.F.</t>
  </si>
  <si>
    <t>ZACAPU, MICH.</t>
  </si>
  <si>
    <t>COYOACÁN, D.F.</t>
  </si>
  <si>
    <t>IXTAPALUCA, EDO. DE MEX.</t>
  </si>
  <si>
    <t>NEZAHUALCÓYOTL, EDO. MEX.</t>
  </si>
  <si>
    <t>NICOLÁS ROMERO, EDO. MEX</t>
  </si>
  <si>
    <t>TEXCOCO, EDO. MEX</t>
  </si>
  <si>
    <t>MOCHIS, SIN.</t>
  </si>
  <si>
    <t>ECATEPEC, EDO. MEX.</t>
  </si>
  <si>
    <t>CUAJIMALPA, D.F.</t>
  </si>
  <si>
    <t>ISUZU</t>
  </si>
  <si>
    <t>PACHUCA, HGO.</t>
  </si>
  <si>
    <t>C-073</t>
  </si>
  <si>
    <t>COACALCO, EDO. MEX</t>
  </si>
  <si>
    <t>TOLUCA, EDO. MEX.</t>
  </si>
  <si>
    <t>CAPACITACIÓN EN RESIDUOS PELIGROSOS</t>
  </si>
  <si>
    <t>CATERPILLAR</t>
  </si>
  <si>
    <t>JILOTEPEC, EDO. MEX.</t>
  </si>
  <si>
    <t>ATIZAPAN, EDO. MEX.</t>
  </si>
  <si>
    <t>XOCHIMILCO, D.F.</t>
  </si>
  <si>
    <t>OCOYOACAC, EDO. MEX.</t>
  </si>
  <si>
    <t>LUGAR DONDE SE ENCUENTRA</t>
  </si>
  <si>
    <t>LOS REYES LA PAZ, EDO. DE MEX.</t>
  </si>
  <si>
    <t>CUAUTITLÁN, EDO. MEX.</t>
  </si>
  <si>
    <t>CHIMALHUACÁN, EDO. MEX.</t>
  </si>
  <si>
    <t>AMECAMECA, EDO.MEX.</t>
  </si>
  <si>
    <t>CUAUHTÉMOC, D.F.</t>
  </si>
  <si>
    <t>IXTAPAN, EDO. MEX</t>
  </si>
  <si>
    <t>TLALPAN, D.F.</t>
  </si>
  <si>
    <t>MEJORA AL MEDIO AMBIENTE</t>
  </si>
  <si>
    <t>YA LOS CURSÓ</t>
  </si>
  <si>
    <t>ZUMPANGO, EDO. MEX</t>
  </si>
  <si>
    <t>HUEHUETOCA, EDO. MEX.</t>
  </si>
  <si>
    <t>CANTIDAD DE UNIDADES</t>
  </si>
  <si>
    <t>UNA UNIDAD</t>
  </si>
  <si>
    <t>DOS UNIDADES</t>
  </si>
  <si>
    <t>ENTRE 3 Y CINCO UNIDADES</t>
  </si>
  <si>
    <t>ENTRE 6 Y 30 UNIDADES</t>
  </si>
  <si>
    <t>TOTAL</t>
  </si>
  <si>
    <t>CANTIDAD</t>
  </si>
  <si>
    <t>PORCENTAJE</t>
  </si>
  <si>
    <t>EDAD</t>
  </si>
  <si>
    <t>&lt;25</t>
  </si>
  <si>
    <t>26 A 30</t>
  </si>
  <si>
    <t>31 A 35</t>
  </si>
  <si>
    <t>36 A 40</t>
  </si>
  <si>
    <t>41 A 45</t>
  </si>
  <si>
    <t>46 A 50</t>
  </si>
  <si>
    <t>51 A 55</t>
  </si>
  <si>
    <t>&gt;55</t>
  </si>
  <si>
    <t>GÉNERO</t>
  </si>
  <si>
    <t>FEMENINO</t>
  </si>
  <si>
    <t>MASCULINO</t>
  </si>
  <si>
    <t>ESCOLARIDAD</t>
  </si>
  <si>
    <t>SIN ESTUDIOS</t>
  </si>
  <si>
    <t>POSGRADO</t>
  </si>
  <si>
    <t>OTROS</t>
  </si>
  <si>
    <t>PREPARATORIA / BACHILLERATO</t>
  </si>
  <si>
    <t>AÑOS MANEJANDO</t>
  </si>
  <si>
    <t>6 A 10</t>
  </si>
  <si>
    <t>11 A 15</t>
  </si>
  <si>
    <t>16 A 20</t>
  </si>
  <si>
    <t>21 A 25</t>
  </si>
  <si>
    <t>&gt;25</t>
  </si>
  <si>
    <t>0 A 5</t>
  </si>
  <si>
    <t>UNIDAD QUE CONDUCE</t>
  </si>
  <si>
    <t>OTRO</t>
  </si>
  <si>
    <t>TIPO DE UNIDAD</t>
  </si>
  <si>
    <t>UNIDAD DE ARRASTRE</t>
  </si>
  <si>
    <t>Otra</t>
  </si>
  <si>
    <t>AÑO MODELO</t>
  </si>
  <si>
    <t>KILÓMETROS RECORRIDOS UNIDAD</t>
  </si>
  <si>
    <t>250,001 A 500,000</t>
  </si>
  <si>
    <t>500,001 A 1'000,000</t>
  </si>
  <si>
    <t>1'000,001 A 1'500,000</t>
  </si>
  <si>
    <t>1'500,001 A 2'000,000</t>
  </si>
  <si>
    <t>2'000,001 A 2'500,000</t>
  </si>
  <si>
    <t>&lt;250,000</t>
  </si>
  <si>
    <t>&gt;2'500,000</t>
  </si>
  <si>
    <t>CONTADOR DAÑADO</t>
  </si>
  <si>
    <t>KILÓMETROS RECORRIDOS DE LA UNIDAD</t>
  </si>
  <si>
    <t>COMBUSTIBLE QUE UTILIZA</t>
  </si>
  <si>
    <t>GASOLINA</t>
  </si>
  <si>
    <t>GAS</t>
  </si>
  <si>
    <t>DIESEL</t>
  </si>
  <si>
    <t>HUACHICOL</t>
  </si>
  <si>
    <t>COMBUSTIBLE</t>
  </si>
  <si>
    <t>MARCA DEL MOTOR</t>
  </si>
  <si>
    <t>KILÓMETROS QUE RECORRE POR MES</t>
  </si>
  <si>
    <t>&lt;2500</t>
  </si>
  <si>
    <t>2501 A 3000</t>
  </si>
  <si>
    <t>3001 A 3500</t>
  </si>
  <si>
    <t>3501 A 4000</t>
  </si>
  <si>
    <t>4001 A 4500</t>
  </si>
  <si>
    <t>4501 A 5000</t>
  </si>
  <si>
    <t>5001 A 6000</t>
  </si>
  <si>
    <t>6001 A 7000</t>
  </si>
  <si>
    <t>7001 A 8000</t>
  </si>
  <si>
    <t>8001 A 9000</t>
  </si>
  <si>
    <t>9001 A 10000</t>
  </si>
  <si>
    <t>10001 A 11000</t>
  </si>
  <si>
    <t>11001 A 12000</t>
  </si>
  <si>
    <t>12001 A 15000</t>
  </si>
  <si>
    <t>&gt;15000</t>
  </si>
  <si>
    <t>KILÓMETROS POR MES</t>
  </si>
  <si>
    <t>PORCENTAJE QUE RECORRE DE VACÍO</t>
  </si>
  <si>
    <t>TIPO DE PRODUCTOS QUE MUEVE</t>
  </si>
  <si>
    <t>Otros</t>
  </si>
  <si>
    <t>Perecederos</t>
  </si>
  <si>
    <t>PRODUCTOS QUE MUEVE</t>
  </si>
  <si>
    <t>QUIÉN FIJA LAS RUTAS</t>
  </si>
  <si>
    <t>El Conductor</t>
  </si>
  <si>
    <t>GRADO DE IMPORTANCIA DEL FACTOR QUE FIJA LA RUTA</t>
  </si>
  <si>
    <t>CUOTA</t>
  </si>
  <si>
    <t>DISTANCIA</t>
  </si>
  <si>
    <t>MAYOR IMPORTANCIA</t>
  </si>
  <si>
    <t>IMPORTANCIA INTERMEDIA</t>
  </si>
  <si>
    <t>POCO IMPORTANTE</t>
  </si>
  <si>
    <t>MENOR IMPORTANCIA</t>
  </si>
  <si>
    <t>C-119</t>
  </si>
  <si>
    <t>C-120</t>
  </si>
  <si>
    <t>C-121</t>
  </si>
  <si>
    <t>C-122</t>
  </si>
  <si>
    <t>C-123</t>
  </si>
  <si>
    <t>C-124</t>
  </si>
  <si>
    <t>C-125</t>
  </si>
  <si>
    <t>C-126</t>
  </si>
  <si>
    <t>C-127</t>
  </si>
  <si>
    <t>C-128</t>
  </si>
  <si>
    <t>C-129</t>
  </si>
  <si>
    <t>C-130</t>
  </si>
  <si>
    <t>C-131</t>
  </si>
  <si>
    <t>C-132</t>
  </si>
  <si>
    <t>C-133</t>
  </si>
  <si>
    <t>C-134</t>
  </si>
  <si>
    <t>C-135</t>
  </si>
  <si>
    <t>C-136</t>
  </si>
  <si>
    <t>C-137</t>
  </si>
  <si>
    <t>C-138</t>
  </si>
  <si>
    <t>C-139</t>
  </si>
  <si>
    <t>C-140</t>
  </si>
  <si>
    <t>C-141</t>
  </si>
  <si>
    <t>C-142</t>
  </si>
  <si>
    <t>C-143</t>
  </si>
  <si>
    <t>C-144</t>
  </si>
  <si>
    <t>C-145</t>
  </si>
  <si>
    <t>C-146</t>
  </si>
  <si>
    <t>C-147</t>
  </si>
  <si>
    <t>C-148</t>
  </si>
  <si>
    <t>C-149</t>
  </si>
  <si>
    <t>C-150</t>
  </si>
  <si>
    <t>C-151</t>
  </si>
  <si>
    <t>C-152</t>
  </si>
  <si>
    <t>C-153</t>
  </si>
  <si>
    <t>C-154</t>
  </si>
  <si>
    <t>C-155</t>
  </si>
  <si>
    <t>C-156</t>
  </si>
  <si>
    <t>TECNOLOGÍA O ESTRATEGIA PARA REDUCIR EL CONSUMO DE COMBUSTIBLE</t>
  </si>
  <si>
    <t>Ninguna</t>
  </si>
  <si>
    <t>ZACATLÁN, PUE.</t>
  </si>
  <si>
    <t>CUERNAVACA, MOR.</t>
  </si>
  <si>
    <t>MAGDALENA CONTRERAS, D.F.</t>
  </si>
  <si>
    <t>ELECTRODOMÉSTICOS</t>
  </si>
  <si>
    <t>EL MOLINITO, EDO. MEX.</t>
  </si>
  <si>
    <t>CD ZAHAGUN, HGO</t>
  </si>
  <si>
    <t>DESCARGA DE PRODUCTOS PELIGROSOS</t>
  </si>
  <si>
    <t>TEXTILES</t>
  </si>
  <si>
    <t>SAN JUAN DEL RÍO, QRO.</t>
  </si>
  <si>
    <t>PROPONE GASOLINA + LIMPIA</t>
  </si>
  <si>
    <t>MUEBLES</t>
  </si>
  <si>
    <t>CURSOS DE CONOCIMIENTOS BÁSICOS DE LA UNIDAD</t>
  </si>
  <si>
    <t>MIGUEL HIDALGO, D.F.</t>
  </si>
  <si>
    <t>TLÁHUAC, D.F.</t>
  </si>
  <si>
    <t>BENITO JUÁREZ, D.F.</t>
  </si>
  <si>
    <t>CHATARRA</t>
  </si>
  <si>
    <t>RUTA</t>
  </si>
  <si>
    <t>LLANTAS</t>
  </si>
  <si>
    <t>AGUA</t>
  </si>
  <si>
    <t>NO LE INTERESA AL DUEÑO</t>
  </si>
  <si>
    <t>PROTECCION CIVIL Y PRIMEROS AUXILIOS</t>
  </si>
  <si>
    <t>BUENO PARA EL AMBIENTE</t>
  </si>
  <si>
    <t>ANIMALES</t>
  </si>
  <si>
    <t>C-157</t>
  </si>
  <si>
    <t>C-158</t>
  </si>
  <si>
    <t>C-159</t>
  </si>
  <si>
    <t>C-160</t>
  </si>
  <si>
    <t>C-161</t>
  </si>
  <si>
    <t>C-162</t>
  </si>
  <si>
    <t>C-163</t>
  </si>
  <si>
    <t>C-164</t>
  </si>
  <si>
    <t>C-165</t>
  </si>
  <si>
    <t>C-166</t>
  </si>
  <si>
    <t>C-167</t>
  </si>
  <si>
    <t>C-168</t>
  </si>
  <si>
    <t>C-169</t>
  </si>
  <si>
    <t>C-170</t>
  </si>
  <si>
    <t>C-171</t>
  </si>
  <si>
    <t>C-172</t>
  </si>
  <si>
    <t>C-173</t>
  </si>
  <si>
    <t>AZCAPOTZALCO, D.F.</t>
  </si>
  <si>
    <t>TULTITLÁN, EDO. MEX.</t>
  </si>
  <si>
    <t>CHICOLOAPAN, EDO. MEX.</t>
  </si>
  <si>
    <t>ÁLVARO OBREGÓN, D.F.</t>
  </si>
  <si>
    <t>TLALNEPANTLA, EDO. MEX.</t>
  </si>
  <si>
    <t>SAN MARTIN, EDO. MEX.</t>
  </si>
  <si>
    <t>TEPOZTLÁN, MOR.</t>
  </si>
  <si>
    <t>C-174</t>
  </si>
  <si>
    <t>C-175</t>
  </si>
  <si>
    <t>NO SIRVEN</t>
  </si>
  <si>
    <t>C-176</t>
  </si>
  <si>
    <t>C-177</t>
  </si>
  <si>
    <t>C-178</t>
  </si>
  <si>
    <t>C-179</t>
  </si>
  <si>
    <t>C-180</t>
  </si>
  <si>
    <t>C-181</t>
  </si>
  <si>
    <t>C-182</t>
  </si>
  <si>
    <t>C-183</t>
  </si>
  <si>
    <t>C-184</t>
  </si>
  <si>
    <t>C-185</t>
  </si>
  <si>
    <t>C-186</t>
  </si>
  <si>
    <t>C-187</t>
  </si>
  <si>
    <t>C-188</t>
  </si>
  <si>
    <t>C-189</t>
  </si>
  <si>
    <t>C-190</t>
  </si>
  <si>
    <t>C-191</t>
  </si>
  <si>
    <t>C-192</t>
  </si>
  <si>
    <t>C-193</t>
  </si>
  <si>
    <t>C-194</t>
  </si>
  <si>
    <t>C-195</t>
  </si>
  <si>
    <t>C-196</t>
  </si>
  <si>
    <t>C-197</t>
  </si>
  <si>
    <t>C-198</t>
  </si>
  <si>
    <t>C-199</t>
  </si>
  <si>
    <t>C-200</t>
  </si>
  <si>
    <t>C-201</t>
  </si>
  <si>
    <t>C-202</t>
  </si>
  <si>
    <t>C-203</t>
  </si>
  <si>
    <t>C-204</t>
  </si>
  <si>
    <t>C-205</t>
  </si>
  <si>
    <t>STA. ROSA JÁUREGUI, QRO.</t>
  </si>
  <si>
    <t>TV REFRIGERADORES</t>
  </si>
  <si>
    <t>NO CONTESTA</t>
  </si>
  <si>
    <t>JOFRE, QRO.</t>
  </si>
  <si>
    <t>DETROIT S-60</t>
  </si>
  <si>
    <t>DETROIT S-60 / PIEZAS AUTOMOTRICES</t>
  </si>
  <si>
    <t>OTUMBA, EDO. MEX.</t>
  </si>
  <si>
    <t>QUERÉTARO, QRO.</t>
  </si>
  <si>
    <t>LÍNEA BLANCA</t>
  </si>
  <si>
    <t>BUENAVISTA, QRO.</t>
  </si>
  <si>
    <t>CUMMINS N14 SELECT PLUS</t>
  </si>
  <si>
    <t>CORREGIDORA, QRO.</t>
  </si>
  <si>
    <t>APASEO EL ALTO, GTO.</t>
  </si>
  <si>
    <t>CUMMINS N14 PLUS</t>
  </si>
  <si>
    <t>VILLAGRÁN, GTO.</t>
  </si>
  <si>
    <t>IMPORTACIÓN / EXPORTACIÓN</t>
  </si>
  <si>
    <t>CELAYA, GTO.</t>
  </si>
  <si>
    <t>CUMMINS ISC</t>
  </si>
  <si>
    <t>CORTAZAR, GTO.</t>
  </si>
  <si>
    <t>CUMMINS ISX</t>
  </si>
  <si>
    <t>CUMMINS ISM</t>
  </si>
  <si>
    <t>CUMMINS N14 SELECT</t>
  </si>
  <si>
    <t>CAT 15</t>
  </si>
  <si>
    <t>SALAMANCA, GTO.</t>
  </si>
  <si>
    <t>FRENO ELECTROIMÁN</t>
  </si>
  <si>
    <t>CONTINGENCIA AMBIENTAL</t>
  </si>
  <si>
    <t>ZAMORA, MICH.</t>
  </si>
  <si>
    <t>CATERPILLAR C 35</t>
  </si>
  <si>
    <t>DETROIT S60</t>
  </si>
  <si>
    <t>VALLE DE SANTIAGO, GTO.</t>
  </si>
  <si>
    <t>TAMPICO, TAMPS.</t>
  </si>
  <si>
    <t>TIPO DE CARRETRA</t>
  </si>
  <si>
    <t>MANZANILLO, COL.</t>
  </si>
  <si>
    <t>PALMILLAS, EDO. MEX.</t>
  </si>
  <si>
    <t>ROMITA, GTO.</t>
  </si>
  <si>
    <t>CALVILLO, AGS.</t>
  </si>
  <si>
    <t>C-211</t>
  </si>
  <si>
    <t>NO QUIERE EL DUEÑO</t>
  </si>
  <si>
    <t>ES BUENO</t>
  </si>
  <si>
    <t>POR TIEMPO</t>
  </si>
  <si>
    <t>C-212</t>
  </si>
  <si>
    <t>TULTEPEC, EDO. MEX.</t>
  </si>
  <si>
    <t>C-213</t>
  </si>
  <si>
    <t>PLASTICO</t>
  </si>
  <si>
    <t>C-214</t>
  </si>
  <si>
    <t>NO LO NECESITA</t>
  </si>
  <si>
    <t>C-215</t>
  </si>
  <si>
    <t>C-216</t>
  </si>
  <si>
    <t>ROPA</t>
  </si>
  <si>
    <t>C-217</t>
  </si>
  <si>
    <t>C-218</t>
  </si>
  <si>
    <t>C-219</t>
  </si>
  <si>
    <t>C-220</t>
  </si>
  <si>
    <t>C-221</t>
  </si>
  <si>
    <t>C-222</t>
  </si>
  <si>
    <t>C-223</t>
  </si>
  <si>
    <t>TRANSPORTER</t>
  </si>
  <si>
    <t>C-224</t>
  </si>
  <si>
    <t>C-225</t>
  </si>
  <si>
    <t>C-226</t>
  </si>
  <si>
    <t>C-227</t>
  </si>
  <si>
    <t>C-228</t>
  </si>
  <si>
    <t>C-229</t>
  </si>
  <si>
    <t>C-230</t>
  </si>
  <si>
    <t>MEDICAMENTO NUTRICIONAL</t>
  </si>
  <si>
    <t>YA LOS TOMÓ</t>
  </si>
  <si>
    <t>PERECEDEROS REFRIGERADOS</t>
  </si>
  <si>
    <t>C-231</t>
  </si>
  <si>
    <t>HACEN LO QUE QUIEREN, NO SIRVE</t>
  </si>
  <si>
    <t>C-232</t>
  </si>
  <si>
    <t>ES UN BUEN PROGRAMA PARA TODOS</t>
  </si>
  <si>
    <t>C-233</t>
  </si>
  <si>
    <t>ES BUENO PARA EL AMBINTE</t>
  </si>
  <si>
    <t>C-234</t>
  </si>
  <si>
    <t>C-235</t>
  </si>
  <si>
    <t>C-236</t>
  </si>
  <si>
    <t>C-237</t>
  </si>
  <si>
    <t>QUE BUENO QUE LO HACEN</t>
  </si>
  <si>
    <t>C-238</t>
  </si>
  <si>
    <t>ES BUENO PARA NO CONTAMINAR</t>
  </si>
  <si>
    <t>ES BUENO, PERO NO LE HACEN CASO</t>
  </si>
  <si>
    <t>C-239</t>
  </si>
  <si>
    <t>C-240</t>
  </si>
  <si>
    <t>C-241</t>
  </si>
  <si>
    <t>SAN JUAN CASA BLANCA, EDO. MEX.</t>
  </si>
  <si>
    <t>C-242</t>
  </si>
  <si>
    <t>NO HAY TIEMPO</t>
  </si>
  <si>
    <t>ESTA BIEN</t>
  </si>
  <si>
    <t>C-243</t>
  </si>
  <si>
    <t>QUE EL PATRON LO PONGA EN LA EMPRESA</t>
  </si>
  <si>
    <t>C-244</t>
  </si>
  <si>
    <t>C-245</t>
  </si>
  <si>
    <t>C-246</t>
  </si>
  <si>
    <t>C-247</t>
  </si>
  <si>
    <t>C-248</t>
  </si>
  <si>
    <t>C-249</t>
  </si>
  <si>
    <t>C-250</t>
  </si>
  <si>
    <t>C-251</t>
  </si>
  <si>
    <t>PRODUCTOS DE BELLEZA</t>
  </si>
  <si>
    <t>C-252</t>
  </si>
  <si>
    <t>C-253</t>
  </si>
  <si>
    <t>C-254</t>
  </si>
  <si>
    <t>C-255</t>
  </si>
  <si>
    <t>FORRAJE</t>
  </si>
  <si>
    <t>C-256</t>
  </si>
  <si>
    <t>C-257</t>
  </si>
  <si>
    <t>VALORES</t>
  </si>
  <si>
    <t>LA UNIDAD NO CONTAMINA</t>
  </si>
  <si>
    <t>MAS INTERES DEL GOBIERNO</t>
  </si>
  <si>
    <t>C-258</t>
  </si>
  <si>
    <t>FULL</t>
  </si>
  <si>
    <t>MANEJO DE MATERIAL PELIGROSO</t>
  </si>
  <si>
    <t>C-259</t>
  </si>
  <si>
    <t>PAQUETERIA</t>
  </si>
  <si>
    <t>C-260</t>
  </si>
  <si>
    <t>C-261</t>
  </si>
  <si>
    <t>ZACUALTIPAN, HGO.</t>
  </si>
  <si>
    <t>TRANSPORTA TURBOSINA</t>
  </si>
  <si>
    <t>MANEJO DE RESIDUOS PELIGROSOS</t>
  </si>
  <si>
    <t>GUSTAVO A. MADERO, D.F.</t>
  </si>
  <si>
    <t>TRANSPORTA SOSA E HIPOCLORITO / AVISAR A LAS EMPRESAS PARA QUE LOS DEJEN IR A CURSOS</t>
  </si>
  <si>
    <t>ACAPULCO, GRO.</t>
  </si>
  <si>
    <t>SAN PEDRO, EDO. MEX.</t>
  </si>
  <si>
    <t>RANCHERIA, EDO. MEX.</t>
  </si>
  <si>
    <t>C-262</t>
  </si>
  <si>
    <t>C-263</t>
  </si>
  <si>
    <t>EL PATRON NO DICE NADA</t>
  </si>
  <si>
    <t>ES BUENO PARA EL AMBIENTE</t>
  </si>
  <si>
    <t>QUE LO EXIJAN</t>
  </si>
  <si>
    <t>C-264</t>
  </si>
  <si>
    <t>ES BUENA LA INTENSION</t>
  </si>
  <si>
    <t>C-265</t>
  </si>
  <si>
    <t>ES MUY BUENO</t>
  </si>
  <si>
    <t>QUE SEA OBLIGATIRIO</t>
  </si>
  <si>
    <t>C-266</t>
  </si>
  <si>
    <t>NADIE LO HACE</t>
  </si>
  <si>
    <t>ES BUENA IDEA</t>
  </si>
  <si>
    <t>QUE EL PATRON LO HAGA EN LA EMPRESA</t>
  </si>
  <si>
    <t>C-267</t>
  </si>
  <si>
    <t>C-268</t>
  </si>
  <si>
    <t>C-269</t>
  </si>
  <si>
    <t>C-270</t>
  </si>
  <si>
    <t>C-271</t>
  </si>
  <si>
    <t>C-272</t>
  </si>
  <si>
    <t>UNA UNIDAD VIEJA</t>
  </si>
  <si>
    <t>C-273</t>
  </si>
  <si>
    <t>SECOS</t>
  </si>
  <si>
    <t>C-274</t>
  </si>
  <si>
    <t>C-275</t>
  </si>
  <si>
    <t>C-276</t>
  </si>
  <si>
    <t>ES LOCAL</t>
  </si>
  <si>
    <t>C-277</t>
  </si>
  <si>
    <t>POR QUE EL DUEÑO NO QUIERE</t>
  </si>
  <si>
    <t>HACERLO OBLIGATORIO</t>
  </si>
  <si>
    <t>C-278</t>
  </si>
  <si>
    <t>IZTACALCO, D.F.</t>
  </si>
  <si>
    <t>C-279</t>
  </si>
  <si>
    <t>TEXMELUCAN, PUE.</t>
  </si>
  <si>
    <t>GUANAJUATO, GTO.</t>
  </si>
  <si>
    <t>C-280</t>
  </si>
  <si>
    <t>D.F. IZTAPALAPA</t>
  </si>
  <si>
    <t>C-281</t>
  </si>
  <si>
    <t>MANEJO A LA DEDENSIVA</t>
  </si>
  <si>
    <t>C-282</t>
  </si>
  <si>
    <t>C-283</t>
  </si>
  <si>
    <t>C-284</t>
  </si>
  <si>
    <t>C-285</t>
  </si>
  <si>
    <t>C-286</t>
  </si>
  <si>
    <t>D.F. IZTACALCO</t>
  </si>
  <si>
    <t>NO SABE CUALES HAY</t>
  </si>
  <si>
    <t>C-287</t>
  </si>
  <si>
    <t>C-288</t>
  </si>
  <si>
    <t>TECAMAC, EDO MEX</t>
  </si>
  <si>
    <t>PANTALLAS</t>
  </si>
  <si>
    <t>C-289</t>
  </si>
  <si>
    <t>C-290</t>
  </si>
  <si>
    <t>C-291</t>
  </si>
  <si>
    <t>D.F IZTAPALAPA</t>
  </si>
  <si>
    <t>C-292</t>
  </si>
  <si>
    <t>TEPIC, NAYARIT</t>
  </si>
  <si>
    <t>C-293</t>
  </si>
  <si>
    <t>TIJUANA, B. CALIFORNIA</t>
  </si>
  <si>
    <t>C-294</t>
  </si>
  <si>
    <t>OCOTLAN, JALISCO</t>
  </si>
  <si>
    <t>C-295</t>
  </si>
  <si>
    <t>TANTOYUCA, VERACRUZ</t>
  </si>
  <si>
    <t>C-296</t>
  </si>
  <si>
    <t>ACAYUCAN, VERACRUZ</t>
  </si>
  <si>
    <t>C-297</t>
  </si>
  <si>
    <t>ZAPOPAN, JALISCO</t>
  </si>
  <si>
    <t>C-298</t>
  </si>
  <si>
    <t>LEON, GTO</t>
  </si>
  <si>
    <t>C-299</t>
  </si>
  <si>
    <t>CD OREGON, SONORA</t>
  </si>
  <si>
    <t>C-300</t>
  </si>
  <si>
    <t>C-301</t>
  </si>
  <si>
    <t>C-302</t>
  </si>
  <si>
    <t>CD. LERDO, DGO</t>
  </si>
  <si>
    <t>C-303</t>
  </si>
  <si>
    <t>PONCITLAN, JALISCO</t>
  </si>
  <si>
    <t>C-304</t>
  </si>
  <si>
    <t>PROGRAMA PARA REDUCCION DE ACCIDENTE</t>
  </si>
  <si>
    <t>LA EMPRESA NOS CAPACITA</t>
  </si>
  <si>
    <t>C-305</t>
  </si>
  <si>
    <t>REYNOSA, TAMAULIPAS</t>
  </si>
  <si>
    <t>C-TPAT, BASC</t>
  </si>
  <si>
    <t>C-306</t>
  </si>
  <si>
    <t>CONTENEDORES</t>
  </si>
  <si>
    <t>C-307</t>
  </si>
  <si>
    <t>TEZIUTLAN, PUEBLA</t>
  </si>
  <si>
    <t>C-308</t>
  </si>
  <si>
    <t>MAESTRO</t>
  </si>
  <si>
    <t>SAN LUIS POTOSI, SLP</t>
  </si>
  <si>
    <t>C-309</t>
  </si>
  <si>
    <t>GUADALAJARA, JALISCO</t>
  </si>
  <si>
    <t>C-310</t>
  </si>
  <si>
    <t>ARMERIA, COLIMA</t>
  </si>
  <si>
    <t>C-311</t>
  </si>
  <si>
    <t>TALA, JALISCO</t>
  </si>
  <si>
    <t>C-312</t>
  </si>
  <si>
    <t>C-313</t>
  </si>
  <si>
    <t>ORIZABA, VERACRUZ</t>
  </si>
  <si>
    <t>BUEN MANEJO CERO ACCIDENTES</t>
  </si>
  <si>
    <t>C-314</t>
  </si>
  <si>
    <t>C-315</t>
  </si>
  <si>
    <t>CULIACAN, SINALOA</t>
  </si>
  <si>
    <t>NO CONTESTO</t>
  </si>
  <si>
    <t>C-316</t>
  </si>
  <si>
    <t>C-317</t>
  </si>
  <si>
    <t>APIZACO, TLAXCALA</t>
  </si>
  <si>
    <t>KODIAK</t>
  </si>
  <si>
    <t>C-318</t>
  </si>
  <si>
    <t>PEROTE, VERACRUZ</t>
  </si>
  <si>
    <t>C-319</t>
  </si>
  <si>
    <t>C-320</t>
  </si>
  <si>
    <t>CABORCA, SONORA</t>
  </si>
  <si>
    <t>C-321</t>
  </si>
  <si>
    <t>C-322</t>
  </si>
  <si>
    <t>GUASAVE, SINALOA</t>
  </si>
  <si>
    <t>CUAUTITLAN, EDO. MEX.</t>
  </si>
  <si>
    <t>CD. CAMARGO, CHIHUAHUA</t>
  </si>
  <si>
    <t>C-325</t>
  </si>
  <si>
    <t>SANTIAGO IXCUINTLA, NAYARIT</t>
  </si>
  <si>
    <t>C-326</t>
  </si>
  <si>
    <t>CONTINGENCIA QUIMICA</t>
  </si>
  <si>
    <t>LOS DAN EN LA EMPRESA</t>
  </si>
  <si>
    <t>C-327</t>
  </si>
  <si>
    <t>C-328</t>
  </si>
  <si>
    <t>MONTERREY, NVO. LEON</t>
  </si>
  <si>
    <t>C-329</t>
  </si>
  <si>
    <t>ACTOPAN, HIDALGO</t>
  </si>
  <si>
    <t>C-330</t>
  </si>
  <si>
    <t>C-331</t>
  </si>
  <si>
    <t>CD. VALLES, SLP</t>
  </si>
  <si>
    <t>C-332</t>
  </si>
  <si>
    <t>C-333</t>
  </si>
  <si>
    <t>CHIHUAHUA, CHIHUAHUA</t>
  </si>
  <si>
    <t>C-334</t>
  </si>
  <si>
    <t>C-335</t>
  </si>
  <si>
    <t>NVO. LAREDO, TAMAULIPAS</t>
  </si>
  <si>
    <t>BASC</t>
  </si>
  <si>
    <t>C-336</t>
  </si>
  <si>
    <t>C-337</t>
  </si>
  <si>
    <t>C-338</t>
  </si>
  <si>
    <t>C-339</t>
  </si>
  <si>
    <t>C-340</t>
  </si>
  <si>
    <t>C-341</t>
  </si>
  <si>
    <t>C-342</t>
  </si>
  <si>
    <t>C-343</t>
  </si>
  <si>
    <t>C-344</t>
  </si>
  <si>
    <t>C-345</t>
  </si>
  <si>
    <t>C-346</t>
  </si>
  <si>
    <t>C-347</t>
  </si>
  <si>
    <t>C-348</t>
  </si>
  <si>
    <t>C-349</t>
  </si>
  <si>
    <t>C-350</t>
  </si>
  <si>
    <t>BOTELLAS</t>
  </si>
  <si>
    <t>C-351</t>
  </si>
  <si>
    <t>C-352</t>
  </si>
  <si>
    <t>C-353</t>
  </si>
  <si>
    <t>C-354</t>
  </si>
  <si>
    <t>C-355</t>
  </si>
  <si>
    <t>C-356</t>
  </si>
  <si>
    <t>C-357</t>
  </si>
  <si>
    <t>C-358</t>
  </si>
  <si>
    <t>C-359</t>
  </si>
  <si>
    <t>C-360</t>
  </si>
  <si>
    <t>C-361</t>
  </si>
  <si>
    <t>C-362</t>
  </si>
  <si>
    <t>C-363</t>
  </si>
  <si>
    <t>C-364</t>
  </si>
  <si>
    <t>C-365</t>
  </si>
  <si>
    <t>C-366</t>
  </si>
  <si>
    <t>C-367</t>
  </si>
  <si>
    <t>C-368</t>
  </si>
  <si>
    <t>C-369</t>
  </si>
  <si>
    <t>C-370</t>
  </si>
  <si>
    <t>C-371</t>
  </si>
  <si>
    <t>C-372</t>
  </si>
  <si>
    <t>C-373</t>
  </si>
  <si>
    <t>C-374</t>
  </si>
  <si>
    <t>C-375</t>
  </si>
  <si>
    <t>C-376</t>
  </si>
  <si>
    <t>C-377</t>
  </si>
  <si>
    <t>C-378</t>
  </si>
  <si>
    <t>C-379</t>
  </si>
  <si>
    <t>C-380</t>
  </si>
  <si>
    <t>C-381</t>
  </si>
  <si>
    <t>C-382</t>
  </si>
  <si>
    <t>C-383</t>
  </si>
  <si>
    <t>C-384</t>
  </si>
  <si>
    <t>C-385</t>
  </si>
  <si>
    <t>C-386</t>
  </si>
  <si>
    <t>C-387</t>
  </si>
  <si>
    <t>C-388</t>
  </si>
  <si>
    <t>C-389</t>
  </si>
  <si>
    <t>C-390</t>
  </si>
  <si>
    <t>C-391</t>
  </si>
  <si>
    <t>C-392</t>
  </si>
  <si>
    <t>C-393</t>
  </si>
  <si>
    <t>C-394</t>
  </si>
  <si>
    <t>C-395</t>
  </si>
  <si>
    <t>C-396</t>
  </si>
  <si>
    <t>C-397</t>
  </si>
  <si>
    <t>C-398</t>
  </si>
  <si>
    <t>C-399</t>
  </si>
  <si>
    <t>C-400</t>
  </si>
  <si>
    <t>C-401</t>
  </si>
  <si>
    <t>C-402</t>
  </si>
  <si>
    <t>C-403</t>
  </si>
  <si>
    <t>C-404</t>
  </si>
  <si>
    <t>C-405</t>
  </si>
  <si>
    <t>C-406</t>
  </si>
  <si>
    <t>C-407</t>
  </si>
  <si>
    <t>C-408</t>
  </si>
  <si>
    <t>C-409</t>
  </si>
  <si>
    <t>C-410</t>
  </si>
  <si>
    <t>JEREZ, ZACATECAS</t>
  </si>
  <si>
    <t>SANTA CLARA, MICH</t>
  </si>
  <si>
    <t>RIO VERDE, SLP</t>
  </si>
  <si>
    <t>LAGOS DE MORENO, JAL</t>
  </si>
  <si>
    <t>ACAMBARO, GTO</t>
  </si>
  <si>
    <t>POCHUTLA, OAX</t>
  </si>
  <si>
    <t>GARCIA, NVO LEON</t>
  </si>
  <si>
    <t>TULA, HGO</t>
  </si>
  <si>
    <t>PIEDRAS NEGRAS, COAH</t>
  </si>
  <si>
    <t>MANEJO SEGURO</t>
  </si>
  <si>
    <t>LA PIEDAD, MICH</t>
  </si>
  <si>
    <t>SAN FRANCISCO DEL RICON. GTO</t>
  </si>
  <si>
    <t>SILAO, GTO</t>
  </si>
  <si>
    <t>PURISIMA DEL RINCON, GTO</t>
  </si>
  <si>
    <t>NVAS CASAS GRANDES, CHIH</t>
  </si>
  <si>
    <t>ZINACANTEPEC, EDO MEX</t>
  </si>
  <si>
    <t>SAN FERNANDO, TAMPS</t>
  </si>
  <si>
    <t>PAPANTLA, VER</t>
  </si>
  <si>
    <t>NO LO NECESITO</t>
  </si>
  <si>
    <t>MORELIA, MICH</t>
  </si>
  <si>
    <t>PROGRAMA CONTRA ACCIDENTES</t>
  </si>
  <si>
    <t>C-411</t>
  </si>
  <si>
    <t>C-412</t>
  </si>
  <si>
    <t>GOMEZ PALACIO, DGO</t>
  </si>
  <si>
    <t>CADEREYTA, NVO LEON</t>
  </si>
  <si>
    <t>ROSA MORADA, NAYARIT</t>
  </si>
  <si>
    <t>C-413</t>
  </si>
  <si>
    <t>AGUASCALIENTES, AGS</t>
  </si>
  <si>
    <t>CADENA DE FRIO</t>
  </si>
  <si>
    <t>NAULCALPAN, EDO MEX</t>
  </si>
  <si>
    <t>MANEJO DE QUIMICOS</t>
  </si>
  <si>
    <t>RECUPERADOR DE GASES</t>
  </si>
  <si>
    <t>MANEJO DE RESIDUOS</t>
  </si>
  <si>
    <t>MATERIAL PELIGROSO</t>
  </si>
  <si>
    <t>C-414</t>
  </si>
  <si>
    <t>ELECTROMECANICA</t>
  </si>
  <si>
    <t>TULANCINGO, HGO</t>
  </si>
  <si>
    <t>POBLACION</t>
  </si>
  <si>
    <t>OAXACA</t>
  </si>
  <si>
    <t>PUEBLA</t>
  </si>
  <si>
    <t>TAPACHULA</t>
  </si>
  <si>
    <t>COATEPEC</t>
  </si>
  <si>
    <t>VERACRUZ</t>
  </si>
  <si>
    <t>IZTAPALAPA</t>
  </si>
  <si>
    <t>XOXOCOTLÁN</t>
  </si>
  <si>
    <t>CÓRDOBA</t>
  </si>
  <si>
    <t>ETLA</t>
  </si>
  <si>
    <t>SAN ANDRÉS ZAUTLA</t>
  </si>
  <si>
    <t>CUILAPAN</t>
  </si>
  <si>
    <t>V. CARRANZA</t>
  </si>
  <si>
    <t>CHALCO</t>
  </si>
  <si>
    <t>TLALNEPANTLA</t>
  </si>
  <si>
    <t>VALLE DE CHALCO</t>
  </si>
  <si>
    <t>NAUCALPAN</t>
  </si>
  <si>
    <t>HUIXQUILUCAN</t>
  </si>
  <si>
    <t>NEZAHUALCÓYOTL</t>
  </si>
  <si>
    <t>MILPA ALTA</t>
  </si>
  <si>
    <t>ZACAPU</t>
  </si>
  <si>
    <t>COYOACÁN</t>
  </si>
  <si>
    <t>XOCHIMILCO</t>
  </si>
  <si>
    <t>IXTAPALUCA</t>
  </si>
  <si>
    <t>IZTACALCO</t>
  </si>
  <si>
    <t>NICOLÁS ROMERO</t>
  </si>
  <si>
    <t>TEXCOCO</t>
  </si>
  <si>
    <t>MAGDALENA CONTRERAS</t>
  </si>
  <si>
    <t>MOCHIS</t>
  </si>
  <si>
    <t>ECATEPEC</t>
  </si>
  <si>
    <t>CUAJIMALPA</t>
  </si>
  <si>
    <t>PACHUCA</t>
  </si>
  <si>
    <t>COACALCO</t>
  </si>
  <si>
    <t>TOLUCA</t>
  </si>
  <si>
    <t>JILOTEPEC</t>
  </si>
  <si>
    <t>ATIZAPAN</t>
  </si>
  <si>
    <t>OCOYOACAC</t>
  </si>
  <si>
    <t>LOS REYES LA PAZ</t>
  </si>
  <si>
    <t>CUAUTITLÁN</t>
  </si>
  <si>
    <t>CHIMALHUACÁN</t>
  </si>
  <si>
    <t>AMECAMECA</t>
  </si>
  <si>
    <t>CUAUHTÉMOC</t>
  </si>
  <si>
    <t>IXTAPAN</t>
  </si>
  <si>
    <t>TLALPAN</t>
  </si>
  <si>
    <t>ZUMPANGO</t>
  </si>
  <si>
    <t>HUEHUETOCA</t>
  </si>
  <si>
    <t>ZACATLÁN</t>
  </si>
  <si>
    <t>CUERNAVACA</t>
  </si>
  <si>
    <t>EL MOLINITO</t>
  </si>
  <si>
    <t>CD ZAHAGUN</t>
  </si>
  <si>
    <t>SAN JUAN DEL RÍO</t>
  </si>
  <si>
    <t>MIGUEL HIDALGO</t>
  </si>
  <si>
    <t>BENITO JUÁREZ</t>
  </si>
  <si>
    <t>TLÁHUAC</t>
  </si>
  <si>
    <t>TULTITLÁN</t>
  </si>
  <si>
    <t>CHICOLOAPAN</t>
  </si>
  <si>
    <t>ÁLVARO OBREGÓN</t>
  </si>
  <si>
    <t>SAN MARTIN</t>
  </si>
  <si>
    <t>TEPOZTLÁN</t>
  </si>
  <si>
    <t>STA. ROSA JÁUREGUI</t>
  </si>
  <si>
    <t>JOFRE</t>
  </si>
  <si>
    <t>OTUMBA</t>
  </si>
  <si>
    <t>QUERÉTARO</t>
  </si>
  <si>
    <t>BUENAVISTA</t>
  </si>
  <si>
    <t>CORREGIDORA</t>
  </si>
  <si>
    <t>APASEO EL ALTO</t>
  </si>
  <si>
    <t>VILLAGRÁN</t>
  </si>
  <si>
    <t>CELAYA</t>
  </si>
  <si>
    <t>CORTAZAR</t>
  </si>
  <si>
    <t>SALAMANCA</t>
  </si>
  <si>
    <t>ZAMORA</t>
  </si>
  <si>
    <t>VALLE DE SANTIAGO</t>
  </si>
  <si>
    <t>TAMPICO</t>
  </si>
  <si>
    <t>MANZANILLO</t>
  </si>
  <si>
    <t>PALMILLAS</t>
  </si>
  <si>
    <t>ROMITA</t>
  </si>
  <si>
    <t>CALVILLO</t>
  </si>
  <si>
    <t>TULTEPEC</t>
  </si>
  <si>
    <t>GUSTAVO A. MADERO</t>
  </si>
  <si>
    <t>CHIAPAS</t>
  </si>
  <si>
    <t>D.F.</t>
  </si>
  <si>
    <t>EDO. MEX.</t>
  </si>
  <si>
    <t>SINALOA</t>
  </si>
  <si>
    <t>HIDALGO</t>
  </si>
  <si>
    <t>MORELOS</t>
  </si>
  <si>
    <t>GUANAJUATO</t>
  </si>
  <si>
    <t>TAMAULIPAS</t>
  </si>
  <si>
    <t>COLIMA</t>
  </si>
  <si>
    <t>AGUASCALIENTES</t>
  </si>
  <si>
    <t>ZACUALTIPAN</t>
  </si>
  <si>
    <t>SAN JUAN CASA BLANCA</t>
  </si>
  <si>
    <t>ACAPULCO</t>
  </si>
  <si>
    <t>GUERRERO</t>
  </si>
  <si>
    <t>SAN PEDRO</t>
  </si>
  <si>
    <t>RANCHERIA</t>
  </si>
  <si>
    <t>TEXMELUCAN</t>
  </si>
  <si>
    <t>TECAMAC</t>
  </si>
  <si>
    <t>TEPIC</t>
  </si>
  <si>
    <t>NAYARIT</t>
  </si>
  <si>
    <t>TIJUANA</t>
  </si>
  <si>
    <t>B. CALIFORNIA</t>
  </si>
  <si>
    <t>OCOTLAN</t>
  </si>
  <si>
    <t>JALISCO</t>
  </si>
  <si>
    <t>TANTOYUCA</t>
  </si>
  <si>
    <t>ACAYUCAN</t>
  </si>
  <si>
    <t>ZAPOPAN</t>
  </si>
  <si>
    <t>LEON</t>
  </si>
  <si>
    <t>CD. OREGON</t>
  </si>
  <si>
    <t>SONORA</t>
  </si>
  <si>
    <t>CD. LERDO</t>
  </si>
  <si>
    <t>DURANGO</t>
  </si>
  <si>
    <t>PONCITLAN</t>
  </si>
  <si>
    <t>REYNOSA</t>
  </si>
  <si>
    <t>TEZIUTLAN</t>
  </si>
  <si>
    <t>SAN LUIS POTOSI</t>
  </si>
  <si>
    <t>GUADALAJARA</t>
  </si>
  <si>
    <t>ARMERIA</t>
  </si>
  <si>
    <t xml:space="preserve">TALA </t>
  </si>
  <si>
    <t>ORIZABA</t>
  </si>
  <si>
    <t>CULIACAN</t>
  </si>
  <si>
    <t>APIZACO</t>
  </si>
  <si>
    <t>TLAXCALA</t>
  </si>
  <si>
    <t>PEROTE</t>
  </si>
  <si>
    <t>CABORCA</t>
  </si>
  <si>
    <t>GUASAVE</t>
  </si>
  <si>
    <t>CD. CAMARGO</t>
  </si>
  <si>
    <t>CHIHUAHUA</t>
  </si>
  <si>
    <t>SANTIAGO IXCUINTLA</t>
  </si>
  <si>
    <t>MONTERREY</t>
  </si>
  <si>
    <t>NVO. LEON</t>
  </si>
  <si>
    <t>ACTOPAN</t>
  </si>
  <si>
    <t>CD. VALLES</t>
  </si>
  <si>
    <t>NVO. LAREDO</t>
  </si>
  <si>
    <t>APODACA</t>
  </si>
  <si>
    <t>AZCAPOTZALCO</t>
  </si>
  <si>
    <t>JEREZ</t>
  </si>
  <si>
    <t>ZACATECAS</t>
  </si>
  <si>
    <t>SANTA CLARA</t>
  </si>
  <si>
    <t>MICHOACAN</t>
  </si>
  <si>
    <t>RIO VERDE</t>
  </si>
  <si>
    <t>LAGOS DE MORENO</t>
  </si>
  <si>
    <t>ACAMBARO</t>
  </si>
  <si>
    <t>POCHUTLA</t>
  </si>
  <si>
    <t>GARCIA</t>
  </si>
  <si>
    <t>TULA</t>
  </si>
  <si>
    <t>PIEDRAS NEGRAS</t>
  </si>
  <si>
    <t>COAHUILA</t>
  </si>
  <si>
    <t>LA PIEDAD</t>
  </si>
  <si>
    <t>SAN FRANCISCO DEL RICON</t>
  </si>
  <si>
    <t>SILAO</t>
  </si>
  <si>
    <t>PURISIMA DEL RINCON</t>
  </si>
  <si>
    <t>NVAS. CASAS GRANDES</t>
  </si>
  <si>
    <t>ZINACANTEPEC</t>
  </si>
  <si>
    <t>SAN FERNANDO</t>
  </si>
  <si>
    <t>TULANCINGO</t>
  </si>
  <si>
    <t>PAPANTLA</t>
  </si>
  <si>
    <t>MORELIA</t>
  </si>
  <si>
    <t>GOMEZ PALACIO</t>
  </si>
  <si>
    <t>CADEREYTA</t>
  </si>
  <si>
    <t>ROSA MORADA</t>
  </si>
  <si>
    <t>ESTADO</t>
  </si>
  <si>
    <t>ESTADO DE RESIDENCIA</t>
  </si>
  <si>
    <t>B. CALIFORNIA SUR</t>
  </si>
  <si>
    <t>QUINTANA ROO</t>
  </si>
  <si>
    <t>YUCATÁN</t>
  </si>
  <si>
    <t>CAMPECHE</t>
  </si>
  <si>
    <t>TABASCO</t>
  </si>
  <si>
    <t>Plataforma</t>
  </si>
  <si>
    <t>Volteo</t>
  </si>
  <si>
    <t>Redilas</t>
  </si>
  <si>
    <t>Ambos (Conductor y Dueño)</t>
  </si>
  <si>
    <t>C-323</t>
  </si>
  <si>
    <t>C-324</t>
  </si>
  <si>
    <t>zona</t>
  </si>
  <si>
    <t>C-415</t>
  </si>
  <si>
    <t>C-416</t>
  </si>
  <si>
    <t>HUEJOTZINGO</t>
  </si>
  <si>
    <t>HUEJOTZINGO, PUEBLA</t>
  </si>
  <si>
    <t>C-417</t>
  </si>
  <si>
    <t>C-418</t>
  </si>
  <si>
    <t>C-419</t>
  </si>
  <si>
    <t>SAN JOSE ITURBIDE</t>
  </si>
  <si>
    <t>SAN JOSE ITURBIDE, GTO</t>
  </si>
  <si>
    <t>PRODUCTOS DE HIGIENE PERSONAL</t>
  </si>
  <si>
    <t>C-420</t>
  </si>
  <si>
    <t>C-421</t>
  </si>
  <si>
    <t>C-422</t>
  </si>
  <si>
    <t>C-423</t>
  </si>
  <si>
    <t>ELECTRONICA, LINEA BLANCA</t>
  </si>
  <si>
    <t>BASC, C-TPAT, ISO 9000</t>
  </si>
  <si>
    <t>C-424</t>
  </si>
  <si>
    <t>C-425</t>
  </si>
  <si>
    <t>NO  SABE</t>
  </si>
  <si>
    <t>C-426</t>
  </si>
  <si>
    <t>ALTAMIRA,TAMPS</t>
  </si>
  <si>
    <t>ALTAMIRA</t>
  </si>
  <si>
    <t>C-427</t>
  </si>
  <si>
    <t>C-428</t>
  </si>
  <si>
    <t>LAZARO CARDENAS, MICH</t>
  </si>
  <si>
    <t>LAZARO CARDENAS</t>
  </si>
  <si>
    <t>C-429</t>
  </si>
  <si>
    <t>C-430</t>
  </si>
  <si>
    <t>C-431</t>
  </si>
  <si>
    <t>C-432</t>
  </si>
  <si>
    <t>C-433</t>
  </si>
  <si>
    <t>C-434</t>
  </si>
  <si>
    <t>C-435</t>
  </si>
  <si>
    <t>C-436</t>
  </si>
  <si>
    <t>C-437</t>
  </si>
  <si>
    <t>C-438</t>
  </si>
  <si>
    <t>C-439</t>
  </si>
  <si>
    <t>C-440</t>
  </si>
  <si>
    <t>C-441</t>
  </si>
  <si>
    <t>C-442</t>
  </si>
  <si>
    <t>C-443</t>
  </si>
  <si>
    <t>C-444</t>
  </si>
  <si>
    <t>C-445</t>
  </si>
  <si>
    <t>C-446</t>
  </si>
  <si>
    <t>C-447</t>
  </si>
  <si>
    <t>C-448</t>
  </si>
  <si>
    <t>C-449</t>
  </si>
  <si>
    <t>C-450</t>
  </si>
  <si>
    <t>C-451</t>
  </si>
  <si>
    <t>C-452</t>
  </si>
  <si>
    <t>C-453</t>
  </si>
  <si>
    <t>C-454</t>
  </si>
  <si>
    <t>GUADALUPE, NVO. LEON</t>
  </si>
  <si>
    <t>GUADALUPE</t>
  </si>
  <si>
    <t>MUSQUIZ, COHAUILA</t>
  </si>
  <si>
    <t>MUSQUIZ</t>
  </si>
  <si>
    <t>CD. DELICIAS, CHIHUAHUA</t>
  </si>
  <si>
    <t>CD. DELICIAS</t>
  </si>
  <si>
    <t>TLAQUEPAQUE, JAL</t>
  </si>
  <si>
    <t>TLAQUEPAQUE</t>
  </si>
  <si>
    <t>SAN METIN TEXMELUCAN, PUE</t>
  </si>
  <si>
    <t>SAN MARTIN TEXMELUCAN</t>
  </si>
  <si>
    <t>STA. CATARINA, NVO LEON</t>
  </si>
  <si>
    <t>STA. CATARINA</t>
  </si>
  <si>
    <t>SABINAS, COHAUILA</t>
  </si>
  <si>
    <t>SABINAS</t>
  </si>
  <si>
    <t>APODACA, NVO. LEON</t>
  </si>
  <si>
    <t>EMERGENCIA QUIMICA</t>
  </si>
  <si>
    <t>ACCIDENTE QUIMICO</t>
  </si>
  <si>
    <t>SALVATIERRA, GTO</t>
  </si>
  <si>
    <t>SALVATIERRA</t>
  </si>
  <si>
    <t>INGLES</t>
  </si>
  <si>
    <t>TORREON, COAHUILA</t>
  </si>
  <si>
    <t>TORREON</t>
  </si>
  <si>
    <t>NO ESTA COMPLETO Y NO SE APLICA</t>
  </si>
  <si>
    <t>ACAMBARO, MICH</t>
  </si>
  <si>
    <t>CD. CUAUHTEMOC, CHI</t>
  </si>
  <si>
    <t>CD. CUAUHTEMOC</t>
  </si>
  <si>
    <t>TIHUATLAN</t>
  </si>
  <si>
    <t>TIHUATLAN, VERACRUZ</t>
  </si>
  <si>
    <t>C-455</t>
  </si>
  <si>
    <t>C-456</t>
  </si>
  <si>
    <t>C-457</t>
  </si>
  <si>
    <t>C-458</t>
  </si>
  <si>
    <t>C-459</t>
  </si>
  <si>
    <t>C-460</t>
  </si>
  <si>
    <t>C-461</t>
  </si>
  <si>
    <t>C-462</t>
  </si>
  <si>
    <t>C-463</t>
  </si>
  <si>
    <t>C-464</t>
  </si>
  <si>
    <t>C-465</t>
  </si>
  <si>
    <t>C-466</t>
  </si>
  <si>
    <t>C-467</t>
  </si>
  <si>
    <t>C-468</t>
  </si>
  <si>
    <t>C-469</t>
  </si>
  <si>
    <t>C-470</t>
  </si>
  <si>
    <t>CD. JUAREZ, CHIHUAHUA</t>
  </si>
  <si>
    <t>CD. JUAREZ</t>
  </si>
  <si>
    <t>NOSABE</t>
  </si>
  <si>
    <t>TIPO DE CARGA</t>
  </si>
  <si>
    <t>ES EXCELENTE</t>
  </si>
  <si>
    <t>ME INTERESA</t>
  </si>
  <si>
    <t>QUE HAGAN CURSOS MAS SEGUIDO</t>
  </si>
  <si>
    <t>11 PUNTOS DE INSPECCION DE SEGURIDAD</t>
  </si>
  <si>
    <t xml:space="preserve">RECIBI CAPACITACION </t>
  </si>
  <si>
    <t>INSPECCION DE SEGURIDAD</t>
  </si>
  <si>
    <t xml:space="preserve">NO </t>
  </si>
  <si>
    <t>PESOS Y DIMENCIONES</t>
  </si>
  <si>
    <t>MUY BUENO SE REDUJO CONSUMO Y CONTAMINACION</t>
  </si>
  <si>
    <t>QUE SE IMPLEMENTE</t>
  </si>
  <si>
    <t>MANEJAR A UNA VELOCIDAD DE 80 A 85 KM</t>
  </si>
  <si>
    <t>REDUCCION DE COMBUSTIBLE</t>
  </si>
  <si>
    <t>GMC</t>
  </si>
  <si>
    <t>AL DUEÑO NO LE INTERESA</t>
  </si>
  <si>
    <t>Capacidad Total de los tanques</t>
  </si>
  <si>
    <t>El conductor</t>
  </si>
  <si>
    <t>El conductor y el dueño</t>
  </si>
  <si>
    <t>RENDIMIENTO DE LA UNIDAD CARGADA</t>
  </si>
  <si>
    <t>&lt; 1.6</t>
  </si>
  <si>
    <t>1.6 A 1.9</t>
  </si>
  <si>
    <t>1.91 A 2.0</t>
  </si>
  <si>
    <t>2.01 A 2.2</t>
  </si>
  <si>
    <t>2.21 A 2.5</t>
  </si>
  <si>
    <t>2.51 A 3.0</t>
  </si>
  <si>
    <t>3.01 A 4.0</t>
  </si>
  <si>
    <t>4.01 A 5.0</t>
  </si>
  <si>
    <t>&gt;5.0</t>
  </si>
  <si>
    <t>RENDIMIENTO DE LA UNIDAD EN VACÍO</t>
  </si>
  <si>
    <t>&lt;1.9</t>
  </si>
  <si>
    <t>1.91 A 2.2</t>
  </si>
  <si>
    <t>2.21 A 2.4</t>
  </si>
  <si>
    <t>2.61 A 2.8</t>
  </si>
  <si>
    <t>2.81 A 3.2</t>
  </si>
  <si>
    <t>3.21 A 4.0</t>
  </si>
  <si>
    <t>4.01 A 6.0</t>
  </si>
  <si>
    <t>Cuenta con enfriamiento de cabina</t>
  </si>
  <si>
    <t>Cuenta con filtro de partículas</t>
  </si>
  <si>
    <t>Cuenta con GPS para ruta</t>
  </si>
  <si>
    <t>FREIGHTLINER</t>
  </si>
  <si>
    <t>SSE OAXACA</t>
  </si>
  <si>
    <t>C D.F.</t>
  </si>
  <si>
    <t>C QUERETARO</t>
  </si>
  <si>
    <t>C GUANAJUATO</t>
  </si>
  <si>
    <t>C JALISCO</t>
  </si>
  <si>
    <t>C SAN LUIS POTOSI</t>
  </si>
  <si>
    <t>NO CHIHUAHUA</t>
  </si>
  <si>
    <t>ENCUESTAS</t>
  </si>
  <si>
    <t>NO SINALOA</t>
  </si>
  <si>
    <t>NE NUEVO LEON</t>
  </si>
  <si>
    <t>NE TAMAULIPAS</t>
  </si>
  <si>
    <t>C VERACRUZ</t>
  </si>
  <si>
    <t>SUR-SURESTE</t>
  </si>
  <si>
    <t>CENTRO</t>
  </si>
  <si>
    <t>NOROESTE</t>
  </si>
  <si>
    <t>NORESTE</t>
  </si>
  <si>
    <t>SUMA</t>
  </si>
  <si>
    <t>2.41 A 2.6</t>
  </si>
  <si>
    <t>&gt; 6.0</t>
  </si>
  <si>
    <t>TRES A CINCO UNIDADES</t>
  </si>
  <si>
    <t>SEIS A TREINTA UNIDADES</t>
  </si>
  <si>
    <t>CANTIDADES</t>
  </si>
  <si>
    <t>TAMAÑO DE FLOTA</t>
  </si>
  <si>
    <t>TIPO DE UNIDAD MOTRIZ SEGÚN TAMAÑO DE FLOTA</t>
  </si>
  <si>
    <t>TIPO DE UNIDAD MOTRIZ. PROPIETARIOS CON UNA UNIDAD</t>
  </si>
  <si>
    <t>TIPO DE UNIDAD MOTRIZ. PROPIETARIOS CON DOS UNIDADES</t>
  </si>
  <si>
    <t>TIPO DE UNIDAD MOTRIZ. PROPIETARIOS CON TRES A CINCO UNIDADES</t>
  </si>
  <si>
    <t>TIPO DE UNIDAD MOTRIZ. PROPIETARIOS CON SEIS A TREINTA UNIDADES</t>
  </si>
  <si>
    <t>Unidades de arrastre volteo</t>
  </si>
  <si>
    <t>Unidades de arrastre Plataforma</t>
  </si>
  <si>
    <t>Unidades de arrastre Góndola</t>
  </si>
  <si>
    <t>Unidades de arrastre Jaula</t>
  </si>
  <si>
    <t>Unidades de arrastre Tolva</t>
  </si>
  <si>
    <t>Unidades de arrastre Redilas</t>
  </si>
  <si>
    <t>UNIDAD DE ARRASTRE POR TAMAÑO DE FLOTA</t>
  </si>
  <si>
    <t>Remolque, plataforma o góndola</t>
  </si>
  <si>
    <t>Volteo o tolva</t>
  </si>
  <si>
    <t>Redilas o jaula</t>
  </si>
  <si>
    <t>Otro tipo</t>
  </si>
  <si>
    <t>Químicos y peligrosos</t>
  </si>
  <si>
    <t>Materias primas para producción/ensamble</t>
  </si>
  <si>
    <t>Otros productos</t>
  </si>
  <si>
    <t>CARRITOS DE GOLF</t>
  </si>
  <si>
    <t>CARGA QUE TRANSPORTA SEGÚN EL TIPO DE UNIDAD MOTRIZ</t>
  </si>
  <si>
    <t>TIPO UNIDAD MOTRIZ</t>
  </si>
  <si>
    <t>CARGA QUE TRANSPORTA. UNIDADES T3</t>
  </si>
  <si>
    <t>CARGA QUE TRANSPORTA. UNIDADES T2</t>
  </si>
  <si>
    <t>CARGA QUE TRANSPORTA. UNIDADES C3</t>
  </si>
  <si>
    <t>CARGA QUE TRANSPORTA. UNIDADES C2</t>
  </si>
  <si>
    <t>CARGA QUE TRANSPORTA SEGÚN TAMAÑO DE LA FLOTA</t>
  </si>
  <si>
    <t>CARGA QUE TRANSPORTA. PROPIETARIOS CON UNA UNIDAD</t>
  </si>
  <si>
    <t>CARGA QUE TRANSPORTA. PROPIETARIOS CON DOS UNIDADES</t>
  </si>
  <si>
    <t>CARGA QUE TRANSPORTA. PROPIETARIOS CON TRES A CINCO UNIDADES</t>
  </si>
  <si>
    <t>CARGA QUE TRANSPORTA. PROPIETARIOS CON SEIS A TREINTA UNIDADES</t>
  </si>
  <si>
    <t>UNIDAD DE ARRASTRE. PROPIETARIOS CON UNA UNIDAD</t>
  </si>
  <si>
    <t>UNIDAD DE ARRASTRE. PROPIETARIOS CON DOS UNIDADES</t>
  </si>
  <si>
    <t>UNIDAD DE ARRASTRE. PROPIETARIOS CON TRES A CINCO UNIDADES</t>
  </si>
  <si>
    <t>UNIDAD DE ARRASTRE. PROPIETARIOS CON SEIS A TREINTA UNIDADES</t>
  </si>
  <si>
    <t>UNIDADES DE ARRASTRE SEGÚN UNIDAD MOTRIZ</t>
  </si>
  <si>
    <t>UNIDADES DE ARRASTRE. UNIDAD MOTRIZ TIPO C2</t>
  </si>
  <si>
    <t>UNIDADES DE ARRASTRE. UNIDAD MOTRIZ TIPO C3</t>
  </si>
  <si>
    <t>UNIDADES DE ARRASTRE. UNIDAD MOTRIZ TIPO T2</t>
  </si>
  <si>
    <t>UNIDADES DE ARRASTRE. UNIDAD MOTRIZ TIPO T3</t>
  </si>
  <si>
    <t>COMBUSTIBLE SEGÚN TIPO DE UNIDAD MOTRIZ</t>
  </si>
  <si>
    <t>COMBUSTIBLE. TIPO DE UNIDAD MOTRIZ C2</t>
  </si>
  <si>
    <t>COMBUSTIBLE. TIPO DE UNIDAD MOTRIZ C3</t>
  </si>
  <si>
    <t>COMBUSTIBLE. TIPO DE UNIDAD MOTRIZ T2</t>
  </si>
  <si>
    <t>COMBUSTIBLE. TIPO DE UNIDAD MOTRIZ T3</t>
  </si>
  <si>
    <t>&gt;4.0</t>
  </si>
  <si>
    <t>RENDIMIENTO DE COMBUSTIBLE. UNIDAD CARGADA</t>
  </si>
  <si>
    <t>RENDIMIENTO DE COMBUSTIBLE. UNIDAD EN VACÍO</t>
  </si>
  <si>
    <t>RENDIMIENTO DE COMBUSTIBLE POR TIPO DE UNIDAD MOTRIZ. UNIDAD CARGADA</t>
  </si>
  <si>
    <t>RENDIMIENTO DE COMBUSTIBLE UNIDADES TIPO C2. UNIDAD CARGADA</t>
  </si>
  <si>
    <t>RENDIMIENTO DE COMBUSTIBLE UNIDADES TIPO C3. UNIDAD CARGADA</t>
  </si>
  <si>
    <t>RENDIMIENTO DE COMBUSTIBLE UNIDADES TIPO T2. UNIDAD CARGADA</t>
  </si>
  <si>
    <t>SOLO DIESEL</t>
  </si>
  <si>
    <t>RENDIMIENTO DE COMBUSTIBLE POR TIPO DE UNIDAD MOTRIZ. UNIDAD EN VACÍO</t>
  </si>
  <si>
    <t>RENDIMIENTO DE COMBUSTIBLE POR CARGA QUE TRANSPORTA. UNIDAD CARGADA</t>
  </si>
  <si>
    <t>RENDIMIENTO DE COMBUSTIBLE. UNIDAD CARGADA. UNIDADES TIPO T3.</t>
  </si>
  <si>
    <t>RENDIMIENTO DE COMBUSTIBLE. UNIDAD EN VACÍO. UNIDADES C2 (SOLO DIESEL)</t>
  </si>
  <si>
    <t>RENDIMIENTO DE COMBUSTIBLE.UNIDAD EN VACÍO. UNIDADES C3 (SOLO DIESEL)</t>
  </si>
  <si>
    <t>RENDIMIENTO DE COMBUSTIBLE.UNIDAD EN VACÍO. UNIDADES T2 (SOLO DIESEL)</t>
  </si>
  <si>
    <t>RENDIMIENTO DE COMBUSTIBLE.UNIDAD EN VACÍO. UNIDADES T3 (SOLO DIESEL)</t>
  </si>
  <si>
    <t>RENDIMIENTO DE COMBUSTIBLE  (SOLO DIESEL). TRANSPORTA PRODUCTOS PERECEDEROS. UNIDAD CARGADA</t>
  </si>
  <si>
    <t>RENDIMIENTO DE COMBUSTIBLE  (SOLO DIESEL). TRANSPORTA ALIMENTOS NO PERECEDEROS. UNIDAD CARGADA</t>
  </si>
  <si>
    <t>RENDIMIENTO DE COMBUSTIBLE  (SOLO DIESEL). TRANSPORTA QUÍMICOS Y PELIGROSOS. UNIDAD CARGADA</t>
  </si>
  <si>
    <t>RENDIMIENTO DE COMBUSTIBLE  (SOLO DIESEL). TRANSPORTA MATERIAS PRIMAS PARA PRODUCCIÓN/ENSAMBLE. UNIDAD CARGADA</t>
  </si>
  <si>
    <t>RENDIMIENTO DE COMBUSTIBLE  (SOLO DIESEL). TRANSPORTA GRANOS. UNIDAD CARGADA</t>
  </si>
  <si>
    <t>RENDIMIENTO DE COMBUSTIBLE  (SOLO DIESEL). TRANSPORTA PRODUCTOS REFRIGERADOS. UNIDAD CARGADA</t>
  </si>
  <si>
    <t>RENDIMIENTO DE COMBUSTIBLE  (SOLO DIESEL). TRANSPORTA OTROS PRODUCTOS. UNIDAD CARGADA</t>
  </si>
  <si>
    <t>RENDIMIENTO DE COMBUSTIBLE  (SOLO DIESEL). TRANSPORTA PRODUCTOS PERECEDEROS. UNIDAD DE VACÍO</t>
  </si>
  <si>
    <t>RENDIMIENTO DE COMBUSTIBLE POR CARGA QUE TRANSPORTA. UNIDAD DE VACÍO</t>
  </si>
  <si>
    <t>RENDIMIENTO DE COMBUSTIBLE  (SOLO DIESEL). TRANSPORTA ALIMENTOS NO PERECEDEROS. UNIDAD DE VACÍO</t>
  </si>
  <si>
    <t>RENDIMIENTO DE COMBUSTIBLE  (SOLO DIESEL). TRANSPORTA QUÍMICOS Y PELIGROSOS. UNIDAD DE VACÍO</t>
  </si>
  <si>
    <t>RENDIMIENTO DE COMBUSTIBLE  (SOLO DIESEL). TRANSPORTA MATERIAS PRIMAS PARA PRODUCCIÓN/ENSAMBLE. UNIDAD DE VACÍO</t>
  </si>
  <si>
    <t>RENDIMIENTO DE COMBUSTIBLE  (SOLO DIESEL). TRANSPORTA GRANOS. UNIDAD DE VACÍO</t>
  </si>
  <si>
    <t>RENDIMIENTO DE COMBUSTIBLE  (SOLO DIESEL). TRANSPORTA PRODUCTOS REFRIGERADOS. UNIDAD DE VACÍO</t>
  </si>
  <si>
    <t>RENDIMIENTO DE COMBUSTIBLE  (SOLO DIESEL). TRANSPORTA OTROS PRODUCTOS. UNIDAD DE VACÍO</t>
  </si>
  <si>
    <t>RENDIMIENTO DE COMBUSTIBLE (GASOLINA) POR TIPO DE UNIDAD MOTRIZ. UNIDAD CARGADA</t>
  </si>
  <si>
    <t>RENDIMIENTO DE COMBUSTIBLE (GASOLINA) POR TIPO DE UNIDAD MOTRIZ. UNIDAD EN VACÍO</t>
  </si>
  <si>
    <t>&lt;2.0</t>
  </si>
  <si>
    <t>2.01 A 2.5</t>
  </si>
  <si>
    <t>2.51 A 3.5</t>
  </si>
  <si>
    <t>3.51 A 4.0</t>
  </si>
  <si>
    <t>5.01 A 7.0</t>
  </si>
  <si>
    <t>&gt;7.0</t>
  </si>
  <si>
    <t>Anterior a 1991</t>
  </si>
  <si>
    <t>1991 a 1993</t>
  </si>
  <si>
    <t>1994 a 1997</t>
  </si>
  <si>
    <t>1998 a 2003</t>
  </si>
  <si>
    <t>2004 a 2006</t>
  </si>
  <si>
    <t>2007 a 2010</t>
  </si>
  <si>
    <t>2011 en adelante</t>
  </si>
  <si>
    <t>AÑO MODELO DEL MOTOR DE LA UNIDAD MOTRIZ SEGÚN TIPO DE UNIDAD</t>
  </si>
  <si>
    <t>ANO MODELO DE MOTOR</t>
  </si>
  <si>
    <t>AÑO MODELO DEL MOTOR DE LA UNIDAD MOTRIZ SEGÚN TAMAÑO DE FLOTA</t>
  </si>
  <si>
    <t>AÑO MODELO DEL MOTOR DE LA UNIDAD MOTRIZ. PROPIETARIOS CON UNA UNIDAD</t>
  </si>
  <si>
    <t>AÑO MODELO DEL MOTOR DE LA UNIDAD MOTRIZ. PROPIETARIOS CON DOS UNIDADES</t>
  </si>
  <si>
    <t>AÑO MODELO DEL MOTOR DE LA UNIDAD MOTRIZ. PROPIETARIOS CON TRES A CINCO UNIDADES</t>
  </si>
  <si>
    <t>AÑO MODELO DEL MOTOR DE LA UNIDAD MOTRIZ. PROPIETARIOS CON SEIS A TREINTA UNIDADES</t>
  </si>
  <si>
    <t>AÑO MODELO DEL MOTOR DE LA UNIDAD MOTRIZ. UNIDADES TIPO C2</t>
  </si>
  <si>
    <t>AÑO MODELO DEL MOTOR DE LA UNIDAD MOTRIZ. UNIDADES TIPO C3</t>
  </si>
  <si>
    <t>AÑO MODELO DEL MOTOR DE LA UNIDAD MOTRIZ. UNIDADES TIPO T2</t>
  </si>
  <si>
    <t>AÑO MODELO DEL MOTOR DE LA UNIDAD MOTRIZ. UNIDADES TIPO T3</t>
  </si>
  <si>
    <t>RENDIMIENTO DE COMBUSTIBLE (SOLO DIESEL) SEGÚN AÑO MODELO DEL MOTOR. UNIDAD CARGADA</t>
  </si>
  <si>
    <t>RENDIMIENTO DE COMBUSTIBLE (SOLO DIESEL) SEGÚN AÑO MODELO DEL MOTOR. UNIDAD EN VACÍO</t>
  </si>
  <si>
    <t>RENDIMIENTO DE COMBUSTIBLE (SOLO DIESEL) UNIDAD CARGADA. UNIDADES CON MOTORES ANTERIORES A 1991</t>
  </si>
  <si>
    <t>RENDIMIENTO DE COMBUSTIBLE (SOLO DIESEL) UNIDAD CARGADA. UNIDADES CON MOTORES ENTRE 1991 Y 1993</t>
  </si>
  <si>
    <t>RENDIMIENTO DE COMBUSTIBLE (SOLO DIESEL) UNIDAD CARGADA. UNIDADES CON MOTORES ENTRE 1994 Y 1997</t>
  </si>
  <si>
    <t>RENDIMIENTO DE COMBUSTIBLE (SOLO DIESEL) UNIDAD CARGADA. UNIDADES CON MOTORES ENTRE 1998 Y 2003</t>
  </si>
  <si>
    <t>RENDIMIENTO DE COMBUSTIBLE (SOLO DIESEL) UNIDAD CARGADA. UNIDADES CON MOTORES ENTRE 2004 y 2006</t>
  </si>
  <si>
    <t>RENDIMIENTO DE COMBUSTIBLE (SOLO DIESEL) UNIDAD CARGADA. UNIDADES CON MOTORES ENTRE 2007 Y 2010</t>
  </si>
  <si>
    <t>RENDIMIENTO DE COMBUSTIBLE (SOLO DIESEL) UNIDAD CARGADA. UNIDADES CON MOTORES DE 2011 EN ADELANTE</t>
  </si>
  <si>
    <t>RENDIMIENTO DE COMBUSTIBLE (SOLO DIESEL) UNIDAD DE VACÍO. UNIDADES CON MOTORES ANTERIORES A 1991</t>
  </si>
  <si>
    <t>RENDIMIENTO DE COMBUSTIBLE (SOLO DIESEL) UNIDAD DE VACÍO. UNIDADES CON MOTORES ENTRE 1991 Y 1993</t>
  </si>
  <si>
    <t>RENDIMIENTO DE COMBUSTIBLE (SOLO DIESEL) UNIDAD DE VACÍO. UNIDADES CON MOTORES ENTRE 1994 Y 1997</t>
  </si>
  <si>
    <t>RENDIMIENTO DE COMBUSTIBLE (SOLO DIESEL) UNIDAD DE VACÍO. UNIDADES CON MOTORES ENTRE 1998 Y 2003</t>
  </si>
  <si>
    <t>RENDIMIENTO DE COMBUSTIBLE (SOLO DIESEL) UNIDAD DE VACÍO. UNIDADES CON MOTORES ENTRE 2004 Y 2006</t>
  </si>
  <si>
    <t>RENDIMIENTO DE COMBUSTIBLE (SOLO DIESEL) UNIDAD DE VACÍO. UNIDADES CON MOTORES ENTRE 2007 Y 2010</t>
  </si>
  <si>
    <t>RENDIMIENTO DE COMBUSTIBLE (SOLO DIESEL) UNIDAD DE VACÍO. UNIDADES CON MOTORES DEL 2011 EN ADELANTE</t>
  </si>
  <si>
    <t>KILÓMETROS RECORRIDOS SEGÚN AÑO MODELO DE LA UNIDAD</t>
  </si>
  <si>
    <t>250,000 A 500,000</t>
  </si>
  <si>
    <t>NO SABE/DAÑADO/NOCONTESTA</t>
  </si>
  <si>
    <t>KILÓMETROS RECORRIDOS. UNIDADES ANTERIORES A 1991</t>
  </si>
  <si>
    <t>KILÓMETROS RECORRIDOS. UNIDADES ANTERIORES ENTRE 1991 Y 1993</t>
  </si>
  <si>
    <t>KILÓMETROS RECORRIDOS. UNIDADES ANTERIORES ENTRE 1994 Y 1997</t>
  </si>
  <si>
    <t>KILÓMETROS RECORRIDOS. UNIDADES ANTERIORES ENTRE 1998 Y 2003</t>
  </si>
  <si>
    <t>KILÓMETROS RECORRIDOS. UNIDADES ENTRE 2004 Y 2006</t>
  </si>
  <si>
    <t>KILÓMETROS RECORRIDOS. UNIDADES POSTERIORES A 2011</t>
  </si>
  <si>
    <t>KILÓMETROS RECORRIDOS. UNIDADES ENTRE 2007 Y 2010</t>
  </si>
  <si>
    <t>KILÓMETROS QUE RECORRE LA UNIDAD POR MES SEGÚN AÑO MODELO DEL MOTOR.</t>
  </si>
  <si>
    <t>&lt;2,500</t>
  </si>
  <si>
    <t>2,500 A 5,000</t>
  </si>
  <si>
    <t>5,001 A 7,500</t>
  </si>
  <si>
    <t>7,501 A 10,000</t>
  </si>
  <si>
    <t>10,001 A 12,500</t>
  </si>
  <si>
    <t>&gt;12,500</t>
  </si>
  <si>
    <t>KILÓMETROS QUE RECORRE LA UNIDAD POR MES AÑO MODELO DE MOTOR ANTERIOR A 1991</t>
  </si>
  <si>
    <t>KILÓMETROS QUE RECORRE LA UNIDAD POR MES AÑO MODELO DE MOTOR ENTRE 1991 Y 1993</t>
  </si>
  <si>
    <t>KILÓMETROS QUE RECORRE LA UNIDAD POR MES AÑO MODELO DE MOTOR ENTRE 1994 Y 1997</t>
  </si>
  <si>
    <t>KILÓMETROS QUE RECORRE LA UNIDAD POR MES AÑO MODELO DE MOTOR ENTRE 1998 Y 2003</t>
  </si>
  <si>
    <t>KILÓMETROS QUE RECORRE LA UNIDAD POR MES AÑO MODELO DE MOTOR ENTRE 2004 Y 2006</t>
  </si>
  <si>
    <t>KILÓMETROS QUE RECORRE LA UNIDAD POR MES AÑO MODELO DE MOTOR ENTRE 2007 Y 2010</t>
  </si>
  <si>
    <t>KILÓMETROS QUE RECORRE LA UNIDAD POR MES AÑO MODELO DE MOTOR 2011 EN ADELANTE</t>
  </si>
  <si>
    <t>GDET 24</t>
  </si>
  <si>
    <t>GDET 26</t>
  </si>
  <si>
    <t>PORCENTAJE QUE RECORRE DE VACÍO SEGÚN TAMAÑO DE LA FLOTA</t>
  </si>
  <si>
    <t>50% DE VACÍO</t>
  </si>
  <si>
    <t>40% DE VACÍO</t>
  </si>
  <si>
    <t>30% DE VACÍO</t>
  </si>
  <si>
    <t>25% DE VACÍO</t>
  </si>
  <si>
    <t>20% DE VACÍO</t>
  </si>
  <si>
    <t>15% DE VACÍO</t>
  </si>
  <si>
    <t>10% DE VACÍO</t>
  </si>
  <si>
    <t>5% DE VACÍO</t>
  </si>
  <si>
    <t>0% DE VACÍO</t>
  </si>
  <si>
    <t>PORCENTAJE QUE RECORRE DE VACÍO. PROPIETARIOS CON UNA UNIDAD</t>
  </si>
  <si>
    <t>PORCENTAJE QUE RECORRE DE VACÍO. PROPIETARIOS CON DOS UNIDADES</t>
  </si>
  <si>
    <t>PORCENTAJE QUE RECORRE DE VACÍO. PROPIETARIOS CON TRES A CINCO UNIDADES</t>
  </si>
  <si>
    <t>PORCENTAJE QUE RECORRE DE VACÍO. PROPIETARIOS CON SEIS A TREINTA UNIDADES</t>
  </si>
  <si>
    <t>KILÓMETROS RECORRIDOS POR TAMAÑO DE LA FLOTA</t>
  </si>
  <si>
    <t>KILÓMETROS RECORRIDOS. PROPIETARIOS CON UNA UNIDAD</t>
  </si>
  <si>
    <t>KILÓMETROS RECORRIDOS. PROPIETARIOS CON DOS UNIDADES</t>
  </si>
  <si>
    <t>KILÓMETROS RECORRIDOS. PROPIETARIOS CON TRES A CINCO UNIDADES</t>
  </si>
  <si>
    <t>KILÓMETROS RECORRIDOS. PROPIETARIOS CON SEIS A TREINTA UNIDADES</t>
  </si>
  <si>
    <t>KILOMETROS RECORRIDOS SEGÚN AÑO MODELO DE LA UNIDAD</t>
  </si>
  <si>
    <t>KILOMETRAJE</t>
  </si>
  <si>
    <t>1980 Y ANTERIORES</t>
  </si>
  <si>
    <t>QUIÉN FIJA LA RUTA</t>
  </si>
  <si>
    <t>COMENTARIO GDET 24</t>
  </si>
  <si>
    <t>KILÓMETROS QUE RECORREN POR MES UNIDADES TIPO C2 ENCUESTA A CONDUCTORES</t>
  </si>
  <si>
    <t>KILÓMETROS QUE RECORREN POR MES UNIDADES TIPO C3 ENCUESTA A CONDUCTORES</t>
  </si>
  <si>
    <t>KILÓMETROS QUE RECORREN POR MES UNIDADES TIPO T2 ENCUESTA A CONDUCTORES</t>
  </si>
  <si>
    <t>KILÓMETROS QUE RECORREN POR MES UNIDADES TIPO T3 ENCUESTA A CONDUCTORES</t>
  </si>
  <si>
    <t>&gt;12,500 KM</t>
  </si>
  <si>
    <t>&gt;12,500  KM</t>
  </si>
  <si>
    <t>RENDIMIENTO DE COMBUSTIBLE  (SOLO DIESEL). TRANSPORTA MATERIALES PARA CONSTRUCCIÓN. UNIDAD CARGADA</t>
  </si>
  <si>
    <t>RENDIMIENTO DE COMBUSTIBLE  (SOLO DIESEL). TRANSPORTA MATERIALES PARA CONSTRUCCIÓN. UNIDAD DE VACÍO</t>
  </si>
  <si>
    <t>&lt;10,000 KM</t>
  </si>
  <si>
    <t>ENTRE 10,001 Y 15,000 KM</t>
  </si>
  <si>
    <t>ENTRE 20,001 Y 25,000 KM</t>
  </si>
  <si>
    <t>ENTRE 15,001 Y 20,000 KM</t>
  </si>
  <si>
    <t>ENTRE 25,001 Y 30,000 KM</t>
  </si>
  <si>
    <t>ENTRE 30,001 Y 40,000 KM</t>
  </si>
  <si>
    <t>&gt; 40,000 KM</t>
  </si>
  <si>
    <t>&lt; 50,000 KM</t>
  </si>
  <si>
    <t>ENTRE 50,001 Y 75,000 KM</t>
  </si>
  <si>
    <t>ENTRE 75,001 Y 100,000 KM</t>
  </si>
  <si>
    <t>ENTRE 100,001 Y 115,000 KM</t>
  </si>
  <si>
    <t>ENTRE 115,001 Y 125,000 KM</t>
  </si>
  <si>
    <t>ENTRE 125,001 Y 150,000 KM</t>
  </si>
  <si>
    <t>&gt; 150,000 KM</t>
  </si>
  <si>
    <t>MANTENIMIENTO DE LAS UNIDADES SEGÚN AÑO MODELO DE MOTOR FRECUENCIA DE CAMBIO DE ACEITE. ENCUESTA A CONDUCTORES</t>
  </si>
  <si>
    <t>MANTENIMIENTO DE LAS UNIDADES SEGÚN AÑO MODELO DE MOTOR FRECUENCIA DE AFINACIÓN DE MOTOR. ENCUESTA A CONDUCTORES</t>
  </si>
  <si>
    <t>MANTENIMIENTO DE LAS UNIDADES SEGÚN AÑO MODELO DE MOTOR FRECUENCIA DE CAMBIO DE FRENOS. ENCUESTA A CONDUCTORES</t>
  </si>
  <si>
    <t>MANTENIMIENTO DE LAS UNIDADES SEGÚN AÑO MODELO DE MOTOR FRECUENCIA DE CAMBIO DE LLANTAS. ENCUESTA A CONDUCTORES</t>
  </si>
  <si>
    <t>CARGA QUE TRANSPORTA SEGÚN TAMAÑO DE LA FLOTA. ENCUESTA A CONDUCTORES</t>
  </si>
  <si>
    <t>CARGA QUE TRANSPORTA SEGÚN TAMAÑO DE LA FLOTA PRODUCTOS PERECEDEROS. ENCUESTA A CONDUCTORES</t>
  </si>
  <si>
    <t>CARGA QUE TRANSPORTA SEGÚN TAMAÑO DE LA FLOTA ALIMENTOS NO PERECEDEROS. ENCUESTA A CONDUCTORES</t>
  </si>
  <si>
    <t>CARGA QUE TRANSPORTA SEGÚN TAMAÑO DE LA FLOTA QUÍMICOS Y PELIGROSOS. ENCUESTA A CONDUCTORES</t>
  </si>
  <si>
    <t>CARGA QUE TRANSPORTA SEGÚN TAMAÑO DE LA FLOTA MATERIALES PARA CONSTRUCCIÓN. ENCUESTA A CONDUCTORES</t>
  </si>
  <si>
    <t>CARGA QUE TRANSPORTA SEGÚN TAMAÑO DE LA FLOTA MATERIAS PRIMAS PRODUCCIÓN/ENSAMBLE. ENCUESTA A CONDUCTORES</t>
  </si>
  <si>
    <t>CARGA QUE TRANSPORTA SEGÚN TAMAÑO DE LA FLOTA GRANOS. ENCUESTA A CONDUCTORES</t>
  </si>
  <si>
    <t>Productos Refrigerados</t>
  </si>
  <si>
    <t>CARGA QUE TRANSPORTA SEGÚN TAMAÑO DE LA FLOTA PRODUCTOS REFRIGERADOS. ENCUESTA A CONDUCTORES</t>
  </si>
  <si>
    <t>CARGA QUE TRANSPORTA SEGÚN TAMAÑO DE LA FLOTA OTROS PRODUCTOS. ENCUESTA A CONDUCTORES</t>
  </si>
  <si>
    <t>FACTOR DE MAYOR IMPORTANCIA PARA FIJAR LA RUTA SEGÚN TAMAÑO DE LA FLOTA. ENCUESTA A CONDUCTORES</t>
  </si>
  <si>
    <t>FACTOR DE IMPORTANCIA MEDIA - ALTA PARA FIJAR LA RUTA SEGÚN TAMAÑO DE LA FLOTA. ENCUESTA A CONDUCTORES</t>
  </si>
  <si>
    <t>FACTOR DE IMPORTANCIA MEDIA - BAJA PARA FIJAR LA RUTA SEGÚN TAMAÑO DE LA FLOTA. ENCUESTA A CONDUCTORES</t>
  </si>
  <si>
    <t>FACTOR DE MENOR IMPORTANCIA PARA FIJAR LA RUTA SEGÚN TAMAÑO DE LA FLOTA. ENCUESTA A CONDUCTORES</t>
  </si>
  <si>
    <t>30% A 49% DE VACÍO</t>
  </si>
  <si>
    <t>20% A 29% DE VACÍO</t>
  </si>
  <si>
    <t>10% A 19% DE VACÍO</t>
  </si>
  <si>
    <t>&lt;10% DE VACÍO</t>
  </si>
  <si>
    <t>PORCENTAJE QUE RECORREN DE VACÍO LAS UNIDADES SEGÚN TAMAÑO DE LA FLOTA. ENCUESTA A CONDUCTORES</t>
  </si>
  <si>
    <t>PORCENTAJE QUE RECORREN DE VACÍO PROPIETARIOS CON UNA UNIDAD. ENCUESTA A CONDUCTORES</t>
  </si>
  <si>
    <t>PORCENTAJE QUE RECORREN DE VACÍO PROPIETARIOS CON DOS UNIDADES. ENCUESTA A CONDUCTORES</t>
  </si>
  <si>
    <t>PORCENTAJE QUE RECORREN DE VACÍO PROPIETARIOS CON TRES A CINCO UNIDADES. ENCUESTA A CONDUCTORES</t>
  </si>
  <si>
    <t>PORCENTAJE QUE RECORREN DE VACÍO PROPIETARIOS CON SEIS A TREINTA UNIDADES. ENCUESTA A CONDUCTORES</t>
  </si>
  <si>
    <t>Oaxaca, Oaxaca</t>
  </si>
  <si>
    <t>Lugar de Encuesta</t>
  </si>
  <si>
    <t>Fecha de Encuesta</t>
  </si>
  <si>
    <t>Poligono Empresarial Santa Rosa</t>
  </si>
  <si>
    <t>Celaya, Gto.</t>
  </si>
  <si>
    <t>Salamanca Gto.</t>
  </si>
  <si>
    <t>Mercado de Abastos, Guadalajara</t>
  </si>
  <si>
    <t>Iztapalapa</t>
  </si>
  <si>
    <t>Central de Abastos, Irapuato</t>
  </si>
  <si>
    <t>Parque Ind. Castro del Río, Irapuato</t>
  </si>
  <si>
    <t>Parque Ind. Apolo, Irapuato</t>
  </si>
  <si>
    <t>Parque Ind. FIPASI, Silao</t>
  </si>
  <si>
    <t>Inter Puerto Gto., Silao</t>
  </si>
  <si>
    <t>Puerto Interior Gto., Silao</t>
  </si>
  <si>
    <t>Central de Carga, Léon</t>
  </si>
  <si>
    <t>Central de Abastos, Léon</t>
  </si>
  <si>
    <t>Libramiento, S.L.P.</t>
  </si>
  <si>
    <t>Parador "El Potosi"</t>
  </si>
  <si>
    <t>Central de Abasto, Guadalupe N.L.</t>
  </si>
  <si>
    <t>Sector Industrial, Apodaca</t>
  </si>
  <si>
    <t>Centro SCT Las Bombas</t>
  </si>
  <si>
    <t>Parador Santa Rosa</t>
  </si>
  <si>
    <t>Parque Industrial Querétaro</t>
  </si>
  <si>
    <t>Parque Industrial Benotto Juárez</t>
  </si>
  <si>
    <t>Terminal Central de Carga de Oriente D.F.</t>
  </si>
  <si>
    <t>Zona Industrial, Guadalajara</t>
  </si>
  <si>
    <t>Zona Industrial, El Salto Jal.</t>
  </si>
  <si>
    <t>Central de Abastos, Querétaro</t>
  </si>
  <si>
    <t>Cd. Juárez</t>
  </si>
  <si>
    <t>CONDUCTORES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</si>
</sst>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88">
    <xf numFmtId="0" fontId="0" fillId="0" borderId="0" xfId="0"/>
    <xf numFmtId="3" fontId="0" fillId="0" borderId="38" xfId="0" applyNumberFormat="1" applyFill="1" applyBorder="1" applyAlignment="1">
      <alignment horizontal="center" vertical="center"/>
    </xf>
    <xf numFmtId="0" fontId="0" fillId="0" borderId="38" xfId="0" applyFill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0" xfId="0" applyNumberFormat="1" applyFill="1"/>
    <xf numFmtId="0" fontId="0" fillId="0" borderId="38" xfId="0" applyNumberFormat="1" applyFill="1" applyBorder="1" applyAlignment="1">
      <alignment horizontal="center" vertical="center"/>
    </xf>
    <xf numFmtId="0" fontId="0" fillId="0" borderId="38" xfId="0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3" fontId="0" fillId="0" borderId="37" xfId="0" applyNumberFormat="1" applyFill="1" applyBorder="1" applyAlignment="1">
      <alignment horizontal="center" vertical="center"/>
    </xf>
    <xf numFmtId="3" fontId="0" fillId="0" borderId="17" xfId="0" applyNumberForma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41" xfId="0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9" fontId="0" fillId="0" borderId="0" xfId="0" applyNumberFormat="1" applyFill="1" applyAlignment="1">
      <alignment horizontal="center" vertical="center"/>
    </xf>
    <xf numFmtId="0" fontId="0" fillId="0" borderId="0" xfId="0" applyFill="1"/>
    <xf numFmtId="0" fontId="2" fillId="0" borderId="0" xfId="0" applyNumberFormat="1" applyFont="1" applyFill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3" fontId="1" fillId="0" borderId="5" xfId="0" applyNumberFormat="1" applyFont="1" applyFill="1" applyBorder="1" applyAlignment="1">
      <alignment horizontal="center" vertical="center" wrapText="1"/>
    </xf>
    <xf numFmtId="9" fontId="2" fillId="0" borderId="7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3" fontId="2" fillId="0" borderId="5" xfId="0" applyNumberFormat="1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3" fontId="2" fillId="0" borderId="23" xfId="0" applyNumberFormat="1" applyFont="1" applyFill="1" applyBorder="1" applyAlignment="1">
      <alignment horizontal="center" vertical="center" wrapText="1"/>
    </xf>
    <xf numFmtId="9" fontId="2" fillId="0" borderId="23" xfId="0" applyNumberFormat="1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9" fontId="0" fillId="0" borderId="37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9" fontId="0" fillId="0" borderId="38" xfId="0" applyNumberFormat="1" applyFill="1" applyBorder="1" applyAlignment="1">
      <alignment horizontal="center" vertical="center"/>
    </xf>
    <xf numFmtId="0" fontId="0" fillId="0" borderId="9" xfId="0" applyFill="1" applyBorder="1" applyAlignment="1">
      <alignment horizontal="left" vertical="center"/>
    </xf>
    <xf numFmtId="0" fontId="0" fillId="0" borderId="38" xfId="0" quotePrefix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7" xfId="0" quotePrefix="1" applyFill="1" applyBorder="1" applyAlignment="1">
      <alignment horizontal="center" vertical="center"/>
    </xf>
    <xf numFmtId="9" fontId="0" fillId="0" borderId="17" xfId="0" applyNumberForma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" fillId="0" borderId="8" xfId="0" quotePrefix="1" applyNumberFormat="1" applyFont="1" applyFill="1" applyBorder="1" applyAlignment="1">
      <alignment horizontal="left"/>
    </xf>
    <xf numFmtId="0" fontId="1" fillId="0" borderId="9" xfId="0" quotePrefix="1" applyNumberFormat="1" applyFont="1" applyFill="1" applyBorder="1" applyAlignment="1">
      <alignment horizontal="left"/>
    </xf>
    <xf numFmtId="0" fontId="1" fillId="0" borderId="9" xfId="0" applyNumberFormat="1" applyFont="1" applyFill="1" applyBorder="1" applyAlignment="1">
      <alignment horizontal="left"/>
    </xf>
    <xf numFmtId="0" fontId="1" fillId="0" borderId="9" xfId="0" applyNumberFormat="1" applyFont="1" applyFill="1" applyBorder="1"/>
    <xf numFmtId="0" fontId="1" fillId="0" borderId="10" xfId="0" applyNumberFormat="1" applyFont="1" applyFill="1" applyBorder="1"/>
    <xf numFmtId="0" fontId="1" fillId="0" borderId="3" xfId="0" applyFont="1" applyFill="1" applyBorder="1" applyAlignment="1">
      <alignment horizontal="left" vertical="top"/>
    </xf>
    <xf numFmtId="0" fontId="1" fillId="0" borderId="4" xfId="0" applyFont="1" applyFill="1" applyBorder="1" applyAlignment="1">
      <alignment horizontal="center"/>
    </xf>
    <xf numFmtId="0" fontId="1" fillId="0" borderId="3" xfId="0" applyFont="1" applyFill="1" applyBorder="1"/>
    <xf numFmtId="0" fontId="1" fillId="0" borderId="3" xfId="0" quotePrefix="1" applyFont="1" applyFill="1" applyBorder="1" applyAlignment="1">
      <alignment horizontal="left" vertical="top"/>
    </xf>
    <xf numFmtId="0" fontId="0" fillId="0" borderId="43" xfId="0" applyFill="1" applyBorder="1"/>
    <xf numFmtId="0" fontId="0" fillId="0" borderId="44" xfId="0" applyFill="1" applyBorder="1"/>
    <xf numFmtId="0" fontId="1" fillId="0" borderId="5" xfId="0" applyFont="1" applyFill="1" applyBorder="1"/>
    <xf numFmtId="0" fontId="0" fillId="0" borderId="42" xfId="0" applyNumberFormat="1" applyFill="1" applyBorder="1"/>
    <xf numFmtId="0" fontId="0" fillId="0" borderId="41" xfId="0" applyFill="1" applyBorder="1" applyAlignment="1">
      <alignment horizontal="center" vertical="center"/>
    </xf>
    <xf numFmtId="9" fontId="0" fillId="0" borderId="0" xfId="1" applyFont="1" applyFill="1" applyAlignment="1">
      <alignment horizontal="center" vertical="center"/>
    </xf>
    <xf numFmtId="9" fontId="0" fillId="0" borderId="0" xfId="1" applyNumberFormat="1" applyFont="1" applyFill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10" fontId="0" fillId="0" borderId="0" xfId="1" applyNumberFormat="1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10" fontId="0" fillId="0" borderId="0" xfId="1" applyNumberFormat="1" applyFont="1" applyFill="1" applyAlignment="1">
      <alignment vertical="center"/>
    </xf>
    <xf numFmtId="164" fontId="0" fillId="0" borderId="0" xfId="1" applyNumberFormat="1" applyFont="1" applyFill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9" fontId="0" fillId="0" borderId="0" xfId="1" applyFont="1" applyFill="1" applyAlignment="1">
      <alignment vertical="center"/>
    </xf>
    <xf numFmtId="0" fontId="0" fillId="0" borderId="0" xfId="0" applyFill="1" applyAlignment="1">
      <alignment horizontal="left" vertical="center" wrapText="1"/>
    </xf>
    <xf numFmtId="3" fontId="0" fillId="0" borderId="0" xfId="0" applyNumberFormat="1" applyFill="1" applyAlignment="1">
      <alignment vertical="center"/>
    </xf>
    <xf numFmtId="0" fontId="0" fillId="0" borderId="0" xfId="0" quotePrefix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9" fontId="0" fillId="0" borderId="0" xfId="0" applyNumberForma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vertical="center" wrapText="1"/>
    </xf>
    <xf numFmtId="3" fontId="0" fillId="0" borderId="0" xfId="1" applyNumberFormat="1" applyFont="1" applyFill="1" applyAlignment="1">
      <alignment horizontal="center" vertical="center"/>
    </xf>
    <xf numFmtId="0" fontId="0" fillId="0" borderId="37" xfId="0" applyFill="1" applyBorder="1" applyAlignment="1">
      <alignment horizontal="left" vertical="center"/>
    </xf>
    <xf numFmtId="0" fontId="0" fillId="0" borderId="17" xfId="0" applyFill="1" applyBorder="1" applyAlignment="1">
      <alignment horizontal="left" vertical="center"/>
    </xf>
    <xf numFmtId="0" fontId="1" fillId="0" borderId="25" xfId="0" applyFont="1" applyFill="1" applyBorder="1" applyAlignment="1">
      <alignment horizontal="left" vertical="top"/>
    </xf>
    <xf numFmtId="0" fontId="1" fillId="0" borderId="25" xfId="0" applyFont="1" applyFill="1" applyBorder="1"/>
    <xf numFmtId="0" fontId="1" fillId="0" borderId="44" xfId="0" quotePrefix="1" applyNumberFormat="1" applyFont="1" applyFill="1" applyBorder="1" applyAlignment="1">
      <alignment horizontal="left"/>
    </xf>
    <xf numFmtId="0" fontId="1" fillId="0" borderId="44" xfId="0" applyNumberFormat="1" applyFont="1" applyFill="1" applyBorder="1" applyAlignment="1">
      <alignment horizontal="left"/>
    </xf>
    <xf numFmtId="0" fontId="1" fillId="0" borderId="25" xfId="0" quotePrefix="1" applyFont="1" applyFill="1" applyBorder="1" applyAlignment="1">
      <alignment horizontal="left" vertical="top"/>
    </xf>
    <xf numFmtId="0" fontId="0" fillId="0" borderId="25" xfId="0" applyFill="1" applyBorder="1"/>
    <xf numFmtId="0" fontId="1" fillId="0" borderId="26" xfId="0" applyFont="1" applyFill="1" applyBorder="1"/>
    <xf numFmtId="15" fontId="1" fillId="0" borderId="31" xfId="0" quotePrefix="1" applyNumberFormat="1" applyFont="1" applyFill="1" applyBorder="1" applyAlignment="1">
      <alignment horizontal="center"/>
    </xf>
    <xf numFmtId="0" fontId="2" fillId="0" borderId="21" xfId="0" quotePrefix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/>
    </xf>
    <xf numFmtId="15" fontId="1" fillId="0" borderId="43" xfId="0" quotePrefix="1" applyNumberFormat="1" applyFont="1" applyFill="1" applyBorder="1" applyAlignment="1">
      <alignment horizontal="center"/>
    </xf>
    <xf numFmtId="0" fontId="1" fillId="0" borderId="9" xfId="0" applyNumberFormat="1" applyFont="1" applyFill="1" applyBorder="1" applyAlignment="1">
      <alignment horizontal="center"/>
    </xf>
    <xf numFmtId="0" fontId="1" fillId="0" borderId="43" xfId="0" applyNumberFormat="1" applyFont="1" applyFill="1" applyBorder="1" applyAlignment="1">
      <alignment horizontal="center"/>
    </xf>
    <xf numFmtId="0" fontId="1" fillId="0" borderId="43" xfId="0" quotePrefix="1" applyNumberFormat="1" applyFont="1" applyFill="1" applyBorder="1" applyAlignment="1">
      <alignment horizontal="center"/>
    </xf>
    <xf numFmtId="15" fontId="1" fillId="0" borderId="48" xfId="0" quotePrefix="1" applyNumberFormat="1" applyFont="1" applyFill="1" applyBorder="1" applyAlignment="1">
      <alignment horizontal="center"/>
    </xf>
    <xf numFmtId="15" fontId="1" fillId="0" borderId="49" xfId="0" quotePrefix="1" applyNumberFormat="1" applyFont="1" applyFill="1" applyBorder="1" applyAlignment="1">
      <alignment horizontal="center"/>
    </xf>
    <xf numFmtId="0" fontId="1" fillId="0" borderId="1" xfId="0" quotePrefix="1" applyNumberFormat="1" applyFont="1" applyFill="1" applyBorder="1" applyAlignment="1">
      <alignment horizontal="left"/>
    </xf>
    <xf numFmtId="0" fontId="1" fillId="0" borderId="37" xfId="0" applyNumberFormat="1" applyFont="1" applyFill="1" applyBorder="1" applyAlignment="1">
      <alignment horizontal="center"/>
    </xf>
    <xf numFmtId="0" fontId="1" fillId="0" borderId="3" xfId="0" quotePrefix="1" applyNumberFormat="1" applyFont="1" applyFill="1" applyBorder="1" applyAlignment="1">
      <alignment horizontal="left"/>
    </xf>
    <xf numFmtId="0" fontId="1" fillId="0" borderId="38" xfId="0" applyNumberFormat="1" applyFont="1" applyFill="1" applyBorder="1" applyAlignment="1">
      <alignment horizontal="center"/>
    </xf>
    <xf numFmtId="0" fontId="1" fillId="0" borderId="38" xfId="0" quotePrefix="1" applyNumberFormat="1" applyFont="1" applyFill="1" applyBorder="1" applyAlignment="1">
      <alignment horizontal="center"/>
    </xf>
    <xf numFmtId="0" fontId="1" fillId="0" borderId="3" xfId="0" applyNumberFormat="1" applyFont="1" applyFill="1" applyBorder="1" applyAlignment="1">
      <alignment horizontal="left"/>
    </xf>
    <xf numFmtId="0" fontId="1" fillId="0" borderId="3" xfId="0" applyNumberFormat="1" applyFont="1" applyFill="1" applyBorder="1"/>
    <xf numFmtId="0" fontId="1" fillId="0" borderId="5" xfId="0" quotePrefix="1" applyNumberFormat="1" applyFont="1" applyFill="1" applyBorder="1" applyAlignment="1">
      <alignment horizontal="left"/>
    </xf>
    <xf numFmtId="0" fontId="1" fillId="0" borderId="6" xfId="0" applyNumberFormat="1" applyFont="1" applyFill="1" applyBorder="1" applyAlignment="1">
      <alignment horizontal="center"/>
    </xf>
    <xf numFmtId="0" fontId="0" fillId="0" borderId="7" xfId="0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64" fontId="0" fillId="0" borderId="0" xfId="1" applyNumberFormat="1" applyFont="1" applyFill="1"/>
    <xf numFmtId="0" fontId="0" fillId="0" borderId="0" xfId="0" applyFill="1" applyAlignment="1">
      <alignment vertical="center" wrapText="1"/>
    </xf>
    <xf numFmtId="10" fontId="0" fillId="0" borderId="0" xfId="0" applyNumberFormat="1" applyFill="1" applyAlignment="1">
      <alignment vertical="center"/>
    </xf>
    <xf numFmtId="164" fontId="0" fillId="0" borderId="0" xfId="0" applyNumberFormat="1" applyFill="1" applyAlignment="1">
      <alignment vertical="center"/>
    </xf>
    <xf numFmtId="164" fontId="0" fillId="0" borderId="0" xfId="0" applyNumberFormat="1" applyFill="1" applyAlignment="1">
      <alignment horizontal="center" vertical="center"/>
    </xf>
    <xf numFmtId="0" fontId="0" fillId="0" borderId="38" xfId="0" applyFill="1" applyBorder="1"/>
    <xf numFmtId="0" fontId="1" fillId="0" borderId="5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/>
    </xf>
    <xf numFmtId="0" fontId="1" fillId="0" borderId="24" xfId="0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1" fillId="0" borderId="21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45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 wrapText="1"/>
    </xf>
    <xf numFmtId="3" fontId="2" fillId="0" borderId="17" xfId="0" applyNumberFormat="1" applyFont="1" applyFill="1" applyBorder="1" applyAlignment="1">
      <alignment horizontal="center" vertical="center" wrapText="1"/>
    </xf>
    <xf numFmtId="3" fontId="2" fillId="0" borderId="14" xfId="0" applyNumberFormat="1" applyFont="1" applyFill="1" applyBorder="1" applyAlignment="1">
      <alignment horizontal="center" vertical="center" wrapText="1"/>
    </xf>
    <xf numFmtId="3" fontId="1" fillId="0" borderId="21" xfId="0" applyNumberFormat="1" applyFont="1" applyFill="1" applyBorder="1" applyAlignment="1">
      <alignment horizontal="center" vertical="center"/>
    </xf>
    <xf numFmtId="3" fontId="1" fillId="0" borderId="23" xfId="0" applyNumberFormat="1" applyFont="1" applyFill="1" applyBorder="1" applyAlignment="1">
      <alignment horizontal="center" vertical="center"/>
    </xf>
    <xf numFmtId="3" fontId="1" fillId="0" borderId="22" xfId="0" applyNumberFormat="1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" fillId="0" borderId="35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Light16"/>
  <colors>
    <mruColors>
      <color rgb="FF20F2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CANTIDAD DE UNIDADES</a:t>
            </a:r>
          </a:p>
          <a:p>
            <a:pPr>
              <a:defRPr sz="1200"/>
            </a:pPr>
            <a:r>
              <a:rPr lang="en-US" sz="1200"/>
              <a:t>DEL PROPIETARIO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FORMULAS!$C$4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555555555555775E-3"/>
                  <c:y val="-3.703703703703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444444444444445E-2"/>
                  <c:y val="-3.240740740740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2222222222222251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888888888889129E-2"/>
                  <c:y val="-3.240740740740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FORMULAS!$B$5:$B$8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ENTRE 3 Y CINCO UNIDADES</c:v>
                </c:pt>
                <c:pt idx="3">
                  <c:v>ENTRE 6 Y 30 UNIDADES</c:v>
                </c:pt>
              </c:strCache>
            </c:strRef>
          </c:cat>
          <c:val>
            <c:numRef>
              <c:f>FORMULAS!$C$5:$C$8</c:f>
              <c:numCache>
                <c:formatCode>General</c:formatCode>
                <c:ptCount val="4"/>
                <c:pt idx="0">
                  <c:v>66</c:v>
                </c:pt>
                <c:pt idx="1">
                  <c:v>81</c:v>
                </c:pt>
                <c:pt idx="2">
                  <c:v>182</c:v>
                </c:pt>
                <c:pt idx="3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754944"/>
        <c:axId val="36756480"/>
        <c:axId val="0"/>
      </c:bar3DChart>
      <c:catAx>
        <c:axId val="36754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 b="1" i="0" baseline="0">
                <a:latin typeface="Arial" pitchFamily="34" charset="0"/>
              </a:defRPr>
            </a:pPr>
            <a:endParaRPr lang="es-MX"/>
          </a:p>
        </c:txPr>
        <c:crossAx val="36756480"/>
        <c:crosses val="autoZero"/>
        <c:auto val="1"/>
        <c:lblAlgn val="ctr"/>
        <c:lblOffset val="100"/>
        <c:noMultiLvlLbl val="0"/>
      </c:catAx>
      <c:valAx>
        <c:axId val="36756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s-MX"/>
          </a:p>
        </c:txPr>
        <c:crossAx val="36754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COMBUSTIBLE QUE UTILIZA LA UNIDAD</a:t>
            </a:r>
          </a:p>
        </c:rich>
      </c:tx>
      <c:overlay val="0"/>
    </c:title>
    <c:autoTitleDeleted val="0"/>
    <c:view3D>
      <c:rotX val="30"/>
      <c:rotY val="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FORMULAS!$J$4</c:f>
              <c:strCache>
                <c:ptCount val="1"/>
                <c:pt idx="0">
                  <c:v>COMBUSTIBLE QUE UTILIZA</c:v>
                </c:pt>
              </c:strCache>
            </c:strRef>
          </c:tx>
          <c:dLbls>
            <c:dLbl>
              <c:idx val="2"/>
              <c:layout>
                <c:manualLayout>
                  <c:x val="0.23493670886075949"/>
                  <c:y val="-0.20668334105295671"/>
                </c:manualLayout>
              </c:layout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965729758463893E-2"/>
                  <c:y val="-3.60737378415937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4542011362503732E-2"/>
                  <c:y val="-9.01913849004168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FORMULAS!$J$5:$J$9</c:f>
              <c:strCache>
                <c:ptCount val="5"/>
                <c:pt idx="0">
                  <c:v>GASOLINA</c:v>
                </c:pt>
                <c:pt idx="1">
                  <c:v>GAS</c:v>
                </c:pt>
                <c:pt idx="2">
                  <c:v>DIESEL</c:v>
                </c:pt>
                <c:pt idx="3">
                  <c:v>HUACHICOL</c:v>
                </c:pt>
                <c:pt idx="4">
                  <c:v>OTROS</c:v>
                </c:pt>
              </c:strCache>
            </c:strRef>
          </c:cat>
          <c:val>
            <c:numRef>
              <c:f>FORMULAS!$K$5:$K$9</c:f>
              <c:numCache>
                <c:formatCode>0.0%</c:formatCode>
                <c:ptCount val="5"/>
                <c:pt idx="0">
                  <c:v>4.856512141280353E-2</c:v>
                </c:pt>
                <c:pt idx="1">
                  <c:v>6.6225165562913907E-3</c:v>
                </c:pt>
                <c:pt idx="2">
                  <c:v>0.94481236203090513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 </a:t>
            </a:r>
          </a:p>
          <a:p>
            <a:pPr>
              <a:defRPr sz="1400"/>
            </a:pPr>
            <a:r>
              <a:rPr lang="en-US" sz="1400"/>
              <a:t>UNIDAD CARGADA. </a:t>
            </a:r>
          </a:p>
          <a:p>
            <a:pPr>
              <a:defRPr sz="1400"/>
            </a:pPr>
            <a:r>
              <a:rPr lang="en-US" sz="1200"/>
              <a:t>UNIDADES CON MOTORES DE 2011 EN ADELANTE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CON MOTORES DE 2011 EN ADELANTE (100% = 41)]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FEB'!$CX$112</c:f>
              <c:strCache>
                <c:ptCount val="1"/>
                <c:pt idx="0">
                  <c:v>RENDIMIENTO DE COMBUSTIBLE (SOLO DIESEL) UNIDAD CARGADA. UNIDADES CON MOTORES DE 2011 EN ADELANTE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FEB'!$CX$114:$CX$121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FEB'!$CY$114:$CY$121</c:f>
              <c:numCache>
                <c:formatCode>0.0%</c:formatCode>
                <c:ptCount val="8"/>
                <c:pt idx="0">
                  <c:v>0.12195121951219512</c:v>
                </c:pt>
                <c:pt idx="1">
                  <c:v>7.3170731707317069E-2</c:v>
                </c:pt>
                <c:pt idx="2">
                  <c:v>0.21951219512195122</c:v>
                </c:pt>
                <c:pt idx="3">
                  <c:v>2.4390243902439025E-2</c:v>
                </c:pt>
                <c:pt idx="4">
                  <c:v>0.24390243902439024</c:v>
                </c:pt>
                <c:pt idx="5">
                  <c:v>0.26829268292682928</c:v>
                </c:pt>
                <c:pt idx="6">
                  <c:v>2.4390243902439025E-2</c:v>
                </c:pt>
                <c:pt idx="7">
                  <c:v>2.4390243902439025E-2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677760"/>
        <c:axId val="152687744"/>
        <c:axId val="0"/>
      </c:bar3DChart>
      <c:catAx>
        <c:axId val="152677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687744"/>
        <c:crosses val="autoZero"/>
        <c:auto val="1"/>
        <c:lblAlgn val="ctr"/>
        <c:lblOffset val="100"/>
        <c:noMultiLvlLbl val="0"/>
      </c:catAx>
      <c:valAx>
        <c:axId val="15268774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6777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 EN VACÍO. </a:t>
            </a:r>
          </a:p>
          <a:p>
            <a:pPr>
              <a:defRPr sz="1400"/>
            </a:pPr>
            <a:r>
              <a:rPr lang="en-US" sz="1200"/>
              <a:t>UNIDADES CON MOTORES ANTERIORES A 1991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CON MOTORES ANTERIORES A 1991 (100% = 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FEB'!$CX$125</c:f>
              <c:strCache>
                <c:ptCount val="1"/>
                <c:pt idx="0">
                  <c:v>RENDIMIENTO DE COMBUSTIBLE (SOLO DIESEL) UNIDAD DE VACÍO. UNIDADES CON MOTORES ANTERIORES A 1991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FEB'!$CX$127:$CX$134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FEB'!$CY$127:$CY$134</c:f>
              <c:numCache>
                <c:formatCode>0.0%</c:formatCode>
                <c:ptCount val="8"/>
                <c:pt idx="0">
                  <c:v>0</c:v>
                </c:pt>
                <c:pt idx="1">
                  <c:v>0.13207547169811321</c:v>
                </c:pt>
                <c:pt idx="2">
                  <c:v>9.4339622641509441E-2</c:v>
                </c:pt>
                <c:pt idx="3">
                  <c:v>0.15094339622641509</c:v>
                </c:pt>
                <c:pt idx="4">
                  <c:v>0.20754716981132076</c:v>
                </c:pt>
                <c:pt idx="5">
                  <c:v>0.20754716981132076</c:v>
                </c:pt>
                <c:pt idx="6">
                  <c:v>0.16981132075471697</c:v>
                </c:pt>
                <c:pt idx="7">
                  <c:v>3.7735849056603772E-2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3175936"/>
        <c:axId val="153177472"/>
        <c:axId val="0"/>
      </c:bar3DChart>
      <c:catAx>
        <c:axId val="153175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177472"/>
        <c:crosses val="autoZero"/>
        <c:auto val="1"/>
        <c:lblAlgn val="ctr"/>
        <c:lblOffset val="100"/>
        <c:noMultiLvlLbl val="0"/>
      </c:catAx>
      <c:valAx>
        <c:axId val="15317747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1759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 EN VACÍO. </a:t>
            </a:r>
          </a:p>
          <a:p>
            <a:pPr>
              <a:defRPr sz="1400"/>
            </a:pPr>
            <a:r>
              <a:rPr lang="en-US" sz="1200"/>
              <a:t>UNIDADES CON MOTORES ENTRE 1991 Y 1993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CON MOTORES ENTRE 1991 Y 1993 (100% = 9)]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FEB'!$CX$138</c:f>
              <c:strCache>
                <c:ptCount val="1"/>
                <c:pt idx="0">
                  <c:v>RENDIMIENTO DE COMBUSTIBLE (SOLO DIESEL) UNIDAD DE VACÍO. UNIDADES CON MOTORES ENTRE 1991 Y 1993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FEB'!$CX$140:$CX$147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FEB'!$CY$140:$CY$147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0.1111111111111111</c:v>
                </c:pt>
                <c:pt idx="3">
                  <c:v>0.22222222222222221</c:v>
                </c:pt>
                <c:pt idx="4">
                  <c:v>0.22222222222222221</c:v>
                </c:pt>
                <c:pt idx="5">
                  <c:v>0.33333333333333331</c:v>
                </c:pt>
                <c:pt idx="6">
                  <c:v>0.1111111111111111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3215360"/>
        <c:axId val="153216896"/>
        <c:axId val="0"/>
      </c:bar3DChart>
      <c:catAx>
        <c:axId val="153215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216896"/>
        <c:crosses val="autoZero"/>
        <c:auto val="1"/>
        <c:lblAlgn val="ctr"/>
        <c:lblOffset val="100"/>
        <c:noMultiLvlLbl val="0"/>
      </c:catAx>
      <c:valAx>
        <c:axId val="15321689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2153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 EN VACÍO. </a:t>
            </a:r>
          </a:p>
          <a:p>
            <a:pPr>
              <a:defRPr sz="1400"/>
            </a:pPr>
            <a:r>
              <a:rPr lang="en-US" sz="1200"/>
              <a:t>UNIDADES CON MOTORES ENTRE 1994 Y 1997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CON MOTORES ENTRE 1994 Y 1997 (100% = 35)]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FEB'!$CX$151</c:f>
              <c:strCache>
                <c:ptCount val="1"/>
                <c:pt idx="0">
                  <c:v>RENDIMIENTO DE COMBUSTIBLE (SOLO DIESEL) UNIDAD DE VACÍO. UNIDADES CON MOTORES ENTRE 1994 Y 1997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FEB'!$CX$153:$CX$160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FEB'!$CY$153:$CY$160</c:f>
              <c:numCache>
                <c:formatCode>0.0%</c:formatCode>
                <c:ptCount val="8"/>
                <c:pt idx="0">
                  <c:v>0</c:v>
                </c:pt>
                <c:pt idx="1">
                  <c:v>2.8571428571428571E-2</c:v>
                </c:pt>
                <c:pt idx="2">
                  <c:v>5.7142857142857141E-2</c:v>
                </c:pt>
                <c:pt idx="3">
                  <c:v>0.14285714285714285</c:v>
                </c:pt>
                <c:pt idx="4">
                  <c:v>0.11428571428571428</c:v>
                </c:pt>
                <c:pt idx="5">
                  <c:v>0.2857142857142857</c:v>
                </c:pt>
                <c:pt idx="6">
                  <c:v>0.34285714285714286</c:v>
                </c:pt>
                <c:pt idx="7">
                  <c:v>2.8571428571428571E-2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3254528"/>
        <c:axId val="153276800"/>
        <c:axId val="0"/>
      </c:bar3DChart>
      <c:catAx>
        <c:axId val="153254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276800"/>
        <c:crosses val="autoZero"/>
        <c:auto val="1"/>
        <c:lblAlgn val="ctr"/>
        <c:lblOffset val="100"/>
        <c:noMultiLvlLbl val="0"/>
      </c:catAx>
      <c:valAx>
        <c:axId val="15327680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25452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 EN VACÍO. </a:t>
            </a:r>
          </a:p>
          <a:p>
            <a:pPr>
              <a:defRPr sz="1400"/>
            </a:pPr>
            <a:r>
              <a:rPr lang="en-US" sz="1200"/>
              <a:t>UNIDADES CON MOTORES ENTRE 1998 Y 2003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CON MOTORES ENTRE 1998 Y 2003 (100% = 102)]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FEB'!$CX$164</c:f>
              <c:strCache>
                <c:ptCount val="1"/>
                <c:pt idx="0">
                  <c:v>RENDIMIENTO DE COMBUSTIBLE (SOLO DIESEL) UNIDAD DE VACÍO. UNIDADES CON MOTORES ENTRE 1998 Y 2003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FEB'!$CX$166:$CX$173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FEB'!$CY$166:$CY$173</c:f>
              <c:numCache>
                <c:formatCode>0.0%</c:formatCode>
                <c:ptCount val="8"/>
                <c:pt idx="0">
                  <c:v>9.8039215686274508E-3</c:v>
                </c:pt>
                <c:pt idx="1">
                  <c:v>4.9019607843137254E-2</c:v>
                </c:pt>
                <c:pt idx="2">
                  <c:v>5.8823529411764705E-2</c:v>
                </c:pt>
                <c:pt idx="3">
                  <c:v>6.8627450980392163E-2</c:v>
                </c:pt>
                <c:pt idx="4">
                  <c:v>0.11764705882352941</c:v>
                </c:pt>
                <c:pt idx="5">
                  <c:v>0.5</c:v>
                </c:pt>
                <c:pt idx="6">
                  <c:v>0.18627450980392157</c:v>
                </c:pt>
                <c:pt idx="7">
                  <c:v>9.8039215686274508E-3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3367680"/>
        <c:axId val="153369216"/>
        <c:axId val="0"/>
      </c:bar3DChart>
      <c:catAx>
        <c:axId val="153367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369216"/>
        <c:crosses val="autoZero"/>
        <c:auto val="1"/>
        <c:lblAlgn val="ctr"/>
        <c:lblOffset val="100"/>
        <c:noMultiLvlLbl val="0"/>
      </c:catAx>
      <c:valAx>
        <c:axId val="15336921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3676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 EN VACÍO. </a:t>
            </a:r>
          </a:p>
          <a:p>
            <a:pPr>
              <a:defRPr sz="1400"/>
            </a:pPr>
            <a:r>
              <a:rPr lang="en-US" sz="1200"/>
              <a:t>UNIDADES CON MOTORES ENTRE 2004 Y 2006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CONDUCTORES</a:t>
            </a:r>
          </a:p>
          <a:p>
            <a:pPr>
              <a:defRPr sz="1400"/>
            </a:pPr>
            <a:r>
              <a:rPr lang="en-US" sz="800" baseline="0"/>
              <a:t>[% SOBRE EL TOTAL DE RESPUESTAS PARA UNIDADES CON MOTORES ENTRE 2004 Y 2006 (100% = 82)]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FEB'!$CX$177</c:f>
              <c:strCache>
                <c:ptCount val="1"/>
                <c:pt idx="0">
                  <c:v>RENDIMIENTO DE COMBUSTIBLE (SOLO DIESEL) UNIDAD DE VACÍO. UNIDADES CON MOTORES ENTRE 2004 Y 2006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FEB'!$CX$179:$CX$186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FEB'!$CY$179:$CY$186</c:f>
              <c:numCache>
                <c:formatCode>0.0%</c:formatCode>
                <c:ptCount val="8"/>
                <c:pt idx="0">
                  <c:v>0</c:v>
                </c:pt>
                <c:pt idx="1">
                  <c:v>6.097560975609756E-2</c:v>
                </c:pt>
                <c:pt idx="2">
                  <c:v>1.2195121951219513E-2</c:v>
                </c:pt>
                <c:pt idx="3">
                  <c:v>2.4390243902439025E-2</c:v>
                </c:pt>
                <c:pt idx="4">
                  <c:v>6.097560975609756E-2</c:v>
                </c:pt>
                <c:pt idx="5">
                  <c:v>0.65853658536585369</c:v>
                </c:pt>
                <c:pt idx="6">
                  <c:v>0.14634146341463414</c:v>
                </c:pt>
                <c:pt idx="7">
                  <c:v>3.6585365853658534E-2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3402752"/>
        <c:axId val="153416832"/>
        <c:axId val="0"/>
      </c:bar3DChart>
      <c:catAx>
        <c:axId val="153402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416832"/>
        <c:crosses val="autoZero"/>
        <c:auto val="1"/>
        <c:lblAlgn val="ctr"/>
        <c:lblOffset val="100"/>
        <c:noMultiLvlLbl val="0"/>
      </c:catAx>
      <c:valAx>
        <c:axId val="15341683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40275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 EN VACÍO. </a:t>
            </a:r>
          </a:p>
          <a:p>
            <a:pPr>
              <a:defRPr sz="1400"/>
            </a:pPr>
            <a:r>
              <a:rPr lang="en-US" sz="1200"/>
              <a:t>UNIDADES CON MOTORES ENTRE 2007 Y 2010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CON MOTORES ENTRE 2007 Y 2010 (100% = 105)]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FEB'!$CX$190</c:f>
              <c:strCache>
                <c:ptCount val="1"/>
                <c:pt idx="0">
                  <c:v>RENDIMIENTO DE COMBUSTIBLE (SOLO DIESEL) UNIDAD DE VACÍO. UNIDADES CON MOTORES ENTRE 2007 Y 2010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FEB'!$CX$192:$CX$199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FEB'!$CY$192:$CY$199</c:f>
              <c:numCache>
                <c:formatCode>0.0%</c:formatCode>
                <c:ptCount val="8"/>
                <c:pt idx="0">
                  <c:v>0</c:v>
                </c:pt>
                <c:pt idx="1">
                  <c:v>7.6190476190476197E-2</c:v>
                </c:pt>
                <c:pt idx="2">
                  <c:v>2.8571428571428571E-2</c:v>
                </c:pt>
                <c:pt idx="3">
                  <c:v>5.7142857142857141E-2</c:v>
                </c:pt>
                <c:pt idx="4">
                  <c:v>5.7142857142857141E-2</c:v>
                </c:pt>
                <c:pt idx="5">
                  <c:v>0.62857142857142856</c:v>
                </c:pt>
                <c:pt idx="6">
                  <c:v>0.12380952380952381</c:v>
                </c:pt>
                <c:pt idx="7">
                  <c:v>2.8571428571428571E-2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3454464"/>
        <c:axId val="153456000"/>
        <c:axId val="0"/>
      </c:bar3DChart>
      <c:catAx>
        <c:axId val="153454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456000"/>
        <c:crosses val="autoZero"/>
        <c:auto val="1"/>
        <c:lblAlgn val="ctr"/>
        <c:lblOffset val="100"/>
        <c:noMultiLvlLbl val="0"/>
      </c:catAx>
      <c:valAx>
        <c:axId val="15345600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4544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 UNIDAD EN VACÍO. </a:t>
            </a:r>
          </a:p>
          <a:p>
            <a:pPr>
              <a:defRPr sz="1400"/>
            </a:pPr>
            <a:r>
              <a:rPr lang="en-US" sz="1200"/>
              <a:t>UNIDADES CON MOTORES DEL 2011 EN ADELANTE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CON MOTORES DEL 2011 EN ADELANTE (100% = 41)]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FEB'!$CX$203</c:f>
              <c:strCache>
                <c:ptCount val="1"/>
                <c:pt idx="0">
                  <c:v>RENDIMIENTO DE COMBUSTIBLE (SOLO DIESEL) UNIDAD DE VACÍO. UNIDADES CON MOTORES DEL 2011 EN ADELANTE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FEB'!$CX$205:$CX$212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FEB'!$CY$205:$CY$212</c:f>
              <c:numCache>
                <c:formatCode>0.0%</c:formatCode>
                <c:ptCount val="8"/>
                <c:pt idx="0">
                  <c:v>2.4390243902439025E-2</c:v>
                </c:pt>
                <c:pt idx="1">
                  <c:v>4.878048780487805E-2</c:v>
                </c:pt>
                <c:pt idx="2">
                  <c:v>2.4390243902439025E-2</c:v>
                </c:pt>
                <c:pt idx="3">
                  <c:v>9.7560975609756101E-2</c:v>
                </c:pt>
                <c:pt idx="4">
                  <c:v>0.17073170731707318</c:v>
                </c:pt>
                <c:pt idx="5">
                  <c:v>0.46341463414634149</c:v>
                </c:pt>
                <c:pt idx="6">
                  <c:v>0.14634146341463414</c:v>
                </c:pt>
                <c:pt idx="7">
                  <c:v>2.4390243902439025E-2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3506176"/>
        <c:axId val="153507712"/>
        <c:axId val="0"/>
      </c:bar3DChart>
      <c:catAx>
        <c:axId val="153506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507712"/>
        <c:crosses val="autoZero"/>
        <c:auto val="1"/>
        <c:lblAlgn val="ctr"/>
        <c:lblOffset val="100"/>
        <c:noMultiLvlLbl val="0"/>
      </c:catAx>
      <c:valAx>
        <c:axId val="15350771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50617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UNIDADES ANTERIORES A 1991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LAS RESPUESTAS PARA UNIDADES ANTERIORES A 1991</a:t>
            </a:r>
            <a:r>
              <a:rPr lang="en-US" sz="800" baseline="0"/>
              <a:t> (100% = 50)]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FEB'!$DP$15</c:f>
              <c:strCache>
                <c:ptCount val="1"/>
                <c:pt idx="0">
                  <c:v>KILÓMETROS RECORRIDOS. UNIDADES ANTERIORES A 1991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FEB'!$DP$17:$DP$23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FEB'!$DQ$17:$DQ$23</c:f>
              <c:numCache>
                <c:formatCode>0.0%</c:formatCode>
                <c:ptCount val="7"/>
                <c:pt idx="0">
                  <c:v>0</c:v>
                </c:pt>
                <c:pt idx="1">
                  <c:v>0.04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0.22</c:v>
                </c:pt>
                <c:pt idx="5">
                  <c:v>0.14000000000000001</c:v>
                </c:pt>
                <c:pt idx="6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541248"/>
        <c:axId val="153547136"/>
        <c:axId val="0"/>
      </c:bar3DChart>
      <c:catAx>
        <c:axId val="153541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547136"/>
        <c:crosses val="autoZero"/>
        <c:auto val="1"/>
        <c:lblAlgn val="ctr"/>
        <c:lblOffset val="100"/>
        <c:noMultiLvlLbl val="0"/>
      </c:catAx>
      <c:valAx>
        <c:axId val="1535471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54124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UNIDADES ENTRE 1991 Y 1993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ENTRE 1991 Y 1993 (100% = 9)]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FEB'!$DT$15</c:f>
              <c:strCache>
                <c:ptCount val="1"/>
                <c:pt idx="0">
                  <c:v>KILÓMETROS RECORRIDOS. UNIDADES ANTERIORES ENTRE 1991 Y 1993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FEB'!$DT$17:$DT$23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FEB'!$DU$17:$DU$23</c:f>
              <c:numCache>
                <c:formatCode>0.0%</c:formatCode>
                <c:ptCount val="7"/>
                <c:pt idx="0">
                  <c:v>0</c:v>
                </c:pt>
                <c:pt idx="1">
                  <c:v>0.1111111111111111</c:v>
                </c:pt>
                <c:pt idx="2">
                  <c:v>0.22222222222222221</c:v>
                </c:pt>
                <c:pt idx="3">
                  <c:v>0.44444444444444442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568384"/>
        <c:axId val="153569920"/>
        <c:axId val="0"/>
      </c:bar3DChart>
      <c:catAx>
        <c:axId val="153568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569920"/>
        <c:crosses val="autoZero"/>
        <c:auto val="1"/>
        <c:lblAlgn val="ctr"/>
        <c:lblOffset val="100"/>
        <c:noMultiLvlLbl val="0"/>
      </c:catAx>
      <c:valAx>
        <c:axId val="1535699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5683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es-MX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FORMULAS!$J$12</c:f>
              <c:strCache>
                <c:ptCount val="1"/>
                <c:pt idx="0">
                  <c:v>MARCA DEL MOTOR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FORMULAS!$J$13:$J$30</c:f>
              <c:strCache>
                <c:ptCount val="18"/>
                <c:pt idx="0">
                  <c:v>NO SABE</c:v>
                </c:pt>
                <c:pt idx="1">
                  <c:v>BICAM</c:v>
                </c:pt>
                <c:pt idx="2">
                  <c:v>CATERPILLAR</c:v>
                </c:pt>
                <c:pt idx="3">
                  <c:v>CHEVROLET</c:v>
                </c:pt>
                <c:pt idx="4">
                  <c:v>CUMMINS</c:v>
                </c:pt>
                <c:pt idx="5">
                  <c:v>DETROIT</c:v>
                </c:pt>
                <c:pt idx="6">
                  <c:v>DINA</c:v>
                </c:pt>
                <c:pt idx="7">
                  <c:v>FORD</c:v>
                </c:pt>
                <c:pt idx="8">
                  <c:v>FREIGHTLINER</c:v>
                </c:pt>
                <c:pt idx="9">
                  <c:v>GMC</c:v>
                </c:pt>
                <c:pt idx="10">
                  <c:v>INTERNATIONAL</c:v>
                </c:pt>
                <c:pt idx="11">
                  <c:v>ISUZU</c:v>
                </c:pt>
                <c:pt idx="12">
                  <c:v>KENWORTH</c:v>
                </c:pt>
                <c:pt idx="13">
                  <c:v>KODIAK</c:v>
                </c:pt>
                <c:pt idx="14">
                  <c:v>MERCEDES BENZ</c:v>
                </c:pt>
                <c:pt idx="15">
                  <c:v>NAVISTAR</c:v>
                </c:pt>
                <c:pt idx="16">
                  <c:v>NISSAN</c:v>
                </c:pt>
                <c:pt idx="17">
                  <c:v>PACCAR</c:v>
                </c:pt>
              </c:strCache>
            </c:strRef>
          </c:cat>
          <c:val>
            <c:numRef>
              <c:f>FORMULAS!$K$13:$K$30</c:f>
              <c:numCache>
                <c:formatCode>General</c:formatCode>
                <c:ptCount val="18"/>
                <c:pt idx="0">
                  <c:v>18</c:v>
                </c:pt>
                <c:pt idx="1">
                  <c:v>2</c:v>
                </c:pt>
                <c:pt idx="2">
                  <c:v>10</c:v>
                </c:pt>
                <c:pt idx="3">
                  <c:v>5</c:v>
                </c:pt>
                <c:pt idx="4">
                  <c:v>183</c:v>
                </c:pt>
                <c:pt idx="5">
                  <c:v>50</c:v>
                </c:pt>
                <c:pt idx="6">
                  <c:v>12</c:v>
                </c:pt>
                <c:pt idx="7">
                  <c:v>14</c:v>
                </c:pt>
                <c:pt idx="8">
                  <c:v>20</c:v>
                </c:pt>
                <c:pt idx="9">
                  <c:v>1</c:v>
                </c:pt>
                <c:pt idx="10">
                  <c:v>41</c:v>
                </c:pt>
                <c:pt idx="11">
                  <c:v>2</c:v>
                </c:pt>
                <c:pt idx="12">
                  <c:v>51</c:v>
                </c:pt>
                <c:pt idx="13">
                  <c:v>4</c:v>
                </c:pt>
                <c:pt idx="14">
                  <c:v>22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2777984"/>
        <c:axId val="64422272"/>
        <c:axId val="0"/>
      </c:bar3DChart>
      <c:catAx>
        <c:axId val="6277798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 b="1" i="1" baseline="0">
                <a:latin typeface="Arial" pitchFamily="34" charset="0"/>
              </a:defRPr>
            </a:pPr>
            <a:endParaRPr lang="es-MX"/>
          </a:p>
        </c:txPr>
        <c:crossAx val="64422272"/>
        <c:crosses val="autoZero"/>
        <c:auto val="1"/>
        <c:lblAlgn val="ctr"/>
        <c:lblOffset val="100"/>
        <c:noMultiLvlLbl val="0"/>
      </c:catAx>
      <c:valAx>
        <c:axId val="64422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s-MX"/>
          </a:p>
        </c:txPr>
        <c:crossAx val="62777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UNIDADES ENTRE 1994 Y 1997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ENTRE 1994 Y 1997 (100% = 25)]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FEB'!$DX$15</c:f>
              <c:strCache>
                <c:ptCount val="1"/>
                <c:pt idx="0">
                  <c:v>KILÓMETROS RECORRIDOS. UNIDADES ANTERIORES ENTRE 1994 Y 1997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FEB'!$DX$17:$DX$23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FEB'!$DY$17:$DY$23</c:f>
              <c:numCache>
                <c:formatCode>0.0%</c:formatCode>
                <c:ptCount val="7"/>
                <c:pt idx="0">
                  <c:v>0.04</c:v>
                </c:pt>
                <c:pt idx="1">
                  <c:v>0</c:v>
                </c:pt>
                <c:pt idx="2">
                  <c:v>0.52</c:v>
                </c:pt>
                <c:pt idx="3">
                  <c:v>0.16</c:v>
                </c:pt>
                <c:pt idx="4">
                  <c:v>0.16</c:v>
                </c:pt>
                <c:pt idx="5">
                  <c:v>0.04</c:v>
                </c:pt>
                <c:pt idx="6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599360"/>
        <c:axId val="153601152"/>
        <c:axId val="0"/>
      </c:bar3DChart>
      <c:catAx>
        <c:axId val="153599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601152"/>
        <c:crosses val="autoZero"/>
        <c:auto val="1"/>
        <c:lblAlgn val="ctr"/>
        <c:lblOffset val="100"/>
        <c:noMultiLvlLbl val="0"/>
      </c:catAx>
      <c:valAx>
        <c:axId val="1536011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5993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UNIDADES ENTRE 1998 Y 2003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ENTRE 1998 Y 2003 (100% = 43)]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FEB'!$EB$15</c:f>
              <c:strCache>
                <c:ptCount val="1"/>
                <c:pt idx="0">
                  <c:v>KILÓMETROS RECORRIDOS. UNIDADES ANTERIORES ENTRE 1998 Y 2003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FEB'!$EB$17:$EB$23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FEB'!$EC$17:$EC$23</c:f>
              <c:numCache>
                <c:formatCode>0.0%</c:formatCode>
                <c:ptCount val="7"/>
                <c:pt idx="0">
                  <c:v>0.58139534883720934</c:v>
                </c:pt>
                <c:pt idx="1">
                  <c:v>0.39534883720930231</c:v>
                </c:pt>
                <c:pt idx="2">
                  <c:v>2.3255813953488372E-2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651072"/>
        <c:axId val="153652608"/>
        <c:axId val="0"/>
      </c:bar3DChart>
      <c:catAx>
        <c:axId val="153651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652608"/>
        <c:crosses val="autoZero"/>
        <c:auto val="1"/>
        <c:lblAlgn val="ctr"/>
        <c:lblOffset val="100"/>
        <c:noMultiLvlLbl val="0"/>
      </c:catAx>
      <c:valAx>
        <c:axId val="1536526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65107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UNIDADES ENTRE 2004 Y 2006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ENTRE 2004 Y 2006 (100% = 81)]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FEB'!$DP$27</c:f>
              <c:strCache>
                <c:ptCount val="1"/>
                <c:pt idx="0">
                  <c:v>KILÓMETROS RECORRIDOS. UNIDADES ENTRE 2004 Y 2006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FEB'!$DP$29:$DP$35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FEB'!$DQ$29:$DQ$35</c:f>
              <c:numCache>
                <c:formatCode>0.0%</c:formatCode>
                <c:ptCount val="7"/>
                <c:pt idx="0">
                  <c:v>0</c:v>
                </c:pt>
                <c:pt idx="1">
                  <c:v>0.13580246913580246</c:v>
                </c:pt>
                <c:pt idx="2">
                  <c:v>0.76543209876543206</c:v>
                </c:pt>
                <c:pt idx="3">
                  <c:v>8.6419753086419748E-2</c:v>
                </c:pt>
                <c:pt idx="4">
                  <c:v>1.2345679012345678E-2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686400"/>
        <c:axId val="153687936"/>
        <c:axId val="0"/>
      </c:bar3DChart>
      <c:catAx>
        <c:axId val="153686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687936"/>
        <c:crosses val="autoZero"/>
        <c:auto val="1"/>
        <c:lblAlgn val="ctr"/>
        <c:lblOffset val="100"/>
        <c:noMultiLvlLbl val="0"/>
      </c:catAx>
      <c:valAx>
        <c:axId val="1536879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68640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UNIDADES ENTRE 2007 Y 2010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ENTRE 2007 Y 2010 (100% = 106]</a:t>
            </a:r>
          </a:p>
        </c:rich>
      </c:tx>
      <c:layout>
        <c:manualLayout>
          <c:xMode val="edge"/>
          <c:yMode val="edge"/>
          <c:x val="0.19514058398950132"/>
          <c:y val="1.333636114235909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FEB'!$DT$27</c:f>
              <c:strCache>
                <c:ptCount val="1"/>
                <c:pt idx="0">
                  <c:v>KILÓMETROS RECORRIDOS. UNIDADES ENTRE 2007 Y 2010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FEB'!$DT$29:$DT$35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FEB'!$DU$29:$DU$35</c:f>
              <c:numCache>
                <c:formatCode>0.0%</c:formatCode>
                <c:ptCount val="7"/>
                <c:pt idx="0">
                  <c:v>0.13207547169811321</c:v>
                </c:pt>
                <c:pt idx="1">
                  <c:v>0.31132075471698112</c:v>
                </c:pt>
                <c:pt idx="2">
                  <c:v>0.50943396226415094</c:v>
                </c:pt>
                <c:pt idx="3">
                  <c:v>2.8301886792452831E-2</c:v>
                </c:pt>
                <c:pt idx="4">
                  <c:v>1.8867924528301886E-2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729664"/>
        <c:axId val="153735552"/>
        <c:axId val="0"/>
      </c:bar3DChart>
      <c:catAx>
        <c:axId val="153729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735552"/>
        <c:crosses val="autoZero"/>
        <c:auto val="1"/>
        <c:lblAlgn val="ctr"/>
        <c:lblOffset val="100"/>
        <c:noMultiLvlLbl val="0"/>
      </c:catAx>
      <c:valAx>
        <c:axId val="1537355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7296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UNIDADES POSTERIORES A 2010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POSTERIORES</a:t>
            </a:r>
            <a:r>
              <a:rPr lang="en-US" sz="800" baseline="0"/>
              <a:t> A 2011 (100% = 43)]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FEB'!$DX$27</c:f>
              <c:strCache>
                <c:ptCount val="1"/>
                <c:pt idx="0">
                  <c:v>KILÓMETROS RECORRIDOS. UNIDADES POSTERIORES A 2011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FEB'!$DX$29:$DX$35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FEB'!$DY$29:$DY$35</c:f>
              <c:numCache>
                <c:formatCode>0.0%</c:formatCode>
                <c:ptCount val="7"/>
                <c:pt idx="0">
                  <c:v>0.58139534883720934</c:v>
                </c:pt>
                <c:pt idx="1">
                  <c:v>0.39534883720930231</c:v>
                </c:pt>
                <c:pt idx="2">
                  <c:v>2.3255813953488372E-2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777280"/>
        <c:axId val="153778816"/>
        <c:axId val="0"/>
      </c:bar3DChart>
      <c:catAx>
        <c:axId val="153777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778816"/>
        <c:crosses val="autoZero"/>
        <c:auto val="1"/>
        <c:lblAlgn val="ctr"/>
        <c:lblOffset val="100"/>
        <c:noMultiLvlLbl val="0"/>
      </c:catAx>
      <c:valAx>
        <c:axId val="1537788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7772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KILÓMETROS QUE RECORRE LA UNIDAD POR MES SEGÚN AÑO MODELO DEL MOTOR.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PARA KILÓMETROS QUE RECORRE LA UNIDAD POR MES (100% = 453)]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FEB'!$EI$4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FEB'!$EH$5:$EH$10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FEB'!$EI$5:$EI$10</c:f>
              <c:numCache>
                <c:formatCode>0.0%</c:formatCode>
                <c:ptCount val="6"/>
                <c:pt idx="0">
                  <c:v>1.3245033112582781E-2</c:v>
                </c:pt>
                <c:pt idx="1">
                  <c:v>5.2980132450331126E-2</c:v>
                </c:pt>
                <c:pt idx="2">
                  <c:v>4.4150110375275942E-2</c:v>
                </c:pt>
                <c:pt idx="3">
                  <c:v>1.9867549668874173E-2</c:v>
                </c:pt>
                <c:pt idx="4">
                  <c:v>0</c:v>
                </c:pt>
                <c:pt idx="5">
                  <c:v>2.2075055187637969E-3</c:v>
                </c:pt>
              </c:numCache>
            </c:numRef>
          </c:val>
        </c:ser>
        <c:ser>
          <c:idx val="1"/>
          <c:order val="1"/>
          <c:tx>
            <c:strRef>
              <c:f>'FORMULAS FEB'!$EJ$4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FEB'!$EH$5:$EH$10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FEB'!$EJ$5:$EJ$10</c:f>
              <c:numCache>
                <c:formatCode>0.0%</c:formatCode>
                <c:ptCount val="6"/>
                <c:pt idx="0">
                  <c:v>0</c:v>
                </c:pt>
                <c:pt idx="1">
                  <c:v>8.8300220750551876E-3</c:v>
                </c:pt>
                <c:pt idx="2">
                  <c:v>8.8300220750551876E-3</c:v>
                </c:pt>
                <c:pt idx="3">
                  <c:v>2.2075055187637969E-3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FEB'!$EK$4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FEB'!$EH$5:$EH$10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FEB'!$EK$5:$EK$10</c:f>
              <c:numCache>
                <c:formatCode>0.0%</c:formatCode>
                <c:ptCount val="6"/>
                <c:pt idx="0">
                  <c:v>6.6225165562913907E-3</c:v>
                </c:pt>
                <c:pt idx="1">
                  <c:v>2.8697571743929361E-2</c:v>
                </c:pt>
                <c:pt idx="2">
                  <c:v>2.2075055187637971E-2</c:v>
                </c:pt>
                <c:pt idx="3">
                  <c:v>2.2075055187637971E-2</c:v>
                </c:pt>
                <c:pt idx="4">
                  <c:v>2.2075055187637969E-3</c:v>
                </c:pt>
                <c:pt idx="5">
                  <c:v>4.4150110375275938E-3</c:v>
                </c:pt>
              </c:numCache>
            </c:numRef>
          </c:val>
        </c:ser>
        <c:ser>
          <c:idx val="3"/>
          <c:order val="3"/>
          <c:tx>
            <c:strRef>
              <c:f>'FORMULAS FEB'!$EL$4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FEB'!$EH$5:$EH$10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FEB'!$EL$5:$EL$10</c:f>
              <c:numCache>
                <c:formatCode>0.0%</c:formatCode>
                <c:ptCount val="6"/>
                <c:pt idx="0">
                  <c:v>1.9867549668874173E-2</c:v>
                </c:pt>
                <c:pt idx="1">
                  <c:v>4.6357615894039736E-2</c:v>
                </c:pt>
                <c:pt idx="2">
                  <c:v>4.856512141280353E-2</c:v>
                </c:pt>
                <c:pt idx="3">
                  <c:v>8.1677704194260486E-2</c:v>
                </c:pt>
                <c:pt idx="4">
                  <c:v>1.9867549668874173E-2</c:v>
                </c:pt>
                <c:pt idx="5">
                  <c:v>2.2075055187637971E-2</c:v>
                </c:pt>
              </c:numCache>
            </c:numRef>
          </c:val>
        </c:ser>
        <c:ser>
          <c:idx val="4"/>
          <c:order val="4"/>
          <c:tx>
            <c:strRef>
              <c:f>'FORMULAS FEB'!$EM$4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FEB'!$EH$5:$EH$10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FEB'!$EM$5:$EM$10</c:f>
              <c:numCache>
                <c:formatCode>0.0%</c:formatCode>
                <c:ptCount val="6"/>
                <c:pt idx="0">
                  <c:v>6.6225165562913907E-3</c:v>
                </c:pt>
                <c:pt idx="1">
                  <c:v>2.4282560706401765E-2</c:v>
                </c:pt>
                <c:pt idx="2">
                  <c:v>1.5452538631346579E-2</c:v>
                </c:pt>
                <c:pt idx="3">
                  <c:v>0.10816777041942605</c:v>
                </c:pt>
                <c:pt idx="4">
                  <c:v>1.7660044150110375E-2</c:v>
                </c:pt>
                <c:pt idx="5">
                  <c:v>1.3245033112582781E-2</c:v>
                </c:pt>
              </c:numCache>
            </c:numRef>
          </c:val>
        </c:ser>
        <c:ser>
          <c:idx val="5"/>
          <c:order val="5"/>
          <c:tx>
            <c:strRef>
              <c:f>'FORMULAS FEB'!$EN$4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FEB'!$EH$5:$EH$10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FEB'!$EN$5:$EN$10</c:f>
              <c:numCache>
                <c:formatCode>0.0%</c:formatCode>
                <c:ptCount val="6"/>
                <c:pt idx="0">
                  <c:v>1.7660044150110375E-2</c:v>
                </c:pt>
                <c:pt idx="1">
                  <c:v>5.518763796909492E-2</c:v>
                </c:pt>
                <c:pt idx="2">
                  <c:v>1.9867549668874173E-2</c:v>
                </c:pt>
                <c:pt idx="3">
                  <c:v>9.9337748344370855E-2</c:v>
                </c:pt>
                <c:pt idx="4">
                  <c:v>2.4282560706401765E-2</c:v>
                </c:pt>
                <c:pt idx="5">
                  <c:v>2.4282560706401765E-2</c:v>
                </c:pt>
              </c:numCache>
            </c:numRef>
          </c:val>
        </c:ser>
        <c:ser>
          <c:idx val="6"/>
          <c:order val="6"/>
          <c:tx>
            <c:strRef>
              <c:f>'FORMULAS FEB'!$EO$4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FEB'!$EH$5:$EH$10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FEB'!$EO$5:$EO$10</c:f>
              <c:numCache>
                <c:formatCode>0.0%</c:formatCode>
                <c:ptCount val="6"/>
                <c:pt idx="0">
                  <c:v>1.7660044150110375E-2</c:v>
                </c:pt>
                <c:pt idx="1">
                  <c:v>1.3245033112582781E-2</c:v>
                </c:pt>
                <c:pt idx="2">
                  <c:v>1.1037527593818985E-2</c:v>
                </c:pt>
                <c:pt idx="3">
                  <c:v>2.4282560706401765E-2</c:v>
                </c:pt>
                <c:pt idx="4">
                  <c:v>0</c:v>
                </c:pt>
                <c:pt idx="5">
                  <c:v>3.0905077262693158E-2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930752"/>
        <c:axId val="153940736"/>
        <c:axId val="0"/>
      </c:bar3DChart>
      <c:catAx>
        <c:axId val="153930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940736"/>
        <c:crosses val="autoZero"/>
        <c:auto val="1"/>
        <c:lblAlgn val="ctr"/>
        <c:lblOffset val="100"/>
        <c:noMultiLvlLbl val="0"/>
      </c:catAx>
      <c:valAx>
        <c:axId val="15394073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930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 LA UNIDAD POR MES</a:t>
            </a:r>
          </a:p>
          <a:p>
            <a:pPr>
              <a:defRPr sz="1400"/>
            </a:pPr>
            <a:r>
              <a:rPr lang="en-US" sz="1200"/>
              <a:t>AÑO MODELO DE MOTOR ANTERIOR A 1991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AÑO DE MOTOR ANTERIOR A 1991 (100% = 60)]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FEB'!$EH$13</c:f>
              <c:strCache>
                <c:ptCount val="1"/>
                <c:pt idx="0">
                  <c:v>KILÓMETROS QUE RECORRE LA UNIDAD POR MES AÑO MODELO DE MOTOR ANTERIOR A 1991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FEB'!$EH$14:$EH$19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FEB'!$EI$14:$EI$19</c:f>
              <c:numCache>
                <c:formatCode>0.0%</c:formatCode>
                <c:ptCount val="6"/>
                <c:pt idx="0">
                  <c:v>0.1</c:v>
                </c:pt>
                <c:pt idx="1">
                  <c:v>0.4</c:v>
                </c:pt>
                <c:pt idx="2">
                  <c:v>0.33333333333333331</c:v>
                </c:pt>
                <c:pt idx="3">
                  <c:v>0.15</c:v>
                </c:pt>
                <c:pt idx="4">
                  <c:v>0</c:v>
                </c:pt>
                <c:pt idx="5">
                  <c:v>1.6666666666666666E-2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910080"/>
        <c:axId val="152924160"/>
        <c:axId val="0"/>
      </c:bar3DChart>
      <c:catAx>
        <c:axId val="152910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924160"/>
        <c:crosses val="autoZero"/>
        <c:auto val="1"/>
        <c:lblAlgn val="ctr"/>
        <c:lblOffset val="100"/>
        <c:noMultiLvlLbl val="0"/>
      </c:catAx>
      <c:valAx>
        <c:axId val="1529241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9100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 LA UNIDAD POR MES</a:t>
            </a:r>
          </a:p>
          <a:p>
            <a:pPr>
              <a:defRPr sz="1400"/>
            </a:pPr>
            <a:r>
              <a:rPr lang="en-US" sz="1200"/>
              <a:t>AÑO MODELO DE MOTOR ENTRE 1991 Y 1993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</a:t>
            </a:r>
            <a:r>
              <a:rPr lang="en-US" sz="800" baseline="0"/>
              <a:t> PARA AÑO MOTOR ENTRE 1991 Y 1993 (100% = 9)]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FEB'!$EH$22</c:f>
              <c:strCache>
                <c:ptCount val="1"/>
                <c:pt idx="0">
                  <c:v>KILÓMETROS QUE RECORRE LA UNIDAD POR MES AÑO MODELO DE MOTOR ENTRE 1991 Y 1993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FEB'!$EH$23:$EH$28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FEB'!$EI$23:$EI$28</c:f>
              <c:numCache>
                <c:formatCode>0.0%</c:formatCode>
                <c:ptCount val="6"/>
                <c:pt idx="0">
                  <c:v>0</c:v>
                </c:pt>
                <c:pt idx="1">
                  <c:v>0.44444444444444442</c:v>
                </c:pt>
                <c:pt idx="2">
                  <c:v>0.44444444444444442</c:v>
                </c:pt>
                <c:pt idx="3">
                  <c:v>0.1111111111111111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958080"/>
        <c:axId val="152959616"/>
        <c:axId val="0"/>
      </c:bar3DChart>
      <c:catAx>
        <c:axId val="152958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959616"/>
        <c:crosses val="autoZero"/>
        <c:auto val="1"/>
        <c:lblAlgn val="ctr"/>
        <c:lblOffset val="100"/>
        <c:noMultiLvlLbl val="0"/>
      </c:catAx>
      <c:valAx>
        <c:axId val="1529596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9580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 LA UNIDAD POR MES</a:t>
            </a:r>
          </a:p>
          <a:p>
            <a:pPr>
              <a:defRPr sz="1400"/>
            </a:pPr>
            <a:r>
              <a:rPr lang="en-US" sz="1200"/>
              <a:t>AÑO MODELO DE MOTOR ENTRE 1994 Y 1997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AÑO MOTOR ENTRE 1994 Y 1997</a:t>
            </a:r>
            <a:r>
              <a:rPr lang="en-US" sz="800" baseline="0"/>
              <a:t> (100% = 39)]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FEB'!$EH$31</c:f>
              <c:strCache>
                <c:ptCount val="1"/>
                <c:pt idx="0">
                  <c:v>KILÓMETROS QUE RECORRE LA UNIDAD POR MES AÑO MODELO DE MOTOR ENTRE 1994 Y 1997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FEB'!$EH$32:$EH$37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FEB'!$EI$32:$EI$37</c:f>
              <c:numCache>
                <c:formatCode>0.0%</c:formatCode>
                <c:ptCount val="6"/>
                <c:pt idx="0">
                  <c:v>7.6923076923076927E-2</c:v>
                </c:pt>
                <c:pt idx="1">
                  <c:v>0.33333333333333331</c:v>
                </c:pt>
                <c:pt idx="2">
                  <c:v>0.25641025641025639</c:v>
                </c:pt>
                <c:pt idx="3">
                  <c:v>0.25641025641025639</c:v>
                </c:pt>
                <c:pt idx="4">
                  <c:v>2.564102564102564E-2</c:v>
                </c:pt>
                <c:pt idx="5">
                  <c:v>5.128205128205128E-2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993792"/>
        <c:axId val="152995328"/>
        <c:axId val="0"/>
      </c:bar3DChart>
      <c:catAx>
        <c:axId val="152993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995328"/>
        <c:crosses val="autoZero"/>
        <c:auto val="1"/>
        <c:lblAlgn val="ctr"/>
        <c:lblOffset val="100"/>
        <c:noMultiLvlLbl val="0"/>
      </c:catAx>
      <c:valAx>
        <c:axId val="1529953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9937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 LA UNIDAD POR MES</a:t>
            </a:r>
          </a:p>
          <a:p>
            <a:pPr>
              <a:defRPr sz="1400"/>
            </a:pPr>
            <a:r>
              <a:rPr lang="en-US" sz="1200"/>
              <a:t>AÑO MODELO DE MOTOR ENTRE 1998 Y 2003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[(% SOBRE EL TOTAL DE RESPUESTAS PARA AÑO MOTOR ENTRE 1998 Y 2003 (100% = 108)]</a:t>
            </a:r>
          </a:p>
        </c:rich>
      </c:tx>
      <c:layout>
        <c:manualLayout>
          <c:xMode val="edge"/>
          <c:yMode val="edge"/>
          <c:x val="0.17075630804365416"/>
          <c:y val="2.0025028657865814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FEB'!$EH$40</c:f>
              <c:strCache>
                <c:ptCount val="1"/>
                <c:pt idx="0">
                  <c:v>KILÓMETROS QUE RECORRE LA UNIDAD POR MES AÑO MODELO DE MOTOR ENTRE 1998 Y 2003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FEB'!$EH$41:$EH$46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FEB'!$EI$41:$EI$46</c:f>
              <c:numCache>
                <c:formatCode>0.0%</c:formatCode>
                <c:ptCount val="6"/>
                <c:pt idx="0">
                  <c:v>8.3333333333333329E-2</c:v>
                </c:pt>
                <c:pt idx="1">
                  <c:v>0.19444444444444445</c:v>
                </c:pt>
                <c:pt idx="2">
                  <c:v>0.20370370370370369</c:v>
                </c:pt>
                <c:pt idx="3">
                  <c:v>0.34259259259259262</c:v>
                </c:pt>
                <c:pt idx="4">
                  <c:v>8.3333333333333329E-2</c:v>
                </c:pt>
                <c:pt idx="5">
                  <c:v>9.2592592592592587E-2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012864"/>
        <c:axId val="153104768"/>
        <c:axId val="0"/>
      </c:bar3DChart>
      <c:catAx>
        <c:axId val="153012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104768"/>
        <c:crosses val="autoZero"/>
        <c:auto val="1"/>
        <c:lblAlgn val="ctr"/>
        <c:lblOffset val="100"/>
        <c:noMultiLvlLbl val="0"/>
      </c:catAx>
      <c:valAx>
        <c:axId val="1531047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0128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400"/>
              <a:t>KILÓMETROS QUE RECORRE POR MES</a:t>
            </a:r>
          </a:p>
          <a:p>
            <a:pPr>
              <a:defRPr sz="1100"/>
            </a:pPr>
            <a:r>
              <a:rPr lang="en-US" sz="1100"/>
              <a:t>RANGO - PORCENTAJE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FORMULAS!$J$38</c:f>
              <c:strCache>
                <c:ptCount val="1"/>
                <c:pt idx="0">
                  <c:v>KILÓMETROS QUE RECORRE POR MES</c:v>
                </c:pt>
              </c:strCache>
            </c:strRef>
          </c:tx>
          <c:explosion val="25"/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9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</c:dPt>
          <c:dPt>
            <c:idx val="1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800" b="1" i="0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9.1679268568251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800" b="1" i="0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5.31908014809407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7513391385834852E-3"/>
                  <c:y val="5.52886849408729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800" b="1" i="0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800" b="1" i="0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spPr/>
              <c:txPr>
                <a:bodyPr/>
                <a:lstStyle/>
                <a:p>
                  <a:pPr>
                    <a:defRPr sz="800" b="1" i="0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2580080288753733E-2"/>
                  <c:y val="-0.1161407473072489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FORMULAS!$J$39:$J$53</c:f>
              <c:strCache>
                <c:ptCount val="15"/>
                <c:pt idx="0">
                  <c:v>&lt;2500</c:v>
                </c:pt>
                <c:pt idx="1">
                  <c:v>2501 A 3000</c:v>
                </c:pt>
                <c:pt idx="2">
                  <c:v>3001 A 3500</c:v>
                </c:pt>
                <c:pt idx="3">
                  <c:v>3501 A 4000</c:v>
                </c:pt>
                <c:pt idx="4">
                  <c:v>4001 A 4500</c:v>
                </c:pt>
                <c:pt idx="5">
                  <c:v>4501 A 5000</c:v>
                </c:pt>
                <c:pt idx="6">
                  <c:v>5001 A 6000</c:v>
                </c:pt>
                <c:pt idx="7">
                  <c:v>6001 A 7000</c:v>
                </c:pt>
                <c:pt idx="8">
                  <c:v>7001 A 8000</c:v>
                </c:pt>
                <c:pt idx="9">
                  <c:v>8001 A 9000</c:v>
                </c:pt>
                <c:pt idx="10">
                  <c:v>9001 A 10000</c:v>
                </c:pt>
                <c:pt idx="11">
                  <c:v>10001 A 11000</c:v>
                </c:pt>
                <c:pt idx="12">
                  <c:v>11001 A 12000</c:v>
                </c:pt>
                <c:pt idx="13">
                  <c:v>12001 A 15000</c:v>
                </c:pt>
                <c:pt idx="14">
                  <c:v>&gt;15000</c:v>
                </c:pt>
              </c:strCache>
            </c:strRef>
          </c:cat>
          <c:val>
            <c:numRef>
              <c:f>FORMULAS!$K$39:$K$53</c:f>
              <c:numCache>
                <c:formatCode>0.0%</c:formatCode>
                <c:ptCount val="15"/>
                <c:pt idx="0">
                  <c:v>0.10154525386313466</c:v>
                </c:pt>
                <c:pt idx="1">
                  <c:v>4.6357615894039736E-2</c:v>
                </c:pt>
                <c:pt idx="2">
                  <c:v>1.9867549668874173E-2</c:v>
                </c:pt>
                <c:pt idx="3">
                  <c:v>6.6225165562913912E-2</c:v>
                </c:pt>
                <c:pt idx="4">
                  <c:v>1.3245033112582781E-2</c:v>
                </c:pt>
                <c:pt idx="5">
                  <c:v>6.4017660044150104E-2</c:v>
                </c:pt>
                <c:pt idx="6">
                  <c:v>8.6092715231788075E-2</c:v>
                </c:pt>
                <c:pt idx="7">
                  <c:v>6.6225165562913912E-2</c:v>
                </c:pt>
                <c:pt idx="8">
                  <c:v>0.141280353200883</c:v>
                </c:pt>
                <c:pt idx="9">
                  <c:v>7.9470198675496692E-2</c:v>
                </c:pt>
                <c:pt idx="10">
                  <c:v>0.1545253863134658</c:v>
                </c:pt>
                <c:pt idx="11">
                  <c:v>8.8300220750551876E-3</c:v>
                </c:pt>
                <c:pt idx="12">
                  <c:v>5.0772626931567331E-2</c:v>
                </c:pt>
                <c:pt idx="13">
                  <c:v>4.6357615894039736E-2</c:v>
                </c:pt>
                <c:pt idx="14">
                  <c:v>5.518763796909492E-2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 LA UNIDAD POR MES</a:t>
            </a:r>
          </a:p>
          <a:p>
            <a:pPr>
              <a:defRPr sz="1400"/>
            </a:pPr>
            <a:r>
              <a:rPr lang="en-US" sz="1200"/>
              <a:t>AÑO MODELO DE MOTOR ENTRE 2004 Y 2006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AÑO MOTOR ENTRE 2004 Y 2006 (100% = 84)]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FEB'!$ER$13</c:f>
              <c:strCache>
                <c:ptCount val="1"/>
                <c:pt idx="0">
                  <c:v>KILÓMETROS QUE RECORRE LA UNIDAD POR MES AÑO MODELO DE MOTOR ENTRE 2004 Y 2006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FEB'!$ER$14:$ER$19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FEB'!$ES$14:$ES$19</c:f>
              <c:numCache>
                <c:formatCode>0.0%</c:formatCode>
                <c:ptCount val="6"/>
                <c:pt idx="0">
                  <c:v>3.5714285714285712E-2</c:v>
                </c:pt>
                <c:pt idx="1">
                  <c:v>0.13095238095238096</c:v>
                </c:pt>
                <c:pt idx="2">
                  <c:v>8.3333333333333329E-2</c:v>
                </c:pt>
                <c:pt idx="3">
                  <c:v>0.58333333333333337</c:v>
                </c:pt>
                <c:pt idx="4">
                  <c:v>9.5238095238095233E-2</c:v>
                </c:pt>
                <c:pt idx="5">
                  <c:v>7.1428571428571425E-2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134592"/>
        <c:axId val="153136128"/>
        <c:axId val="0"/>
      </c:bar3DChart>
      <c:catAx>
        <c:axId val="153134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136128"/>
        <c:crosses val="autoZero"/>
        <c:auto val="1"/>
        <c:lblAlgn val="ctr"/>
        <c:lblOffset val="100"/>
        <c:noMultiLvlLbl val="0"/>
      </c:catAx>
      <c:valAx>
        <c:axId val="1531361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31345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 LA UNIDAD POR MES</a:t>
            </a:r>
          </a:p>
          <a:p>
            <a:pPr>
              <a:defRPr sz="1400"/>
            </a:pPr>
            <a:r>
              <a:rPr lang="en-US" sz="1200"/>
              <a:t>AÑO MODELO DE MOTOR ENTRE 2007 Y 2010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AÑO MOTOR ENTRE 2007 Y 2010 (100% = 109)]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FEB'!$ER$22</c:f>
              <c:strCache>
                <c:ptCount val="1"/>
                <c:pt idx="0">
                  <c:v>KILÓMETROS QUE RECORRE LA UNIDAD POR MES AÑO MODELO DE MOTOR ENTRE 2007 Y 2010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FEB'!$ER$23:$ER$28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FEB'!$ES$23:$ES$28</c:f>
              <c:numCache>
                <c:formatCode>0.0%</c:formatCode>
                <c:ptCount val="6"/>
                <c:pt idx="0">
                  <c:v>7.3394495412844041E-2</c:v>
                </c:pt>
                <c:pt idx="1">
                  <c:v>0.22935779816513763</c:v>
                </c:pt>
                <c:pt idx="2">
                  <c:v>8.2568807339449546E-2</c:v>
                </c:pt>
                <c:pt idx="3">
                  <c:v>0.41284403669724773</c:v>
                </c:pt>
                <c:pt idx="4">
                  <c:v>0.10091743119266056</c:v>
                </c:pt>
                <c:pt idx="5">
                  <c:v>0.10091743119266056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292992"/>
        <c:axId val="154294528"/>
        <c:axId val="0"/>
      </c:bar3DChart>
      <c:catAx>
        <c:axId val="154292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294528"/>
        <c:crosses val="autoZero"/>
        <c:auto val="1"/>
        <c:lblAlgn val="ctr"/>
        <c:lblOffset val="100"/>
        <c:noMultiLvlLbl val="0"/>
      </c:catAx>
      <c:valAx>
        <c:axId val="154294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2929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 LA UNIDAD POR MES</a:t>
            </a:r>
          </a:p>
          <a:p>
            <a:pPr>
              <a:defRPr sz="1400"/>
            </a:pPr>
            <a:r>
              <a:rPr lang="en-US" sz="1200"/>
              <a:t>AÑO MODELO DE MOTOR 2011 EN ADELANTE</a:t>
            </a:r>
          </a:p>
          <a:p>
            <a:pPr>
              <a:defRPr sz="1400"/>
            </a:pPr>
            <a:r>
              <a:rPr lang="en-US" sz="1000"/>
              <a:t>ENCUESTAS A CONDUCTORES</a:t>
            </a:r>
          </a:p>
          <a:p>
            <a:pPr>
              <a:defRPr sz="1400"/>
            </a:pPr>
            <a:r>
              <a:rPr lang="en-US" sz="800"/>
              <a:t>[(% SOBRE EL TOTAL DE RESPUESTAS PARA AÑO MOTOR 2011 EN ADELANTE (100% =</a:t>
            </a:r>
            <a:r>
              <a:rPr lang="en-US" sz="800" baseline="0"/>
              <a:t> 44)]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FEB'!$ER$31</c:f>
              <c:strCache>
                <c:ptCount val="1"/>
                <c:pt idx="0">
                  <c:v>KILÓMETROS QUE RECORRE LA UNIDAD POR MES AÑO MODELO DE MOTOR 2011 EN ADELANTE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FEB'!$ER$32:$ER$37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FEB'!$ES$32:$ES$37</c:f>
              <c:numCache>
                <c:formatCode>0.0%</c:formatCode>
                <c:ptCount val="6"/>
                <c:pt idx="0">
                  <c:v>0.18181818181818182</c:v>
                </c:pt>
                <c:pt idx="1">
                  <c:v>0.13636363636363635</c:v>
                </c:pt>
                <c:pt idx="2">
                  <c:v>0.11363636363636363</c:v>
                </c:pt>
                <c:pt idx="3">
                  <c:v>0.25</c:v>
                </c:pt>
                <c:pt idx="4">
                  <c:v>0</c:v>
                </c:pt>
                <c:pt idx="5">
                  <c:v>0.31818181818181818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316160"/>
        <c:axId val="154322048"/>
        <c:axId val="0"/>
      </c:bar3DChart>
      <c:catAx>
        <c:axId val="154316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322048"/>
        <c:crosses val="autoZero"/>
        <c:auto val="1"/>
        <c:lblAlgn val="ctr"/>
        <c:lblOffset val="100"/>
        <c:noMultiLvlLbl val="0"/>
      </c:catAx>
      <c:valAx>
        <c:axId val="154322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3161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PORCENTAJE QUE RECORRE DE VACÍO SEGÚN TAMAÑO DE LA FLOTA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A PORCENTAJE QUE RECORRE DE VACÍO (100% = 453)]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FEB'!$EZ$5</c:f>
              <c:strCache>
                <c:ptCount val="1"/>
                <c:pt idx="0">
                  <c:v>50%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FEB'!$FA$4:$FD$4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FEB'!$FA$5:$FD$5</c:f>
              <c:numCache>
                <c:formatCode>0.0%</c:formatCode>
                <c:ptCount val="4"/>
                <c:pt idx="0">
                  <c:v>6.4017660044150104E-2</c:v>
                </c:pt>
                <c:pt idx="1">
                  <c:v>0.11699779249448124</c:v>
                </c:pt>
                <c:pt idx="2">
                  <c:v>0.27152317880794702</c:v>
                </c:pt>
                <c:pt idx="3">
                  <c:v>0.14569536423841059</c:v>
                </c:pt>
              </c:numCache>
            </c:numRef>
          </c:val>
        </c:ser>
        <c:ser>
          <c:idx val="1"/>
          <c:order val="1"/>
          <c:tx>
            <c:strRef>
              <c:f>'FORMULAS FEB'!$EZ$6</c:f>
              <c:strCache>
                <c:ptCount val="1"/>
                <c:pt idx="0">
                  <c:v>40%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FEB'!$FA$4:$FD$4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FEB'!$FA$6:$FD$6</c:f>
              <c:numCache>
                <c:formatCode>0.0%</c:formatCode>
                <c:ptCount val="4"/>
                <c:pt idx="0">
                  <c:v>0</c:v>
                </c:pt>
                <c:pt idx="1">
                  <c:v>4.4150110375275938E-3</c:v>
                </c:pt>
                <c:pt idx="2">
                  <c:v>2.2075055187637969E-3</c:v>
                </c:pt>
                <c:pt idx="3">
                  <c:v>4.4150110375275938E-3</c:v>
                </c:pt>
              </c:numCache>
            </c:numRef>
          </c:val>
        </c:ser>
        <c:ser>
          <c:idx val="2"/>
          <c:order val="2"/>
          <c:tx>
            <c:strRef>
              <c:f>'FORMULAS FEB'!$EZ$7</c:f>
              <c:strCache>
                <c:ptCount val="1"/>
                <c:pt idx="0">
                  <c:v>30%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FEB'!$FA$4:$FD$4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FEB'!$FA$7:$FD$7</c:f>
              <c:numCache>
                <c:formatCode>0.0%</c:formatCode>
                <c:ptCount val="4"/>
                <c:pt idx="0">
                  <c:v>8.8300220750551876E-3</c:v>
                </c:pt>
                <c:pt idx="1">
                  <c:v>1.1037527593818985E-2</c:v>
                </c:pt>
                <c:pt idx="2">
                  <c:v>2.4282560706401765E-2</c:v>
                </c:pt>
                <c:pt idx="3">
                  <c:v>2.4282560706401765E-2</c:v>
                </c:pt>
              </c:numCache>
            </c:numRef>
          </c:val>
        </c:ser>
        <c:ser>
          <c:idx val="3"/>
          <c:order val="3"/>
          <c:tx>
            <c:strRef>
              <c:f>'FORMULAS FEB'!$EZ$8</c:f>
              <c:strCache>
                <c:ptCount val="1"/>
                <c:pt idx="0">
                  <c:v>25%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FEB'!$FA$4:$FD$4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FEB'!$FA$8:$FD$8</c:f>
              <c:numCache>
                <c:formatCode>0.0%</c:formatCode>
                <c:ptCount val="4"/>
                <c:pt idx="0">
                  <c:v>2.2075055187637969E-3</c:v>
                </c:pt>
                <c:pt idx="1">
                  <c:v>2.2075055187637969E-3</c:v>
                </c:pt>
                <c:pt idx="2">
                  <c:v>4.4150110375275938E-3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'FORMULAS FEB'!$EZ$9</c:f>
              <c:strCache>
                <c:ptCount val="1"/>
                <c:pt idx="0">
                  <c:v>20%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FEB'!$FA$4:$FD$4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FEB'!$FA$9:$FD$9</c:f>
              <c:numCache>
                <c:formatCode>0.0%</c:formatCode>
                <c:ptCount val="4"/>
                <c:pt idx="0">
                  <c:v>1.1037527593818985E-2</c:v>
                </c:pt>
                <c:pt idx="1">
                  <c:v>1.5452538631346579E-2</c:v>
                </c:pt>
                <c:pt idx="2">
                  <c:v>3.0905077262693158E-2</c:v>
                </c:pt>
                <c:pt idx="3">
                  <c:v>1.9867549668874173E-2</c:v>
                </c:pt>
              </c:numCache>
            </c:numRef>
          </c:val>
        </c:ser>
        <c:ser>
          <c:idx val="5"/>
          <c:order val="5"/>
          <c:tx>
            <c:strRef>
              <c:f>'FORMULAS FEB'!$EZ$10</c:f>
              <c:strCache>
                <c:ptCount val="1"/>
                <c:pt idx="0">
                  <c:v>15%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FEB'!$FA$4:$FD$4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FEB'!$FA$10:$FD$10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2.2075055187637969E-3</c:v>
                </c:pt>
                <c:pt idx="3">
                  <c:v>2.2075055187637969E-3</c:v>
                </c:pt>
              </c:numCache>
            </c:numRef>
          </c:val>
        </c:ser>
        <c:ser>
          <c:idx val="6"/>
          <c:order val="6"/>
          <c:tx>
            <c:strRef>
              <c:f>'FORMULAS FEB'!$EZ$11</c:f>
              <c:strCache>
                <c:ptCount val="1"/>
                <c:pt idx="0">
                  <c:v>10%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FEB'!$FA$4:$FD$4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FEB'!$FA$11:$FD$11</c:f>
              <c:numCache>
                <c:formatCode>0.0%</c:formatCode>
                <c:ptCount val="4"/>
                <c:pt idx="0">
                  <c:v>4.194260485651214E-2</c:v>
                </c:pt>
                <c:pt idx="1">
                  <c:v>2.2075055187637971E-2</c:v>
                </c:pt>
                <c:pt idx="2">
                  <c:v>3.3112582781456956E-2</c:v>
                </c:pt>
                <c:pt idx="3">
                  <c:v>4.194260485651214E-2</c:v>
                </c:pt>
              </c:numCache>
            </c:numRef>
          </c:val>
        </c:ser>
        <c:ser>
          <c:idx val="7"/>
          <c:order val="7"/>
          <c:tx>
            <c:strRef>
              <c:f>'FORMULAS FEB'!$EZ$12</c:f>
              <c:strCache>
                <c:ptCount val="1"/>
                <c:pt idx="0">
                  <c:v>5%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FEB'!$FA$4:$FD$4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FEB'!$FA$12:$FD$12</c:f>
              <c:numCache>
                <c:formatCode>0.0%</c:formatCode>
                <c:ptCount val="4"/>
                <c:pt idx="0">
                  <c:v>1.1037527593818985E-2</c:v>
                </c:pt>
                <c:pt idx="1">
                  <c:v>4.4150110375275938E-3</c:v>
                </c:pt>
                <c:pt idx="2">
                  <c:v>1.5452538631346579E-2</c:v>
                </c:pt>
                <c:pt idx="3">
                  <c:v>1.3245033112582781E-2</c:v>
                </c:pt>
              </c:numCache>
            </c:numRef>
          </c:val>
        </c:ser>
        <c:ser>
          <c:idx val="8"/>
          <c:order val="8"/>
          <c:tx>
            <c:strRef>
              <c:f>'FORMULAS FEB'!$EZ$13</c:f>
              <c:strCache>
                <c:ptCount val="1"/>
                <c:pt idx="0">
                  <c:v>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FEB'!$FA$4:$FD$4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FEB'!$FA$13:$FD$13</c:f>
              <c:numCache>
                <c:formatCode>0.0%</c:formatCode>
                <c:ptCount val="4"/>
                <c:pt idx="0">
                  <c:v>6.6225165562913907E-3</c:v>
                </c:pt>
                <c:pt idx="1">
                  <c:v>2.2075055187637969E-3</c:v>
                </c:pt>
                <c:pt idx="2">
                  <c:v>1.7660044150110375E-2</c:v>
                </c:pt>
                <c:pt idx="3">
                  <c:v>2.2075055187637971E-2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370048"/>
        <c:axId val="154371584"/>
        <c:axId val="0"/>
      </c:bar3DChart>
      <c:catAx>
        <c:axId val="1543700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371584"/>
        <c:crosses val="autoZero"/>
        <c:auto val="1"/>
        <c:lblAlgn val="ctr"/>
        <c:lblOffset val="100"/>
        <c:noMultiLvlLbl val="0"/>
      </c:catAx>
      <c:valAx>
        <c:axId val="15437158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370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 DE VACÍO. </a:t>
            </a:r>
          </a:p>
          <a:p>
            <a:pPr>
              <a:defRPr sz="1400"/>
            </a:pPr>
            <a:r>
              <a:rPr lang="en-US" sz="1200"/>
              <a:t>PROPIETARIOS CON UNA UNIDAD</a:t>
            </a:r>
            <a:endParaRPr lang="en-US" sz="1400"/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PORCENTAJE QUE RECORRE DE VACÍO (100% = 66)]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FEB'!$EZ$17</c:f>
              <c:strCache>
                <c:ptCount val="1"/>
                <c:pt idx="0">
                  <c:v>PORCENTAJE QUE RECORRE DE VACÍO. PROPIETARIOS 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FEB'!$EZ$19:$EZ$27</c:f>
              <c:strCache>
                <c:ptCount val="9"/>
                <c:pt idx="0">
                  <c:v>50% DE VACÍO</c:v>
                </c:pt>
                <c:pt idx="1">
                  <c:v>40% DE VACÍO</c:v>
                </c:pt>
                <c:pt idx="2">
                  <c:v>30% DE VACÍO</c:v>
                </c:pt>
                <c:pt idx="3">
                  <c:v>25% DE VACÍO</c:v>
                </c:pt>
                <c:pt idx="4">
                  <c:v>20% DE VACÍO</c:v>
                </c:pt>
                <c:pt idx="5">
                  <c:v>15% DE VACÍO</c:v>
                </c:pt>
                <c:pt idx="6">
                  <c:v>10% DE VACÍO</c:v>
                </c:pt>
                <c:pt idx="7">
                  <c:v>5% DE VACÍO</c:v>
                </c:pt>
                <c:pt idx="8">
                  <c:v>0% DE VACÍO</c:v>
                </c:pt>
              </c:strCache>
            </c:strRef>
          </c:cat>
          <c:val>
            <c:numRef>
              <c:f>'FORMULAS FEB'!$FA$19:$FA$27</c:f>
              <c:numCache>
                <c:formatCode>0.0%</c:formatCode>
                <c:ptCount val="9"/>
                <c:pt idx="0">
                  <c:v>0.43939393939393939</c:v>
                </c:pt>
                <c:pt idx="1">
                  <c:v>0</c:v>
                </c:pt>
                <c:pt idx="2">
                  <c:v>6.0606060606060608E-2</c:v>
                </c:pt>
                <c:pt idx="3">
                  <c:v>1.5151515151515152E-2</c:v>
                </c:pt>
                <c:pt idx="4">
                  <c:v>7.575757575757576E-2</c:v>
                </c:pt>
                <c:pt idx="5">
                  <c:v>0</c:v>
                </c:pt>
                <c:pt idx="6">
                  <c:v>0.2878787878787879</c:v>
                </c:pt>
                <c:pt idx="7">
                  <c:v>7.575757575757576E-2</c:v>
                </c:pt>
                <c:pt idx="8">
                  <c:v>4.5454545454545456E-2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393600"/>
        <c:axId val="154010368"/>
        <c:axId val="0"/>
      </c:bar3DChart>
      <c:catAx>
        <c:axId val="154393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010368"/>
        <c:crosses val="autoZero"/>
        <c:auto val="1"/>
        <c:lblAlgn val="ctr"/>
        <c:lblOffset val="100"/>
        <c:noMultiLvlLbl val="0"/>
      </c:catAx>
      <c:valAx>
        <c:axId val="1540103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39360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 DE VACÍO.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PORCENTAJE QUE RECORRE DE VACÍO (100% = 81)]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FEB'!$EZ$30</c:f>
              <c:strCache>
                <c:ptCount val="1"/>
                <c:pt idx="0">
                  <c:v>PORCENTAJE QUE RECORRE DE VACÍO. PROPIETARIOS CON 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FEB'!$EZ$32:$EZ$40</c:f>
              <c:strCache>
                <c:ptCount val="9"/>
                <c:pt idx="0">
                  <c:v>50% DE VACÍO</c:v>
                </c:pt>
                <c:pt idx="1">
                  <c:v>40% DE VACÍO</c:v>
                </c:pt>
                <c:pt idx="2">
                  <c:v>30% DE VACÍO</c:v>
                </c:pt>
                <c:pt idx="3">
                  <c:v>25% DE VACÍO</c:v>
                </c:pt>
                <c:pt idx="4">
                  <c:v>20% DE VACÍO</c:v>
                </c:pt>
                <c:pt idx="5">
                  <c:v>15% DE VACÍO</c:v>
                </c:pt>
                <c:pt idx="6">
                  <c:v>10% DE VACÍO</c:v>
                </c:pt>
                <c:pt idx="7">
                  <c:v>5% DE VACÍO</c:v>
                </c:pt>
                <c:pt idx="8">
                  <c:v>0% DE VACÍO</c:v>
                </c:pt>
              </c:strCache>
            </c:strRef>
          </c:cat>
          <c:val>
            <c:numRef>
              <c:f>'FORMULAS FEB'!$FA$32:$FA$40</c:f>
              <c:numCache>
                <c:formatCode>0.0%</c:formatCode>
                <c:ptCount val="9"/>
                <c:pt idx="0">
                  <c:v>0.65432098765432101</c:v>
                </c:pt>
                <c:pt idx="1">
                  <c:v>2.4691358024691357E-2</c:v>
                </c:pt>
                <c:pt idx="2">
                  <c:v>6.1728395061728392E-2</c:v>
                </c:pt>
                <c:pt idx="3">
                  <c:v>1.2345679012345678E-2</c:v>
                </c:pt>
                <c:pt idx="4">
                  <c:v>8.6419753086419748E-2</c:v>
                </c:pt>
                <c:pt idx="5">
                  <c:v>0</c:v>
                </c:pt>
                <c:pt idx="6">
                  <c:v>0.12345679012345678</c:v>
                </c:pt>
                <c:pt idx="7">
                  <c:v>2.4691358024691357E-2</c:v>
                </c:pt>
                <c:pt idx="8">
                  <c:v>1.2345679012345678E-2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027520"/>
        <c:axId val="154029056"/>
        <c:axId val="0"/>
      </c:bar3DChart>
      <c:catAx>
        <c:axId val="154027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029056"/>
        <c:crosses val="autoZero"/>
        <c:auto val="1"/>
        <c:lblAlgn val="ctr"/>
        <c:lblOffset val="100"/>
        <c:noMultiLvlLbl val="0"/>
      </c:catAx>
      <c:valAx>
        <c:axId val="1540290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0275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 DE VACÍO.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PORCENTAJE QUE RECORRE DE VACÍO (100% = 182)]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FEB'!$EZ$43</c:f>
              <c:strCache>
                <c:ptCount val="1"/>
                <c:pt idx="0">
                  <c:v>PORCENTAJE QUE RECORRE DE VACÍO. PROPIETARIOS CON 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FEB'!$EZ$45:$EZ$53</c:f>
              <c:strCache>
                <c:ptCount val="9"/>
                <c:pt idx="0">
                  <c:v>50% DE VACÍO</c:v>
                </c:pt>
                <c:pt idx="1">
                  <c:v>40% DE VACÍO</c:v>
                </c:pt>
                <c:pt idx="2">
                  <c:v>30% DE VACÍO</c:v>
                </c:pt>
                <c:pt idx="3">
                  <c:v>25% DE VACÍO</c:v>
                </c:pt>
                <c:pt idx="4">
                  <c:v>20% DE VACÍO</c:v>
                </c:pt>
                <c:pt idx="5">
                  <c:v>15% DE VACÍO</c:v>
                </c:pt>
                <c:pt idx="6">
                  <c:v>10% DE VACÍO</c:v>
                </c:pt>
                <c:pt idx="7">
                  <c:v>5% DE VACÍO</c:v>
                </c:pt>
                <c:pt idx="8">
                  <c:v>0% DE VACÍO</c:v>
                </c:pt>
              </c:strCache>
            </c:strRef>
          </c:cat>
          <c:val>
            <c:numRef>
              <c:f>'FORMULAS FEB'!$FA$45:$FA$53</c:f>
              <c:numCache>
                <c:formatCode>0.0%</c:formatCode>
                <c:ptCount val="9"/>
                <c:pt idx="0">
                  <c:v>0.67582417582417587</c:v>
                </c:pt>
                <c:pt idx="1">
                  <c:v>5.4945054945054949E-3</c:v>
                </c:pt>
                <c:pt idx="2">
                  <c:v>6.043956043956044E-2</c:v>
                </c:pt>
                <c:pt idx="3">
                  <c:v>1.098901098901099E-2</c:v>
                </c:pt>
                <c:pt idx="4">
                  <c:v>7.6923076923076927E-2</c:v>
                </c:pt>
                <c:pt idx="5">
                  <c:v>5.4945054945054949E-3</c:v>
                </c:pt>
                <c:pt idx="6">
                  <c:v>8.2417582417582416E-2</c:v>
                </c:pt>
                <c:pt idx="7">
                  <c:v>3.8461538461538464E-2</c:v>
                </c:pt>
                <c:pt idx="8">
                  <c:v>4.3956043956043959E-2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062848"/>
        <c:axId val="154064384"/>
        <c:axId val="0"/>
      </c:bar3DChart>
      <c:catAx>
        <c:axId val="154062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064384"/>
        <c:crosses val="autoZero"/>
        <c:auto val="1"/>
        <c:lblAlgn val="ctr"/>
        <c:lblOffset val="100"/>
        <c:noMultiLvlLbl val="0"/>
      </c:catAx>
      <c:valAx>
        <c:axId val="1540643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06284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 DE VACÍO.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PORCENTAJE QUE RECORRE DE VACÍO (100% = 124)]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FEB'!$EZ$56</c:f>
              <c:strCache>
                <c:ptCount val="1"/>
                <c:pt idx="0">
                  <c:v>PORCENTAJE QUE RECORRE DE VACÍO. PROPIETARIOS CON 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FEB'!$EZ$58:$EZ$66</c:f>
              <c:strCache>
                <c:ptCount val="9"/>
                <c:pt idx="0">
                  <c:v>50% DE VACÍO</c:v>
                </c:pt>
                <c:pt idx="1">
                  <c:v>40% DE VACÍO</c:v>
                </c:pt>
                <c:pt idx="2">
                  <c:v>30% DE VACÍO</c:v>
                </c:pt>
                <c:pt idx="3">
                  <c:v>25% DE VACÍO</c:v>
                </c:pt>
                <c:pt idx="4">
                  <c:v>20% DE VACÍO</c:v>
                </c:pt>
                <c:pt idx="5">
                  <c:v>15% DE VACÍO</c:v>
                </c:pt>
                <c:pt idx="6">
                  <c:v>10% DE VACÍO</c:v>
                </c:pt>
                <c:pt idx="7">
                  <c:v>5% DE VACÍO</c:v>
                </c:pt>
                <c:pt idx="8">
                  <c:v>0% DE VACÍO</c:v>
                </c:pt>
              </c:strCache>
            </c:strRef>
          </c:cat>
          <c:val>
            <c:numRef>
              <c:f>'FORMULAS FEB'!$FA$58:$FA$66</c:f>
              <c:numCache>
                <c:formatCode>0.0%</c:formatCode>
                <c:ptCount val="9"/>
                <c:pt idx="0">
                  <c:v>0.532258064516129</c:v>
                </c:pt>
                <c:pt idx="1">
                  <c:v>1.6129032258064516E-2</c:v>
                </c:pt>
                <c:pt idx="2">
                  <c:v>8.8709677419354843E-2</c:v>
                </c:pt>
                <c:pt idx="3">
                  <c:v>0</c:v>
                </c:pt>
                <c:pt idx="4">
                  <c:v>7.2580645161290328E-2</c:v>
                </c:pt>
                <c:pt idx="5">
                  <c:v>8.0645161290322578E-3</c:v>
                </c:pt>
                <c:pt idx="6">
                  <c:v>0.15322580645161291</c:v>
                </c:pt>
                <c:pt idx="7">
                  <c:v>4.8387096774193547E-2</c:v>
                </c:pt>
                <c:pt idx="8">
                  <c:v>8.0645161290322578E-2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081536"/>
        <c:axId val="154120192"/>
        <c:axId val="0"/>
      </c:bar3DChart>
      <c:catAx>
        <c:axId val="154081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120192"/>
        <c:crosses val="autoZero"/>
        <c:auto val="1"/>
        <c:lblAlgn val="ctr"/>
        <c:lblOffset val="100"/>
        <c:noMultiLvlLbl val="0"/>
      </c:catAx>
      <c:valAx>
        <c:axId val="1541201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0815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KILÓMETROS RECORRIDOS SEGÚN AÑO MODELO DE LA UNIDAD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 RECIBIDAS PARA KILÓMETROS RECORRIDOS POR LA UNIDAD (100% = 395)]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FEB'!$DQ$4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FEB'!$DP$5:$DP$11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FEB'!$DQ$5:$DQ$11</c:f>
              <c:numCache>
                <c:formatCode>0.0%</c:formatCode>
                <c:ptCount val="7"/>
                <c:pt idx="0">
                  <c:v>0</c:v>
                </c:pt>
                <c:pt idx="1">
                  <c:v>5.0632911392405064E-3</c:v>
                </c:pt>
                <c:pt idx="2">
                  <c:v>3.5443037974683546E-2</c:v>
                </c:pt>
                <c:pt idx="3">
                  <c:v>3.5443037974683546E-2</c:v>
                </c:pt>
                <c:pt idx="4">
                  <c:v>2.7848101265822784E-2</c:v>
                </c:pt>
                <c:pt idx="5">
                  <c:v>1.7721518987341773E-2</c:v>
                </c:pt>
                <c:pt idx="6">
                  <c:v>5.0632911392405064E-3</c:v>
                </c:pt>
              </c:numCache>
            </c:numRef>
          </c:val>
        </c:ser>
        <c:ser>
          <c:idx val="1"/>
          <c:order val="1"/>
          <c:tx>
            <c:strRef>
              <c:f>'FORMULAS FEB'!$DR$4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FEB'!$DP$5:$DP$11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FEB'!$DR$5:$DR$11</c:f>
              <c:numCache>
                <c:formatCode>0.0%</c:formatCode>
                <c:ptCount val="7"/>
                <c:pt idx="0">
                  <c:v>0</c:v>
                </c:pt>
                <c:pt idx="1">
                  <c:v>2.5316455696202532E-3</c:v>
                </c:pt>
                <c:pt idx="2">
                  <c:v>5.0632911392405064E-3</c:v>
                </c:pt>
                <c:pt idx="3">
                  <c:v>1.0126582278481013E-2</c:v>
                </c:pt>
                <c:pt idx="4">
                  <c:v>2.5316455696202532E-3</c:v>
                </c:pt>
                <c:pt idx="5">
                  <c:v>2.5316455696202532E-3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FEB'!$DS$4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FEB'!$DP$5:$DP$11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FEB'!$DS$5:$DS$11</c:f>
              <c:numCache>
                <c:formatCode>0.0%</c:formatCode>
                <c:ptCount val="7"/>
                <c:pt idx="0">
                  <c:v>2.5316455696202532E-3</c:v>
                </c:pt>
                <c:pt idx="1">
                  <c:v>0</c:v>
                </c:pt>
                <c:pt idx="2">
                  <c:v>3.2911392405063293E-2</c:v>
                </c:pt>
                <c:pt idx="3">
                  <c:v>1.0126582278481013E-2</c:v>
                </c:pt>
                <c:pt idx="4">
                  <c:v>1.0126582278481013E-2</c:v>
                </c:pt>
                <c:pt idx="5">
                  <c:v>2.5316455696202532E-3</c:v>
                </c:pt>
                <c:pt idx="6">
                  <c:v>5.0632911392405064E-3</c:v>
                </c:pt>
              </c:numCache>
            </c:numRef>
          </c:val>
        </c:ser>
        <c:ser>
          <c:idx val="3"/>
          <c:order val="3"/>
          <c:tx>
            <c:strRef>
              <c:f>'FORMULAS FEB'!$DT$4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FEB'!$DP$5:$DP$11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FEB'!$DT$5:$DT$11</c:f>
              <c:numCache>
                <c:formatCode>0.0%</c:formatCode>
                <c:ptCount val="7"/>
                <c:pt idx="0">
                  <c:v>0</c:v>
                </c:pt>
                <c:pt idx="1">
                  <c:v>7.5949367088607592E-3</c:v>
                </c:pt>
                <c:pt idx="2">
                  <c:v>0.12911392405063291</c:v>
                </c:pt>
                <c:pt idx="3">
                  <c:v>2.7848101265822784E-2</c:v>
                </c:pt>
                <c:pt idx="4">
                  <c:v>2.7848101265822784E-2</c:v>
                </c:pt>
                <c:pt idx="5">
                  <c:v>7.5949367088607592E-3</c:v>
                </c:pt>
                <c:pt idx="6">
                  <c:v>5.0632911392405064E-3</c:v>
                </c:pt>
              </c:numCache>
            </c:numRef>
          </c:val>
        </c:ser>
        <c:ser>
          <c:idx val="4"/>
          <c:order val="4"/>
          <c:tx>
            <c:strRef>
              <c:f>'FORMULAS FEB'!$DU$4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FEB'!$DP$5:$DP$11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FEB'!$DU$5:$DU$11</c:f>
              <c:numCache>
                <c:formatCode>0.0%</c:formatCode>
                <c:ptCount val="7"/>
                <c:pt idx="0">
                  <c:v>0</c:v>
                </c:pt>
                <c:pt idx="1">
                  <c:v>2.7848101265822784E-2</c:v>
                </c:pt>
                <c:pt idx="2">
                  <c:v>0.1569620253164557</c:v>
                </c:pt>
                <c:pt idx="3">
                  <c:v>1.7721518987341773E-2</c:v>
                </c:pt>
                <c:pt idx="4">
                  <c:v>2.5316455696202532E-3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5"/>
          <c:order val="5"/>
          <c:tx>
            <c:strRef>
              <c:f>'FORMULAS FEB'!$DV$4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FEB'!$DP$5:$DP$11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FEB'!$DV$5:$DV$11</c:f>
              <c:numCache>
                <c:formatCode>0.0%</c:formatCode>
                <c:ptCount val="7"/>
                <c:pt idx="0">
                  <c:v>3.5443037974683546E-2</c:v>
                </c:pt>
                <c:pt idx="1">
                  <c:v>8.3544303797468356E-2</c:v>
                </c:pt>
                <c:pt idx="2">
                  <c:v>0.13670886075949368</c:v>
                </c:pt>
                <c:pt idx="3">
                  <c:v>7.5949367088607592E-3</c:v>
                </c:pt>
                <c:pt idx="4">
                  <c:v>5.0632911392405064E-3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'FORMULAS FEB'!$DW$4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FEB'!$DP$5:$DP$11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FEB'!$DW$5:$DW$11</c:f>
              <c:numCache>
                <c:formatCode>0.0%</c:formatCode>
                <c:ptCount val="7"/>
                <c:pt idx="0">
                  <c:v>6.3291139240506333E-2</c:v>
                </c:pt>
                <c:pt idx="1">
                  <c:v>4.3037974683544304E-2</c:v>
                </c:pt>
                <c:pt idx="2">
                  <c:v>2.5316455696202532E-3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714112"/>
        <c:axId val="154715648"/>
        <c:axId val="0"/>
      </c:bar3DChart>
      <c:catAx>
        <c:axId val="154714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715648"/>
        <c:crosses val="autoZero"/>
        <c:auto val="1"/>
        <c:lblAlgn val="ctr"/>
        <c:lblOffset val="100"/>
        <c:noMultiLvlLbl val="0"/>
      </c:catAx>
      <c:valAx>
        <c:axId val="15471564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7141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KILÓMETROS RECORRIDOS POR TAMAÑO DE LA FLOTA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PARA KILÓMETROS RECORRIDOS POR LA UNIDAD (100% = 395)]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FEB'!$DQ$39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FEB'!$DP$40:$DP$46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FEB'!$DQ$40:$DQ$46</c:f>
              <c:numCache>
                <c:formatCode>0.0%</c:formatCode>
                <c:ptCount val="7"/>
                <c:pt idx="0">
                  <c:v>1.2658227848101266E-2</c:v>
                </c:pt>
                <c:pt idx="1">
                  <c:v>2.0253164556962026E-2</c:v>
                </c:pt>
                <c:pt idx="2">
                  <c:v>6.0759493670886074E-2</c:v>
                </c:pt>
                <c:pt idx="3">
                  <c:v>1.2658227848101266E-2</c:v>
                </c:pt>
                <c:pt idx="4">
                  <c:v>1.5189873417721518E-2</c:v>
                </c:pt>
                <c:pt idx="5">
                  <c:v>5.0632911392405064E-3</c:v>
                </c:pt>
                <c:pt idx="6">
                  <c:v>5.0632911392405064E-3</c:v>
                </c:pt>
              </c:numCache>
            </c:numRef>
          </c:val>
        </c:ser>
        <c:ser>
          <c:idx val="1"/>
          <c:order val="1"/>
          <c:tx>
            <c:strRef>
              <c:f>'FORMULAS FEB'!$DR$39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FEB'!$DP$40:$DP$46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FEB'!$DR$40:$DR$46</c:f>
              <c:numCache>
                <c:formatCode>0.0%</c:formatCode>
                <c:ptCount val="7"/>
                <c:pt idx="0">
                  <c:v>2.2784810126582278E-2</c:v>
                </c:pt>
                <c:pt idx="1">
                  <c:v>2.0253164556962026E-2</c:v>
                </c:pt>
                <c:pt idx="2">
                  <c:v>9.1139240506329114E-2</c:v>
                </c:pt>
                <c:pt idx="3">
                  <c:v>1.5189873417721518E-2</c:v>
                </c:pt>
                <c:pt idx="4">
                  <c:v>1.0126582278481013E-2</c:v>
                </c:pt>
                <c:pt idx="5">
                  <c:v>1.2658227848101266E-2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FEB'!$DS$39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FEB'!$DP$40:$DP$46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FEB'!$DS$40:$DS$46</c:f>
              <c:numCache>
                <c:formatCode>0.0%</c:formatCode>
                <c:ptCount val="7"/>
                <c:pt idx="0">
                  <c:v>2.7848101265822784E-2</c:v>
                </c:pt>
                <c:pt idx="1">
                  <c:v>6.8354430379746839E-2</c:v>
                </c:pt>
                <c:pt idx="2">
                  <c:v>0.22025316455696203</c:v>
                </c:pt>
                <c:pt idx="3">
                  <c:v>4.3037974683544304E-2</c:v>
                </c:pt>
                <c:pt idx="4">
                  <c:v>2.7848101265822784E-2</c:v>
                </c:pt>
                <c:pt idx="5">
                  <c:v>7.5949367088607592E-3</c:v>
                </c:pt>
                <c:pt idx="6">
                  <c:v>1.0126582278481013E-2</c:v>
                </c:pt>
              </c:numCache>
            </c:numRef>
          </c:val>
        </c:ser>
        <c:ser>
          <c:idx val="3"/>
          <c:order val="3"/>
          <c:tx>
            <c:strRef>
              <c:f>'FORMULAS FEB'!$DT$39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FEB'!$DP$40:$DP$46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FEB'!$DT$40:$DT$46</c:f>
              <c:numCache>
                <c:formatCode>0.0%</c:formatCode>
                <c:ptCount val="7"/>
                <c:pt idx="0">
                  <c:v>3.7974683544303799E-2</c:v>
                </c:pt>
                <c:pt idx="1">
                  <c:v>6.0759493670886074E-2</c:v>
                </c:pt>
                <c:pt idx="2">
                  <c:v>0.12658227848101267</c:v>
                </c:pt>
                <c:pt idx="3">
                  <c:v>3.7974683544303799E-2</c:v>
                </c:pt>
                <c:pt idx="4">
                  <c:v>2.2784810126582278E-2</c:v>
                </c:pt>
                <c:pt idx="5">
                  <c:v>5.0632911392405064E-3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757760"/>
        <c:axId val="154780032"/>
        <c:axId val="0"/>
      </c:bar3DChart>
      <c:catAx>
        <c:axId val="154757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780032"/>
        <c:crosses val="autoZero"/>
        <c:auto val="1"/>
        <c:lblAlgn val="ctr"/>
        <c:lblOffset val="100"/>
        <c:noMultiLvlLbl val="0"/>
      </c:catAx>
      <c:valAx>
        <c:axId val="1547800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757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/>
              <a:t>PORCENTAJE QUE RECORRE DE VACÍO</a:t>
            </a:r>
          </a:p>
          <a:p>
            <a:pPr>
              <a:defRPr sz="1200"/>
            </a:pPr>
            <a:r>
              <a:rPr lang="es-MX" sz="1100"/>
              <a:t>ENCUESTA A CONDUCTORES</a:t>
            </a:r>
          </a:p>
          <a:p>
            <a:pPr>
              <a:defRPr sz="1200"/>
            </a:pPr>
            <a:r>
              <a:rPr lang="es-MX" sz="800"/>
              <a:t>[TOTAL</a:t>
            </a:r>
            <a:r>
              <a:rPr lang="es-MX" sz="800" baseline="0"/>
              <a:t> DE RESPUESTOS OBTENIDAS = 453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FORMULAS!$J$56</c:f>
              <c:strCache>
                <c:ptCount val="1"/>
                <c:pt idx="0">
                  <c:v>PORCENTAJE QUE RECORRE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latin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FORMULAS!$J$57:$J$65</c:f>
              <c:numCache>
                <c:formatCode>0%</c:formatCode>
                <c:ptCount val="9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  <c:pt idx="3">
                  <c:v>0.25</c:v>
                </c:pt>
                <c:pt idx="4">
                  <c:v>0.2</c:v>
                </c:pt>
                <c:pt idx="5">
                  <c:v>0.15</c:v>
                </c:pt>
                <c:pt idx="6">
                  <c:v>0.1</c:v>
                </c:pt>
                <c:pt idx="7">
                  <c:v>0.05</c:v>
                </c:pt>
                <c:pt idx="8">
                  <c:v>0</c:v>
                </c:pt>
              </c:numCache>
            </c:numRef>
          </c:cat>
          <c:val>
            <c:numRef>
              <c:f>FORMULAS!$K$57:$K$65</c:f>
              <c:numCache>
                <c:formatCode>General</c:formatCode>
                <c:ptCount val="9"/>
                <c:pt idx="0">
                  <c:v>271</c:v>
                </c:pt>
                <c:pt idx="1">
                  <c:v>5</c:v>
                </c:pt>
                <c:pt idx="2">
                  <c:v>31</c:v>
                </c:pt>
                <c:pt idx="3">
                  <c:v>4</c:v>
                </c:pt>
                <c:pt idx="4">
                  <c:v>35</c:v>
                </c:pt>
                <c:pt idx="5">
                  <c:v>2</c:v>
                </c:pt>
                <c:pt idx="6">
                  <c:v>63</c:v>
                </c:pt>
                <c:pt idx="7">
                  <c:v>20</c:v>
                </c:pt>
                <c:pt idx="8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246208"/>
        <c:axId val="117256192"/>
        <c:axId val="0"/>
      </c:bar3DChart>
      <c:catAx>
        <c:axId val="117246208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latin typeface="Arial" panose="020B0604020202020204" pitchFamily="34" charset="0"/>
              </a:defRPr>
            </a:pPr>
            <a:endParaRPr lang="es-MX"/>
          </a:p>
        </c:txPr>
        <c:crossAx val="117256192"/>
        <c:crosses val="autoZero"/>
        <c:auto val="1"/>
        <c:lblAlgn val="ctr"/>
        <c:lblOffset val="100"/>
        <c:noMultiLvlLbl val="0"/>
      </c:catAx>
      <c:valAx>
        <c:axId val="117256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latin typeface="Arial" panose="020B0604020202020204" pitchFamily="34" charset="0"/>
              </a:defRPr>
            </a:pPr>
            <a:endParaRPr lang="es-MX"/>
          </a:p>
        </c:txPr>
        <c:crossAx val="1172462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PROPIETARIOS CON UNA UNIDAD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PROPIETARIOS CON UNA UNIDAD (100% = 52)]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FEB'!$DP$50</c:f>
              <c:strCache>
                <c:ptCount val="1"/>
                <c:pt idx="0">
                  <c:v>KILÓMETROS RECORRIDOS. PROPIETARIOS 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FEB'!$DP$52:$DP$58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FEB'!$DQ$52:$DQ$58</c:f>
              <c:numCache>
                <c:formatCode>0.0%</c:formatCode>
                <c:ptCount val="7"/>
                <c:pt idx="0">
                  <c:v>9.6153846153846159E-2</c:v>
                </c:pt>
                <c:pt idx="1">
                  <c:v>0.15384615384615385</c:v>
                </c:pt>
                <c:pt idx="2">
                  <c:v>0.46153846153846156</c:v>
                </c:pt>
                <c:pt idx="3">
                  <c:v>9.6153846153846159E-2</c:v>
                </c:pt>
                <c:pt idx="4">
                  <c:v>0.11538461538461539</c:v>
                </c:pt>
                <c:pt idx="5">
                  <c:v>3.8461538461538464E-2</c:v>
                </c:pt>
                <c:pt idx="6">
                  <c:v>3.8461538461538464E-2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801664"/>
        <c:axId val="154803200"/>
        <c:axId val="0"/>
      </c:bar3DChart>
      <c:catAx>
        <c:axId val="154801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803200"/>
        <c:crosses val="autoZero"/>
        <c:auto val="1"/>
        <c:lblAlgn val="ctr"/>
        <c:lblOffset val="100"/>
        <c:noMultiLvlLbl val="0"/>
      </c:catAx>
      <c:valAx>
        <c:axId val="1548032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8016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PROPIETARIOS CON DOS UNIDADES (100% = 68)]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FEB'!$DP$62</c:f>
              <c:strCache>
                <c:ptCount val="1"/>
                <c:pt idx="0">
                  <c:v>KILÓMETROS RECORRIDOS. PROPIETARIOS CON 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FEB'!$DP$64:$DP$70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FEB'!$DQ$64:$DQ$70</c:f>
              <c:numCache>
                <c:formatCode>0.0%</c:formatCode>
                <c:ptCount val="7"/>
                <c:pt idx="0">
                  <c:v>0.13235294117647059</c:v>
                </c:pt>
                <c:pt idx="1">
                  <c:v>0.11764705882352941</c:v>
                </c:pt>
                <c:pt idx="2">
                  <c:v>0.52941176470588236</c:v>
                </c:pt>
                <c:pt idx="3">
                  <c:v>8.8235294117647065E-2</c:v>
                </c:pt>
                <c:pt idx="4">
                  <c:v>5.8823529411764705E-2</c:v>
                </c:pt>
                <c:pt idx="5">
                  <c:v>7.3529411764705885E-2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861568"/>
        <c:axId val="154863104"/>
        <c:axId val="0"/>
      </c:bar3DChart>
      <c:catAx>
        <c:axId val="154861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863104"/>
        <c:crosses val="autoZero"/>
        <c:auto val="1"/>
        <c:lblAlgn val="ctr"/>
        <c:lblOffset val="100"/>
        <c:noMultiLvlLbl val="0"/>
      </c:catAx>
      <c:valAx>
        <c:axId val="154863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86156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PROPIETARIOS CON TRES A CINCO UNIDADES (100% = 160)]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FEB'!$DP$74</c:f>
              <c:strCache>
                <c:ptCount val="1"/>
                <c:pt idx="0">
                  <c:v>KILÓMETROS RECORRIDOS. PROPIETARIOS CON 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FEB'!$DP$76:$DP$82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FEB'!$DQ$76:$DQ$82</c:f>
              <c:numCache>
                <c:formatCode>0.0%</c:formatCode>
                <c:ptCount val="7"/>
                <c:pt idx="0">
                  <c:v>6.8750000000000006E-2</c:v>
                </c:pt>
                <c:pt idx="1">
                  <c:v>0.16875000000000001</c:v>
                </c:pt>
                <c:pt idx="2">
                  <c:v>0.54374999999999996</c:v>
                </c:pt>
                <c:pt idx="3">
                  <c:v>0.10625</c:v>
                </c:pt>
                <c:pt idx="4">
                  <c:v>6.8750000000000006E-2</c:v>
                </c:pt>
                <c:pt idx="5">
                  <c:v>1.8749999999999999E-2</c:v>
                </c:pt>
                <c:pt idx="6">
                  <c:v>2.5000000000000001E-2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884736"/>
        <c:axId val="154894720"/>
        <c:axId val="0"/>
      </c:bar3DChart>
      <c:catAx>
        <c:axId val="154884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894720"/>
        <c:crosses val="autoZero"/>
        <c:auto val="1"/>
        <c:lblAlgn val="ctr"/>
        <c:lblOffset val="100"/>
        <c:noMultiLvlLbl val="0"/>
      </c:catAx>
      <c:valAx>
        <c:axId val="1548947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8847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RECORRIDOS. 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PROPIETARIOS CON SEIS A TREINTA UNIDADES (100%</a:t>
            </a:r>
            <a:r>
              <a:rPr lang="en-US" sz="800" baseline="0"/>
              <a:t> = 115)]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3220472440945048E-2"/>
          <c:y val="0.25429772636752324"/>
          <c:w val="0.89177952755905565"/>
          <c:h val="0.62744084551533164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'FORMULAS FEB'!$DP$86</c:f>
              <c:strCache>
                <c:ptCount val="1"/>
                <c:pt idx="0">
                  <c:v>KILÓMETROS RECORRIDOS. PROPIETARIOS CON 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FEB'!$DP$88:$DP$94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FEB'!$DQ$88:$DQ$94</c:f>
              <c:numCache>
                <c:formatCode>0.0%</c:formatCode>
                <c:ptCount val="7"/>
                <c:pt idx="0">
                  <c:v>0.13043478260869565</c:v>
                </c:pt>
                <c:pt idx="1">
                  <c:v>0.20869565217391303</c:v>
                </c:pt>
                <c:pt idx="2">
                  <c:v>0.43478260869565216</c:v>
                </c:pt>
                <c:pt idx="3">
                  <c:v>0.13043478260869565</c:v>
                </c:pt>
                <c:pt idx="4">
                  <c:v>7.8260869565217397E-2</c:v>
                </c:pt>
                <c:pt idx="5">
                  <c:v>1.7391304347826087E-2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924544"/>
        <c:axId val="154926080"/>
        <c:axId val="0"/>
      </c:bar3DChart>
      <c:catAx>
        <c:axId val="154924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926080"/>
        <c:crosses val="autoZero"/>
        <c:auto val="1"/>
        <c:lblAlgn val="ctr"/>
        <c:lblOffset val="100"/>
        <c:noMultiLvlLbl val="0"/>
      </c:catAx>
      <c:valAx>
        <c:axId val="1549260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92454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KILOMETROS RECORRIDOS SEGÚN AÑO MODELO DE LA UNIDAD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'FORMULAS FEB'!$DP$98</c:f>
              <c:strCache>
                <c:ptCount val="1"/>
                <c:pt idx="0">
                  <c:v>KILOMETROS RECORRIDOS SEGÚN AÑO MODELO DE LA UNIDAD</c:v>
                </c:pt>
              </c:strCache>
            </c:strRef>
          </c:tx>
          <c:marker>
            <c:symbol val="none"/>
          </c:marker>
          <c:dLbls>
            <c:txPr>
              <a:bodyPr rot="-5400000" vert="horz"/>
              <a:lstStyle/>
              <a:p>
                <a:pPr>
                  <a:defRPr sz="8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FEB'!$DP$104:$DP$138</c:f>
              <c:strCache>
                <c:ptCount val="35"/>
                <c:pt idx="0">
                  <c:v>1980 Y ANTERIORES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'FORMULAS FEB'!$DQ$104:$DQ$138</c:f>
              <c:numCache>
                <c:formatCode>#,##0</c:formatCode>
                <c:ptCount val="35"/>
                <c:pt idx="0">
                  <c:v>1922721</c:v>
                </c:pt>
                <c:pt idx="1">
                  <c:v>2275000</c:v>
                </c:pt>
                <c:pt idx="2">
                  <c:v>1465206.6666666667</c:v>
                </c:pt>
                <c:pt idx="3">
                  <c:v>1550000</c:v>
                </c:pt>
                <c:pt idx="4">
                  <c:v>1723333.3333333333</c:v>
                </c:pt>
                <c:pt idx="5">
                  <c:v>2850000</c:v>
                </c:pt>
                <c:pt idx="6">
                  <c:v>1358325</c:v>
                </c:pt>
                <c:pt idx="7">
                  <c:v>1200000</c:v>
                </c:pt>
                <c:pt idx="8">
                  <c:v>1062500</c:v>
                </c:pt>
                <c:pt idx="9">
                  <c:v>1083206.75</c:v>
                </c:pt>
                <c:pt idx="10">
                  <c:v>973139.4444444445</c:v>
                </c:pt>
                <c:pt idx="11">
                  <c:v>850000</c:v>
                </c:pt>
                <c:pt idx="12">
                  <c:v>1345881</c:v>
                </c:pt>
                <c:pt idx="13">
                  <c:v>1150000</c:v>
                </c:pt>
                <c:pt idx="14">
                  <c:v>1716625</c:v>
                </c:pt>
                <c:pt idx="15">
                  <c:v>978219.77777777775</c:v>
                </c:pt>
                <c:pt idx="16">
                  <c:v>1177139.3999999999</c:v>
                </c:pt>
                <c:pt idx="17">
                  <c:v>1010120</c:v>
                </c:pt>
                <c:pt idx="18">
                  <c:v>1133969.8999999999</c:v>
                </c:pt>
                <c:pt idx="19">
                  <c:v>948304.5</c:v>
                </c:pt>
                <c:pt idx="20">
                  <c:v>1519909.105263158</c:v>
                </c:pt>
                <c:pt idx="21">
                  <c:v>1445457.357142857</c:v>
                </c:pt>
                <c:pt idx="22">
                  <c:v>1093066.2</c:v>
                </c:pt>
                <c:pt idx="23">
                  <c:v>909996.5</c:v>
                </c:pt>
                <c:pt idx="24">
                  <c:v>746491.15384615387</c:v>
                </c:pt>
                <c:pt idx="25">
                  <c:v>835972.51724137936</c:v>
                </c:pt>
                <c:pt idx="26">
                  <c:v>668997.66666666663</c:v>
                </c:pt>
                <c:pt idx="27">
                  <c:v>719876.60606060608</c:v>
                </c:pt>
                <c:pt idx="28">
                  <c:v>507637.38709677418</c:v>
                </c:pt>
                <c:pt idx="29">
                  <c:v>443347.76190476189</c:v>
                </c:pt>
                <c:pt idx="30">
                  <c:v>414892.28571428574</c:v>
                </c:pt>
                <c:pt idx="31">
                  <c:v>249489.33333333334</c:v>
                </c:pt>
                <c:pt idx="32">
                  <c:v>259200</c:v>
                </c:pt>
                <c:pt idx="33">
                  <c:v>187177.77777777778</c:v>
                </c:pt>
                <c:pt idx="34">
                  <c:v>19700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76256"/>
        <c:axId val="154977792"/>
      </c:lineChart>
      <c:catAx>
        <c:axId val="154976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 b="1" i="0" baseline="0"/>
            </a:pPr>
            <a:endParaRPr lang="es-MX"/>
          </a:p>
        </c:txPr>
        <c:crossAx val="154977792"/>
        <c:crosses val="autoZero"/>
        <c:auto val="1"/>
        <c:lblAlgn val="ctr"/>
        <c:lblOffset val="100"/>
        <c:noMultiLvlLbl val="0"/>
      </c:catAx>
      <c:valAx>
        <c:axId val="1549777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976256"/>
        <c:crosses val="autoZero"/>
        <c:crossBetween val="between"/>
      </c:valAx>
      <c:spPr>
        <a:solidFill>
          <a:schemeClr val="accent3">
            <a:lumMod val="20000"/>
            <a:lumOff val="80000"/>
            <a:alpha val="50000"/>
          </a:schemeClr>
        </a:solidFill>
      </c:spPr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QUIÉN FIJA LA RUTA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[TOTAL DE RESPUESTAS A QUIÉN</a:t>
            </a:r>
            <a:r>
              <a:rPr lang="es-MX" sz="800" baseline="0"/>
              <a:t> FIJA LA RUTA = 452]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FEB'!$FL$5</c:f>
              <c:strCache>
                <c:ptCount val="1"/>
                <c:pt idx="0">
                  <c:v>El Conductor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FEB'!$FM$4:$FP$4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FEB'!$FM$5:$FP$5</c:f>
              <c:numCache>
                <c:formatCode>General</c:formatCode>
                <c:ptCount val="4"/>
                <c:pt idx="0">
                  <c:v>2</c:v>
                </c:pt>
                <c:pt idx="1">
                  <c:v>8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tx>
            <c:strRef>
              <c:f>'FORMULAS FEB'!$FL$6</c:f>
              <c:strCache>
                <c:ptCount val="1"/>
                <c:pt idx="0">
                  <c:v>El Dueño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FEB'!$FM$4:$FP$4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FEB'!$FM$6:$FP$6</c:f>
              <c:numCache>
                <c:formatCode>General</c:formatCode>
                <c:ptCount val="4"/>
                <c:pt idx="0">
                  <c:v>56</c:v>
                </c:pt>
                <c:pt idx="1">
                  <c:v>47</c:v>
                </c:pt>
                <c:pt idx="2">
                  <c:v>7</c:v>
                </c:pt>
                <c:pt idx="3">
                  <c:v>121</c:v>
                </c:pt>
              </c:numCache>
            </c:numRef>
          </c:val>
        </c:ser>
        <c:ser>
          <c:idx val="2"/>
          <c:order val="2"/>
          <c:tx>
            <c:strRef>
              <c:f>'FORMULAS FEB'!$FL$7</c:f>
              <c:strCache>
                <c:ptCount val="1"/>
                <c:pt idx="0">
                  <c:v>El Cliente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FEB'!$FM$4:$FP$4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FEB'!$FM$7:$FP$7</c:f>
              <c:numCache>
                <c:formatCode>General</c:formatCode>
                <c:ptCount val="4"/>
                <c:pt idx="0">
                  <c:v>44</c:v>
                </c:pt>
                <c:pt idx="1">
                  <c:v>27</c:v>
                </c:pt>
                <c:pt idx="2">
                  <c:v>5</c:v>
                </c:pt>
                <c:pt idx="3">
                  <c:v>116</c:v>
                </c:pt>
              </c:numCache>
            </c:numRef>
          </c:val>
        </c:ser>
        <c:ser>
          <c:idx val="3"/>
          <c:order val="3"/>
          <c:tx>
            <c:strRef>
              <c:f>'FORMULAS FEB'!$FL$8</c:f>
              <c:strCache>
                <c:ptCount val="1"/>
                <c:pt idx="0">
                  <c:v>Ambos (Conductor y Dueño)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FEB'!$FM$4:$FP$4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FEB'!$FM$8:$FP$8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5084672"/>
        <c:axId val="155086208"/>
        <c:axId val="0"/>
      </c:bar3DChart>
      <c:catAx>
        <c:axId val="1550846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086208"/>
        <c:crosses val="autoZero"/>
        <c:auto val="1"/>
        <c:lblAlgn val="ctr"/>
        <c:lblOffset val="100"/>
        <c:noMultiLvlLbl val="0"/>
      </c:catAx>
      <c:valAx>
        <c:axId val="1550862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084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C2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KILÓMETROS POR MES DE UNIDADES TIPO C2 (100% = 106)]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FEB'!$FT$2</c:f>
              <c:strCache>
                <c:ptCount val="1"/>
                <c:pt idx="0">
                  <c:v>KILÓMETROS QUE RECORREN POR MES UNIDADES TIPO C2 ENCUESTA A 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FEB'!$FT$3:$FT$8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 KM</c:v>
                </c:pt>
              </c:strCache>
            </c:strRef>
          </c:cat>
          <c:val>
            <c:numRef>
              <c:f>'FORMULAS FEB'!$FU$3:$FU$8</c:f>
              <c:numCache>
                <c:formatCode>0.0%</c:formatCode>
                <c:ptCount val="6"/>
                <c:pt idx="0">
                  <c:v>0.23584905660377359</c:v>
                </c:pt>
                <c:pt idx="1">
                  <c:v>0.36792452830188677</c:v>
                </c:pt>
                <c:pt idx="2">
                  <c:v>0.15094339622641509</c:v>
                </c:pt>
                <c:pt idx="3">
                  <c:v>0.10377358490566038</c:v>
                </c:pt>
                <c:pt idx="4">
                  <c:v>1.8867924528301886E-2</c:v>
                </c:pt>
                <c:pt idx="5">
                  <c:v>0.12264150943396226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5128192"/>
        <c:axId val="155129728"/>
        <c:axId val="0"/>
      </c:bar3DChart>
      <c:catAx>
        <c:axId val="155128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1281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KILÓMETROS QUE RECORREN POR MES </a:t>
            </a:r>
          </a:p>
          <a:p>
            <a:pPr>
              <a:defRPr sz="1400"/>
            </a:pPr>
            <a:r>
              <a:rPr lang="es-MX" sz="1200"/>
              <a:t>UNIDADES TIPO C3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</a:t>
            </a:r>
            <a:r>
              <a:rPr lang="es-MX" sz="800" baseline="0"/>
              <a:t> EL TOTAL DE RESPUESTAS A KILÓMETROS POR MES DE UNIDADES TIPO C3 (100% = 84)]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FEB'!$FT$12</c:f>
              <c:strCache>
                <c:ptCount val="1"/>
                <c:pt idx="0">
                  <c:v>KILÓMETROS QUE RECORREN POR MES UNIDADES TIPO C3 ENCUESTA A 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FEB'!$FT$13:$FT$18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  KM</c:v>
                </c:pt>
              </c:strCache>
            </c:strRef>
          </c:cat>
          <c:val>
            <c:numRef>
              <c:f>'FORMULAS FEB'!$FU$13:$FU$18</c:f>
              <c:numCache>
                <c:formatCode>0.0%</c:formatCode>
                <c:ptCount val="6"/>
                <c:pt idx="0">
                  <c:v>7.1428571428571425E-2</c:v>
                </c:pt>
                <c:pt idx="1">
                  <c:v>0.29761904761904762</c:v>
                </c:pt>
                <c:pt idx="2">
                  <c:v>0.26190476190476192</c:v>
                </c:pt>
                <c:pt idx="3">
                  <c:v>0.23809523809523808</c:v>
                </c:pt>
                <c:pt idx="4">
                  <c:v>3.5714285714285712E-2</c:v>
                </c:pt>
                <c:pt idx="5">
                  <c:v>9.5238095238095233E-2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5159168"/>
        <c:axId val="155160960"/>
        <c:axId val="0"/>
      </c:bar3DChart>
      <c:catAx>
        <c:axId val="155159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160960"/>
        <c:crosses val="autoZero"/>
        <c:auto val="1"/>
        <c:lblAlgn val="ctr"/>
        <c:lblOffset val="100"/>
        <c:noMultiLvlLbl val="0"/>
      </c:catAx>
      <c:valAx>
        <c:axId val="1551609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15916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T2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</a:t>
            </a:r>
            <a:r>
              <a:rPr lang="en-US" sz="800" baseline="0"/>
              <a:t> PARA KILÓMETROS POR MES UNIDADES TIPO T2 (100% = 13)]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FEB'!$FT$22</c:f>
              <c:strCache>
                <c:ptCount val="1"/>
                <c:pt idx="0">
                  <c:v>KILÓMETROS QUE RECORREN POR MES UNIDADES TIPO T2 ENCUESTA A 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FEB'!$FT$23:$FT$28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  KM</c:v>
                </c:pt>
              </c:strCache>
            </c:strRef>
          </c:cat>
          <c:val>
            <c:numRef>
              <c:f>'FORMULAS FEB'!$FU$23:$FU$28</c:f>
              <c:numCache>
                <c:formatCode>0.0%</c:formatCode>
                <c:ptCount val="6"/>
                <c:pt idx="0">
                  <c:v>0.15384615384615385</c:v>
                </c:pt>
                <c:pt idx="1">
                  <c:v>0.38461538461538464</c:v>
                </c:pt>
                <c:pt idx="2">
                  <c:v>0.15384615384615385</c:v>
                </c:pt>
                <c:pt idx="3">
                  <c:v>0.15384615384615385</c:v>
                </c:pt>
                <c:pt idx="4">
                  <c:v>7.6923076923076927E-2</c:v>
                </c:pt>
                <c:pt idx="5">
                  <c:v>7.6923076923076927E-2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5202688"/>
        <c:axId val="155204224"/>
        <c:axId val="0"/>
      </c:bar3DChart>
      <c:catAx>
        <c:axId val="155202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204224"/>
        <c:crosses val="autoZero"/>
        <c:auto val="1"/>
        <c:lblAlgn val="ctr"/>
        <c:lblOffset val="100"/>
        <c:noMultiLvlLbl val="0"/>
      </c:catAx>
      <c:valAx>
        <c:axId val="155204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20268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T3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KILÓMETROS</a:t>
            </a:r>
            <a:r>
              <a:rPr lang="en-US" sz="800" baseline="0"/>
              <a:t> POR MES UNIDADES TIPO T3 (100% = 250)]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FEB'!$FT$32</c:f>
              <c:strCache>
                <c:ptCount val="1"/>
                <c:pt idx="0">
                  <c:v>KILÓMETROS QUE RECORREN POR MES UNIDADES TIPO T3 ENCUESTA A 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FEB'!$FT$33:$FT$38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  KM</c:v>
                </c:pt>
              </c:strCache>
            </c:strRef>
          </c:cat>
          <c:val>
            <c:numRef>
              <c:f>'FORMULAS FEB'!$FU$33:$FU$38</c:f>
              <c:numCache>
                <c:formatCode>0.0%</c:formatCode>
                <c:ptCount val="6"/>
                <c:pt idx="0">
                  <c:v>1.6E-2</c:v>
                </c:pt>
                <c:pt idx="1">
                  <c:v>0.14000000000000001</c:v>
                </c:pt>
                <c:pt idx="2">
                  <c:v>0.14799999999999999</c:v>
                </c:pt>
                <c:pt idx="3">
                  <c:v>0.51600000000000001</c:v>
                </c:pt>
                <c:pt idx="4">
                  <c:v>9.1999999999999998E-2</c:v>
                </c:pt>
                <c:pt idx="5">
                  <c:v>8.7999999999999995E-2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5213184"/>
        <c:axId val="155235456"/>
        <c:axId val="0"/>
      </c:bar3DChart>
      <c:catAx>
        <c:axId val="155213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235456"/>
        <c:crosses val="autoZero"/>
        <c:auto val="1"/>
        <c:lblAlgn val="ctr"/>
        <c:lblOffset val="100"/>
        <c:noMultiLvlLbl val="0"/>
      </c:catAx>
      <c:valAx>
        <c:axId val="1552354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2131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es-MX"/>
        </a:p>
      </c:txPr>
    </c:title>
    <c:autoTitleDeleted val="0"/>
    <c:view3D>
      <c:rotX val="30"/>
      <c:rotY val="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FORMULAS!$N$4</c:f>
              <c:strCache>
                <c:ptCount val="1"/>
                <c:pt idx="0">
                  <c:v>TIPO DE PRODUCTOS QUE MUEVE</c:v>
                </c:pt>
              </c:strCache>
            </c:strRef>
          </c:tx>
          <c:explosion val="25"/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Lbls>
            <c:dLbl>
              <c:idx val="0"/>
              <c:layout>
                <c:manualLayout>
                  <c:x val="-8.5823542707425728E-3"/>
                  <c:y val="-0.1513600061897709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800" b="1" i="0" baseline="0">
                      <a:solidFill>
                        <a:schemeClr val="bg1"/>
                      </a:solidFill>
                      <a:latin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4024604569420035E-2"/>
                  <c:y val="4.55714250445971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895672750923712E-2"/>
                  <c:y val="5.0229024070115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800" b="1" i="0" baseline="0">
                      <a:solidFill>
                        <a:schemeClr val="bg1"/>
                      </a:solidFill>
                      <a:latin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2.3413734091674392E-2"/>
                  <c:y val="-0.1436151570997974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4356005147862674"/>
                  <c:y val="-7.57465584033648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4.3262250390933121E-2"/>
                  <c:y val="-4.56304722016419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 i="0" baseline="0">
                    <a:latin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FORMULAS!$N$5:$N$14</c:f>
              <c:strCache>
                <c:ptCount val="10"/>
                <c:pt idx="0">
                  <c:v>Perecederos</c:v>
                </c:pt>
                <c:pt idx="1">
                  <c:v>Alimentos no perecederos</c:v>
                </c:pt>
                <c:pt idx="2">
                  <c:v>Químicos</c:v>
                </c:pt>
                <c:pt idx="3">
                  <c:v>Materiales para construcción</c:v>
                </c:pt>
                <c:pt idx="4">
                  <c:v>Materias primas para producción</c:v>
                </c:pt>
                <c:pt idx="5">
                  <c:v>Granos</c:v>
                </c:pt>
                <c:pt idx="6">
                  <c:v>Materias primas para emsamble</c:v>
                </c:pt>
                <c:pt idx="7">
                  <c:v>Productos refrigerados</c:v>
                </c:pt>
                <c:pt idx="8">
                  <c:v>Materiales peligrosos</c:v>
                </c:pt>
                <c:pt idx="9">
                  <c:v>Otros</c:v>
                </c:pt>
              </c:strCache>
            </c:strRef>
          </c:cat>
          <c:val>
            <c:numRef>
              <c:f>FORMULAS!$O$5:$O$14</c:f>
              <c:numCache>
                <c:formatCode>0.0%</c:formatCode>
                <c:ptCount val="10"/>
                <c:pt idx="0">
                  <c:v>0.12030075187969924</c:v>
                </c:pt>
                <c:pt idx="1">
                  <c:v>0.10827067669172932</c:v>
                </c:pt>
                <c:pt idx="2">
                  <c:v>4.2105263157894736E-2</c:v>
                </c:pt>
                <c:pt idx="3">
                  <c:v>9.4736842105263161E-2</c:v>
                </c:pt>
                <c:pt idx="4">
                  <c:v>0.16691729323308271</c:v>
                </c:pt>
                <c:pt idx="5">
                  <c:v>9.7744360902255634E-2</c:v>
                </c:pt>
                <c:pt idx="6">
                  <c:v>9.7744360902255634E-2</c:v>
                </c:pt>
                <c:pt idx="7">
                  <c:v>3.7593984962406013E-2</c:v>
                </c:pt>
                <c:pt idx="8">
                  <c:v>7.6691729323308269E-2</c:v>
                </c:pt>
                <c:pt idx="9">
                  <c:v>0.15789473684210525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 </a:t>
            </a:r>
          </a:p>
          <a:p>
            <a:pPr>
              <a:defRPr sz="1400"/>
            </a:pPr>
            <a:r>
              <a:rPr lang="en-US" sz="1200"/>
              <a:t>TRANSPORTA MATERIAS PRIMAS PRODUCCIÓN/ENSAMBLE. </a:t>
            </a:r>
          </a:p>
          <a:p>
            <a:pPr>
              <a:defRPr sz="1400"/>
            </a:pPr>
            <a:r>
              <a:rPr lang="en-US" sz="1200"/>
              <a:t>UNIDAD CARGADA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 MATERIAS PRIMAS PARA PRODUCCIÓN / ENSAMBLE</a:t>
            </a:r>
            <a:r>
              <a:rPr lang="en-US" sz="800" baseline="0"/>
              <a:t> </a:t>
            </a:r>
          </a:p>
          <a:p>
            <a:pPr>
              <a:defRPr sz="1400"/>
            </a:pPr>
            <a:r>
              <a:rPr lang="en-US" sz="800" baseline="0"/>
              <a:t>(100% = 171)]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FEB'!$AL$201</c:f>
              <c:strCache>
                <c:ptCount val="1"/>
                <c:pt idx="0">
                  <c:v>RENDIMIENTO DE COMBUSTIBLE  (SOLO DIESEL). TRANSPORTA MATERIAS PRIMAS PARA PRODUCCIÓN/ENSAMBLE.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FEB'!$AM$202:$AT$202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FEB'!$AM$203:$AT$203</c:f>
              <c:numCache>
                <c:formatCode>0.0%</c:formatCode>
                <c:ptCount val="8"/>
                <c:pt idx="0">
                  <c:v>3.5087719298245612E-2</c:v>
                </c:pt>
                <c:pt idx="1">
                  <c:v>8.1871345029239762E-2</c:v>
                </c:pt>
                <c:pt idx="2">
                  <c:v>7.6023391812865493E-2</c:v>
                </c:pt>
                <c:pt idx="3">
                  <c:v>1.1695906432748537E-2</c:v>
                </c:pt>
                <c:pt idx="4">
                  <c:v>0.69590643274853803</c:v>
                </c:pt>
                <c:pt idx="5">
                  <c:v>5.8479532163742687E-2</c:v>
                </c:pt>
                <c:pt idx="6">
                  <c:v>3.5087719298245612E-2</c:v>
                </c:pt>
                <c:pt idx="7">
                  <c:v>5.8479532163742687E-3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4412928"/>
        <c:axId val="154414464"/>
        <c:axId val="0"/>
      </c:bar3DChart>
      <c:catAx>
        <c:axId val="154412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414464"/>
        <c:crosses val="autoZero"/>
        <c:auto val="1"/>
        <c:lblAlgn val="ctr"/>
        <c:lblOffset val="100"/>
        <c:noMultiLvlLbl val="0"/>
      </c:catAx>
      <c:valAx>
        <c:axId val="1544144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41292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 TRANSPORTA </a:t>
            </a:r>
            <a:r>
              <a:rPr lang="en-US" sz="1200"/>
              <a:t>MATERIALES PARA CONSTRUCCIÓN. UNIDAD DE VACÍO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</a:t>
            </a:r>
            <a:r>
              <a:rPr lang="en-US" sz="800" baseline="0"/>
              <a:t> EL TOTAL DE RESPUESTAS A TRANSPORTA MATERIALES PARA CONSTRUCCIÓN ( 100% = 62)] 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FEB'!$BF$197</c:f>
              <c:strCache>
                <c:ptCount val="1"/>
                <c:pt idx="0">
                  <c:v>RENDIMIENTO DE COMBUSTIBLE  (SOLO DIESEL). TRANSPORTA MATERIALES PARA CONSTRUCCIÓN.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FEB'!$BG$198:$BN$198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FEB'!$BG$199:$BN$199</c:f>
              <c:numCache>
                <c:formatCode>0.0%</c:formatCode>
                <c:ptCount val="8"/>
                <c:pt idx="0">
                  <c:v>0</c:v>
                </c:pt>
                <c:pt idx="1">
                  <c:v>8.0645161290322578E-2</c:v>
                </c:pt>
                <c:pt idx="2">
                  <c:v>6.4516129032258063E-2</c:v>
                </c:pt>
                <c:pt idx="3">
                  <c:v>9.6774193548387094E-2</c:v>
                </c:pt>
                <c:pt idx="4">
                  <c:v>0.17741935483870969</c:v>
                </c:pt>
                <c:pt idx="5">
                  <c:v>0.5</c:v>
                </c:pt>
                <c:pt idx="6">
                  <c:v>8.0645161290322578E-2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460160"/>
        <c:axId val="154461696"/>
        <c:axId val="0"/>
      </c:bar3DChart>
      <c:catAx>
        <c:axId val="154460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461696"/>
        <c:crosses val="autoZero"/>
        <c:auto val="1"/>
        <c:lblAlgn val="ctr"/>
        <c:lblOffset val="100"/>
        <c:noMultiLvlLbl val="0"/>
      </c:catAx>
      <c:valAx>
        <c:axId val="1544616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4601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</a:t>
            </a:r>
            <a:r>
              <a:rPr lang="es-MX" sz="1400" baseline="0"/>
              <a:t> DE LAS UNIDADES SEGÚN AÑO MODELO DEL MOTOR</a:t>
            </a:r>
          </a:p>
          <a:p>
            <a:pPr>
              <a:defRPr sz="1400"/>
            </a:pPr>
            <a:r>
              <a:rPr lang="es-MX" sz="1200"/>
              <a:t>FRECUENCIA DE CAMBIO DE ACEITE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297783302513884E-2"/>
          <c:y val="0.28123417135737738"/>
          <c:w val="0.78086338931955868"/>
          <c:h val="0.6362939162584861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FEB'!$GA$4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FEB'!$GB$3:$GH$3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FEB'!$GB$4:$GH$4</c:f>
              <c:numCache>
                <c:formatCode>0.0%</c:formatCode>
                <c:ptCount val="7"/>
                <c:pt idx="0">
                  <c:v>4.2410714285714288E-2</c:v>
                </c:pt>
                <c:pt idx="1">
                  <c:v>3.5714285714285712E-2</c:v>
                </c:pt>
                <c:pt idx="2">
                  <c:v>1.3392857142857142E-2</c:v>
                </c:pt>
                <c:pt idx="3">
                  <c:v>1.3392857142857142E-2</c:v>
                </c:pt>
                <c:pt idx="4">
                  <c:v>1.5625E-2</c:v>
                </c:pt>
                <c:pt idx="5">
                  <c:v>6.6964285714285711E-3</c:v>
                </c:pt>
                <c:pt idx="6">
                  <c:v>6.6964285714285711E-3</c:v>
                </c:pt>
              </c:numCache>
            </c:numRef>
          </c:val>
        </c:ser>
        <c:ser>
          <c:idx val="1"/>
          <c:order val="1"/>
          <c:tx>
            <c:strRef>
              <c:f>'FORMULAS FEB'!$GA$5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FEB'!$GB$3:$GH$3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FEB'!$GB$5:$GH$5</c:f>
              <c:numCache>
                <c:formatCode>0.0%</c:formatCode>
                <c:ptCount val="7"/>
                <c:pt idx="0">
                  <c:v>4.464285714285714E-3</c:v>
                </c:pt>
                <c:pt idx="1">
                  <c:v>6.6964285714285711E-3</c:v>
                </c:pt>
                <c:pt idx="2">
                  <c:v>6.6964285714285711E-3</c:v>
                </c:pt>
                <c:pt idx="3">
                  <c:v>2.232142857142857E-3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FEB'!$GA$6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FEB'!$GB$3:$GH$3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FEB'!$GB$6:$GH$6</c:f>
              <c:numCache>
                <c:formatCode>0.0%</c:formatCode>
                <c:ptCount val="7"/>
                <c:pt idx="0">
                  <c:v>1.7857142857142856E-2</c:v>
                </c:pt>
                <c:pt idx="1">
                  <c:v>2.4553571428571428E-2</c:v>
                </c:pt>
                <c:pt idx="2">
                  <c:v>1.3392857142857142E-2</c:v>
                </c:pt>
                <c:pt idx="3">
                  <c:v>1.3392857142857142E-2</c:v>
                </c:pt>
                <c:pt idx="4">
                  <c:v>1.5625E-2</c:v>
                </c:pt>
                <c:pt idx="5">
                  <c:v>0</c:v>
                </c:pt>
                <c:pt idx="6">
                  <c:v>2.232142857142857E-3</c:v>
                </c:pt>
              </c:numCache>
            </c:numRef>
          </c:val>
        </c:ser>
        <c:ser>
          <c:idx val="3"/>
          <c:order val="3"/>
          <c:tx>
            <c:strRef>
              <c:f>'FORMULAS FEB'!$GA$7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FEB'!$GB$3:$GH$3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FEB'!$GB$7:$GH$7</c:f>
              <c:numCache>
                <c:formatCode>0.0%</c:formatCode>
                <c:ptCount val="7"/>
                <c:pt idx="0">
                  <c:v>4.9107142857142856E-2</c:v>
                </c:pt>
                <c:pt idx="1">
                  <c:v>4.9107142857142856E-2</c:v>
                </c:pt>
                <c:pt idx="2">
                  <c:v>6.9196428571428575E-2</c:v>
                </c:pt>
                <c:pt idx="3">
                  <c:v>4.6875E-2</c:v>
                </c:pt>
                <c:pt idx="4">
                  <c:v>1.5625E-2</c:v>
                </c:pt>
                <c:pt idx="5">
                  <c:v>4.464285714285714E-3</c:v>
                </c:pt>
                <c:pt idx="6">
                  <c:v>2.232142857142857E-3</c:v>
                </c:pt>
              </c:numCache>
            </c:numRef>
          </c:val>
        </c:ser>
        <c:ser>
          <c:idx val="4"/>
          <c:order val="4"/>
          <c:tx>
            <c:strRef>
              <c:f>'FORMULAS FEB'!$GA$8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FEB'!$GB$3:$GH$3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FEB'!$GB$8:$GH$8</c:f>
              <c:numCache>
                <c:formatCode>0.0%</c:formatCode>
                <c:ptCount val="7"/>
                <c:pt idx="0">
                  <c:v>2.0089285714285716E-2</c:v>
                </c:pt>
                <c:pt idx="1">
                  <c:v>2.2321428571428572E-2</c:v>
                </c:pt>
                <c:pt idx="2">
                  <c:v>8.7053571428571425E-2</c:v>
                </c:pt>
                <c:pt idx="3">
                  <c:v>3.7946428571428568E-2</c:v>
                </c:pt>
                <c:pt idx="4">
                  <c:v>1.3392857142857142E-2</c:v>
                </c:pt>
                <c:pt idx="5">
                  <c:v>2.232142857142857E-3</c:v>
                </c:pt>
                <c:pt idx="6">
                  <c:v>4.464285714285714E-3</c:v>
                </c:pt>
              </c:numCache>
            </c:numRef>
          </c:val>
        </c:ser>
        <c:ser>
          <c:idx val="5"/>
          <c:order val="5"/>
          <c:tx>
            <c:strRef>
              <c:f>'FORMULAS FEB'!$GA$9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FEB'!$GB$3:$GH$3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FEB'!$GB$9:$GH$9</c:f>
              <c:numCache>
                <c:formatCode>0.0%</c:formatCode>
                <c:ptCount val="7"/>
                <c:pt idx="0">
                  <c:v>2.6785714285714284E-2</c:v>
                </c:pt>
                <c:pt idx="1">
                  <c:v>6.6964285714285712E-2</c:v>
                </c:pt>
                <c:pt idx="2">
                  <c:v>0.10044642857142858</c:v>
                </c:pt>
                <c:pt idx="3">
                  <c:v>3.5714285714285712E-2</c:v>
                </c:pt>
                <c:pt idx="4">
                  <c:v>4.464285714285714E-3</c:v>
                </c:pt>
                <c:pt idx="5">
                  <c:v>2.232142857142857E-3</c:v>
                </c:pt>
                <c:pt idx="6">
                  <c:v>4.464285714285714E-3</c:v>
                </c:pt>
              </c:numCache>
            </c:numRef>
          </c:val>
        </c:ser>
        <c:ser>
          <c:idx val="6"/>
          <c:order val="6"/>
          <c:tx>
            <c:strRef>
              <c:f>'FORMULAS FEB'!$GA$10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FEB'!$GB$3:$GH$3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FEB'!$GB$10:$GH$10</c:f>
              <c:numCache>
                <c:formatCode>0.0%</c:formatCode>
                <c:ptCount val="7"/>
                <c:pt idx="0">
                  <c:v>1.3392857142857142E-2</c:v>
                </c:pt>
                <c:pt idx="1">
                  <c:v>3.3482142857142856E-2</c:v>
                </c:pt>
                <c:pt idx="2">
                  <c:v>1.7857142857142856E-2</c:v>
                </c:pt>
                <c:pt idx="3">
                  <c:v>1.5625E-2</c:v>
                </c:pt>
                <c:pt idx="4">
                  <c:v>2.232142857142857E-3</c:v>
                </c:pt>
                <c:pt idx="5">
                  <c:v>1.1160714285714286E-2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4543232"/>
        <c:axId val="154544768"/>
        <c:axId val="0"/>
      </c:bar3DChart>
      <c:catAx>
        <c:axId val="1545432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544768"/>
        <c:crosses val="autoZero"/>
        <c:auto val="1"/>
        <c:lblAlgn val="ctr"/>
        <c:lblOffset val="100"/>
        <c:noMultiLvlLbl val="0"/>
      </c:catAx>
      <c:valAx>
        <c:axId val="15454476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4543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AÑO MODELO DE MOTOR </a:t>
            </a:r>
          </a:p>
          <a:p>
            <a:pPr>
              <a:defRPr sz="1400"/>
            </a:pPr>
            <a:r>
              <a:rPr lang="es-MX" sz="1200"/>
              <a:t>FRECUENCIA DE AFINACIÓN DE MOTOR.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607372942018658E-2"/>
          <c:y val="0.28123417135737738"/>
          <c:w val="0.77975662133142465"/>
          <c:h val="0.6092766783110867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FEB'!$GA$16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FEB'!$GB$15:$GH$15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FEB'!$GB$16:$GH$16</c:f>
              <c:numCache>
                <c:formatCode>0.0%</c:formatCode>
                <c:ptCount val="7"/>
                <c:pt idx="0">
                  <c:v>4.608294930875576E-3</c:v>
                </c:pt>
                <c:pt idx="1">
                  <c:v>4.1474654377880185E-2</c:v>
                </c:pt>
                <c:pt idx="2">
                  <c:v>9.2165898617511521E-3</c:v>
                </c:pt>
                <c:pt idx="3">
                  <c:v>1.1520737327188941E-2</c:v>
                </c:pt>
                <c:pt idx="4">
                  <c:v>2.0737327188940093E-2</c:v>
                </c:pt>
                <c:pt idx="5">
                  <c:v>2.3041474654377881E-2</c:v>
                </c:pt>
                <c:pt idx="6">
                  <c:v>1.8433179723502304E-2</c:v>
                </c:pt>
              </c:numCache>
            </c:numRef>
          </c:val>
        </c:ser>
        <c:ser>
          <c:idx val="1"/>
          <c:order val="1"/>
          <c:tx>
            <c:strRef>
              <c:f>'FORMULAS FEB'!$GA$17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FEB'!$GB$15:$GH$15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FEB'!$GB$17:$GH$17</c:f>
              <c:numCache>
                <c:formatCode>0.0%</c:formatCode>
                <c:ptCount val="7"/>
                <c:pt idx="0">
                  <c:v>0</c:v>
                </c:pt>
                <c:pt idx="1">
                  <c:v>2.304147465437788E-3</c:v>
                </c:pt>
                <c:pt idx="2">
                  <c:v>2.304147465437788E-3</c:v>
                </c:pt>
                <c:pt idx="3">
                  <c:v>0</c:v>
                </c:pt>
                <c:pt idx="4">
                  <c:v>4.608294930875576E-3</c:v>
                </c:pt>
                <c:pt idx="5">
                  <c:v>4.608294930875576E-3</c:v>
                </c:pt>
                <c:pt idx="6">
                  <c:v>2.304147465437788E-3</c:v>
                </c:pt>
              </c:numCache>
            </c:numRef>
          </c:val>
        </c:ser>
        <c:ser>
          <c:idx val="2"/>
          <c:order val="2"/>
          <c:tx>
            <c:strRef>
              <c:f>'FORMULAS FEB'!$GA$18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FEB'!$GB$15:$GH$15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FEB'!$GB$18:$GH$18</c:f>
              <c:numCache>
                <c:formatCode>0.0%</c:formatCode>
                <c:ptCount val="7"/>
                <c:pt idx="0">
                  <c:v>6.9124423963133645E-3</c:v>
                </c:pt>
                <c:pt idx="1">
                  <c:v>1.6129032258064516E-2</c:v>
                </c:pt>
                <c:pt idx="2">
                  <c:v>1.1520737327188941E-2</c:v>
                </c:pt>
                <c:pt idx="3">
                  <c:v>1.8433179723502304E-2</c:v>
                </c:pt>
                <c:pt idx="4">
                  <c:v>1.6129032258064516E-2</c:v>
                </c:pt>
                <c:pt idx="5">
                  <c:v>6.9124423963133645E-3</c:v>
                </c:pt>
                <c:pt idx="6">
                  <c:v>6.9124423963133645E-3</c:v>
                </c:pt>
              </c:numCache>
            </c:numRef>
          </c:val>
        </c:ser>
        <c:ser>
          <c:idx val="3"/>
          <c:order val="3"/>
          <c:tx>
            <c:strRef>
              <c:f>'FORMULAS FEB'!$GA$19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FEB'!$GB$15:$GH$15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FEB'!$GB$19:$GH$19</c:f>
              <c:numCache>
                <c:formatCode>0.0%</c:formatCode>
                <c:ptCount val="7"/>
                <c:pt idx="0">
                  <c:v>9.2165898617511521E-3</c:v>
                </c:pt>
                <c:pt idx="1">
                  <c:v>7.3732718894009217E-2</c:v>
                </c:pt>
                <c:pt idx="2">
                  <c:v>3.6866359447004608E-2</c:v>
                </c:pt>
                <c:pt idx="3">
                  <c:v>5.0691244239631339E-2</c:v>
                </c:pt>
                <c:pt idx="4">
                  <c:v>2.7649769585253458E-2</c:v>
                </c:pt>
                <c:pt idx="5">
                  <c:v>1.6129032258064516E-2</c:v>
                </c:pt>
                <c:pt idx="6">
                  <c:v>2.0737327188940093E-2</c:v>
                </c:pt>
              </c:numCache>
            </c:numRef>
          </c:val>
        </c:ser>
        <c:ser>
          <c:idx val="4"/>
          <c:order val="4"/>
          <c:tx>
            <c:strRef>
              <c:f>'FORMULAS FEB'!$GA$20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FEB'!$GB$15:$GH$15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FEB'!$GB$20:$GH$20</c:f>
              <c:numCache>
                <c:formatCode>0.0%</c:formatCode>
                <c:ptCount val="7"/>
                <c:pt idx="0">
                  <c:v>9.2165898617511521E-3</c:v>
                </c:pt>
                <c:pt idx="1">
                  <c:v>2.3041474654377881E-2</c:v>
                </c:pt>
                <c:pt idx="2">
                  <c:v>2.0737327188940093E-2</c:v>
                </c:pt>
                <c:pt idx="3">
                  <c:v>5.5299539170506916E-2</c:v>
                </c:pt>
                <c:pt idx="4">
                  <c:v>2.7649769585253458E-2</c:v>
                </c:pt>
                <c:pt idx="5">
                  <c:v>3.6866359447004608E-2</c:v>
                </c:pt>
                <c:pt idx="6">
                  <c:v>1.8433179723502304E-2</c:v>
                </c:pt>
              </c:numCache>
            </c:numRef>
          </c:val>
        </c:ser>
        <c:ser>
          <c:idx val="5"/>
          <c:order val="5"/>
          <c:tx>
            <c:strRef>
              <c:f>'FORMULAS FEB'!$GA$21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FEB'!$GB$15:$GH$15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FEB'!$GB$21:$GH$21</c:f>
              <c:numCache>
                <c:formatCode>0.0%</c:formatCode>
                <c:ptCount val="7"/>
                <c:pt idx="0">
                  <c:v>9.2165898617511521E-3</c:v>
                </c:pt>
                <c:pt idx="1">
                  <c:v>5.7603686635944701E-2</c:v>
                </c:pt>
                <c:pt idx="2">
                  <c:v>6.9124423963133647E-2</c:v>
                </c:pt>
                <c:pt idx="3">
                  <c:v>5.5299539170506916E-2</c:v>
                </c:pt>
                <c:pt idx="4">
                  <c:v>1.8433179723502304E-2</c:v>
                </c:pt>
                <c:pt idx="5">
                  <c:v>2.7649769585253458E-2</c:v>
                </c:pt>
                <c:pt idx="6">
                  <c:v>1.1520737327188941E-2</c:v>
                </c:pt>
              </c:numCache>
            </c:numRef>
          </c:val>
        </c:ser>
        <c:ser>
          <c:idx val="6"/>
          <c:order val="6"/>
          <c:tx>
            <c:strRef>
              <c:f>'FORMULAS FEB'!$GA$22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FEB'!$GB$15:$GH$15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FEB'!$GB$22:$GH$22</c:f>
              <c:numCache>
                <c:formatCode>0.0%</c:formatCode>
                <c:ptCount val="7"/>
                <c:pt idx="0">
                  <c:v>6.9124423963133645E-3</c:v>
                </c:pt>
                <c:pt idx="1">
                  <c:v>2.5345622119815669E-2</c:v>
                </c:pt>
                <c:pt idx="2">
                  <c:v>2.0737327188940093E-2</c:v>
                </c:pt>
                <c:pt idx="3">
                  <c:v>1.3824884792626729E-2</c:v>
                </c:pt>
                <c:pt idx="4">
                  <c:v>1.3824884792626729E-2</c:v>
                </c:pt>
                <c:pt idx="5">
                  <c:v>1.3824884792626729E-2</c:v>
                </c:pt>
                <c:pt idx="6">
                  <c:v>2.304147465437788E-3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5327488"/>
        <c:axId val="155345664"/>
        <c:axId val="0"/>
      </c:bar3DChart>
      <c:catAx>
        <c:axId val="155327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345664"/>
        <c:crosses val="autoZero"/>
        <c:auto val="1"/>
        <c:lblAlgn val="ctr"/>
        <c:lblOffset val="100"/>
        <c:noMultiLvlLbl val="0"/>
      </c:catAx>
      <c:valAx>
        <c:axId val="15534566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327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AÑO MODELO DE MOTOR</a:t>
            </a:r>
          </a:p>
          <a:p>
            <a:pPr>
              <a:defRPr sz="1400"/>
            </a:pPr>
            <a:r>
              <a:rPr lang="es-MX" sz="1200"/>
              <a:t> FRECUENCIA DE CAMBIO DE FRENOS</a:t>
            </a:r>
            <a:r>
              <a:rPr lang="es-MX" sz="1400"/>
              <a:t>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529686390947816E-2"/>
          <c:y val="0.29603591493305936"/>
          <c:w val="0.78003434699424457"/>
          <c:h val="0.621339762230682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FEB'!$GA$28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FEB'!$GB$27:$GH$27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FEB'!$GB$28:$GH$28</c:f>
              <c:numCache>
                <c:formatCode>0.0%</c:formatCode>
                <c:ptCount val="7"/>
                <c:pt idx="0">
                  <c:v>4.5576407506702415E-2</c:v>
                </c:pt>
                <c:pt idx="1">
                  <c:v>3.4852546916890083E-2</c:v>
                </c:pt>
                <c:pt idx="2">
                  <c:v>0</c:v>
                </c:pt>
                <c:pt idx="3">
                  <c:v>8.0428954423592495E-3</c:v>
                </c:pt>
                <c:pt idx="4">
                  <c:v>8.0428954423592495E-3</c:v>
                </c:pt>
                <c:pt idx="5">
                  <c:v>5.3619302949061663E-3</c:v>
                </c:pt>
                <c:pt idx="6">
                  <c:v>2.1447721179624665E-2</c:v>
                </c:pt>
              </c:numCache>
            </c:numRef>
          </c:val>
        </c:ser>
        <c:ser>
          <c:idx val="1"/>
          <c:order val="1"/>
          <c:tx>
            <c:strRef>
              <c:f>'FORMULAS FEB'!$GA$29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FEB'!$GB$27:$GH$27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FEB'!$GB$29:$GH$29</c:f>
              <c:numCache>
                <c:formatCode>0.0%</c:formatCode>
                <c:ptCount val="7"/>
                <c:pt idx="0">
                  <c:v>8.0428954423592495E-3</c:v>
                </c:pt>
                <c:pt idx="1">
                  <c:v>8.0428954423592495E-3</c:v>
                </c:pt>
                <c:pt idx="2">
                  <c:v>2.6809651474530832E-3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2.6809651474530832E-3</c:v>
                </c:pt>
              </c:numCache>
            </c:numRef>
          </c:val>
        </c:ser>
        <c:ser>
          <c:idx val="2"/>
          <c:order val="2"/>
          <c:tx>
            <c:strRef>
              <c:f>'FORMULAS FEB'!$GA$30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FEB'!$GB$27:$GH$27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FEB'!$GB$30:$GH$30</c:f>
              <c:numCache>
                <c:formatCode>0.0%</c:formatCode>
                <c:ptCount val="7"/>
                <c:pt idx="0">
                  <c:v>1.876675603217158E-2</c:v>
                </c:pt>
                <c:pt idx="1">
                  <c:v>1.6085790884718499E-2</c:v>
                </c:pt>
                <c:pt idx="2">
                  <c:v>1.0723860589812333E-2</c:v>
                </c:pt>
                <c:pt idx="3">
                  <c:v>5.3619302949061663E-3</c:v>
                </c:pt>
                <c:pt idx="4">
                  <c:v>2.6809651474530832E-3</c:v>
                </c:pt>
                <c:pt idx="5">
                  <c:v>0</c:v>
                </c:pt>
                <c:pt idx="6">
                  <c:v>1.0723860589812333E-2</c:v>
                </c:pt>
              </c:numCache>
            </c:numRef>
          </c:val>
        </c:ser>
        <c:ser>
          <c:idx val="3"/>
          <c:order val="3"/>
          <c:tx>
            <c:strRef>
              <c:f>'FORMULAS FEB'!$GA$31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FEB'!$GB$27:$GH$27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FEB'!$GB$31:$GH$31</c:f>
              <c:numCache>
                <c:formatCode>0.0%</c:formatCode>
                <c:ptCount val="7"/>
                <c:pt idx="0">
                  <c:v>3.2171581769436998E-2</c:v>
                </c:pt>
                <c:pt idx="1">
                  <c:v>6.1662198391420911E-2</c:v>
                </c:pt>
                <c:pt idx="2">
                  <c:v>1.6085790884718499E-2</c:v>
                </c:pt>
                <c:pt idx="3">
                  <c:v>1.3404825737265416E-2</c:v>
                </c:pt>
                <c:pt idx="4">
                  <c:v>8.0428954423592495E-3</c:v>
                </c:pt>
                <c:pt idx="5">
                  <c:v>1.0723860589812333E-2</c:v>
                </c:pt>
                <c:pt idx="6">
                  <c:v>8.5790884718498661E-2</c:v>
                </c:pt>
              </c:numCache>
            </c:numRef>
          </c:val>
        </c:ser>
        <c:ser>
          <c:idx val="4"/>
          <c:order val="4"/>
          <c:tx>
            <c:strRef>
              <c:f>'FORMULAS FEB'!$GA$32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FEB'!$GB$27:$GH$27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FEB'!$GB$32:$GH$32</c:f>
              <c:numCache>
                <c:formatCode>0.0%</c:formatCode>
                <c:ptCount val="7"/>
                <c:pt idx="0">
                  <c:v>1.6085790884718499E-2</c:v>
                </c:pt>
                <c:pt idx="1">
                  <c:v>2.4128686327077747E-2</c:v>
                </c:pt>
                <c:pt idx="2">
                  <c:v>5.3619302949061663E-3</c:v>
                </c:pt>
                <c:pt idx="3">
                  <c:v>5.3619302949061663E-3</c:v>
                </c:pt>
                <c:pt idx="4">
                  <c:v>1.0723860589812333E-2</c:v>
                </c:pt>
                <c:pt idx="5">
                  <c:v>2.6809651474530832E-3</c:v>
                </c:pt>
                <c:pt idx="6">
                  <c:v>0.10991957104557641</c:v>
                </c:pt>
              </c:numCache>
            </c:numRef>
          </c:val>
        </c:ser>
        <c:ser>
          <c:idx val="5"/>
          <c:order val="5"/>
          <c:tx>
            <c:strRef>
              <c:f>'FORMULAS FEB'!$GA$33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FEB'!$GB$27:$GH$27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FEB'!$GB$33:$GH$33</c:f>
              <c:numCache>
                <c:formatCode>0.0%</c:formatCode>
                <c:ptCount val="7"/>
                <c:pt idx="0">
                  <c:v>5.0938337801608578E-2</c:v>
                </c:pt>
                <c:pt idx="1">
                  <c:v>3.7533512064343161E-2</c:v>
                </c:pt>
                <c:pt idx="2">
                  <c:v>1.876675603217158E-2</c:v>
                </c:pt>
                <c:pt idx="3">
                  <c:v>1.0723860589812333E-2</c:v>
                </c:pt>
                <c:pt idx="4">
                  <c:v>2.6809651474530832E-3</c:v>
                </c:pt>
                <c:pt idx="5">
                  <c:v>1.0723860589812333E-2</c:v>
                </c:pt>
                <c:pt idx="6">
                  <c:v>0.14745308310991956</c:v>
                </c:pt>
              </c:numCache>
            </c:numRef>
          </c:val>
        </c:ser>
        <c:ser>
          <c:idx val="6"/>
          <c:order val="6"/>
          <c:tx>
            <c:strRef>
              <c:f>'FORMULAS FEB'!$GA$34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FEB'!$GB$27:$GH$27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FEB'!$GB$34:$GH$34</c:f>
              <c:numCache>
                <c:formatCode>0.0%</c:formatCode>
                <c:ptCount val="7"/>
                <c:pt idx="0">
                  <c:v>1.3404825737265416E-2</c:v>
                </c:pt>
                <c:pt idx="1">
                  <c:v>3.2171581769436998E-2</c:v>
                </c:pt>
                <c:pt idx="2">
                  <c:v>2.1447721179624665E-2</c:v>
                </c:pt>
                <c:pt idx="3">
                  <c:v>8.0428954423592495E-3</c:v>
                </c:pt>
                <c:pt idx="4">
                  <c:v>1.0723860589812333E-2</c:v>
                </c:pt>
                <c:pt idx="5">
                  <c:v>1.0723860589812333E-2</c:v>
                </c:pt>
                <c:pt idx="6">
                  <c:v>1.3404825737265416E-2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5673728"/>
        <c:axId val="155675264"/>
        <c:axId val="0"/>
      </c:bar3DChart>
      <c:catAx>
        <c:axId val="1556737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675264"/>
        <c:crosses val="autoZero"/>
        <c:auto val="1"/>
        <c:lblAlgn val="ctr"/>
        <c:lblOffset val="100"/>
        <c:noMultiLvlLbl val="0"/>
      </c:catAx>
      <c:valAx>
        <c:axId val="15567526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673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AÑO MODELO DE MOTOR </a:t>
            </a:r>
          </a:p>
          <a:p>
            <a:pPr>
              <a:defRPr sz="1400"/>
            </a:pPr>
            <a:r>
              <a:rPr lang="es-MX" sz="1200"/>
              <a:t>FRECUENCIA DE CAMBIO DE LLANTAS. </a:t>
            </a:r>
            <a:endParaRPr lang="es-MX" sz="1400"/>
          </a:p>
          <a:p>
            <a:pPr>
              <a:defRPr sz="1400"/>
            </a:pPr>
            <a:r>
              <a:rPr lang="es-MX" sz="1000"/>
              <a:t>ENCUESTA A CONDUCTORES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452180891777973E-2"/>
          <c:y val="0.28681682545807513"/>
          <c:w val="0.78031142540527576"/>
          <c:h val="0.6310144166957699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FEB'!$GA$40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FEB'!$GB$39:$GH$39</c:f>
              <c:strCache>
                <c:ptCount val="7"/>
                <c:pt idx="0">
                  <c:v>&lt; 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FEB'!$GB$40:$GH$40</c:f>
              <c:numCache>
                <c:formatCode>0.0%</c:formatCode>
                <c:ptCount val="7"/>
                <c:pt idx="0">
                  <c:v>5.3763440860215058E-3</c:v>
                </c:pt>
                <c:pt idx="1">
                  <c:v>2.1505376344086023E-2</c:v>
                </c:pt>
                <c:pt idx="2">
                  <c:v>4.5698924731182797E-2</c:v>
                </c:pt>
                <c:pt idx="3">
                  <c:v>5.3763440860215058E-3</c:v>
                </c:pt>
                <c:pt idx="4">
                  <c:v>1.3440860215053764E-2</c:v>
                </c:pt>
                <c:pt idx="5">
                  <c:v>8.0645161290322578E-3</c:v>
                </c:pt>
                <c:pt idx="6">
                  <c:v>1.3440860215053764E-2</c:v>
                </c:pt>
              </c:numCache>
            </c:numRef>
          </c:val>
        </c:ser>
        <c:ser>
          <c:idx val="1"/>
          <c:order val="1"/>
          <c:tx>
            <c:strRef>
              <c:f>'FORMULAS FEB'!$GA$41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FEB'!$GB$39:$GH$39</c:f>
              <c:strCache>
                <c:ptCount val="7"/>
                <c:pt idx="0">
                  <c:v>&lt; 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FEB'!$GB$41:$GH$41</c:f>
              <c:numCache>
                <c:formatCode>0.0%</c:formatCode>
                <c:ptCount val="7"/>
                <c:pt idx="0">
                  <c:v>0</c:v>
                </c:pt>
                <c:pt idx="1">
                  <c:v>2.6881720430107529E-3</c:v>
                </c:pt>
                <c:pt idx="2">
                  <c:v>2.6881720430107529E-3</c:v>
                </c:pt>
                <c:pt idx="3">
                  <c:v>0</c:v>
                </c:pt>
                <c:pt idx="4">
                  <c:v>5.3763440860215058E-3</c:v>
                </c:pt>
                <c:pt idx="5">
                  <c:v>8.0645161290322578E-3</c:v>
                </c:pt>
                <c:pt idx="6">
                  <c:v>2.6881720430107529E-3</c:v>
                </c:pt>
              </c:numCache>
            </c:numRef>
          </c:val>
        </c:ser>
        <c:ser>
          <c:idx val="2"/>
          <c:order val="2"/>
          <c:tx>
            <c:strRef>
              <c:f>'FORMULAS FEB'!$GA$42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FEB'!$GB$39:$GH$39</c:f>
              <c:strCache>
                <c:ptCount val="7"/>
                <c:pt idx="0">
                  <c:v>&lt; 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FEB'!$GB$42:$GH$42</c:f>
              <c:numCache>
                <c:formatCode>0.0%</c:formatCode>
                <c:ptCount val="7"/>
                <c:pt idx="0">
                  <c:v>0</c:v>
                </c:pt>
                <c:pt idx="1">
                  <c:v>1.3440860215053764E-2</c:v>
                </c:pt>
                <c:pt idx="2">
                  <c:v>2.6881720430107527E-2</c:v>
                </c:pt>
                <c:pt idx="3">
                  <c:v>2.6881720430107529E-3</c:v>
                </c:pt>
                <c:pt idx="4">
                  <c:v>8.0645161290322578E-3</c:v>
                </c:pt>
                <c:pt idx="5">
                  <c:v>1.0752688172043012E-2</c:v>
                </c:pt>
                <c:pt idx="6">
                  <c:v>8.0645161290322578E-3</c:v>
                </c:pt>
              </c:numCache>
            </c:numRef>
          </c:val>
        </c:ser>
        <c:ser>
          <c:idx val="3"/>
          <c:order val="3"/>
          <c:tx>
            <c:strRef>
              <c:f>'FORMULAS FEB'!$GA$43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FEB'!$GB$39:$GH$39</c:f>
              <c:strCache>
                <c:ptCount val="7"/>
                <c:pt idx="0">
                  <c:v>&lt; 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FEB'!$GB$43:$GH$43</c:f>
              <c:numCache>
                <c:formatCode>0.0%</c:formatCode>
                <c:ptCount val="7"/>
                <c:pt idx="0">
                  <c:v>1.3440860215053764E-2</c:v>
                </c:pt>
                <c:pt idx="1">
                  <c:v>2.6881720430107527E-2</c:v>
                </c:pt>
                <c:pt idx="2">
                  <c:v>9.1397849462365593E-2</c:v>
                </c:pt>
                <c:pt idx="3">
                  <c:v>2.6881720430107529E-3</c:v>
                </c:pt>
                <c:pt idx="4">
                  <c:v>3.4946236559139782E-2</c:v>
                </c:pt>
                <c:pt idx="5">
                  <c:v>2.1505376344086023E-2</c:v>
                </c:pt>
                <c:pt idx="6">
                  <c:v>4.5698924731182797E-2</c:v>
                </c:pt>
              </c:numCache>
            </c:numRef>
          </c:val>
        </c:ser>
        <c:ser>
          <c:idx val="4"/>
          <c:order val="4"/>
          <c:tx>
            <c:strRef>
              <c:f>'FORMULAS FEB'!$GA$44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FEB'!$GB$39:$GH$39</c:f>
              <c:strCache>
                <c:ptCount val="7"/>
                <c:pt idx="0">
                  <c:v>&lt; 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FEB'!$GB$44:$GH$44</c:f>
              <c:numCache>
                <c:formatCode>0.0%</c:formatCode>
                <c:ptCount val="7"/>
                <c:pt idx="0">
                  <c:v>8.0645161290322578E-3</c:v>
                </c:pt>
                <c:pt idx="1">
                  <c:v>2.1505376344086023E-2</c:v>
                </c:pt>
                <c:pt idx="2">
                  <c:v>6.7204301075268813E-2</c:v>
                </c:pt>
                <c:pt idx="3">
                  <c:v>0</c:v>
                </c:pt>
                <c:pt idx="4">
                  <c:v>5.9139784946236562E-2</c:v>
                </c:pt>
                <c:pt idx="5">
                  <c:v>2.4193548387096774E-2</c:v>
                </c:pt>
                <c:pt idx="6">
                  <c:v>1.6129032258064516E-2</c:v>
                </c:pt>
              </c:numCache>
            </c:numRef>
          </c:val>
        </c:ser>
        <c:ser>
          <c:idx val="5"/>
          <c:order val="5"/>
          <c:tx>
            <c:strRef>
              <c:f>'FORMULAS FEB'!$GA$45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FEB'!$GB$39:$GH$39</c:f>
              <c:strCache>
                <c:ptCount val="7"/>
                <c:pt idx="0">
                  <c:v>&lt; 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FEB'!$GB$45:$GH$45</c:f>
              <c:numCache>
                <c:formatCode>0.0%</c:formatCode>
                <c:ptCount val="7"/>
                <c:pt idx="0">
                  <c:v>8.0645161290322578E-3</c:v>
                </c:pt>
                <c:pt idx="1">
                  <c:v>3.2258064516129031E-2</c:v>
                </c:pt>
                <c:pt idx="2">
                  <c:v>7.2580645161290328E-2</c:v>
                </c:pt>
                <c:pt idx="3">
                  <c:v>5.3763440860215058E-3</c:v>
                </c:pt>
                <c:pt idx="4">
                  <c:v>9.1397849462365593E-2</c:v>
                </c:pt>
                <c:pt idx="5">
                  <c:v>3.4946236559139782E-2</c:v>
                </c:pt>
                <c:pt idx="6">
                  <c:v>3.2258064516129031E-2</c:v>
                </c:pt>
              </c:numCache>
            </c:numRef>
          </c:val>
        </c:ser>
        <c:ser>
          <c:idx val="6"/>
          <c:order val="6"/>
          <c:tx>
            <c:strRef>
              <c:f>'FORMULAS FEB'!$GA$46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FEB'!$GB$39:$GH$39</c:f>
              <c:strCache>
                <c:ptCount val="7"/>
                <c:pt idx="0">
                  <c:v>&lt; 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FEB'!$GB$46:$GH$46</c:f>
              <c:numCache>
                <c:formatCode>0.0%</c:formatCode>
                <c:ptCount val="7"/>
                <c:pt idx="0">
                  <c:v>1.3440860215053764E-2</c:v>
                </c:pt>
                <c:pt idx="1">
                  <c:v>1.3440860215053764E-2</c:v>
                </c:pt>
                <c:pt idx="2">
                  <c:v>1.8817204301075269E-2</c:v>
                </c:pt>
                <c:pt idx="3">
                  <c:v>0</c:v>
                </c:pt>
                <c:pt idx="4">
                  <c:v>1.3440860215053764E-2</c:v>
                </c:pt>
                <c:pt idx="5">
                  <c:v>2.6881720430107529E-3</c:v>
                </c:pt>
                <c:pt idx="6">
                  <c:v>2.4193548387096774E-2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5749376"/>
        <c:axId val="155771648"/>
        <c:axId val="0"/>
      </c:bar3DChart>
      <c:catAx>
        <c:axId val="1557493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771648"/>
        <c:crosses val="autoZero"/>
        <c:auto val="1"/>
        <c:lblAlgn val="ctr"/>
        <c:lblOffset val="100"/>
        <c:noMultiLvlLbl val="0"/>
      </c:catAx>
      <c:valAx>
        <c:axId val="15577164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749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CARGA QUE TRANSPORTA SEGÚN TAMAÑO DE LA FLOTA</a:t>
            </a:r>
          </a:p>
          <a:p>
            <a:pPr>
              <a:defRPr sz="1400"/>
            </a:pPr>
            <a:r>
              <a:rPr lang="es-MX" sz="1000"/>
              <a:t>ENCUESTA</a:t>
            </a:r>
            <a:r>
              <a:rPr lang="es-MX" sz="1000" baseline="0"/>
              <a:t> A CONDUCTORES</a:t>
            </a:r>
          </a:p>
          <a:p>
            <a:pPr>
              <a:defRPr sz="1400"/>
            </a:pPr>
            <a:r>
              <a:rPr lang="es-MX" sz="800" baseline="0"/>
              <a:t>[% SOBRE EL TOTAL DE RESPUESTAS A CARGA QUE TRANSPORTE (100%) = 663)]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997455982053136E-2"/>
          <c:y val="0.114539764478577"/>
          <c:w val="0.88525126330912862"/>
          <c:h val="0.47806710120836976"/>
        </c:manualLayout>
      </c:layout>
      <c:bar3DChart>
        <c:barDir val="col"/>
        <c:grouping val="stacked"/>
        <c:varyColors val="0"/>
        <c:ser>
          <c:idx val="3"/>
          <c:order val="0"/>
          <c:tx>
            <c:strRef>
              <c:f>'FORMULAS FEB'!$F$105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5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accent4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FEB'!$B$106:$B$113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FEB'!$F$106:$F$113</c:f>
              <c:numCache>
                <c:formatCode>0.0%</c:formatCode>
                <c:ptCount val="8"/>
                <c:pt idx="0">
                  <c:v>1.8099547511312219E-2</c:v>
                </c:pt>
                <c:pt idx="1">
                  <c:v>2.4132730015082957E-2</c:v>
                </c:pt>
                <c:pt idx="2">
                  <c:v>3.6199095022624438E-2</c:v>
                </c:pt>
                <c:pt idx="3">
                  <c:v>3.0165912518853696E-2</c:v>
                </c:pt>
                <c:pt idx="4">
                  <c:v>9.9547511312217188E-2</c:v>
                </c:pt>
                <c:pt idx="5">
                  <c:v>1.5082956259426848E-3</c:v>
                </c:pt>
                <c:pt idx="6">
                  <c:v>1.6591251885369532E-2</c:v>
                </c:pt>
                <c:pt idx="7">
                  <c:v>4.5248868778280542E-2</c:v>
                </c:pt>
              </c:numCache>
            </c:numRef>
          </c:val>
        </c:ser>
        <c:ser>
          <c:idx val="2"/>
          <c:order val="1"/>
          <c:tx>
            <c:strRef>
              <c:f>'FORMULAS FEB'!$E$105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FEB'!$B$106:$B$113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FEB'!$E$106:$E$113</c:f>
              <c:numCache>
                <c:formatCode>0.0%</c:formatCode>
                <c:ptCount val="8"/>
                <c:pt idx="0">
                  <c:v>4.6757164404223228E-2</c:v>
                </c:pt>
                <c:pt idx="1">
                  <c:v>3.7707390648567117E-2</c:v>
                </c:pt>
                <c:pt idx="2">
                  <c:v>4.5248868778280542E-2</c:v>
                </c:pt>
                <c:pt idx="3">
                  <c:v>4.3740573152337855E-2</c:v>
                </c:pt>
                <c:pt idx="4">
                  <c:v>9.9547511312217188E-2</c:v>
                </c:pt>
                <c:pt idx="5">
                  <c:v>4.2232277526395176E-2</c:v>
                </c:pt>
                <c:pt idx="6">
                  <c:v>1.0558069381598794E-2</c:v>
                </c:pt>
                <c:pt idx="7">
                  <c:v>6.485671191553545E-2</c:v>
                </c:pt>
              </c:numCache>
            </c:numRef>
          </c:val>
        </c:ser>
        <c:ser>
          <c:idx val="1"/>
          <c:order val="2"/>
          <c:tx>
            <c:strRef>
              <c:f>'FORMULAS FEB'!$D$105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6"/>
              <c:spPr/>
              <c:txPr>
                <a:bodyPr/>
                <a:lstStyle/>
                <a:p>
                  <a:pPr>
                    <a:defRPr b="1" i="0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FEB'!$B$106:$B$113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FEB'!$D$106:$D$113</c:f>
              <c:numCache>
                <c:formatCode>0.0%</c:formatCode>
                <c:ptCount val="8"/>
                <c:pt idx="0">
                  <c:v>2.2624434389140271E-2</c:v>
                </c:pt>
                <c:pt idx="1">
                  <c:v>1.3574660633484163E-2</c:v>
                </c:pt>
                <c:pt idx="2">
                  <c:v>2.7149321266968326E-2</c:v>
                </c:pt>
                <c:pt idx="3">
                  <c:v>1.5082956259426848E-2</c:v>
                </c:pt>
                <c:pt idx="4">
                  <c:v>3.3182503770739065E-2</c:v>
                </c:pt>
                <c:pt idx="5">
                  <c:v>1.8099547511312219E-2</c:v>
                </c:pt>
                <c:pt idx="6">
                  <c:v>4.5248868778280547E-3</c:v>
                </c:pt>
                <c:pt idx="7">
                  <c:v>3.0165912518853696E-2</c:v>
                </c:pt>
              </c:numCache>
            </c:numRef>
          </c:val>
        </c:ser>
        <c:ser>
          <c:idx val="0"/>
          <c:order val="3"/>
          <c:tx>
            <c:strRef>
              <c:f>'FORMULAS FEB'!$C$105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FEB'!$B$106:$B$113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FEB'!$C$106:$C$113</c:f>
              <c:numCache>
                <c:formatCode>0.0%</c:formatCode>
                <c:ptCount val="8"/>
                <c:pt idx="0">
                  <c:v>3.3182503770739065E-2</c:v>
                </c:pt>
                <c:pt idx="1">
                  <c:v>3.3182503770739065E-2</c:v>
                </c:pt>
                <c:pt idx="2">
                  <c:v>1.0558069381598794E-2</c:v>
                </c:pt>
                <c:pt idx="3">
                  <c:v>6.0331825037707393E-3</c:v>
                </c:pt>
                <c:pt idx="4">
                  <c:v>3.3182503770739065E-2</c:v>
                </c:pt>
                <c:pt idx="5">
                  <c:v>3.6199095022624438E-2</c:v>
                </c:pt>
                <c:pt idx="6">
                  <c:v>6.0331825037707393E-3</c:v>
                </c:pt>
                <c:pt idx="7">
                  <c:v>1.5082956259426848E-2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155420928"/>
        <c:axId val="155435008"/>
        <c:axId val="0"/>
      </c:bar3DChart>
      <c:catAx>
        <c:axId val="155420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435008"/>
        <c:crosses val="autoZero"/>
        <c:auto val="1"/>
        <c:lblAlgn val="ctr"/>
        <c:lblOffset val="100"/>
        <c:noMultiLvlLbl val="0"/>
      </c:catAx>
      <c:valAx>
        <c:axId val="15543500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42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182504000659966E-2"/>
          <c:y val="0.93428660992766221"/>
          <c:w val="0.94892249606795342"/>
          <c:h val="6.3447482395153312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MX" sz="1400"/>
              <a:t>CARGA QUE TRANSPORTA SEGÚN TAMAÑO DE LA FLOTA.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MX" sz="1000"/>
              <a:t>ENCUESTA A CONDUCTORES</a:t>
            </a:r>
            <a:endParaRPr lang="es-MX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MX" sz="800" b="1" i="0" baseline="0"/>
              <a:t>[TOTAL DE RESPUESTAS A CARGA QUE TRANSPORTA (100%) = 663)]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264769412093138E-2"/>
          <c:y val="0.14116257781826858"/>
          <c:w val="0.8789232832431757"/>
          <c:h val="0.4877037808290495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'FORMULAS FEB'!$F$192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FEB'!$B$193:$B$201</c:f>
              <c:strCache>
                <c:ptCount val="9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  <c:pt idx="8">
                  <c:v>SUMA</c:v>
                </c:pt>
              </c:strCache>
            </c:strRef>
          </c:cat>
          <c:val>
            <c:numRef>
              <c:f>'FORMULAS FEB'!$F$193:$F$201</c:f>
              <c:numCache>
                <c:formatCode>General</c:formatCode>
                <c:ptCount val="9"/>
                <c:pt idx="0">
                  <c:v>12</c:v>
                </c:pt>
                <c:pt idx="1">
                  <c:v>16</c:v>
                </c:pt>
                <c:pt idx="2">
                  <c:v>24</c:v>
                </c:pt>
                <c:pt idx="3">
                  <c:v>20</c:v>
                </c:pt>
                <c:pt idx="4">
                  <c:v>66</c:v>
                </c:pt>
                <c:pt idx="5">
                  <c:v>1</c:v>
                </c:pt>
                <c:pt idx="6">
                  <c:v>11</c:v>
                </c:pt>
                <c:pt idx="7" formatCode="#,##0">
                  <c:v>30</c:v>
                </c:pt>
                <c:pt idx="8">
                  <c:v>180</c:v>
                </c:pt>
              </c:numCache>
            </c:numRef>
          </c:val>
        </c:ser>
        <c:ser>
          <c:idx val="1"/>
          <c:order val="1"/>
          <c:tx>
            <c:strRef>
              <c:f>'FORMULAS FEB'!$E$192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FEB'!$B$193:$B$201</c:f>
              <c:strCache>
                <c:ptCount val="9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  <c:pt idx="8">
                  <c:v>SUMA</c:v>
                </c:pt>
              </c:strCache>
            </c:strRef>
          </c:cat>
          <c:val>
            <c:numRef>
              <c:f>'FORMULAS FEB'!$E$193:$E$201</c:f>
              <c:numCache>
                <c:formatCode>General</c:formatCode>
                <c:ptCount val="9"/>
                <c:pt idx="0">
                  <c:v>31</c:v>
                </c:pt>
                <c:pt idx="1">
                  <c:v>25</c:v>
                </c:pt>
                <c:pt idx="2">
                  <c:v>30</c:v>
                </c:pt>
                <c:pt idx="3">
                  <c:v>29</c:v>
                </c:pt>
                <c:pt idx="4">
                  <c:v>66</c:v>
                </c:pt>
                <c:pt idx="5">
                  <c:v>28</c:v>
                </c:pt>
                <c:pt idx="6">
                  <c:v>7</c:v>
                </c:pt>
                <c:pt idx="7" formatCode="#,##0">
                  <c:v>43</c:v>
                </c:pt>
                <c:pt idx="8">
                  <c:v>259</c:v>
                </c:pt>
              </c:numCache>
            </c:numRef>
          </c:val>
        </c:ser>
        <c:ser>
          <c:idx val="2"/>
          <c:order val="2"/>
          <c:tx>
            <c:strRef>
              <c:f>'FORMULAS FEB'!$D$192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FEB'!$B$193:$B$201</c:f>
              <c:strCache>
                <c:ptCount val="9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  <c:pt idx="8">
                  <c:v>SUMA</c:v>
                </c:pt>
              </c:strCache>
            </c:strRef>
          </c:cat>
          <c:val>
            <c:numRef>
              <c:f>'FORMULAS FEB'!$D$193:$D$201</c:f>
              <c:numCache>
                <c:formatCode>General</c:formatCode>
                <c:ptCount val="9"/>
                <c:pt idx="0">
                  <c:v>15</c:v>
                </c:pt>
                <c:pt idx="1">
                  <c:v>9</c:v>
                </c:pt>
                <c:pt idx="2">
                  <c:v>18</c:v>
                </c:pt>
                <c:pt idx="3">
                  <c:v>10</c:v>
                </c:pt>
                <c:pt idx="4">
                  <c:v>22</c:v>
                </c:pt>
                <c:pt idx="5">
                  <c:v>12</c:v>
                </c:pt>
                <c:pt idx="6">
                  <c:v>3</c:v>
                </c:pt>
                <c:pt idx="7" formatCode="#,##0">
                  <c:v>20</c:v>
                </c:pt>
                <c:pt idx="8">
                  <c:v>109</c:v>
                </c:pt>
              </c:numCache>
            </c:numRef>
          </c:val>
        </c:ser>
        <c:ser>
          <c:idx val="3"/>
          <c:order val="3"/>
          <c:tx>
            <c:strRef>
              <c:f>'FORMULAS FEB'!$C$192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FEB'!$B$193:$B$201</c:f>
              <c:strCache>
                <c:ptCount val="9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  <c:pt idx="8">
                  <c:v>SUMA</c:v>
                </c:pt>
              </c:strCache>
            </c:strRef>
          </c:cat>
          <c:val>
            <c:numRef>
              <c:f>'FORMULAS FEB'!$C$193:$C$201</c:f>
              <c:numCache>
                <c:formatCode>General</c:formatCode>
                <c:ptCount val="9"/>
                <c:pt idx="0">
                  <c:v>22</c:v>
                </c:pt>
                <c:pt idx="1">
                  <c:v>22</c:v>
                </c:pt>
                <c:pt idx="2">
                  <c:v>7</c:v>
                </c:pt>
                <c:pt idx="3">
                  <c:v>4</c:v>
                </c:pt>
                <c:pt idx="4">
                  <c:v>22</c:v>
                </c:pt>
                <c:pt idx="5">
                  <c:v>24</c:v>
                </c:pt>
                <c:pt idx="6">
                  <c:v>4</c:v>
                </c:pt>
                <c:pt idx="7" formatCode="#,##0">
                  <c:v>10</c:v>
                </c:pt>
                <c:pt idx="8">
                  <c:v>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55500544"/>
        <c:axId val="155502080"/>
      </c:barChart>
      <c:catAx>
        <c:axId val="155500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502080"/>
        <c:crosses val="autoZero"/>
        <c:auto val="1"/>
        <c:lblAlgn val="ctr"/>
        <c:lblOffset val="100"/>
        <c:noMultiLvlLbl val="0"/>
      </c:catAx>
      <c:valAx>
        <c:axId val="155502080"/>
        <c:scaling>
          <c:orientation val="minMax"/>
          <c:max val="1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500544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1.6855555722981384E-3"/>
          <c:y val="0.95908357736274696"/>
          <c:w val="0.96503310772343209"/>
          <c:h val="2.9381054640897148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</a:t>
            </a:r>
          </a:p>
          <a:p>
            <a:pPr>
              <a:defRPr sz="1400"/>
            </a:pPr>
            <a:r>
              <a:rPr lang="en-US" sz="1200"/>
              <a:t> PRODUCTOS PERECEDEROS.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PRODUCTOS PERECEDEROS (100% = 80)]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FEB'!$F$119</c:f>
              <c:strCache>
                <c:ptCount val="1"/>
                <c:pt idx="0">
                  <c:v>CARGA QUE TRANSPORTA SEGÚN TAMAÑO DE LA FLOTA PRODUCTOS PERECEDEROS. ENCUESTA A CONDUCTORES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FEB'!$G$120:$J$120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FEB'!$G$121:$J$121</c:f>
              <c:numCache>
                <c:formatCode>0.0%</c:formatCode>
                <c:ptCount val="4"/>
                <c:pt idx="0">
                  <c:v>0.27500000000000002</c:v>
                </c:pt>
                <c:pt idx="1">
                  <c:v>0.1875</c:v>
                </c:pt>
                <c:pt idx="2">
                  <c:v>0.38750000000000001</c:v>
                </c:pt>
                <c:pt idx="3">
                  <c:v>0.15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 rtl="0"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ALIMENTOS NO PERECEDEROS.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ALIMENTOS NO PERECEDEROS</a:t>
            </a:r>
            <a:r>
              <a:rPr lang="en-US" sz="800" baseline="0"/>
              <a:t> (100% = 72)]</a:t>
            </a:r>
            <a:endParaRPr lang="en-US" sz="8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FEB'!$F$123</c:f>
              <c:strCache>
                <c:ptCount val="1"/>
                <c:pt idx="0">
                  <c:v>CARGA QUE TRANSPORTA SEGÚN TAMAÑO DE LA FLOTA ALIMENTOS NO PERECEDEROS. ENCUESTA A CONDUCTORES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FEB'!$G$124:$J$124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FEB'!$G$125:$J$125</c:f>
              <c:numCache>
                <c:formatCode>0.0%</c:formatCode>
                <c:ptCount val="4"/>
                <c:pt idx="0">
                  <c:v>0.30555555555555558</c:v>
                </c:pt>
                <c:pt idx="1">
                  <c:v>0.125</c:v>
                </c:pt>
                <c:pt idx="2">
                  <c:v>0.34722222222222221</c:v>
                </c:pt>
                <c:pt idx="3">
                  <c:v>0.22222222222222221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400"/>
              <a:t>QUIÉN FIJA LAS RUTAS</a:t>
            </a:r>
          </a:p>
          <a:p>
            <a:pPr>
              <a:defRPr sz="1100"/>
            </a:pPr>
            <a:r>
              <a:rPr lang="en-US" sz="1200"/>
              <a:t>ENCUESTA</a:t>
            </a:r>
            <a:r>
              <a:rPr lang="en-US" sz="1200" baseline="0"/>
              <a:t> A CONDUCTORES</a:t>
            </a:r>
          </a:p>
          <a:p>
            <a:pPr>
              <a:defRPr sz="1100"/>
            </a:pPr>
            <a:r>
              <a:rPr lang="en-US" sz="800" baseline="0"/>
              <a:t>[% SOBRE EL TOTAL DE RESPUESTAS (100% = 452)]</a:t>
            </a:r>
            <a:endParaRPr lang="en-US" sz="800"/>
          </a:p>
        </c:rich>
      </c:tx>
      <c:overlay val="0"/>
    </c:title>
    <c:autoTitleDeleted val="0"/>
    <c:view3D>
      <c:rotX val="30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367102260365607E-2"/>
          <c:y val="0.26422099488710088"/>
          <c:w val="0.80915644803658804"/>
          <c:h val="0.64748906634962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FORMULAS!$N$18</c:f>
              <c:strCache>
                <c:ptCount val="1"/>
                <c:pt idx="0">
                  <c:v>QUIÉN FIJA LAS RUTAS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.12874686960426243"/>
                  <c:y val="-5.8771930733008293E-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  <a:latin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  <a:latin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5529632869965325E-2"/>
                  <c:y val="6.188140601099653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latin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cat>
            <c:strRef>
              <c:f>FORMULAS!$N$19:$N$22</c:f>
              <c:strCache>
                <c:ptCount val="4"/>
                <c:pt idx="0">
                  <c:v>El Conductor</c:v>
                </c:pt>
                <c:pt idx="1">
                  <c:v>El Dueño</c:v>
                </c:pt>
                <c:pt idx="2">
                  <c:v>El Cliente</c:v>
                </c:pt>
                <c:pt idx="3">
                  <c:v>Ambos (Conductor y Dueño)</c:v>
                </c:pt>
              </c:strCache>
            </c:strRef>
          </c:cat>
          <c:val>
            <c:numRef>
              <c:f>FORMULAS!$O$19:$O$22</c:f>
              <c:numCache>
                <c:formatCode>0%</c:formatCode>
                <c:ptCount val="4"/>
                <c:pt idx="0">
                  <c:v>3.3185840707964605E-2</c:v>
                </c:pt>
                <c:pt idx="1">
                  <c:v>0.51106194690265483</c:v>
                </c:pt>
                <c:pt idx="2">
                  <c:v>0.4247787610619469</c:v>
                </c:pt>
                <c:pt idx="3">
                  <c:v>3.0973451327433628E-2</c:v>
                </c:pt>
              </c:numCache>
            </c:numRef>
          </c:val>
        </c:ser>
        <c:ser>
          <c:idx val="1"/>
          <c:order val="1"/>
          <c:tx>
            <c:strRef>
              <c:f>FORMULAS!$N$20</c:f>
              <c:strCache>
                <c:ptCount val="1"/>
                <c:pt idx="0">
                  <c:v>El Dueño</c:v>
                </c:pt>
              </c:strCache>
            </c:strRef>
          </c:tx>
          <c:invertIfNegative val="0"/>
          <c:cat>
            <c:strRef>
              <c:f>FORMULAS!$N$19:$N$22</c:f>
              <c:strCache>
                <c:ptCount val="4"/>
                <c:pt idx="0">
                  <c:v>El Conductor</c:v>
                </c:pt>
                <c:pt idx="1">
                  <c:v>El Dueño</c:v>
                </c:pt>
                <c:pt idx="2">
                  <c:v>El Cliente</c:v>
                </c:pt>
                <c:pt idx="3">
                  <c:v>Ambos (Conductor y Dueño)</c:v>
                </c:pt>
              </c:strCache>
            </c:strRef>
          </c:cat>
          <c:val>
            <c:numRef>
              <c:f>FORMULAS!$O$20</c:f>
              <c:numCache>
                <c:formatCode>0%</c:formatCode>
                <c:ptCount val="1"/>
                <c:pt idx="0">
                  <c:v>0.51106194690265483</c:v>
                </c:pt>
              </c:numCache>
            </c:numRef>
          </c:val>
        </c:ser>
        <c:ser>
          <c:idx val="2"/>
          <c:order val="2"/>
          <c:tx>
            <c:strRef>
              <c:f>FORMULAS!$N$21</c:f>
              <c:strCache>
                <c:ptCount val="1"/>
                <c:pt idx="0">
                  <c:v>El Cliente</c:v>
                </c:pt>
              </c:strCache>
            </c:strRef>
          </c:tx>
          <c:invertIfNegative val="0"/>
          <c:cat>
            <c:strRef>
              <c:f>FORMULAS!$N$19:$N$22</c:f>
              <c:strCache>
                <c:ptCount val="4"/>
                <c:pt idx="0">
                  <c:v>El Conductor</c:v>
                </c:pt>
                <c:pt idx="1">
                  <c:v>El Dueño</c:v>
                </c:pt>
                <c:pt idx="2">
                  <c:v>El Cliente</c:v>
                </c:pt>
                <c:pt idx="3">
                  <c:v>Ambos (Conductor y Dueño)</c:v>
                </c:pt>
              </c:strCache>
            </c:strRef>
          </c:cat>
          <c:val>
            <c:numRef>
              <c:f>FORMULAS!$O$21</c:f>
              <c:numCache>
                <c:formatCode>0%</c:formatCode>
                <c:ptCount val="1"/>
                <c:pt idx="0">
                  <c:v>0.4247787610619469</c:v>
                </c:pt>
              </c:numCache>
            </c:numRef>
          </c:val>
        </c:ser>
        <c:ser>
          <c:idx val="3"/>
          <c:order val="3"/>
          <c:tx>
            <c:strRef>
              <c:f>FORMULAS!$N$22</c:f>
              <c:strCache>
                <c:ptCount val="1"/>
                <c:pt idx="0">
                  <c:v>Ambos (Conductor y Dueño)</c:v>
                </c:pt>
              </c:strCache>
            </c:strRef>
          </c:tx>
          <c:invertIfNegative val="0"/>
          <c:cat>
            <c:strRef>
              <c:f>FORMULAS!$N$19:$N$22</c:f>
              <c:strCache>
                <c:ptCount val="4"/>
                <c:pt idx="0">
                  <c:v>El Conductor</c:v>
                </c:pt>
                <c:pt idx="1">
                  <c:v>El Dueño</c:v>
                </c:pt>
                <c:pt idx="2">
                  <c:v>El Cliente</c:v>
                </c:pt>
                <c:pt idx="3">
                  <c:v>Ambos (Conductor y Dueño)</c:v>
                </c:pt>
              </c:strCache>
            </c:strRef>
          </c:cat>
          <c:val>
            <c:numRef>
              <c:f>FORMULAS!$O$22</c:f>
              <c:numCache>
                <c:formatCode>0%</c:formatCode>
                <c:ptCount val="1"/>
                <c:pt idx="0">
                  <c:v>3.0973451327433628E-2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7328896"/>
        <c:axId val="117338880"/>
        <c:axId val="0"/>
      </c:bar3DChart>
      <c:catAx>
        <c:axId val="11732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7338880"/>
        <c:crosses val="autoZero"/>
        <c:auto val="1"/>
        <c:lblAlgn val="ctr"/>
        <c:lblOffset val="100"/>
        <c:noMultiLvlLbl val="0"/>
      </c:catAx>
      <c:valAx>
        <c:axId val="1173388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7328896"/>
        <c:crosses val="autoZero"/>
        <c:crossBetween val="between"/>
      </c:valAx>
    </c:plotArea>
    <c:plotVisOnly val="1"/>
    <c:dispBlanksAs val="zero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QUÍMICOS Y PELIGROSOS.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QUIÍMICOS Y PELIGROSOS (100% = 79)]</a:t>
            </a:r>
          </a:p>
        </c:rich>
      </c:tx>
      <c:overlay val="0"/>
    </c:title>
    <c:autoTitleDeleted val="0"/>
    <c:view3D>
      <c:rotX val="3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FEB'!$F$127</c:f>
              <c:strCache>
                <c:ptCount val="1"/>
                <c:pt idx="0">
                  <c:v>CARGA QUE TRANSPORTA SEGÚN TAMAÑO DE LA FLOTA QUÍMICOS Y PELIGROSOS. ENCUESTA A CONDUCTORES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FEB'!$G$128:$J$128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FEB'!$G$129:$J$129</c:f>
              <c:numCache>
                <c:formatCode>0.0%</c:formatCode>
                <c:ptCount val="4"/>
                <c:pt idx="0">
                  <c:v>8.8607594936708861E-2</c:v>
                </c:pt>
                <c:pt idx="1">
                  <c:v>0.22784810126582278</c:v>
                </c:pt>
                <c:pt idx="2">
                  <c:v>0.379746835443038</c:v>
                </c:pt>
                <c:pt idx="3">
                  <c:v>0.30379746835443039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MATERIALES PARA CONSTRUCCIÓN.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MATERIALES PARA CONSTRUCCIÓN (100% = 63)]</a:t>
            </a:r>
          </a:p>
        </c:rich>
      </c:tx>
      <c:overlay val="0"/>
    </c:title>
    <c:autoTitleDeleted val="0"/>
    <c:view3D>
      <c:rotX val="30"/>
      <c:rotY val="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FEB'!$F$131</c:f>
              <c:strCache>
                <c:ptCount val="1"/>
                <c:pt idx="0">
                  <c:v>CARGA QUE TRANSPORTA SEGÚN TAMAÑO DE LA FLOTA MATERIALES PARA CONSTRUCCIÓN. ENCUESTA A CONDUCTORES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FEB'!$G$132:$J$132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FEB'!$G$133:$J$133</c:f>
              <c:numCache>
                <c:formatCode>0.0%</c:formatCode>
                <c:ptCount val="4"/>
                <c:pt idx="0">
                  <c:v>6.3492063492063489E-2</c:v>
                </c:pt>
                <c:pt idx="1">
                  <c:v>0.15873015873015872</c:v>
                </c:pt>
                <c:pt idx="2">
                  <c:v>0.46031746031746029</c:v>
                </c:pt>
                <c:pt idx="3">
                  <c:v>0.31746031746031744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  <a:r>
              <a:rPr lang="en-US" sz="1200"/>
              <a:t>MATERIAS PRIMAS PRODUCCIÓN/ENSAMBLE. </a:t>
            </a:r>
            <a:endParaRPr lang="en-US" sz="1400"/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MATERIAS PRIMAS PRODUCCIÓN/ENSAMBLE (100% = 176)]</a:t>
            </a:r>
          </a:p>
        </c:rich>
      </c:tx>
      <c:overlay val="0"/>
    </c:title>
    <c:autoTitleDeleted val="0"/>
    <c:view3D>
      <c:rotX val="30"/>
      <c:rotY val="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FEB'!$F$135</c:f>
              <c:strCache>
                <c:ptCount val="1"/>
                <c:pt idx="0">
                  <c:v>CARGA QUE TRANSPORTA SEGÚN TAMAÑO DE LA FLOTA MATERIAS PRIMAS PRODUCCIÓN/ENSAMBLE. ENCUESTA A CONDUCTORES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FEB'!$G$136:$J$136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FEB'!$G$137:$J$137</c:f>
              <c:numCache>
                <c:formatCode>0.0%</c:formatCode>
                <c:ptCount val="4"/>
                <c:pt idx="0">
                  <c:v>0.125</c:v>
                </c:pt>
                <c:pt idx="1">
                  <c:v>0.125</c:v>
                </c:pt>
                <c:pt idx="2">
                  <c:v>0.375</c:v>
                </c:pt>
                <c:pt idx="3">
                  <c:v>0.375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GRANOS.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LAS RESPUESTAS A GRANOS (100% = 65)]</a:t>
            </a:r>
          </a:p>
        </c:rich>
      </c:tx>
      <c:overlay val="0"/>
    </c:title>
    <c:autoTitleDeleted val="0"/>
    <c:view3D>
      <c:rotX val="30"/>
      <c:rotY val="29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FEB'!$F$139</c:f>
              <c:strCache>
                <c:ptCount val="1"/>
                <c:pt idx="0">
                  <c:v>CARGA QUE TRANSPORTA SEGÚN TAMAÑO DE LA FLOTA GRANOS. ENCUESTA A CONDUCTORES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FEB'!$G$140:$J$140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FEB'!$G$141:$J$141</c:f>
              <c:numCache>
                <c:formatCode>0.0%</c:formatCode>
                <c:ptCount val="4"/>
                <c:pt idx="0">
                  <c:v>0.36923076923076925</c:v>
                </c:pt>
                <c:pt idx="1">
                  <c:v>0.18461538461538463</c:v>
                </c:pt>
                <c:pt idx="2">
                  <c:v>0.43076923076923079</c:v>
                </c:pt>
                <c:pt idx="3">
                  <c:v>1.5384615384615385E-2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PRODUCTOS REFRIGERADOS.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A PRODUCTOS REFRIGERADOS (100% = 25)]</a:t>
            </a:r>
            <a:endParaRPr lang="en-US" sz="800"/>
          </a:p>
        </c:rich>
      </c:tx>
      <c:overlay val="0"/>
    </c:title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FEB'!$F$143</c:f>
              <c:strCache>
                <c:ptCount val="1"/>
                <c:pt idx="0">
                  <c:v>CARGA QUE TRANSPORTA SEGÚN TAMAÑO DE LA FLOTA PRODUCTOS REFRIGERADOS. ENCUESTA A CONDUCTORES</c:v>
                </c:pt>
              </c:strCache>
            </c:strRef>
          </c:tx>
          <c:explosion val="28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FEB'!$G$144:$J$144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FEB'!$G$145:$J$145</c:f>
              <c:numCache>
                <c:formatCode>0.0%</c:formatCode>
                <c:ptCount val="4"/>
                <c:pt idx="0">
                  <c:v>0.16</c:v>
                </c:pt>
                <c:pt idx="1">
                  <c:v>0.12</c:v>
                </c:pt>
                <c:pt idx="2">
                  <c:v>0.28000000000000003</c:v>
                </c:pt>
                <c:pt idx="3">
                  <c:v>0.44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OTROS PRODUCTOS.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OTROS PRODUCTOS (100% = 103)]</a:t>
            </a:r>
          </a:p>
        </c:rich>
      </c:tx>
      <c:overlay val="0"/>
    </c:title>
    <c:autoTitleDeleted val="0"/>
    <c:view3D>
      <c:rotX val="30"/>
      <c:rotY val="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FEB'!$F$147</c:f>
              <c:strCache>
                <c:ptCount val="1"/>
                <c:pt idx="0">
                  <c:v>CARGA QUE TRANSPORTA SEGÚN TAMAÑO DE LA FLOTA OTROS PRODUCTOS. ENCUESTA A CONDUCTORES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FEB'!$G$148:$J$148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FEB'!$G$149:$J$149</c:f>
              <c:numCache>
                <c:formatCode>0.0%</c:formatCode>
                <c:ptCount val="4"/>
                <c:pt idx="0">
                  <c:v>9.7087378640776698E-2</c:v>
                </c:pt>
                <c:pt idx="1">
                  <c:v>0.1941747572815534</c:v>
                </c:pt>
                <c:pt idx="2">
                  <c:v>0.41747572815533979</c:v>
                </c:pt>
                <c:pt idx="3">
                  <c:v>0.29126213592233008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MAYOR IMPORTANCIA PARA FIJAR LA RUTA</a:t>
            </a:r>
          </a:p>
          <a:p>
            <a:pPr>
              <a:defRPr sz="1400"/>
            </a:pPr>
            <a:r>
              <a:rPr lang="es-MX" sz="1200"/>
              <a:t> SEGÚN TAMAÑO DE LA FLOTA.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</a:t>
            </a:r>
            <a:r>
              <a:rPr lang="es-MX" sz="800" baseline="0"/>
              <a:t> SOBRE EL TOTAL DE RESPUESTAS A FACTOR DE MAYOR IMPORTANCIA (100% = 443)]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95484635217072E-2"/>
          <c:y val="0.18314630487095057"/>
          <c:w val="0.84286642045850502"/>
          <c:h val="0.6909767013997764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'FORMULAS FEB'!$GT$3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FEB'!$GS$4:$GS$7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FEB'!$GT$4:$GT$7</c:f>
              <c:numCache>
                <c:formatCode>0.0%</c:formatCode>
                <c:ptCount val="4"/>
                <c:pt idx="0">
                  <c:v>7.6749435665914217E-2</c:v>
                </c:pt>
                <c:pt idx="1">
                  <c:v>2.0316027088036117E-2</c:v>
                </c:pt>
                <c:pt idx="2">
                  <c:v>4.2889390519187359E-2</c:v>
                </c:pt>
                <c:pt idx="3">
                  <c:v>9.0293453724604959E-3</c:v>
                </c:pt>
              </c:numCache>
            </c:numRef>
          </c:val>
        </c:ser>
        <c:ser>
          <c:idx val="1"/>
          <c:order val="1"/>
          <c:tx>
            <c:strRef>
              <c:f>'FORMULAS FEB'!$GU$3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FEB'!$GS$4:$GS$7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FEB'!$GU$4:$GU$7</c:f>
              <c:numCache>
                <c:formatCode>0.0%</c:formatCode>
                <c:ptCount val="4"/>
                <c:pt idx="0">
                  <c:v>0.10158013544018059</c:v>
                </c:pt>
                <c:pt idx="1">
                  <c:v>1.8058690744920992E-2</c:v>
                </c:pt>
                <c:pt idx="2">
                  <c:v>4.740406320541761E-2</c:v>
                </c:pt>
                <c:pt idx="3">
                  <c:v>1.3544018058690745E-2</c:v>
                </c:pt>
              </c:numCache>
            </c:numRef>
          </c:val>
        </c:ser>
        <c:ser>
          <c:idx val="2"/>
          <c:order val="2"/>
          <c:tx>
            <c:strRef>
              <c:f>'FORMULAS FEB'!$GV$3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FEB'!$GS$4:$GS$7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FEB'!$GV$4:$GV$7</c:f>
              <c:numCache>
                <c:formatCode>0.0%</c:formatCode>
                <c:ptCount val="4"/>
                <c:pt idx="0">
                  <c:v>0.24830699774266365</c:v>
                </c:pt>
                <c:pt idx="1">
                  <c:v>4.0632054176072234E-2</c:v>
                </c:pt>
                <c:pt idx="2">
                  <c:v>8.1264108352144468E-2</c:v>
                </c:pt>
                <c:pt idx="3">
                  <c:v>3.160270880361174E-2</c:v>
                </c:pt>
              </c:numCache>
            </c:numRef>
          </c:val>
        </c:ser>
        <c:ser>
          <c:idx val="3"/>
          <c:order val="3"/>
          <c:tx>
            <c:strRef>
              <c:f>'FORMULAS FEB'!$GW$3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FEB'!$GS$4:$GS$7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FEB'!$GW$4:$GW$7</c:f>
              <c:numCache>
                <c:formatCode>0.0%</c:formatCode>
                <c:ptCount val="4"/>
                <c:pt idx="0">
                  <c:v>0.15575620767494355</c:v>
                </c:pt>
                <c:pt idx="1">
                  <c:v>3.160270880361174E-2</c:v>
                </c:pt>
                <c:pt idx="2">
                  <c:v>4.5146726862302484E-2</c:v>
                </c:pt>
                <c:pt idx="3">
                  <c:v>3.6117381489841983E-2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155990272"/>
        <c:axId val="156008448"/>
        <c:axId val="0"/>
      </c:bar3DChart>
      <c:catAx>
        <c:axId val="155990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008448"/>
        <c:crosses val="autoZero"/>
        <c:auto val="1"/>
        <c:lblAlgn val="ctr"/>
        <c:lblOffset val="100"/>
        <c:noMultiLvlLbl val="0"/>
      </c:catAx>
      <c:valAx>
        <c:axId val="15600844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5990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91290022924349701"/>
          <c:w val="0.97500000000000031"/>
          <c:h val="7.8756636433104113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MAYOR IMPORTANCIA PARA FIJAR LA RUTA</a:t>
            </a:r>
          </a:p>
          <a:p>
            <a:pPr>
              <a:defRPr sz="1400"/>
            </a:pPr>
            <a:r>
              <a:rPr lang="es-MX" sz="1400"/>
              <a:t> </a:t>
            </a:r>
            <a:r>
              <a:rPr lang="es-MX" sz="1200"/>
              <a:t>SEGÚN TAMAÑO DE LA FLOTA. </a:t>
            </a:r>
            <a:endParaRPr lang="es-MX" sz="1400"/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[TOTAL DE RESPUESTAS A FACTOR DE MAYOR IMPORTANCIA = 443]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605114582384826E-2"/>
          <c:y val="0.19438753218725022"/>
          <c:w val="0.88506653578988059"/>
          <c:h val="0.69109434765288125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'FORMULAS FEB'!$GY$3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FEB'!$GS$4:$GS$7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FEB'!$GY$4:$GY$7</c:f>
              <c:numCache>
                <c:formatCode>General</c:formatCode>
                <c:ptCount val="4"/>
                <c:pt idx="0">
                  <c:v>34</c:v>
                </c:pt>
                <c:pt idx="1">
                  <c:v>9</c:v>
                </c:pt>
                <c:pt idx="2">
                  <c:v>19</c:v>
                </c:pt>
                <c:pt idx="3">
                  <c:v>4</c:v>
                </c:pt>
              </c:numCache>
            </c:numRef>
          </c:val>
        </c:ser>
        <c:ser>
          <c:idx val="6"/>
          <c:order val="1"/>
          <c:tx>
            <c:strRef>
              <c:f>'FORMULAS FEB'!$GZ$3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FEB'!$GS$4:$GS$7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FEB'!$GZ$4:$GZ$7</c:f>
              <c:numCache>
                <c:formatCode>General</c:formatCode>
                <c:ptCount val="4"/>
                <c:pt idx="0">
                  <c:v>45</c:v>
                </c:pt>
                <c:pt idx="1">
                  <c:v>8</c:v>
                </c:pt>
                <c:pt idx="2">
                  <c:v>21</c:v>
                </c:pt>
                <c:pt idx="3">
                  <c:v>6</c:v>
                </c:pt>
              </c:numCache>
            </c:numRef>
          </c:val>
        </c:ser>
        <c:ser>
          <c:idx val="7"/>
          <c:order val="2"/>
          <c:tx>
            <c:strRef>
              <c:f>'FORMULAS FEB'!$HA$3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FEB'!$GS$4:$GS$7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FEB'!$HA$4:$HA$7</c:f>
              <c:numCache>
                <c:formatCode>General</c:formatCode>
                <c:ptCount val="4"/>
                <c:pt idx="0">
                  <c:v>110</c:v>
                </c:pt>
                <c:pt idx="1">
                  <c:v>18</c:v>
                </c:pt>
                <c:pt idx="2">
                  <c:v>36</c:v>
                </c:pt>
                <c:pt idx="3">
                  <c:v>14</c:v>
                </c:pt>
              </c:numCache>
            </c:numRef>
          </c:val>
        </c:ser>
        <c:ser>
          <c:idx val="8"/>
          <c:order val="3"/>
          <c:tx>
            <c:strRef>
              <c:f>'FORMULAS FEB'!$HB$3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FEB'!$GS$4:$GS$7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FEB'!$HB$4:$HB$7</c:f>
              <c:numCache>
                <c:formatCode>General</c:formatCode>
                <c:ptCount val="4"/>
                <c:pt idx="0">
                  <c:v>69</c:v>
                </c:pt>
                <c:pt idx="1">
                  <c:v>14</c:v>
                </c:pt>
                <c:pt idx="2">
                  <c:v>20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56590080"/>
        <c:axId val="156591616"/>
      </c:barChart>
      <c:catAx>
        <c:axId val="156590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591616"/>
        <c:crosses val="autoZero"/>
        <c:auto val="1"/>
        <c:lblAlgn val="ctr"/>
        <c:lblOffset val="100"/>
        <c:noMultiLvlLbl val="0"/>
      </c:catAx>
      <c:valAx>
        <c:axId val="15659161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590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8812835567629323E-4"/>
          <c:y val="0.95039843699928384"/>
          <c:w val="0.98718741031943291"/>
          <c:h val="4.3442472215391811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IMPORTANCIA MEDIA - ALTA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A FACTOR DE IMPORTANCIA MEDIA - ALTA (100% = 448)]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216527896423199E-2"/>
          <c:y val="0.17044738130774825"/>
          <c:w val="0.87865831403205463"/>
          <c:h val="0.7230145488255503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'FORMULAS FEB'!$GT$13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FEB'!$GS$14:$GS$17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FEB'!$GT$14:$GT$17</c:f>
              <c:numCache>
                <c:formatCode>0.0%</c:formatCode>
                <c:ptCount val="4"/>
                <c:pt idx="0">
                  <c:v>3.7946428571428568E-2</c:v>
                </c:pt>
                <c:pt idx="1">
                  <c:v>4.4642857142857144E-2</c:v>
                </c:pt>
                <c:pt idx="2">
                  <c:v>6.4732142857142863E-2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FEB'!$GU$13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3.9900251465836895E-2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FEB'!$GS$14:$GS$17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FEB'!$GU$14:$GU$17</c:f>
              <c:numCache>
                <c:formatCode>0.0%</c:formatCode>
                <c:ptCount val="4"/>
                <c:pt idx="0">
                  <c:v>4.4642857142857144E-2</c:v>
                </c:pt>
                <c:pt idx="1">
                  <c:v>4.2410714285714288E-2</c:v>
                </c:pt>
                <c:pt idx="2">
                  <c:v>9.1517857142857137E-2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FEB'!$GV$13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2.071197664341383E-3"/>
                  <c:y val="-7.9800502931673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FEB'!$GS$14:$GS$17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FEB'!$GV$14:$GV$17</c:f>
              <c:numCache>
                <c:formatCode>0.0%</c:formatCode>
                <c:ptCount val="4"/>
                <c:pt idx="0">
                  <c:v>0.10044642857142858</c:v>
                </c:pt>
                <c:pt idx="1">
                  <c:v>0.10267857142857142</c:v>
                </c:pt>
                <c:pt idx="2">
                  <c:v>0.19642857142857142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FEB'!$GW$13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6.2135929930241477E-3"/>
                  <c:y val="-0.11172091355448199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4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FEB'!$GS$14:$GS$17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FEB'!$GW$14:$GW$17</c:f>
              <c:numCache>
                <c:formatCode>0.0%</c:formatCode>
                <c:ptCount val="4"/>
                <c:pt idx="0">
                  <c:v>0.10044642857142858</c:v>
                </c:pt>
                <c:pt idx="1">
                  <c:v>6.6964285714285712E-2</c:v>
                </c:pt>
                <c:pt idx="2">
                  <c:v>0.10714285714285714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156642304"/>
        <c:axId val="156660480"/>
        <c:axId val="0"/>
      </c:bar3DChart>
      <c:catAx>
        <c:axId val="1566423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660480"/>
        <c:crosses val="autoZero"/>
        <c:auto val="1"/>
        <c:lblAlgn val="ctr"/>
        <c:lblOffset val="100"/>
        <c:noMultiLvlLbl val="0"/>
      </c:catAx>
      <c:valAx>
        <c:axId val="15666048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64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95305845376367282"/>
          <c:w val="0.98987608366855762"/>
          <c:h val="4.3442472215391811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IMPORTANCIA MEDIA - ALTA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[TOTAL DE RESPUESTAS A FACTOR DE IMPORTANCIA MEDIA - ALTA = 448]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294769762337527E-2"/>
          <c:y val="0.18374746512969381"/>
          <c:w val="0.87095970370205433"/>
          <c:h val="0.71237448176799356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'FORMULAS FEB'!$GY$13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FEB'!$GS$14:$GS$17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FEB'!$GY$14:$GY$17</c:f>
              <c:numCache>
                <c:formatCode>General</c:formatCode>
                <c:ptCount val="4"/>
                <c:pt idx="0">
                  <c:v>17</c:v>
                </c:pt>
                <c:pt idx="1">
                  <c:v>20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ser>
          <c:idx val="6"/>
          <c:order val="1"/>
          <c:tx>
            <c:strRef>
              <c:f>'FORMULAS FEB'!$GZ$13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4.256026823022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FEB'!$GS$14:$GS$17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FEB'!$GZ$14:$GZ$17</c:f>
              <c:numCache>
                <c:formatCode>General</c:formatCode>
                <c:ptCount val="4"/>
                <c:pt idx="0">
                  <c:v>20</c:v>
                </c:pt>
                <c:pt idx="1">
                  <c:v>19</c:v>
                </c:pt>
                <c:pt idx="2">
                  <c:v>41</c:v>
                </c:pt>
                <c:pt idx="3">
                  <c:v>0</c:v>
                </c:pt>
              </c:numCache>
            </c:numRef>
          </c:val>
        </c:ser>
        <c:ser>
          <c:idx val="7"/>
          <c:order val="2"/>
          <c:tx>
            <c:strRef>
              <c:f>'FORMULAS FEB'!$HA$13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2.0792723398166237E-3"/>
                  <c:y val="-8.24605196960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FEB'!$GS$14:$GS$17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FEB'!$HA$14:$HA$17</c:f>
              <c:numCache>
                <c:formatCode>General</c:formatCode>
                <c:ptCount val="4"/>
                <c:pt idx="0">
                  <c:v>45</c:v>
                </c:pt>
                <c:pt idx="1">
                  <c:v>46</c:v>
                </c:pt>
                <c:pt idx="2">
                  <c:v>88</c:v>
                </c:pt>
                <c:pt idx="3">
                  <c:v>0</c:v>
                </c:pt>
              </c:numCache>
            </c:numRef>
          </c:val>
        </c:ser>
        <c:ser>
          <c:idx val="8"/>
          <c:order val="3"/>
          <c:tx>
            <c:strRef>
              <c:f>'FORMULAS FEB'!$HB$13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0.12236077116189951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FEB'!$GS$14:$GS$17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FEB'!$HB$14:$HB$17</c:f>
              <c:numCache>
                <c:formatCode>General</c:formatCode>
                <c:ptCount val="4"/>
                <c:pt idx="0">
                  <c:v>45</c:v>
                </c:pt>
                <c:pt idx="1">
                  <c:v>30</c:v>
                </c:pt>
                <c:pt idx="2">
                  <c:v>48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56714112"/>
        <c:axId val="156715648"/>
      </c:barChart>
      <c:catAx>
        <c:axId val="156714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715648"/>
        <c:crosses val="autoZero"/>
        <c:auto val="1"/>
        <c:lblAlgn val="ctr"/>
        <c:lblOffset val="100"/>
        <c:noMultiLvlLbl val="0"/>
      </c:catAx>
      <c:valAx>
        <c:axId val="15671564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714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7014168194468104E-5"/>
          <c:y val="0.95571847052806191"/>
          <c:w val="0.97918026243363965"/>
          <c:h val="4.3442472215391811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MX" sz="1100"/>
              <a:t>GRADO DE IMPORTANCIA DEL FACTOR QUE DETERMINA</a:t>
            </a:r>
            <a:r>
              <a:rPr lang="es-MX" sz="1100" baseline="0"/>
              <a:t> </a:t>
            </a:r>
            <a:r>
              <a:rPr lang="es-MX" sz="1100"/>
              <a:t>LA RUTA</a:t>
            </a:r>
          </a:p>
          <a:p>
            <a:pPr>
              <a:defRPr sz="1100"/>
            </a:pPr>
            <a:r>
              <a:rPr lang="es-MX" sz="1050"/>
              <a:t>ENCUESTA A CONDUCTORES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06925450108274"/>
          <c:y val="0.12683693500315557"/>
          <c:w val="0.82936924989639449"/>
          <c:h val="0.6173611634390776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FORMULAS!$O$29</c:f>
              <c:strCache>
                <c:ptCount val="1"/>
                <c:pt idx="0">
                  <c:v>TIEMPO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dLbl>
              <c:idx val="3"/>
              <c:delete val="1"/>
            </c:dLbl>
            <c:txPr>
              <a:bodyPr/>
              <a:lstStyle/>
              <a:p>
                <a:pPr>
                  <a:defRPr b="1" i="0" baseline="0">
                    <a:latin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FORMULAS!$N$30:$N$33</c:f>
              <c:strCache>
                <c:ptCount val="4"/>
                <c:pt idx="0">
                  <c:v>MAYOR IMPORTANCIA</c:v>
                </c:pt>
                <c:pt idx="1">
                  <c:v>IMPORTANCIA INTERMEDIA</c:v>
                </c:pt>
                <c:pt idx="2">
                  <c:v>POCO IMPORTANTE</c:v>
                </c:pt>
                <c:pt idx="3">
                  <c:v>MENOR IMPORTANCIA</c:v>
                </c:pt>
              </c:strCache>
            </c:strRef>
          </c:cat>
          <c:val>
            <c:numRef>
              <c:f>FORMULAS!$O$30:$O$33</c:f>
              <c:numCache>
                <c:formatCode>General</c:formatCode>
                <c:ptCount val="4"/>
                <c:pt idx="0">
                  <c:v>258</c:v>
                </c:pt>
                <c:pt idx="1">
                  <c:v>127</c:v>
                </c:pt>
                <c:pt idx="2">
                  <c:v>63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FORMULAS!$P$29</c:f>
              <c:strCache>
                <c:ptCount val="1"/>
                <c:pt idx="0">
                  <c:v>CUOTA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1" i="0" baseline="0">
                    <a:latin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FORMULAS!$N$30:$N$33</c:f>
              <c:strCache>
                <c:ptCount val="4"/>
                <c:pt idx="0">
                  <c:v>MAYOR IMPORTANCIA</c:v>
                </c:pt>
                <c:pt idx="1">
                  <c:v>IMPORTANCIA INTERMEDIA</c:v>
                </c:pt>
                <c:pt idx="2">
                  <c:v>POCO IMPORTANTE</c:v>
                </c:pt>
                <c:pt idx="3">
                  <c:v>MENOR IMPORTANCIA</c:v>
                </c:pt>
              </c:strCache>
            </c:strRef>
          </c:cat>
          <c:val>
            <c:numRef>
              <c:f>FORMULAS!$P$30:$P$33</c:f>
              <c:numCache>
                <c:formatCode>General</c:formatCode>
                <c:ptCount val="4"/>
                <c:pt idx="0">
                  <c:v>49</c:v>
                </c:pt>
                <c:pt idx="1">
                  <c:v>115</c:v>
                </c:pt>
                <c:pt idx="2">
                  <c:v>250</c:v>
                </c:pt>
                <c:pt idx="3">
                  <c:v>34</c:v>
                </c:pt>
              </c:numCache>
            </c:numRef>
          </c:val>
        </c:ser>
        <c:ser>
          <c:idx val="2"/>
          <c:order val="2"/>
          <c:tx>
            <c:strRef>
              <c:f>FORMULAS!$Q$29</c:f>
              <c:strCache>
                <c:ptCount val="1"/>
                <c:pt idx="0">
                  <c:v>DISTANCIA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1.8713450292397824E-2"/>
                  <c:y val="-7.9432612284564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latin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FORMULAS!$N$30:$N$33</c:f>
              <c:strCache>
                <c:ptCount val="4"/>
                <c:pt idx="0">
                  <c:v>MAYOR IMPORTANCIA</c:v>
                </c:pt>
                <c:pt idx="1">
                  <c:v>IMPORTANCIA INTERMEDIA</c:v>
                </c:pt>
                <c:pt idx="2">
                  <c:v>POCO IMPORTANTE</c:v>
                </c:pt>
                <c:pt idx="3">
                  <c:v>MENOR IMPORTANCIA</c:v>
                </c:pt>
              </c:strCache>
            </c:strRef>
          </c:cat>
          <c:val>
            <c:numRef>
              <c:f>FORMULAS!$Q$30:$Q$33</c:f>
              <c:numCache>
                <c:formatCode>General</c:formatCode>
                <c:ptCount val="4"/>
                <c:pt idx="0">
                  <c:v>96</c:v>
                </c:pt>
                <c:pt idx="1">
                  <c:v>206</c:v>
                </c:pt>
                <c:pt idx="2">
                  <c:v>135</c:v>
                </c:pt>
                <c:pt idx="3">
                  <c:v>11</c:v>
                </c:pt>
              </c:numCache>
            </c:numRef>
          </c:val>
        </c:ser>
        <c:ser>
          <c:idx val="3"/>
          <c:order val="3"/>
          <c:tx>
            <c:strRef>
              <c:f>FORMULAS!$R$29</c:f>
              <c:strCache>
                <c:ptCount val="1"/>
                <c:pt idx="0">
                  <c:v>SEGURIDAD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1" i="0" baseline="0">
                    <a:latin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FORMULAS!$N$30:$N$33</c:f>
              <c:strCache>
                <c:ptCount val="4"/>
                <c:pt idx="0">
                  <c:v>MAYOR IMPORTANCIA</c:v>
                </c:pt>
                <c:pt idx="1">
                  <c:v>IMPORTANCIA INTERMEDIA</c:v>
                </c:pt>
                <c:pt idx="2">
                  <c:v>POCO IMPORTANTE</c:v>
                </c:pt>
                <c:pt idx="3">
                  <c:v>MENOR IMPORTANCIA</c:v>
                </c:pt>
              </c:strCache>
            </c:strRef>
          </c:cat>
          <c:val>
            <c:numRef>
              <c:f>FORMULAS!$R$30:$R$33</c:f>
              <c:numCache>
                <c:formatCode>General</c:formatCode>
                <c:ptCount val="4"/>
                <c:pt idx="0">
                  <c:v>40</c:v>
                </c:pt>
              </c:numCache>
            </c:numRef>
          </c:val>
        </c:ser>
        <c:ser>
          <c:idx val="4"/>
          <c:order val="4"/>
          <c:tx>
            <c:strRef>
              <c:f>FORMULAS!$S$29</c:f>
              <c:strCache>
                <c:ptCount val="1"/>
                <c:pt idx="0">
                  <c:v>LUGAR DONDE SE ENCUENTRA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0175438596491333E-3"/>
                  <c:y val="-3.4042548121956312E-2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latin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FORMULAS!$N$30:$N$33</c:f>
              <c:strCache>
                <c:ptCount val="4"/>
                <c:pt idx="0">
                  <c:v>MAYOR IMPORTANCIA</c:v>
                </c:pt>
                <c:pt idx="1">
                  <c:v>IMPORTANCIA INTERMEDIA</c:v>
                </c:pt>
                <c:pt idx="2">
                  <c:v>POCO IMPORTANTE</c:v>
                </c:pt>
                <c:pt idx="3">
                  <c:v>MENOR IMPORTANCIA</c:v>
                </c:pt>
              </c:strCache>
            </c:strRef>
          </c:cat>
          <c:val>
            <c:numRef>
              <c:f>FORMULAS!$S$30:$S$33</c:f>
              <c:numCache>
                <c:formatCode>General</c:formatCode>
                <c:ptCount val="4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117455104"/>
        <c:axId val="117469184"/>
        <c:axId val="0"/>
      </c:bar3DChart>
      <c:catAx>
        <c:axId val="1174551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17469184"/>
        <c:crosses val="autoZero"/>
        <c:auto val="1"/>
        <c:lblAlgn val="ctr"/>
        <c:lblOffset val="100"/>
        <c:noMultiLvlLbl val="0"/>
      </c:catAx>
      <c:valAx>
        <c:axId val="1174691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17455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1192890362388877E-2"/>
          <c:y val="0.91232212172935379"/>
          <c:w val="0.96880710963761107"/>
          <c:h val="8.4783219257537887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IMPORTANCIA MEDIA - BAJA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A IMPORTANCIA MEDIA - BAJA (100% = 448)]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545014281490263E-2"/>
          <c:y val="0.18420682414698175"/>
          <c:w val="0.88442291024125097"/>
          <c:h val="0.7116554330708667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'FORMULAS FEB'!$GT$22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3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FEB'!$GS$23:$GS$26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FEB'!$GT$23:$GT$26</c:f>
              <c:numCache>
                <c:formatCode>0.0%</c:formatCode>
                <c:ptCount val="4"/>
                <c:pt idx="0">
                  <c:v>3.3482142857142856E-2</c:v>
                </c:pt>
                <c:pt idx="1">
                  <c:v>7.8125E-2</c:v>
                </c:pt>
                <c:pt idx="2">
                  <c:v>3.5714285714285712E-2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FEB'!$GU$22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2.0792723398166237E-3"/>
                  <c:y val="-6.6666666666666763E-2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FEB'!$GS$23:$GS$26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FEB'!$GU$23:$GU$26</c:f>
              <c:numCache>
                <c:formatCode>0.0%</c:formatCode>
                <c:ptCount val="4"/>
                <c:pt idx="0">
                  <c:v>3.3482142857142856E-2</c:v>
                </c:pt>
                <c:pt idx="1">
                  <c:v>0.10714285714285714</c:v>
                </c:pt>
                <c:pt idx="2">
                  <c:v>3.7946428571428568E-2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FEB'!$GV$22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1.247563403889974E-2"/>
                  <c:y val="-0.1120000000000001"/>
                </c:manualLayout>
              </c:layout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FEB'!$GS$23:$GS$26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FEB'!$GV$23:$GV$26</c:f>
              <c:numCache>
                <c:formatCode>0.0%</c:formatCode>
                <c:ptCount val="4"/>
                <c:pt idx="0">
                  <c:v>5.3571428571428568E-2</c:v>
                </c:pt>
                <c:pt idx="1">
                  <c:v>0.22991071428571427</c:v>
                </c:pt>
                <c:pt idx="2">
                  <c:v>0.11607142857142858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FEB'!$GW$22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8.3170893592665104E-3"/>
                  <c:y val="-0.15466666666666676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4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FEB'!$GS$23:$GS$26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FEB'!$GW$23:$GW$26</c:f>
              <c:numCache>
                <c:formatCode>0.0%</c:formatCode>
                <c:ptCount val="4"/>
                <c:pt idx="0">
                  <c:v>2.0089285714285716E-2</c:v>
                </c:pt>
                <c:pt idx="1">
                  <c:v>0.14285714285714285</c:v>
                </c:pt>
                <c:pt idx="2">
                  <c:v>0.11160714285714286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156766976"/>
        <c:axId val="156768512"/>
        <c:axId val="0"/>
      </c:bar3DChart>
      <c:catAx>
        <c:axId val="1567669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768512"/>
        <c:crosses val="autoZero"/>
        <c:auto val="1"/>
        <c:lblAlgn val="ctr"/>
        <c:lblOffset val="100"/>
        <c:noMultiLvlLbl val="0"/>
      </c:catAx>
      <c:valAx>
        <c:axId val="15676851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766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7014168194467979E-5"/>
          <c:y val="0.94619107611548636"/>
          <c:w val="0.9874973517929051"/>
          <c:h val="5.1551076115485546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IMPORTANCIA MEDIA - BAJA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1400"/>
              <a:t>[</a:t>
            </a:r>
            <a:r>
              <a:rPr lang="es-MX" sz="800"/>
              <a:t>TOTAL DE RESPUESTAS A IMPORTANCIA MEDIA - BAJA = 448]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14050300891598E-2"/>
          <c:y val="0.20554020063836248"/>
          <c:w val="0.87328597675876352"/>
          <c:h val="0.67165536412711102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'FORMULAS FEB'!$GY$22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FEB'!$GS$23:$GS$26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FEB'!$GY$23:$GY$26</c:f>
              <c:numCache>
                <c:formatCode>General</c:formatCode>
                <c:ptCount val="4"/>
                <c:pt idx="0">
                  <c:v>15</c:v>
                </c:pt>
                <c:pt idx="1">
                  <c:v>35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ser>
          <c:idx val="6"/>
          <c:order val="1"/>
          <c:tx>
            <c:strRef>
              <c:f>'FORMULAS FEB'!$GZ$22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3.7333341172355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FEB'!$GS$23:$GS$26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FEB'!$GZ$23:$GZ$26</c:f>
              <c:numCache>
                <c:formatCode>General</c:formatCode>
                <c:ptCount val="4"/>
                <c:pt idx="0">
                  <c:v>15</c:v>
                </c:pt>
                <c:pt idx="1">
                  <c:v>48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ser>
          <c:idx val="7"/>
          <c:order val="2"/>
          <c:tx>
            <c:strRef>
              <c:f>'FORMULAS FEB'!$HA$22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6.9333347891516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FEB'!$GS$23:$GS$26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FEB'!$HA$23:$HA$26</c:f>
              <c:numCache>
                <c:formatCode>General</c:formatCode>
                <c:ptCount val="4"/>
                <c:pt idx="0">
                  <c:v>24</c:v>
                </c:pt>
                <c:pt idx="1">
                  <c:v>103</c:v>
                </c:pt>
                <c:pt idx="2">
                  <c:v>52</c:v>
                </c:pt>
                <c:pt idx="3">
                  <c:v>0</c:v>
                </c:pt>
              </c:numCache>
            </c:numRef>
          </c:val>
        </c:ser>
        <c:ser>
          <c:idx val="8"/>
          <c:order val="3"/>
          <c:tx>
            <c:strRef>
              <c:f>'FORMULAS FEB'!$HB$22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2.0752271475006096E-3"/>
                  <c:y val="-0.10133335461067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FEB'!$GS$23:$GS$26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FEB'!$HB$23:$HB$26</c:f>
              <c:numCache>
                <c:formatCode>General</c:formatCode>
                <c:ptCount val="4"/>
                <c:pt idx="0">
                  <c:v>9</c:v>
                </c:pt>
                <c:pt idx="1">
                  <c:v>64</c:v>
                </c:pt>
                <c:pt idx="2">
                  <c:v>50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56826240"/>
        <c:axId val="156377472"/>
      </c:barChart>
      <c:catAx>
        <c:axId val="156826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377472"/>
        <c:crosses val="autoZero"/>
        <c:auto val="1"/>
        <c:lblAlgn val="ctr"/>
        <c:lblOffset val="100"/>
        <c:noMultiLvlLbl val="0"/>
      </c:catAx>
      <c:valAx>
        <c:axId val="15637747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82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94885794201741569"/>
          <c:w val="0.98142573660759558"/>
          <c:h val="4.8884419713263967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MENOR IMPORTANCIA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A MENOR IMPORTANCIA (100% = 45)]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3859119551528782E-2"/>
          <c:y val="0.19822461957321685"/>
          <c:w val="0.8764921411814377"/>
          <c:h val="0.6749063017918041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'FORMULAS FEB'!$GT$31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256804252025406E-3"/>
                  <c:y val="-6.3366349807198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1504536168016897E-3"/>
                  <c:y val="-7.1287143533098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FEB'!$GS$32:$GS$35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FEB'!$GT$32:$GT$35</c:f>
              <c:numCache>
                <c:formatCode>0.0%</c:formatCode>
                <c:ptCount val="4"/>
                <c:pt idx="0">
                  <c:v>0</c:v>
                </c:pt>
                <c:pt idx="1">
                  <c:v>4.464285714285714E-3</c:v>
                </c:pt>
                <c:pt idx="2">
                  <c:v>4.464285714285714E-3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FEB'!$GU$31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0.10033005386139733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0.11089111216259705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FEB'!$GS$32:$GS$35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FEB'!$GU$32:$GU$35</c:f>
              <c:numCache>
                <c:formatCode>0.0%</c:formatCode>
                <c:ptCount val="4"/>
                <c:pt idx="0">
                  <c:v>0</c:v>
                </c:pt>
                <c:pt idx="1">
                  <c:v>1.1160714285714286E-2</c:v>
                </c:pt>
                <c:pt idx="2">
                  <c:v>2.232142857142857E-3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FEB'!$GV$31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1504536168016897E-3"/>
                  <c:y val="-0.14521455164149627"/>
                </c:manualLayout>
              </c:layout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1504536168016897E-3"/>
                  <c:y val="-0.1557756099426959"/>
                </c:manualLayout>
              </c:layout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FEB'!$GS$32:$GS$35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FEB'!$GV$32:$GV$35</c:f>
              <c:numCache>
                <c:formatCode>0.0%</c:formatCode>
                <c:ptCount val="4"/>
                <c:pt idx="0">
                  <c:v>0</c:v>
                </c:pt>
                <c:pt idx="1">
                  <c:v>2.6785714285714284E-2</c:v>
                </c:pt>
                <c:pt idx="2">
                  <c:v>6.6964285714285711E-3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FEB'!$GW$31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1504536168016897E-3"/>
                  <c:y val="-0.1795379911203954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4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376134042004225E-2"/>
                  <c:y val="-0.20858090144869446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4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FEB'!$GS$32:$GS$35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FEB'!$GW$32:$GW$35</c:f>
              <c:numCache>
                <c:formatCode>0.0%</c:formatCode>
                <c:ptCount val="4"/>
                <c:pt idx="0">
                  <c:v>0</c:v>
                </c:pt>
                <c:pt idx="1">
                  <c:v>3.3482142857142856E-2</c:v>
                </c:pt>
                <c:pt idx="2">
                  <c:v>1.1160714285714286E-2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156441984"/>
        <c:axId val="156456064"/>
        <c:axId val="0"/>
      </c:bar3DChart>
      <c:catAx>
        <c:axId val="1564419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456064"/>
        <c:crosses val="autoZero"/>
        <c:auto val="1"/>
        <c:lblAlgn val="ctr"/>
        <c:lblOffset val="100"/>
        <c:noMultiLvlLbl val="0"/>
      </c:catAx>
      <c:valAx>
        <c:axId val="15645606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44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94969422825690164"/>
          <c:w val="0.9793503494306115"/>
          <c:h val="4.8400415457065131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MENOR IMPORTANCIA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[TOTAL DE RESPUESTAS A MENOR IMPORTANCIA</a:t>
            </a:r>
            <a:r>
              <a:rPr lang="es-MX" sz="800" baseline="0"/>
              <a:t> = 45]</a:t>
            </a:r>
            <a:endParaRPr lang="es-MX" sz="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294769762337527E-2"/>
          <c:y val="0.19390403172714868"/>
          <c:w val="0.87719752072150425"/>
          <c:h val="0.69982289073986204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'FORMULAS FEB'!$GY$31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FEB'!$GS$32:$GS$35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FEB'!$GY$32:$GY$35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6"/>
          <c:order val="1"/>
          <c:tx>
            <c:strRef>
              <c:f>'FORMULAS FEB'!$GZ$31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4.245440799814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792723398166237E-3"/>
                  <c:y val="-3.9801007498259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FEB'!$GS$32:$GS$35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FEB'!$GZ$32:$GZ$35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7"/>
          <c:order val="2"/>
          <c:tx>
            <c:strRef>
              <c:f>'FORMULAS FEB'!$HA$31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7.6948614496634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7.6948614496634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FEB'!$GS$32:$GS$35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FEB'!$HA$32:$HA$35</c:f>
              <c:numCache>
                <c:formatCode>General</c:formatCode>
                <c:ptCount val="4"/>
                <c:pt idx="0">
                  <c:v>0</c:v>
                </c:pt>
                <c:pt idx="1">
                  <c:v>12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8"/>
          <c:order val="3"/>
          <c:tx>
            <c:strRef>
              <c:f>'FORMULAS FEB'!$HB$31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0.11144282099512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0.11144282099512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FEB'!$GS$32:$GS$35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FEB'!$HB$32:$HB$35</c:f>
              <c:numCache>
                <c:formatCode>General</c:formatCode>
                <c:ptCount val="4"/>
                <c:pt idx="0">
                  <c:v>0</c:v>
                </c:pt>
                <c:pt idx="1">
                  <c:v>15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56493312"/>
        <c:axId val="156494848"/>
      </c:barChart>
      <c:catAx>
        <c:axId val="156493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494848"/>
        <c:crosses val="autoZero"/>
        <c:auto val="1"/>
        <c:lblAlgn val="ctr"/>
        <c:lblOffset val="100"/>
        <c:noMultiLvlLbl val="0"/>
      </c:catAx>
      <c:valAx>
        <c:axId val="15649484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493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7014168194468104E-5"/>
          <c:y val="0.95193166511745686"/>
          <c:w val="0.98125953477345562"/>
          <c:h val="4.5987818175626284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PORCENTAJE QUE RECORREN DE VACÍO LAS UNIDADES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A PORCENTAJE QUE RECORREN DE VACÍO (100% = 453)]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FEB'!$HE$4</c:f>
              <c:strCache>
                <c:ptCount val="1"/>
                <c:pt idx="0">
                  <c:v>50%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FEB'!$HF$3:$HI$3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FEB'!$HF$4:$HI$4</c:f>
              <c:numCache>
                <c:formatCode>0.0%</c:formatCode>
                <c:ptCount val="4"/>
                <c:pt idx="0">
                  <c:v>6.4017660044150104E-2</c:v>
                </c:pt>
                <c:pt idx="1">
                  <c:v>0.11699779249448124</c:v>
                </c:pt>
                <c:pt idx="2">
                  <c:v>0.27152317880794702</c:v>
                </c:pt>
                <c:pt idx="3">
                  <c:v>0.14569536423841059</c:v>
                </c:pt>
              </c:numCache>
            </c:numRef>
          </c:val>
        </c:ser>
        <c:ser>
          <c:idx val="1"/>
          <c:order val="1"/>
          <c:tx>
            <c:strRef>
              <c:f>'FORMULAS FEB'!$HE$5</c:f>
              <c:strCache>
                <c:ptCount val="1"/>
                <c:pt idx="0">
                  <c:v>30% A 49%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FEB'!$HF$3:$HI$3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FEB'!$HF$5:$HI$5</c:f>
              <c:numCache>
                <c:formatCode>0.0%</c:formatCode>
                <c:ptCount val="4"/>
                <c:pt idx="0">
                  <c:v>8.8300220750551876E-3</c:v>
                </c:pt>
                <c:pt idx="1">
                  <c:v>1.5452538631346579E-2</c:v>
                </c:pt>
                <c:pt idx="2">
                  <c:v>2.6490066225165563E-2</c:v>
                </c:pt>
                <c:pt idx="3">
                  <c:v>2.8697571743929361E-2</c:v>
                </c:pt>
              </c:numCache>
            </c:numRef>
          </c:val>
        </c:ser>
        <c:ser>
          <c:idx val="2"/>
          <c:order val="2"/>
          <c:tx>
            <c:strRef>
              <c:f>'FORMULAS FEB'!$HE$6</c:f>
              <c:strCache>
                <c:ptCount val="1"/>
                <c:pt idx="0">
                  <c:v>20% A 29%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FEB'!$HF$3:$HI$3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FEB'!$HF$6:$HI$6</c:f>
              <c:numCache>
                <c:formatCode>0.0%</c:formatCode>
                <c:ptCount val="4"/>
                <c:pt idx="0">
                  <c:v>1.3245033112582781E-2</c:v>
                </c:pt>
                <c:pt idx="1">
                  <c:v>1.7660044150110375E-2</c:v>
                </c:pt>
                <c:pt idx="2">
                  <c:v>3.5320088300220751E-2</c:v>
                </c:pt>
                <c:pt idx="3">
                  <c:v>1.9867549668874173E-2</c:v>
                </c:pt>
              </c:numCache>
            </c:numRef>
          </c:val>
        </c:ser>
        <c:ser>
          <c:idx val="3"/>
          <c:order val="3"/>
          <c:tx>
            <c:strRef>
              <c:f>'FORMULAS FEB'!$HE$7</c:f>
              <c:strCache>
                <c:ptCount val="1"/>
                <c:pt idx="0">
                  <c:v>10% A 19%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FEB'!$HF$3:$HI$3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FEB'!$HF$7:$HI$7</c:f>
              <c:numCache>
                <c:formatCode>0.0%</c:formatCode>
                <c:ptCount val="4"/>
                <c:pt idx="0">
                  <c:v>4.194260485651214E-2</c:v>
                </c:pt>
                <c:pt idx="1">
                  <c:v>2.2075055187637971E-2</c:v>
                </c:pt>
                <c:pt idx="2">
                  <c:v>3.5320088300220751E-2</c:v>
                </c:pt>
                <c:pt idx="3">
                  <c:v>4.4150110375275942E-2</c:v>
                </c:pt>
              </c:numCache>
            </c:numRef>
          </c:val>
        </c:ser>
        <c:ser>
          <c:idx val="4"/>
          <c:order val="4"/>
          <c:tx>
            <c:strRef>
              <c:f>'FORMULAS FEB'!$HE$8</c:f>
              <c:strCache>
                <c:ptCount val="1"/>
                <c:pt idx="0">
                  <c:v>&lt;10%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FEB'!$HF$3:$HI$3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FEB'!$HF$8:$HI$8</c:f>
              <c:numCache>
                <c:formatCode>0.0%</c:formatCode>
                <c:ptCount val="4"/>
                <c:pt idx="0">
                  <c:v>1.7660044150110375E-2</c:v>
                </c:pt>
                <c:pt idx="1">
                  <c:v>6.6225165562913907E-3</c:v>
                </c:pt>
                <c:pt idx="2">
                  <c:v>3.3112582781456956E-2</c:v>
                </c:pt>
                <c:pt idx="3">
                  <c:v>3.5320088300220751E-2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7095040"/>
        <c:axId val="157096576"/>
        <c:axId val="0"/>
      </c:bar3DChart>
      <c:catAx>
        <c:axId val="1570950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7096576"/>
        <c:crosses val="autoZero"/>
        <c:auto val="1"/>
        <c:lblAlgn val="ctr"/>
        <c:lblOffset val="100"/>
        <c:noMultiLvlLbl val="0"/>
      </c:catAx>
      <c:valAx>
        <c:axId val="1570965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7095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RECORREN DE VACÍO </a:t>
            </a:r>
          </a:p>
          <a:p>
            <a:pPr>
              <a:defRPr sz="1400"/>
            </a:pPr>
            <a:r>
              <a:rPr lang="en-US" sz="1200"/>
              <a:t>PROPIETARIOS CON UNA UNIDAD.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A PORCENTAJE QUE RECORRE DE VACÍO (100% = 66)]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FEB'!$HE$11</c:f>
              <c:strCache>
                <c:ptCount val="1"/>
                <c:pt idx="0">
                  <c:v>PORCENTAJE QUE RECORREN DE VACÍO PROPIETARIOS CON UNA UNIDAD. ENCUESTA A 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FEB'!$HE$13:$HE$17</c:f>
              <c:strCache>
                <c:ptCount val="5"/>
                <c:pt idx="0">
                  <c:v>50% DE VACÍO</c:v>
                </c:pt>
                <c:pt idx="1">
                  <c:v>30% A 49% DE VACÍO</c:v>
                </c:pt>
                <c:pt idx="2">
                  <c:v>20% A 29% DE VACÍO</c:v>
                </c:pt>
                <c:pt idx="3">
                  <c:v>10% A 19% DE VACÍO</c:v>
                </c:pt>
                <c:pt idx="4">
                  <c:v>&lt;10% DE VACÍO</c:v>
                </c:pt>
              </c:strCache>
            </c:strRef>
          </c:cat>
          <c:val>
            <c:numRef>
              <c:f>'FORMULAS FEB'!$HF$13:$HF$17</c:f>
              <c:numCache>
                <c:formatCode>0.0%</c:formatCode>
                <c:ptCount val="5"/>
                <c:pt idx="0">
                  <c:v>0.43939393939393939</c:v>
                </c:pt>
                <c:pt idx="1">
                  <c:v>6.0606060606060608E-2</c:v>
                </c:pt>
                <c:pt idx="2">
                  <c:v>9.0909090909090912E-2</c:v>
                </c:pt>
                <c:pt idx="3">
                  <c:v>0.2878787878787879</c:v>
                </c:pt>
                <c:pt idx="4">
                  <c:v>0.12121212121212122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7134848"/>
        <c:axId val="157136384"/>
        <c:axId val="0"/>
      </c:bar3DChart>
      <c:catAx>
        <c:axId val="157134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7136384"/>
        <c:crosses val="autoZero"/>
        <c:auto val="1"/>
        <c:lblAlgn val="ctr"/>
        <c:lblOffset val="100"/>
        <c:noMultiLvlLbl val="0"/>
      </c:catAx>
      <c:valAx>
        <c:axId val="1571363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713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RECORREN DE VACÍO </a:t>
            </a:r>
          </a:p>
          <a:p>
            <a:pPr>
              <a:defRPr sz="1400"/>
            </a:pPr>
            <a:r>
              <a:rPr lang="en-US" sz="1200"/>
              <a:t>PROPIETARIOS CON DOS UNIDADES.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PORCENTAJE QUE RECORREN DE VACÍO (100% = 81)]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FEB'!$HE$20</c:f>
              <c:strCache>
                <c:ptCount val="1"/>
                <c:pt idx="0">
                  <c:v>PORCENTAJE QUE RECORREN DE VACÍO PROPIETARIOS CON DOS UNIDADES. ENCUESTA A 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FEB'!$HE$22:$HE$26</c:f>
              <c:strCache>
                <c:ptCount val="5"/>
                <c:pt idx="0">
                  <c:v>50% DE VACÍO</c:v>
                </c:pt>
                <c:pt idx="1">
                  <c:v>30% A 49% DE VACÍO</c:v>
                </c:pt>
                <c:pt idx="2">
                  <c:v>20% A 29% DE VACÍO</c:v>
                </c:pt>
                <c:pt idx="3">
                  <c:v>10% A 19% DE VACÍO</c:v>
                </c:pt>
                <c:pt idx="4">
                  <c:v>&lt;10% DE VACÍO</c:v>
                </c:pt>
              </c:strCache>
            </c:strRef>
          </c:cat>
          <c:val>
            <c:numRef>
              <c:f>'FORMULAS FEB'!$HF$22:$HF$26</c:f>
              <c:numCache>
                <c:formatCode>0.0%</c:formatCode>
                <c:ptCount val="5"/>
                <c:pt idx="0">
                  <c:v>0.65432098765432101</c:v>
                </c:pt>
                <c:pt idx="1">
                  <c:v>8.6419753086419748E-2</c:v>
                </c:pt>
                <c:pt idx="2">
                  <c:v>9.8765432098765427E-2</c:v>
                </c:pt>
                <c:pt idx="3">
                  <c:v>0.12345679012345678</c:v>
                </c:pt>
                <c:pt idx="4">
                  <c:v>3.7037037037037035E-2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6907776"/>
        <c:axId val="156913664"/>
        <c:axId val="0"/>
      </c:bar3DChart>
      <c:catAx>
        <c:axId val="156907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913664"/>
        <c:crosses val="autoZero"/>
        <c:auto val="1"/>
        <c:lblAlgn val="ctr"/>
        <c:lblOffset val="100"/>
        <c:noMultiLvlLbl val="0"/>
      </c:catAx>
      <c:valAx>
        <c:axId val="1569136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907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RECORREN DE VACÍO </a:t>
            </a:r>
          </a:p>
          <a:p>
            <a:pPr>
              <a:defRPr sz="1400"/>
            </a:pPr>
            <a:r>
              <a:rPr lang="en-US" sz="1200"/>
              <a:t>PROPIETARIOS CON TRES A CINCO UNIDADES.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PORCENTAJE QUE RECORRE DE VACÍO (100% = 182)]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FEB'!$HE$29</c:f>
              <c:strCache>
                <c:ptCount val="1"/>
                <c:pt idx="0">
                  <c:v>PORCENTAJE QUE RECORREN DE VACÍO PROPIETARIOS CON TRES A CINCO UNIDADES. ENCUESTA A 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FEB'!$HE$31:$HE$35</c:f>
              <c:strCache>
                <c:ptCount val="5"/>
                <c:pt idx="0">
                  <c:v>50% DE VACÍO</c:v>
                </c:pt>
                <c:pt idx="1">
                  <c:v>30% A 49% DE VACÍO</c:v>
                </c:pt>
                <c:pt idx="2">
                  <c:v>20% A 29% DE VACÍO</c:v>
                </c:pt>
                <c:pt idx="3">
                  <c:v>10% A 19% DE VACÍO</c:v>
                </c:pt>
                <c:pt idx="4">
                  <c:v>&lt;10% DE VACÍO</c:v>
                </c:pt>
              </c:strCache>
            </c:strRef>
          </c:cat>
          <c:val>
            <c:numRef>
              <c:f>'FORMULAS FEB'!$HF$31:$HF$35</c:f>
              <c:numCache>
                <c:formatCode>0.0%</c:formatCode>
                <c:ptCount val="5"/>
                <c:pt idx="0">
                  <c:v>0.67582417582417587</c:v>
                </c:pt>
                <c:pt idx="1">
                  <c:v>6.5934065934065936E-2</c:v>
                </c:pt>
                <c:pt idx="2">
                  <c:v>8.7912087912087919E-2</c:v>
                </c:pt>
                <c:pt idx="3">
                  <c:v>8.7912087912087919E-2</c:v>
                </c:pt>
                <c:pt idx="4">
                  <c:v>8.2417582417582416E-2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6939008"/>
        <c:axId val="156940544"/>
        <c:axId val="0"/>
      </c:bar3DChart>
      <c:catAx>
        <c:axId val="156939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940544"/>
        <c:crosses val="autoZero"/>
        <c:auto val="1"/>
        <c:lblAlgn val="ctr"/>
        <c:lblOffset val="100"/>
        <c:noMultiLvlLbl val="0"/>
      </c:catAx>
      <c:valAx>
        <c:axId val="1569405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939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RECORREN DE VACÍO </a:t>
            </a:r>
          </a:p>
          <a:p>
            <a:pPr>
              <a:defRPr sz="1400"/>
            </a:pPr>
            <a:r>
              <a:rPr lang="en-US" sz="1200"/>
              <a:t>PROPIETARIOS CON SEIS A TREINTA UNIDADES.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PORCENTAJE QUE RECORRE DE VACÍO (100% = 124)]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FEB'!$HE$38</c:f>
              <c:strCache>
                <c:ptCount val="1"/>
                <c:pt idx="0">
                  <c:v>PORCENTAJE QUE RECORREN DE VACÍO PROPIETARIOS CON SEIS A TREINTA UNIDADES. ENCUESTA A 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FEB'!$HE$40:$HE$44</c:f>
              <c:strCache>
                <c:ptCount val="5"/>
                <c:pt idx="0">
                  <c:v>50% DE VACÍO</c:v>
                </c:pt>
                <c:pt idx="1">
                  <c:v>30% A 49% DE VACÍO</c:v>
                </c:pt>
                <c:pt idx="2">
                  <c:v>20% A 29% DE VACÍO</c:v>
                </c:pt>
                <c:pt idx="3">
                  <c:v>10% A 19% DE VACÍO</c:v>
                </c:pt>
                <c:pt idx="4">
                  <c:v>&lt;10% DE VACÍO</c:v>
                </c:pt>
              </c:strCache>
            </c:strRef>
          </c:cat>
          <c:val>
            <c:numRef>
              <c:f>'FORMULAS FEB'!$HF$40:$HF$44</c:f>
              <c:numCache>
                <c:formatCode>0.0%</c:formatCode>
                <c:ptCount val="5"/>
                <c:pt idx="0">
                  <c:v>0.532258064516129</c:v>
                </c:pt>
                <c:pt idx="1">
                  <c:v>0.10483870967741936</c:v>
                </c:pt>
                <c:pt idx="2">
                  <c:v>7.2580645161290328E-2</c:v>
                </c:pt>
                <c:pt idx="3">
                  <c:v>0.16129032258064516</c:v>
                </c:pt>
                <c:pt idx="4">
                  <c:v>0.12903225806451613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6961792"/>
        <c:axId val="156984064"/>
        <c:axId val="0"/>
      </c:bar3DChart>
      <c:catAx>
        <c:axId val="156961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984064"/>
        <c:crosses val="autoZero"/>
        <c:auto val="1"/>
        <c:lblAlgn val="ctr"/>
        <c:lblOffset val="100"/>
        <c:noMultiLvlLbl val="0"/>
      </c:catAx>
      <c:valAx>
        <c:axId val="1569840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6961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AÑO MODELO DEL MOTOR DE LA UNIDAD SEGÚN TAMAÑO DE FLOTA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A AÑO MODELO DEL MOTOR (100% = 453)]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'FORMULAS FEB'!$CM$15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1.5173067351453879E-3"/>
                  <c:y val="-9.521831776554808E-2"/>
                </c:manualLayout>
              </c:layout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FEB'!$CM$16:$CM$22</c:f>
              <c:numCache>
                <c:formatCode>0.0%</c:formatCode>
                <c:ptCount val="7"/>
                <c:pt idx="0">
                  <c:v>2.6490066225165563E-2</c:v>
                </c:pt>
                <c:pt idx="1">
                  <c:v>0</c:v>
                </c:pt>
                <c:pt idx="2">
                  <c:v>1.5452538631346579E-2</c:v>
                </c:pt>
                <c:pt idx="3">
                  <c:v>5.2980132450331126E-2</c:v>
                </c:pt>
                <c:pt idx="4">
                  <c:v>2.6490066225165563E-2</c:v>
                </c:pt>
                <c:pt idx="5">
                  <c:v>1.7660044150110375E-2</c:v>
                </c:pt>
                <c:pt idx="6">
                  <c:v>6.6225165562913907E-3</c:v>
                </c:pt>
              </c:numCache>
            </c:numRef>
          </c:val>
        </c:ser>
        <c:ser>
          <c:idx val="1"/>
          <c:order val="1"/>
          <c:tx>
            <c:strRef>
              <c:f>'FORMULAS FEB'!$CN$15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7.5865336757269418E-3"/>
                  <c:y val="-0.11514773311182561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FEB'!$CN$16:$CN$22</c:f>
              <c:numCache>
                <c:formatCode>0.0%</c:formatCode>
                <c:ptCount val="7"/>
                <c:pt idx="0">
                  <c:v>2.8697571743929361E-2</c:v>
                </c:pt>
                <c:pt idx="1">
                  <c:v>2.2075055187637969E-3</c:v>
                </c:pt>
                <c:pt idx="2">
                  <c:v>2.2075055187637971E-2</c:v>
                </c:pt>
                <c:pt idx="3">
                  <c:v>4.194260485651214E-2</c:v>
                </c:pt>
                <c:pt idx="4">
                  <c:v>3.5320088300220751E-2</c:v>
                </c:pt>
                <c:pt idx="5">
                  <c:v>3.3112582781456956E-2</c:v>
                </c:pt>
                <c:pt idx="6">
                  <c:v>1.5452538631346579E-2</c:v>
                </c:pt>
              </c:numCache>
            </c:numRef>
          </c:val>
        </c:ser>
        <c:ser>
          <c:idx val="2"/>
          <c:order val="2"/>
          <c:tx>
            <c:strRef>
              <c:f>'FORMULAS FEB'!$CO$15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6.0692269405815524E-3"/>
                  <c:y val="-0.1372915279410229"/>
                </c:manualLayout>
              </c:layout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FEB'!$CO$16:$CO$22</c:f>
              <c:numCache>
                <c:formatCode>0.0%</c:formatCode>
                <c:ptCount val="7"/>
                <c:pt idx="0">
                  <c:v>5.7395143487858721E-2</c:v>
                </c:pt>
                <c:pt idx="1">
                  <c:v>4.4150110375275938E-3</c:v>
                </c:pt>
                <c:pt idx="2">
                  <c:v>3.5320088300220751E-2</c:v>
                </c:pt>
                <c:pt idx="3">
                  <c:v>0.10154525386313466</c:v>
                </c:pt>
                <c:pt idx="4">
                  <c:v>7.505518763796909E-2</c:v>
                </c:pt>
                <c:pt idx="5">
                  <c:v>8.8300220750551883E-2</c:v>
                </c:pt>
                <c:pt idx="6">
                  <c:v>3.9735099337748346E-2</c:v>
                </c:pt>
              </c:numCache>
            </c:numRef>
          </c:val>
        </c:ser>
        <c:ser>
          <c:idx val="3"/>
          <c:order val="3"/>
          <c:tx>
            <c:strRef>
              <c:f>'FORMULAS FEB'!$CP$15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9.1038404108723277E-3"/>
                  <c:y val="-0.14393466638978206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4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FEB'!$CP$16:$CP$22</c:f>
              <c:numCache>
                <c:formatCode>0.0%</c:formatCode>
                <c:ptCount val="7"/>
                <c:pt idx="0">
                  <c:v>1.9867549668874173E-2</c:v>
                </c:pt>
                <c:pt idx="1">
                  <c:v>1.3245033112582781E-2</c:v>
                </c:pt>
                <c:pt idx="2">
                  <c:v>1.3245033112582781E-2</c:v>
                </c:pt>
                <c:pt idx="3">
                  <c:v>4.194260485651214E-2</c:v>
                </c:pt>
                <c:pt idx="4">
                  <c:v>4.856512141280353E-2</c:v>
                </c:pt>
                <c:pt idx="5">
                  <c:v>0.10154525386313466</c:v>
                </c:pt>
                <c:pt idx="6">
                  <c:v>3.5320088300220751E-2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157026944"/>
        <c:axId val="157057408"/>
        <c:axId val="0"/>
      </c:bar3DChart>
      <c:catAx>
        <c:axId val="157026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7057408"/>
        <c:crosses val="autoZero"/>
        <c:auto val="1"/>
        <c:lblAlgn val="ctr"/>
        <c:lblOffset val="100"/>
        <c:noMultiLvlLbl val="0"/>
      </c:catAx>
      <c:valAx>
        <c:axId val="15705740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7026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/>
          </a:pPr>
          <a:endParaRPr lang="es-MX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FORMULAS!$N$36</c:f>
              <c:strCache>
                <c:ptCount val="1"/>
                <c:pt idx="0">
                  <c:v>TECNOLOGÍA O ESTRATEGIA PARA REDUCIR EL CONSUMO DE COMBUSTIBLE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latin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FORMULAS!$N$38:$N$48</c:f>
              <c:strCache>
                <c:ptCount val="11"/>
                <c:pt idx="0">
                  <c:v>Cuenta con filtro de partículas</c:v>
                </c:pt>
                <c:pt idx="1">
                  <c:v>Inflado automático de llantas</c:v>
                </c:pt>
                <c:pt idx="2">
                  <c:v>Uso de catalizador</c:v>
                </c:pt>
                <c:pt idx="3">
                  <c:v>Lubricante de baja fricción</c:v>
                </c:pt>
                <c:pt idx="4">
                  <c:v>Faldones traseros</c:v>
                </c:pt>
                <c:pt idx="5">
                  <c:v>Reducción de peso muerto</c:v>
                </c:pt>
                <c:pt idx="6">
                  <c:v>Conducción eficiente</c:v>
                </c:pt>
                <c:pt idx="7">
                  <c:v>Cuenta con GPS para rastreo</c:v>
                </c:pt>
                <c:pt idx="8">
                  <c:v>Cuenta con GPS para ruta</c:v>
                </c:pt>
                <c:pt idx="9">
                  <c:v>Ninguna</c:v>
                </c:pt>
                <c:pt idx="10">
                  <c:v>Otros</c:v>
                </c:pt>
              </c:strCache>
            </c:strRef>
          </c:cat>
          <c:val>
            <c:numRef>
              <c:f>FORMULAS!$O$38:$O$48</c:f>
              <c:numCache>
                <c:formatCode>General</c:formatCode>
                <c:ptCount val="11"/>
                <c:pt idx="1">
                  <c:v>17</c:v>
                </c:pt>
                <c:pt idx="2">
                  <c:v>58</c:v>
                </c:pt>
                <c:pt idx="3">
                  <c:v>73</c:v>
                </c:pt>
                <c:pt idx="4">
                  <c:v>116</c:v>
                </c:pt>
                <c:pt idx="5">
                  <c:v>12</c:v>
                </c:pt>
                <c:pt idx="6">
                  <c:v>116</c:v>
                </c:pt>
                <c:pt idx="7">
                  <c:v>274</c:v>
                </c:pt>
                <c:pt idx="8">
                  <c:v>55</c:v>
                </c:pt>
                <c:pt idx="9">
                  <c:v>295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510912"/>
        <c:axId val="117512448"/>
        <c:axId val="0"/>
      </c:bar3DChart>
      <c:catAx>
        <c:axId val="11751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7512448"/>
        <c:crosses val="autoZero"/>
        <c:auto val="1"/>
        <c:lblAlgn val="ctr"/>
        <c:lblOffset val="100"/>
        <c:noMultiLvlLbl val="0"/>
      </c:catAx>
      <c:valAx>
        <c:axId val="117512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7510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AÑO MODELO DEL MOTOR DE LA UNIDAD SEGÚN TAMAÑO DE FLOTA</a:t>
            </a:r>
            <a:endParaRPr lang="es-MX" sz="1400">
              <a:effectLst/>
            </a:endParaRPr>
          </a:p>
          <a:p>
            <a:pPr>
              <a:defRPr sz="1400"/>
            </a:pPr>
            <a:r>
              <a:rPr lang="es-MX" sz="1000" b="1" i="0" baseline="0">
                <a:effectLst/>
              </a:rPr>
              <a:t>ENCUESTA A CONDUCTORES</a:t>
            </a:r>
            <a:endParaRPr lang="es-MX" sz="1000">
              <a:effectLst/>
            </a:endParaRPr>
          </a:p>
          <a:p>
            <a:pPr>
              <a:defRPr sz="1400"/>
            </a:pPr>
            <a:r>
              <a:rPr lang="es-MX" sz="800" b="1" i="0" baseline="0">
                <a:effectLst/>
              </a:rPr>
              <a:t>[% SOBRE EL TOTAL DE RESPUESTAS A AÑO MODELO DEL MOTOR (100% = 453)]</a:t>
            </a:r>
            <a:endParaRPr lang="es-MX" sz="800">
              <a:effectLst/>
            </a:endParaRPr>
          </a:p>
        </c:rich>
      </c:tx>
      <c:layout>
        <c:manualLayout>
          <c:xMode val="edge"/>
          <c:yMode val="edge"/>
          <c:x val="0.14884986721092511"/>
          <c:y val="1.0891021013496123E-2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'FORMULAS FEB'!$CM$15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1"/>
              <c:delete val="1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FEB'!$CM$16:$CM$22</c:f>
              <c:numCache>
                <c:formatCode>0.0%</c:formatCode>
                <c:ptCount val="7"/>
                <c:pt idx="0">
                  <c:v>2.6490066225165563E-2</c:v>
                </c:pt>
                <c:pt idx="1">
                  <c:v>0</c:v>
                </c:pt>
                <c:pt idx="2">
                  <c:v>1.5452538631346579E-2</c:v>
                </c:pt>
                <c:pt idx="3">
                  <c:v>5.2980132450331126E-2</c:v>
                </c:pt>
                <c:pt idx="4">
                  <c:v>2.6490066225165563E-2</c:v>
                </c:pt>
                <c:pt idx="5">
                  <c:v>1.7660044150110375E-2</c:v>
                </c:pt>
                <c:pt idx="6">
                  <c:v>6.6225165562913907E-3</c:v>
                </c:pt>
              </c:numCache>
            </c:numRef>
          </c:val>
        </c:ser>
        <c:ser>
          <c:idx val="1"/>
          <c:order val="1"/>
          <c:tx>
            <c:strRef>
              <c:f>'FORMULAS FEB'!$CN$15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FEB'!$CN$16:$CN$22</c:f>
              <c:numCache>
                <c:formatCode>0.0%</c:formatCode>
                <c:ptCount val="7"/>
                <c:pt idx="0">
                  <c:v>2.8697571743929361E-2</c:v>
                </c:pt>
                <c:pt idx="1">
                  <c:v>2.2075055187637969E-3</c:v>
                </c:pt>
                <c:pt idx="2">
                  <c:v>2.2075055187637971E-2</c:v>
                </c:pt>
                <c:pt idx="3">
                  <c:v>4.194260485651214E-2</c:v>
                </c:pt>
                <c:pt idx="4">
                  <c:v>3.5320088300220751E-2</c:v>
                </c:pt>
                <c:pt idx="5">
                  <c:v>3.3112582781456956E-2</c:v>
                </c:pt>
                <c:pt idx="6">
                  <c:v>1.5452538631346579E-2</c:v>
                </c:pt>
              </c:numCache>
            </c:numRef>
          </c:val>
        </c:ser>
        <c:ser>
          <c:idx val="2"/>
          <c:order val="2"/>
          <c:tx>
            <c:strRef>
              <c:f>'FORMULAS FEB'!$CO$15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FEB'!$CO$16:$CO$22</c:f>
              <c:numCache>
                <c:formatCode>0.0%</c:formatCode>
                <c:ptCount val="7"/>
                <c:pt idx="0">
                  <c:v>5.7395143487858721E-2</c:v>
                </c:pt>
                <c:pt idx="1">
                  <c:v>4.4150110375275938E-3</c:v>
                </c:pt>
                <c:pt idx="2">
                  <c:v>3.5320088300220751E-2</c:v>
                </c:pt>
                <c:pt idx="3">
                  <c:v>0.10154525386313466</c:v>
                </c:pt>
                <c:pt idx="4">
                  <c:v>7.505518763796909E-2</c:v>
                </c:pt>
                <c:pt idx="5">
                  <c:v>8.8300220750551883E-2</c:v>
                </c:pt>
                <c:pt idx="6">
                  <c:v>3.9735099337748346E-2</c:v>
                </c:pt>
              </c:numCache>
            </c:numRef>
          </c:val>
        </c:ser>
        <c:ser>
          <c:idx val="3"/>
          <c:order val="3"/>
          <c:tx>
            <c:strRef>
              <c:f>'FORMULAS FEB'!$CP$15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FEB'!$CP$16:$CP$22</c:f>
              <c:numCache>
                <c:formatCode>0.0%</c:formatCode>
                <c:ptCount val="7"/>
                <c:pt idx="0">
                  <c:v>1.9867549668874173E-2</c:v>
                </c:pt>
                <c:pt idx="1">
                  <c:v>1.3245033112582781E-2</c:v>
                </c:pt>
                <c:pt idx="2">
                  <c:v>1.3245033112582781E-2</c:v>
                </c:pt>
                <c:pt idx="3">
                  <c:v>4.194260485651214E-2</c:v>
                </c:pt>
                <c:pt idx="4">
                  <c:v>4.856512141280353E-2</c:v>
                </c:pt>
                <c:pt idx="5">
                  <c:v>0.10154525386313466</c:v>
                </c:pt>
                <c:pt idx="6">
                  <c:v>3.5320088300220751E-2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57086080"/>
        <c:axId val="157087616"/>
      </c:barChart>
      <c:catAx>
        <c:axId val="157086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7087616"/>
        <c:crosses val="autoZero"/>
        <c:auto val="1"/>
        <c:lblAlgn val="ctr"/>
        <c:lblOffset val="100"/>
        <c:noMultiLvlLbl val="0"/>
      </c:catAx>
      <c:valAx>
        <c:axId val="15708761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7086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LUGAR DE RESIDENCIA</a:t>
            </a:r>
          </a:p>
          <a:p>
            <a:pPr>
              <a:defRPr sz="1200"/>
            </a:pPr>
            <a:r>
              <a:rPr lang="en-US" sz="1050"/>
              <a:t>CONDUCTORES</a:t>
            </a:r>
          </a:p>
        </c:rich>
      </c:tx>
      <c:layout>
        <c:manualLayout>
          <c:xMode val="edge"/>
          <c:yMode val="edge"/>
          <c:x val="0.33118126784973873"/>
          <c:y val="8.7591240875912468E-3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683884175114"/>
          <c:y val="6.3350160875837003E-2"/>
          <c:w val="0.80742230473987342"/>
          <c:h val="0.88923345782227359"/>
        </c:manualLayout>
      </c:layout>
      <c:bar3DChart>
        <c:barDir val="bar"/>
        <c:grouping val="clustered"/>
        <c:varyColors val="1"/>
        <c:ser>
          <c:idx val="0"/>
          <c:order val="0"/>
          <c:tx>
            <c:strRef>
              <c:f>FORMULAS!$C$38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FORMULAS!$B$39:$B$65</c:f>
              <c:strCache>
                <c:ptCount val="27"/>
                <c:pt idx="0">
                  <c:v>EDO. MEX.</c:v>
                </c:pt>
                <c:pt idx="1">
                  <c:v>D.F.</c:v>
                </c:pt>
                <c:pt idx="2">
                  <c:v>GUANAJUATO</c:v>
                </c:pt>
                <c:pt idx="3">
                  <c:v>CHIHUAHUA</c:v>
                </c:pt>
                <c:pt idx="4">
                  <c:v>QUERÉTARO</c:v>
                </c:pt>
                <c:pt idx="5">
                  <c:v>OAXACA</c:v>
                </c:pt>
                <c:pt idx="6">
                  <c:v>JALISCO</c:v>
                </c:pt>
                <c:pt idx="7">
                  <c:v>PUEBLA</c:v>
                </c:pt>
                <c:pt idx="8">
                  <c:v>NVO. LEON</c:v>
                </c:pt>
                <c:pt idx="9">
                  <c:v>TAMAULIPAS</c:v>
                </c:pt>
                <c:pt idx="10">
                  <c:v>VERACRUZ</c:v>
                </c:pt>
                <c:pt idx="11">
                  <c:v>HIDALGO</c:v>
                </c:pt>
                <c:pt idx="12">
                  <c:v>MICHOACAN</c:v>
                </c:pt>
                <c:pt idx="13">
                  <c:v>SAN LUIS POTOSI</c:v>
                </c:pt>
                <c:pt idx="14">
                  <c:v>SINALOA</c:v>
                </c:pt>
                <c:pt idx="15">
                  <c:v>AGUASCALIENTES</c:v>
                </c:pt>
                <c:pt idx="16">
                  <c:v>COAHUILA</c:v>
                </c:pt>
                <c:pt idx="17">
                  <c:v>COLIMA</c:v>
                </c:pt>
                <c:pt idx="18">
                  <c:v>MORELOS</c:v>
                </c:pt>
                <c:pt idx="19">
                  <c:v>NAYARIT</c:v>
                </c:pt>
                <c:pt idx="20">
                  <c:v>DURANGO</c:v>
                </c:pt>
                <c:pt idx="21">
                  <c:v>SONORA</c:v>
                </c:pt>
                <c:pt idx="22">
                  <c:v>B. CALIFORNIA</c:v>
                </c:pt>
                <c:pt idx="23">
                  <c:v>CHIAPAS</c:v>
                </c:pt>
                <c:pt idx="24">
                  <c:v>GUERRERO</c:v>
                </c:pt>
                <c:pt idx="25">
                  <c:v>TLAXCALA</c:v>
                </c:pt>
                <c:pt idx="26">
                  <c:v>ZACATECAS</c:v>
                </c:pt>
              </c:strCache>
            </c:strRef>
          </c:cat>
          <c:val>
            <c:numRef>
              <c:f>FORMULAS!$C$39:$C$65</c:f>
              <c:numCache>
                <c:formatCode>General</c:formatCode>
                <c:ptCount val="27"/>
                <c:pt idx="0">
                  <c:v>149</c:v>
                </c:pt>
                <c:pt idx="1">
                  <c:v>75</c:v>
                </c:pt>
                <c:pt idx="2">
                  <c:v>49</c:v>
                </c:pt>
                <c:pt idx="3">
                  <c:v>22</c:v>
                </c:pt>
                <c:pt idx="4">
                  <c:v>19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7529600"/>
        <c:axId val="117551872"/>
        <c:axId val="0"/>
      </c:bar3DChart>
      <c:catAx>
        <c:axId val="11752960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900" b="1" i="1" baseline="0"/>
            </a:pPr>
            <a:endParaRPr lang="es-MX"/>
          </a:p>
        </c:txPr>
        <c:crossAx val="117551872"/>
        <c:crosses val="autoZero"/>
        <c:auto val="1"/>
        <c:lblAlgn val="ctr"/>
        <c:lblOffset val="100"/>
        <c:noMultiLvlLbl val="0"/>
      </c:catAx>
      <c:valAx>
        <c:axId val="117551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17529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CONDUCTORES</a:t>
            </a:r>
          </a:p>
          <a:p>
            <a:pPr>
              <a:defRPr sz="1400"/>
            </a:pPr>
            <a:r>
              <a:rPr lang="en-US" sz="1200"/>
              <a:t>ESCOLARIDAD</a:t>
            </a:r>
          </a:p>
        </c:rich>
      </c:tx>
      <c:overlay val="0"/>
    </c:title>
    <c:autoTitleDeleted val="0"/>
    <c:view3D>
      <c:rotX val="3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FORMULAS!$B$27</c:f>
              <c:strCache>
                <c:ptCount val="1"/>
                <c:pt idx="0">
                  <c:v>ESCOLARIDAD</c:v>
                </c:pt>
              </c:strCache>
            </c:strRef>
          </c:tx>
          <c:explosion val="25"/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FORMULAS!$B$28:$B$34</c:f>
              <c:strCache>
                <c:ptCount val="7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POSGRADO</c:v>
                </c:pt>
                <c:pt idx="6">
                  <c:v>OTROS</c:v>
                </c:pt>
              </c:strCache>
            </c:strRef>
          </c:cat>
          <c:val>
            <c:numRef>
              <c:f>FORMULAS!$C$28:$C$34</c:f>
              <c:numCache>
                <c:formatCode>0.0%</c:formatCode>
                <c:ptCount val="7"/>
                <c:pt idx="0">
                  <c:v>4.6357615894039736E-2</c:v>
                </c:pt>
                <c:pt idx="1">
                  <c:v>0.24061810154525387</c:v>
                </c:pt>
                <c:pt idx="2">
                  <c:v>0.48123620309050774</c:v>
                </c:pt>
                <c:pt idx="3">
                  <c:v>0.20971302428256069</c:v>
                </c:pt>
                <c:pt idx="4">
                  <c:v>1.3245033112582781E-2</c:v>
                </c:pt>
                <c:pt idx="5">
                  <c:v>0</c:v>
                </c:pt>
                <c:pt idx="6">
                  <c:v>8.8300220750551876E-3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UNIDADES DE LOS PROPIETARIOS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PORCENTAJE</c:v>
          </c:tx>
          <c:explosion val="25"/>
          <c:dPt>
            <c:idx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1000" b="1" i="1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FORMULAS!$B$5:$B$8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ENTRE 3 Y CINCO UNIDADES</c:v>
                </c:pt>
                <c:pt idx="3">
                  <c:v>ENTRE 6 Y 30 UNIDADES</c:v>
                </c:pt>
              </c:strCache>
            </c:strRef>
          </c:cat>
          <c:val>
            <c:numRef>
              <c:f>FORMULAS!$D$5:$D$8</c:f>
              <c:numCache>
                <c:formatCode>0%</c:formatCode>
                <c:ptCount val="4"/>
                <c:pt idx="0">
                  <c:v>0.1457</c:v>
                </c:pt>
                <c:pt idx="1">
                  <c:v>0.17879999999999999</c:v>
                </c:pt>
                <c:pt idx="2">
                  <c:v>0.40179999999999999</c:v>
                </c:pt>
                <c:pt idx="3">
                  <c:v>0.2737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CONDUCTORES</a:t>
            </a:r>
            <a:endParaRPr lang="en-US" sz="1100"/>
          </a:p>
          <a:p>
            <a:pPr>
              <a:defRPr/>
            </a:pPr>
            <a:r>
              <a:rPr lang="en-US" sz="1100"/>
              <a:t>RENDIMIENTO DE LA UNIDAD CARGADA [km/lt]</a:t>
            </a:r>
          </a:p>
        </c:rich>
      </c:tx>
      <c:overlay val="0"/>
    </c:title>
    <c:autoTitleDeleted val="0"/>
    <c:view3D>
      <c:rotX val="0"/>
      <c:rotY val="0"/>
      <c:rAngAx val="0"/>
      <c:perspective val="6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FORMULAS!$R$4</c:f>
              <c:strCache>
                <c:ptCount val="1"/>
                <c:pt idx="0">
                  <c:v>RENDIMIENTO DE LA UNIDAD CARGADA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FORMULAS!$R$5:$R$13</c:f>
              <c:strCache>
                <c:ptCount val="9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4.01 A 5.0</c:v>
                </c:pt>
                <c:pt idx="8">
                  <c:v>&gt;5.0</c:v>
                </c:pt>
              </c:strCache>
            </c:strRef>
          </c:cat>
          <c:val>
            <c:numRef>
              <c:f>FORMULAS!$S$5:$S$13</c:f>
              <c:numCache>
                <c:formatCode>0.0%</c:formatCode>
                <c:ptCount val="9"/>
                <c:pt idx="0">
                  <c:v>7.3008849557522126E-2</c:v>
                </c:pt>
                <c:pt idx="1">
                  <c:v>0.12610619469026549</c:v>
                </c:pt>
                <c:pt idx="2">
                  <c:v>9.2920353982300891E-2</c:v>
                </c:pt>
                <c:pt idx="3">
                  <c:v>7.5221238938053103E-2</c:v>
                </c:pt>
                <c:pt idx="4">
                  <c:v>0.3584070796460177</c:v>
                </c:pt>
                <c:pt idx="5">
                  <c:v>0.15707964601769911</c:v>
                </c:pt>
                <c:pt idx="6">
                  <c:v>8.185840707964602E-2</c:v>
                </c:pt>
                <c:pt idx="7">
                  <c:v>2.6548672566371681E-2</c:v>
                </c:pt>
                <c:pt idx="8">
                  <c:v>8.8495575221238937E-3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608832"/>
        <c:axId val="117610368"/>
        <c:axId val="0"/>
      </c:bar3DChart>
      <c:catAx>
        <c:axId val="11760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7610368"/>
        <c:crosses val="autoZero"/>
        <c:auto val="1"/>
        <c:lblAlgn val="ctr"/>
        <c:lblOffset val="100"/>
        <c:noMultiLvlLbl val="0"/>
      </c:catAx>
      <c:valAx>
        <c:axId val="1176103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17608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 sz="1400"/>
              <a:t>CONDUCTORES </a:t>
            </a:r>
          </a:p>
          <a:p>
            <a:pPr>
              <a:defRPr/>
            </a:pPr>
            <a:r>
              <a:rPr lang="es-MX" sz="1100"/>
              <a:t>RENDIMIENTO</a:t>
            </a:r>
            <a:r>
              <a:rPr lang="es-MX" sz="1200"/>
              <a:t> </a:t>
            </a:r>
            <a:r>
              <a:rPr lang="es-MX" sz="1100"/>
              <a:t>DE LA UNIDAD EN VACÍO [km/lt]</a:t>
            </a:r>
          </a:p>
        </c:rich>
      </c:tx>
      <c:overlay val="0"/>
    </c:title>
    <c:autoTitleDeleted val="0"/>
    <c:view3D>
      <c:rotX val="0"/>
      <c:rotY val="0"/>
      <c:rAngAx val="0"/>
      <c:perspective val="5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FORMULAS!$R$17</c:f>
              <c:strCache>
                <c:ptCount val="1"/>
                <c:pt idx="0">
                  <c:v>RENDIMIENTO DE LA UNIDAD EN VACÍO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FORMULAS!$R$18:$R$27</c:f>
              <c:strCache>
                <c:ptCount val="10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4.01 A 6.0</c:v>
                </c:pt>
                <c:pt idx="8">
                  <c:v>&gt; 6.0</c:v>
                </c:pt>
                <c:pt idx="9">
                  <c:v>TOTAL</c:v>
                </c:pt>
              </c:strCache>
            </c:strRef>
          </c:cat>
          <c:val>
            <c:numRef>
              <c:f>FORMULAS!$S$18:$S$26</c:f>
              <c:numCache>
                <c:formatCode>0.0%</c:formatCode>
                <c:ptCount val="9"/>
                <c:pt idx="0">
                  <c:v>4.8672566371681415E-2</c:v>
                </c:pt>
                <c:pt idx="1">
                  <c:v>0.13716814159292035</c:v>
                </c:pt>
                <c:pt idx="2">
                  <c:v>4.4247787610619468E-2</c:v>
                </c:pt>
                <c:pt idx="3">
                  <c:v>9.7345132743362831E-2</c:v>
                </c:pt>
                <c:pt idx="4">
                  <c:v>0.30309734513274339</c:v>
                </c:pt>
                <c:pt idx="5">
                  <c:v>0.18805309734513273</c:v>
                </c:pt>
                <c:pt idx="6">
                  <c:v>0.12831858407079647</c:v>
                </c:pt>
                <c:pt idx="7">
                  <c:v>4.6460176991150445E-2</c:v>
                </c:pt>
                <c:pt idx="8">
                  <c:v>6.6371681415929203E-3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631616"/>
        <c:axId val="117711232"/>
        <c:axId val="0"/>
      </c:bar3DChart>
      <c:catAx>
        <c:axId val="11763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7711232"/>
        <c:crosses val="autoZero"/>
        <c:auto val="1"/>
        <c:lblAlgn val="ctr"/>
        <c:lblOffset val="100"/>
        <c:noMultiLvlLbl val="0"/>
      </c:catAx>
      <c:valAx>
        <c:axId val="1177112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17631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C2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KILÓMETROS POR MES DE UNIDADES TIPO C2 (100% = 106)]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FEB'!$FT$2</c:f>
              <c:strCache>
                <c:ptCount val="1"/>
                <c:pt idx="0">
                  <c:v>KILÓMETROS QUE RECORREN POR MES UNIDADES TIPO C2 ENCUESTA A CONDUCTORES</c:v>
                </c:pt>
              </c:strCache>
            </c:strRef>
          </c:tx>
          <c:invertIfNegative val="0"/>
          <c:cat>
            <c:strRef>
              <c:f>'FORMULAS FEB'!$FT$3:$FT$8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 KM</c:v>
                </c:pt>
              </c:strCache>
            </c:strRef>
          </c:cat>
          <c:val>
            <c:numRef>
              <c:f>'FORMULAS FEB'!$FU$3:$FU$8</c:f>
              <c:numCache>
                <c:formatCode>0.0%</c:formatCode>
                <c:ptCount val="6"/>
                <c:pt idx="0">
                  <c:v>0.23584905660377359</c:v>
                </c:pt>
                <c:pt idx="1">
                  <c:v>0.36792452830188677</c:v>
                </c:pt>
                <c:pt idx="2">
                  <c:v>0.15094339622641509</c:v>
                </c:pt>
                <c:pt idx="3">
                  <c:v>0.10377358490566038</c:v>
                </c:pt>
                <c:pt idx="4">
                  <c:v>1.8867924528301886E-2</c:v>
                </c:pt>
                <c:pt idx="5">
                  <c:v>0.12264150943396226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731712"/>
        <c:axId val="117733248"/>
        <c:axId val="0"/>
      </c:bar3DChart>
      <c:catAx>
        <c:axId val="11773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7733248"/>
        <c:crosses val="autoZero"/>
        <c:auto val="1"/>
        <c:lblAlgn val="ctr"/>
        <c:lblOffset val="100"/>
        <c:noMultiLvlLbl val="0"/>
      </c:catAx>
      <c:valAx>
        <c:axId val="1177332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17731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TIPO DE UNIDAD MOTRIZ SEGÚN TAMAÑO DE FLOTA</a:t>
            </a:r>
          </a:p>
          <a:p>
            <a:pPr>
              <a:defRPr sz="1400"/>
            </a:pPr>
            <a:r>
              <a:rPr lang="es-MX" sz="1100"/>
              <a:t>ENCUESTA A CONDUCTORES</a:t>
            </a:r>
          </a:p>
          <a:p>
            <a:pPr>
              <a:defRPr sz="1400"/>
            </a:pPr>
            <a:r>
              <a:rPr lang="es-MX" sz="800"/>
              <a:t>[% DEL TOTAL DE UNIDADES (100% =</a:t>
            </a:r>
            <a:r>
              <a:rPr lang="es-MX" sz="800" baseline="0"/>
              <a:t> </a:t>
            </a:r>
            <a:r>
              <a:rPr lang="es-MX" sz="800"/>
              <a:t>453)]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9211568334178006E-2"/>
          <c:y val="0.17738939547450194"/>
          <c:w val="0.90277275780087962"/>
          <c:h val="0.646503124496449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FEB'!$C$4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FEB'!$B$5:$B$8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FEB'!$C$5:$C$8</c:f>
              <c:numCache>
                <c:formatCode>0.0%</c:formatCode>
                <c:ptCount val="4"/>
                <c:pt idx="0">
                  <c:v>1.7660044150110375E-2</c:v>
                </c:pt>
                <c:pt idx="1">
                  <c:v>6.4017660044150104E-2</c:v>
                </c:pt>
                <c:pt idx="2">
                  <c:v>0.10154525386313466</c:v>
                </c:pt>
                <c:pt idx="3">
                  <c:v>5.0772626931567331E-2</c:v>
                </c:pt>
              </c:numCache>
            </c:numRef>
          </c:val>
        </c:ser>
        <c:ser>
          <c:idx val="1"/>
          <c:order val="1"/>
          <c:tx>
            <c:strRef>
              <c:f>'FORMULAS FEB'!$D$4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8.3725798011512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1862899005756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7943485086343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FEB'!$B$5:$B$8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FEB'!$D$5:$D$8</c:f>
              <c:numCache>
                <c:formatCode>0.0%</c:formatCode>
                <c:ptCount val="4"/>
                <c:pt idx="0">
                  <c:v>3.5320088300220751E-2</c:v>
                </c:pt>
                <c:pt idx="1">
                  <c:v>2.6490066225165563E-2</c:v>
                </c:pt>
                <c:pt idx="2">
                  <c:v>9.2715231788079472E-2</c:v>
                </c:pt>
                <c:pt idx="3">
                  <c:v>3.0905077262693158E-2</c:v>
                </c:pt>
              </c:numCache>
            </c:numRef>
          </c:val>
        </c:ser>
        <c:ser>
          <c:idx val="2"/>
          <c:order val="2"/>
          <c:tx>
            <c:strRef>
              <c:f>'FORMULAS FEB'!$E$4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7943485086343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7943485086343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18628990057554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7943485086343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FEB'!$B$5:$B$8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FEB'!$E$5:$E$8</c:f>
              <c:numCache>
                <c:formatCode>0.0%</c:formatCode>
                <c:ptCount val="4"/>
                <c:pt idx="0">
                  <c:v>6.6225165562913907E-3</c:v>
                </c:pt>
                <c:pt idx="1">
                  <c:v>4.4150110375275938E-3</c:v>
                </c:pt>
                <c:pt idx="2">
                  <c:v>1.1037527593818985E-2</c:v>
                </c:pt>
                <c:pt idx="3">
                  <c:v>6.6225165562913907E-3</c:v>
                </c:pt>
              </c:numCache>
            </c:numRef>
          </c:val>
        </c:ser>
        <c:ser>
          <c:idx val="3"/>
          <c:order val="3"/>
          <c:tx>
            <c:strRef>
              <c:f>'FORMULAS FEB'!$F$4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0.13315807016265918"/>
                </c:manualLayout>
              </c:layout>
              <c:spPr/>
              <c:txPr>
                <a:bodyPr rot="-5400000" vert="horz"/>
                <a:lstStyle/>
                <a:p>
                  <a:pPr>
                    <a:defRPr sz="11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FEB'!$B$5:$B$8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FEB'!$F$5:$F$8</c:f>
              <c:numCache>
                <c:formatCode>0.0%</c:formatCode>
                <c:ptCount val="4"/>
                <c:pt idx="0">
                  <c:v>8.6092715231788075E-2</c:v>
                </c:pt>
                <c:pt idx="1">
                  <c:v>8.3885209713024281E-2</c:v>
                </c:pt>
                <c:pt idx="2">
                  <c:v>0.19646799116997793</c:v>
                </c:pt>
                <c:pt idx="3">
                  <c:v>0.18543046357615894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224640"/>
        <c:axId val="148238720"/>
        <c:axId val="0"/>
      </c:bar3DChart>
      <c:catAx>
        <c:axId val="1482246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238720"/>
        <c:crosses val="autoZero"/>
        <c:auto val="1"/>
        <c:lblAlgn val="ctr"/>
        <c:lblOffset val="100"/>
        <c:noMultiLvlLbl val="0"/>
      </c:catAx>
      <c:valAx>
        <c:axId val="14823872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224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304577312451345E-2"/>
          <c:y val="0.94010204554635057"/>
          <c:w val="0.74177810191308613"/>
          <c:h val="5.3724563111296531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TIPO DE UNIDAD MOTRIZ. </a:t>
            </a:r>
          </a:p>
          <a:p>
            <a:pPr>
              <a:defRPr sz="1400"/>
            </a:pPr>
            <a:r>
              <a:rPr lang="es-MX" sz="1200"/>
              <a:t>PROPIETARIOS CON UNA UNIDAD</a:t>
            </a:r>
            <a:endParaRPr lang="es-MX" sz="1400"/>
          </a:p>
          <a:p>
            <a:pPr>
              <a:defRPr sz="1400"/>
            </a:pPr>
            <a:r>
              <a:rPr lang="es-MX" sz="1100"/>
              <a:t>ENCUESTA A CONDUCTORES</a:t>
            </a:r>
          </a:p>
          <a:p>
            <a:pPr>
              <a:defRPr sz="1400"/>
            </a:pPr>
            <a:r>
              <a:rPr lang="es-MX" sz="800"/>
              <a:t>[%</a:t>
            </a:r>
            <a:r>
              <a:rPr lang="es-MX" sz="800" baseline="0"/>
              <a:t> SOBRE EL TOTAL DE UNIDADES DE PROPIETARIOS CON UNA UNIDAD (100% = 66)]</a:t>
            </a:r>
            <a:endParaRPr lang="es-MX" sz="8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FEB'!$A$11</c:f>
              <c:strCache>
                <c:ptCount val="1"/>
                <c:pt idx="0">
                  <c:v>TIPO DE UNIDAD MOTRIZ. PROPIETARIOS CON UNA UNIDAD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FEB'!$C$12:$F$12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FEB'!$C$13:$F$13</c:f>
              <c:numCache>
                <c:formatCode>0.0%</c:formatCode>
                <c:ptCount val="4"/>
                <c:pt idx="0">
                  <c:v>0.12121212121212122</c:v>
                </c:pt>
                <c:pt idx="1">
                  <c:v>0.24242424242424243</c:v>
                </c:pt>
                <c:pt idx="2">
                  <c:v>4.5454545454545456E-2</c:v>
                </c:pt>
                <c:pt idx="3">
                  <c:v>0.59090909090909094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TIPO DE UNIDAD MOTRIZ. </a:t>
            </a:r>
          </a:p>
          <a:p>
            <a:pPr>
              <a:defRPr sz="1400"/>
            </a:pPr>
            <a:r>
              <a:rPr lang="es-MX" sz="1200"/>
              <a:t>PROPIETARIOS CON DOS UNIDADES</a:t>
            </a:r>
          </a:p>
          <a:p>
            <a:pPr>
              <a:defRPr sz="1400"/>
            </a:pPr>
            <a:r>
              <a:rPr lang="es-MX" sz="11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UNIDADES DE PROPIETARIOS CON DOS UNIDADES (100% = 81)]</a:t>
            </a:r>
          </a:p>
        </c:rich>
      </c:tx>
      <c:layout>
        <c:manualLayout>
          <c:xMode val="edge"/>
          <c:yMode val="edge"/>
          <c:x val="0.19023506857881009"/>
          <c:y val="2.0278831268680408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FEB'!$A$15</c:f>
              <c:strCache>
                <c:ptCount val="1"/>
                <c:pt idx="0">
                  <c:v>TIPO DE UNIDAD MOTRIZ. PROPIETARIOS CON DOS UNIDADES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FEB'!$C$16:$F$16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FEB'!$C$17:$F$17</c:f>
              <c:numCache>
                <c:formatCode>0.0%</c:formatCode>
                <c:ptCount val="4"/>
                <c:pt idx="0">
                  <c:v>0.35802469135802467</c:v>
                </c:pt>
                <c:pt idx="1">
                  <c:v>0.14814814814814814</c:v>
                </c:pt>
                <c:pt idx="2">
                  <c:v>2.4691358024691357E-2</c:v>
                </c:pt>
                <c:pt idx="3">
                  <c:v>0.46913580246913578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TIPO DE UNIDAD MOTRIZ. 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100"/>
              <a:t>ENCUESTA</a:t>
            </a:r>
            <a:r>
              <a:rPr lang="en-US" sz="1100" baseline="0"/>
              <a:t> A CONDUCTORES</a:t>
            </a:r>
          </a:p>
          <a:p>
            <a:pPr>
              <a:defRPr sz="1400"/>
            </a:pPr>
            <a:r>
              <a:rPr lang="en-US" sz="800" baseline="0"/>
              <a:t>[% SOBRE EL TOTAL DE UNIDADES DE PROPIETARIOS CON TRES A CINCO UNIDADES (100% = 182)]</a:t>
            </a:r>
            <a:endParaRPr lang="en-US" sz="8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FEB'!$A$19</c:f>
              <c:strCache>
                <c:ptCount val="1"/>
                <c:pt idx="0">
                  <c:v>TIPO DE UNIDAD MOTRIZ. PROPIETARIOS CON TRES A CINCO UNIDADES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FEB'!$C$20:$F$20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FEB'!$C$21:$F$21</c:f>
              <c:numCache>
                <c:formatCode>0.0%</c:formatCode>
                <c:ptCount val="4"/>
                <c:pt idx="0">
                  <c:v>0.25274725274725274</c:v>
                </c:pt>
                <c:pt idx="1">
                  <c:v>0.23076923076923078</c:v>
                </c:pt>
                <c:pt idx="2">
                  <c:v>2.7472527472527472E-2</c:v>
                </c:pt>
                <c:pt idx="3">
                  <c:v>0.48901098901098899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TIPO DE UNIDAD MOTRIZ. 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</a:p>
          <a:p>
            <a:pPr>
              <a:defRPr sz="1400"/>
            </a:pPr>
            <a:r>
              <a:rPr lang="en-US" sz="1100"/>
              <a:t>ENCUESTA A CONDUCTORES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UNIDADES DE PROPIETARIOS CON SEIS A TREINTA UNIDADES (100% = 124)]</a:t>
            </a:r>
            <a:endParaRPr lang="en-US" sz="8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FEB'!$A$23</c:f>
              <c:strCache>
                <c:ptCount val="1"/>
                <c:pt idx="0">
                  <c:v>TIPO DE UNIDAD MOTRIZ. PROPIETARIOS CON SEIS A TREINTA UNIDADES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FEB'!$C$24:$F$24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FEB'!$C$25:$F$25</c:f>
              <c:numCache>
                <c:formatCode>0.0%</c:formatCode>
                <c:ptCount val="4"/>
                <c:pt idx="0">
                  <c:v>0.18548387096774194</c:v>
                </c:pt>
                <c:pt idx="1">
                  <c:v>0.11290322580645161</c:v>
                </c:pt>
                <c:pt idx="2">
                  <c:v>2.4193548387096774E-2</c:v>
                </c:pt>
                <c:pt idx="3">
                  <c:v>0.67741935483870963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CARGA QUE TRANSPORTA </a:t>
            </a:r>
            <a:r>
              <a:rPr lang="es-MX" sz="1400" b="1" i="0" u="none" strike="noStrike" baseline="0"/>
              <a:t>SEGÚN EL TIPO DE UNIDAD MOTRIZ </a:t>
            </a:r>
            <a:endParaRPr lang="es-MX" sz="1400"/>
          </a:p>
          <a:p>
            <a:pPr>
              <a:defRPr sz="1400"/>
            </a:pPr>
            <a:r>
              <a:rPr lang="es-MX" sz="11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(100% = 663)]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'FORMULAS FEB'!$C$29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FEB'!$B$30:$B$37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FEB'!$C$30:$C$37</c:f>
              <c:numCache>
                <c:formatCode>0.0%</c:formatCode>
                <c:ptCount val="8"/>
                <c:pt idx="0">
                  <c:v>2.7149321266968326E-2</c:v>
                </c:pt>
                <c:pt idx="1">
                  <c:v>1.6591251885369532E-2</c:v>
                </c:pt>
                <c:pt idx="2">
                  <c:v>3.1674208144796379E-2</c:v>
                </c:pt>
                <c:pt idx="3">
                  <c:v>2.1116138763197588E-2</c:v>
                </c:pt>
                <c:pt idx="4">
                  <c:v>1.8099547511312219E-2</c:v>
                </c:pt>
                <c:pt idx="5">
                  <c:v>1.6591251885369532E-2</c:v>
                </c:pt>
                <c:pt idx="6">
                  <c:v>1.0558069381598794E-2</c:v>
                </c:pt>
                <c:pt idx="7">
                  <c:v>4.2232277526395176E-2</c:v>
                </c:pt>
              </c:numCache>
            </c:numRef>
          </c:val>
        </c:ser>
        <c:ser>
          <c:idx val="1"/>
          <c:order val="1"/>
          <c:tx>
            <c:strRef>
              <c:f>'FORMULAS FEB'!$D$29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-5.0661481290764558E-17"/>
                  <c:y val="-5.7142848572501155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5.0661481290764558E-17"/>
                  <c:y val="-3.8095232381667485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8095232381667485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7"/>
              <c:layout>
                <c:manualLayout>
                  <c:x val="-1.3816927237232032E-3"/>
                  <c:y val="-1.9047616190833721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FEB'!$B$30:$B$37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FEB'!$D$30:$D$37</c:f>
              <c:numCache>
                <c:formatCode>0.0%</c:formatCode>
                <c:ptCount val="8"/>
                <c:pt idx="0">
                  <c:v>4.072398190045249E-2</c:v>
                </c:pt>
                <c:pt idx="1">
                  <c:v>2.8657616892911009E-2</c:v>
                </c:pt>
                <c:pt idx="2">
                  <c:v>1.9607843137254902E-2</c:v>
                </c:pt>
                <c:pt idx="3">
                  <c:v>7.5414781297134239E-3</c:v>
                </c:pt>
                <c:pt idx="4">
                  <c:v>1.9607843137254902E-2</c:v>
                </c:pt>
                <c:pt idx="5">
                  <c:v>5.128205128205128E-2</c:v>
                </c:pt>
                <c:pt idx="6">
                  <c:v>3.0165912518853697E-3</c:v>
                </c:pt>
                <c:pt idx="7">
                  <c:v>2.8657616892911009E-2</c:v>
                </c:pt>
              </c:numCache>
            </c:numRef>
          </c:val>
        </c:ser>
        <c:ser>
          <c:idx val="2"/>
          <c:order val="2"/>
          <c:tx>
            <c:strRef>
              <c:f>'FORMULAS FEB'!$E$29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3816927237232544E-3"/>
                  <c:y val="-1.9047616190833721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0"/>
                  <c:y val="-3.8095232381667485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1.9047616190833721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3.8095232381667485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4"/>
              <c:layout>
                <c:manualLayout>
                  <c:x val="0"/>
                  <c:y val="-3.8095232381667485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5"/>
              <c:layout>
                <c:manualLayout>
                  <c:x val="0"/>
                  <c:y val="-3.8095232381667485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8095232381667485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7"/>
              <c:layout>
                <c:manualLayout>
                  <c:x val="0"/>
                  <c:y val="-3.8095232381667324E-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000"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FEB'!$B$30:$B$37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FEB'!$E$30:$E$37</c:f>
              <c:numCache>
                <c:formatCode>0.0%</c:formatCode>
                <c:ptCount val="8"/>
                <c:pt idx="0">
                  <c:v>3.0165912518853697E-3</c:v>
                </c:pt>
                <c:pt idx="1">
                  <c:v>1.5082956259426848E-3</c:v>
                </c:pt>
                <c:pt idx="2">
                  <c:v>0</c:v>
                </c:pt>
                <c:pt idx="3">
                  <c:v>4.5248868778280547E-3</c:v>
                </c:pt>
                <c:pt idx="4">
                  <c:v>1.5082956259426848E-3</c:v>
                </c:pt>
                <c:pt idx="5">
                  <c:v>6.0331825037707393E-3</c:v>
                </c:pt>
                <c:pt idx="6">
                  <c:v>1.5082956259426848E-3</c:v>
                </c:pt>
                <c:pt idx="7">
                  <c:v>6.0331825037707393E-3</c:v>
                </c:pt>
              </c:numCache>
            </c:numRef>
          </c:val>
        </c:ser>
        <c:ser>
          <c:idx val="3"/>
          <c:order val="3"/>
          <c:tx>
            <c:strRef>
              <c:f>'FORMULAS FEB'!$F$29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FEB'!$B$30:$B$37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FEB'!$F$30:$F$37</c:f>
              <c:numCache>
                <c:formatCode>0.0%</c:formatCode>
                <c:ptCount val="8"/>
                <c:pt idx="0">
                  <c:v>4.9773755656108594E-2</c:v>
                </c:pt>
                <c:pt idx="1">
                  <c:v>6.1840120663650078E-2</c:v>
                </c:pt>
                <c:pt idx="2">
                  <c:v>6.7873303167420809E-2</c:v>
                </c:pt>
                <c:pt idx="3">
                  <c:v>6.1840120663650078E-2</c:v>
                </c:pt>
                <c:pt idx="4">
                  <c:v>0.22624434389140272</c:v>
                </c:pt>
                <c:pt idx="5">
                  <c:v>2.4132730015082957E-2</c:v>
                </c:pt>
                <c:pt idx="6">
                  <c:v>2.2624434389140271E-2</c:v>
                </c:pt>
                <c:pt idx="7">
                  <c:v>7.8431372549019607E-2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166144"/>
        <c:axId val="148167680"/>
        <c:axId val="0"/>
      </c:bar3DChart>
      <c:catAx>
        <c:axId val="14816614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1200" b="1" i="1" baseline="0"/>
            </a:pPr>
            <a:endParaRPr lang="es-MX"/>
          </a:p>
        </c:txPr>
        <c:crossAx val="148167680"/>
        <c:crosses val="autoZero"/>
        <c:auto val="1"/>
        <c:lblAlgn val="ctr"/>
        <c:lblOffset val="100"/>
        <c:noMultiLvlLbl val="0"/>
      </c:catAx>
      <c:valAx>
        <c:axId val="148167680"/>
        <c:scaling>
          <c:orientation val="minMax"/>
        </c:scaling>
        <c:delete val="0"/>
        <c:axPos val="b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sz="1200" b="1" i="0" baseline="0"/>
            </a:pPr>
            <a:endParaRPr lang="es-MX"/>
          </a:p>
        </c:txPr>
        <c:crossAx val="1481661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UNIDADES C2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CONDUCTORES</a:t>
            </a:r>
          </a:p>
          <a:p>
            <a:pPr>
              <a:defRPr sz="1400"/>
            </a:pPr>
            <a:r>
              <a:rPr lang="en-US" sz="800" baseline="0"/>
              <a:t>[% SOBRE EL TOTAL DE RESPUESTAS PARA UNIDADES C2 (100% = 122)]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FEB'!$A$43</c:f>
              <c:strCache>
                <c:ptCount val="1"/>
                <c:pt idx="0">
                  <c:v>CARGA QUE TRANSPORTA. UNIDADES C2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FEB'!$B$45:$B$52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FEB'!$C$45:$C$52</c:f>
              <c:numCache>
                <c:formatCode>0.0%</c:formatCode>
                <c:ptCount val="8"/>
                <c:pt idx="0">
                  <c:v>0.14754098360655737</c:v>
                </c:pt>
                <c:pt idx="1">
                  <c:v>9.0163934426229511E-2</c:v>
                </c:pt>
                <c:pt idx="2">
                  <c:v>0.1721311475409836</c:v>
                </c:pt>
                <c:pt idx="3">
                  <c:v>0.11475409836065574</c:v>
                </c:pt>
                <c:pt idx="4">
                  <c:v>9.8360655737704916E-2</c:v>
                </c:pt>
                <c:pt idx="5">
                  <c:v>9.0163934426229511E-2</c:v>
                </c:pt>
                <c:pt idx="6">
                  <c:v>5.737704918032787E-2</c:v>
                </c:pt>
                <c:pt idx="7">
                  <c:v>0.22950819672131148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344832"/>
        <c:axId val="148346368"/>
        <c:axId val="0"/>
      </c:bar3DChart>
      <c:catAx>
        <c:axId val="148344832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346368"/>
        <c:crosses val="autoZero"/>
        <c:auto val="1"/>
        <c:lblAlgn val="ctr"/>
        <c:lblOffset val="100"/>
        <c:noMultiLvlLbl val="0"/>
      </c:catAx>
      <c:valAx>
        <c:axId val="148346368"/>
        <c:scaling>
          <c:orientation val="minMax"/>
        </c:scaling>
        <c:delete val="0"/>
        <c:axPos val="b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3448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EDAD DE LOS CONDUCTORES</a:t>
            </a:r>
          </a:p>
          <a:p>
            <a:pPr>
              <a:defRPr sz="1400"/>
            </a:pPr>
            <a:r>
              <a:rPr lang="en-US" sz="1100"/>
              <a:t>RANGO</a:t>
            </a:r>
            <a:r>
              <a:rPr lang="en-US" sz="1100" baseline="0"/>
              <a:t> - %</a:t>
            </a:r>
            <a:endParaRPr lang="en-US" sz="14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1"/>
          <c:order val="0"/>
          <c:tx>
            <c:strRef>
              <c:f>FORMULAS!$D$11</c:f>
              <c:strCache>
                <c:ptCount val="1"/>
                <c:pt idx="0">
                  <c:v>PORCENTAJE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3.4574240719910318E-2"/>
                  <c:y val="-1.02990008093368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5129921259842517E-2"/>
                  <c:y val="1.02297155218709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4.7443663292088503E-2"/>
                  <c:y val="3.84548473227594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FORMULAS!$B$12:$B$19</c:f>
              <c:strCache>
                <c:ptCount val="8"/>
                <c:pt idx="0">
                  <c:v>&lt;25</c:v>
                </c:pt>
                <c:pt idx="1">
                  <c:v>26 A 30</c:v>
                </c:pt>
                <c:pt idx="2">
                  <c:v>31 A 35</c:v>
                </c:pt>
                <c:pt idx="3">
                  <c:v>36 A 40</c:v>
                </c:pt>
                <c:pt idx="4">
                  <c:v>41 A 45</c:v>
                </c:pt>
                <c:pt idx="5">
                  <c:v>46 A 50</c:v>
                </c:pt>
                <c:pt idx="6">
                  <c:v>51 A 55</c:v>
                </c:pt>
                <c:pt idx="7">
                  <c:v>&gt;55</c:v>
                </c:pt>
              </c:strCache>
            </c:strRef>
          </c:cat>
          <c:val>
            <c:numRef>
              <c:f>FORMULAS!$D$12:$D$19</c:f>
              <c:numCache>
                <c:formatCode>0%</c:formatCode>
                <c:ptCount val="8"/>
                <c:pt idx="0">
                  <c:v>9.4922737306843266E-2</c:v>
                </c:pt>
                <c:pt idx="1">
                  <c:v>0.15894039735099338</c:v>
                </c:pt>
                <c:pt idx="2">
                  <c:v>0.14348785871964681</c:v>
                </c:pt>
                <c:pt idx="3">
                  <c:v>0.17880794701986755</c:v>
                </c:pt>
                <c:pt idx="4">
                  <c:v>0.13245033112582782</c:v>
                </c:pt>
                <c:pt idx="5">
                  <c:v>0.11479028697571744</c:v>
                </c:pt>
                <c:pt idx="6">
                  <c:v>9.9337748344370855E-2</c:v>
                </c:pt>
                <c:pt idx="7">
                  <c:v>7.7262693156732898E-2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UNIDADES C3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CONDUCTORES</a:t>
            </a:r>
          </a:p>
          <a:p>
            <a:pPr>
              <a:defRPr sz="1400"/>
            </a:pPr>
            <a:r>
              <a:rPr lang="en-US" sz="800" baseline="0"/>
              <a:t>[% SOBRE EL TOTAL DE RESPUESTAS PARA UNIDADES C3 (100% = 132)]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FEB'!$A$58</c:f>
              <c:strCache>
                <c:ptCount val="1"/>
                <c:pt idx="0">
                  <c:v>CARGA QUE TRANSPORTA. UNIDADES C3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FEB'!$B$60:$B$67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FEB'!$C$60:$C$67</c:f>
              <c:numCache>
                <c:formatCode>0.0%</c:formatCode>
                <c:ptCount val="8"/>
                <c:pt idx="0">
                  <c:v>0.20454545454545456</c:v>
                </c:pt>
                <c:pt idx="1">
                  <c:v>0.14393939393939395</c:v>
                </c:pt>
                <c:pt idx="2">
                  <c:v>9.8484848484848481E-2</c:v>
                </c:pt>
                <c:pt idx="3">
                  <c:v>3.787878787878788E-2</c:v>
                </c:pt>
                <c:pt idx="4">
                  <c:v>9.8484848484848481E-2</c:v>
                </c:pt>
                <c:pt idx="5">
                  <c:v>0.25757575757575757</c:v>
                </c:pt>
                <c:pt idx="6">
                  <c:v>1.5151515151515152E-2</c:v>
                </c:pt>
                <c:pt idx="7">
                  <c:v>0.14393939393939395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8715392"/>
        <c:axId val="148716928"/>
        <c:axId val="0"/>
      </c:bar3DChart>
      <c:catAx>
        <c:axId val="148715392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716928"/>
        <c:crosses val="autoZero"/>
        <c:auto val="1"/>
        <c:lblAlgn val="ctr"/>
        <c:lblOffset val="100"/>
        <c:noMultiLvlLbl val="0"/>
      </c:catAx>
      <c:valAx>
        <c:axId val="148716928"/>
        <c:scaling>
          <c:orientation val="minMax"/>
        </c:scaling>
        <c:delete val="0"/>
        <c:axPos val="b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715392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UNIDADES T3</a:t>
            </a:r>
          </a:p>
          <a:p>
            <a:pPr>
              <a:defRPr sz="1400"/>
            </a:pPr>
            <a:r>
              <a:rPr lang="en-US" sz="1000"/>
              <a:t>ENCUESTA A CONDUCTORES</a:t>
            </a:r>
            <a:endParaRPr lang="en-US" sz="1400"/>
          </a:p>
          <a:p>
            <a:pPr>
              <a:defRPr sz="1400"/>
            </a:pPr>
            <a:r>
              <a:rPr lang="en-US" sz="800"/>
              <a:t>[% SOBRE EL TOTAL DE RESPUESTAS PARA UNIDADES T3 (100% = 393)]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FEB'!$A$88</c:f>
              <c:strCache>
                <c:ptCount val="1"/>
                <c:pt idx="0">
                  <c:v>CARGA QUE TRANSPORTA. UNIDADES T3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FEB'!$B$90:$B$97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FEB'!$C$90:$C$97</c:f>
              <c:numCache>
                <c:formatCode>0.0%</c:formatCode>
                <c:ptCount val="8"/>
                <c:pt idx="0">
                  <c:v>8.3969465648854963E-2</c:v>
                </c:pt>
                <c:pt idx="1">
                  <c:v>0.10432569974554708</c:v>
                </c:pt>
                <c:pt idx="2">
                  <c:v>0.11450381679389313</c:v>
                </c:pt>
                <c:pt idx="3">
                  <c:v>0.10432569974554708</c:v>
                </c:pt>
                <c:pt idx="4">
                  <c:v>0.38167938931297712</c:v>
                </c:pt>
                <c:pt idx="5">
                  <c:v>4.0712468193384227E-2</c:v>
                </c:pt>
                <c:pt idx="6">
                  <c:v>3.8167938931297711E-2</c:v>
                </c:pt>
                <c:pt idx="7">
                  <c:v>0.13231552162849872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8750336"/>
        <c:axId val="148751872"/>
        <c:axId val="0"/>
      </c:bar3DChart>
      <c:catAx>
        <c:axId val="148750336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751872"/>
        <c:crosses val="autoZero"/>
        <c:auto val="1"/>
        <c:lblAlgn val="ctr"/>
        <c:lblOffset val="100"/>
        <c:noMultiLvlLbl val="0"/>
      </c:catAx>
      <c:valAx>
        <c:axId val="148751872"/>
        <c:scaling>
          <c:orientation val="minMax"/>
        </c:scaling>
        <c:delete val="0"/>
        <c:axPos val="b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750336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UNIDADES T2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</a:t>
            </a:r>
            <a:r>
              <a:rPr lang="en-US" sz="800"/>
              <a:t>SOBRE EL TOTAL DE RESPUESTAS PARA</a:t>
            </a:r>
            <a:r>
              <a:rPr lang="en-US" sz="800" baseline="0"/>
              <a:t> UNIDADES T2 (100% = 16)]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308553536071214"/>
          <c:y val="0.1574933333333339"/>
          <c:w val="0.56767469855741826"/>
          <c:h val="0.77570225721784891"/>
        </c:manualLayout>
      </c:layout>
      <c:bar3DChart>
        <c:barDir val="bar"/>
        <c:grouping val="clustered"/>
        <c:varyColors val="1"/>
        <c:ser>
          <c:idx val="0"/>
          <c:order val="0"/>
          <c:tx>
            <c:strRef>
              <c:f>'FORMULAS FEB'!$A$73</c:f>
              <c:strCache>
                <c:ptCount val="1"/>
                <c:pt idx="0">
                  <c:v>CARGA QUE TRANSPORTA. UNIDADES T2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FEB'!$B$75:$B$82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FEB'!$C$75:$C$82</c:f>
              <c:numCache>
                <c:formatCode>0.0%</c:formatCode>
                <c:ptCount val="8"/>
                <c:pt idx="0">
                  <c:v>0.125</c:v>
                </c:pt>
                <c:pt idx="1">
                  <c:v>6.25E-2</c:v>
                </c:pt>
                <c:pt idx="2">
                  <c:v>0</c:v>
                </c:pt>
                <c:pt idx="3">
                  <c:v>0.1875</c:v>
                </c:pt>
                <c:pt idx="4">
                  <c:v>6.25E-2</c:v>
                </c:pt>
                <c:pt idx="5">
                  <c:v>0.25</c:v>
                </c:pt>
                <c:pt idx="6">
                  <c:v>6.25E-2</c:v>
                </c:pt>
                <c:pt idx="7">
                  <c:v>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8457344"/>
        <c:axId val="148458880"/>
        <c:axId val="0"/>
      </c:bar3DChart>
      <c:catAx>
        <c:axId val="14845734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458880"/>
        <c:crosses val="autoZero"/>
        <c:auto val="1"/>
        <c:lblAlgn val="ctr"/>
        <c:lblOffset val="100"/>
        <c:noMultiLvlLbl val="0"/>
      </c:catAx>
      <c:valAx>
        <c:axId val="148458880"/>
        <c:scaling>
          <c:orientation val="minMax"/>
        </c:scaling>
        <c:delete val="0"/>
        <c:axPos val="b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457344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s-MX" sz="1400" b="1" i="0" u="none" strike="noStrike" baseline="0"/>
              <a:t>CARGA QUE TRANSPORTA SEGÚN TAMAÑO DE LA FLOTA</a:t>
            </a:r>
            <a:endParaRPr lang="es-MX" sz="1400" b="0" i="0" u="none" strike="noStrike" baseline="0"/>
          </a:p>
          <a:p>
            <a:pPr>
              <a:defRPr sz="1400" b="1"/>
            </a:pPr>
            <a:r>
              <a:rPr lang="es-MX" sz="1000" b="1" i="0" u="none" strike="noStrike" baseline="0"/>
              <a:t>ENCUESTA A CONDUCTORES</a:t>
            </a:r>
          </a:p>
          <a:p>
            <a:pPr>
              <a:defRPr sz="1400" b="1"/>
            </a:pPr>
            <a:r>
              <a:rPr lang="es-MX" sz="800" b="1" i="0" u="none" strike="noStrike" baseline="0"/>
              <a:t>[% SOBRE EL TOTAL DE LAS RESPUESTAS (100% = 663)] </a:t>
            </a:r>
            <a:endParaRPr lang="es-MX" sz="800" b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2229557340245241"/>
          <c:y val="0.11811600907381414"/>
          <c:w val="0.59231043127090321"/>
          <c:h val="0.77697508282638084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'FORMULAS FEB'!$C$105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FEB'!$B$106:$B$113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FEB'!$C$106:$C$113</c:f>
              <c:numCache>
                <c:formatCode>0.0%</c:formatCode>
                <c:ptCount val="8"/>
                <c:pt idx="0">
                  <c:v>3.3182503770739065E-2</c:v>
                </c:pt>
                <c:pt idx="1">
                  <c:v>3.3182503770739065E-2</c:v>
                </c:pt>
                <c:pt idx="2">
                  <c:v>1.0558069381598794E-2</c:v>
                </c:pt>
                <c:pt idx="3">
                  <c:v>6.0331825037707393E-3</c:v>
                </c:pt>
                <c:pt idx="4">
                  <c:v>3.3182503770739065E-2</c:v>
                </c:pt>
                <c:pt idx="5">
                  <c:v>3.6199095022624438E-2</c:v>
                </c:pt>
                <c:pt idx="6">
                  <c:v>6.0331825037707393E-3</c:v>
                </c:pt>
                <c:pt idx="7">
                  <c:v>1.5082956259426848E-2</c:v>
                </c:pt>
              </c:numCache>
            </c:numRef>
          </c:val>
        </c:ser>
        <c:ser>
          <c:idx val="1"/>
          <c:order val="1"/>
          <c:tx>
            <c:strRef>
              <c:f>'FORMULAS FEB'!$D$105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6.6889620363658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874437866771311E-3"/>
                  <c:y val="-4.45930802424398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0872351163086772E-17"/>
                  <c:y val="-4.4593080242439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0872351163086772E-17"/>
                  <c:y val="-4.4593080242439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FEB'!$B$106:$B$113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FEB'!$D$106:$D$113</c:f>
              <c:numCache>
                <c:formatCode>0.0%</c:formatCode>
                <c:ptCount val="8"/>
                <c:pt idx="0">
                  <c:v>2.2624434389140271E-2</c:v>
                </c:pt>
                <c:pt idx="1">
                  <c:v>1.3574660633484163E-2</c:v>
                </c:pt>
                <c:pt idx="2">
                  <c:v>2.7149321266968326E-2</c:v>
                </c:pt>
                <c:pt idx="3">
                  <c:v>1.5082956259426848E-2</c:v>
                </c:pt>
                <c:pt idx="4">
                  <c:v>3.3182503770739065E-2</c:v>
                </c:pt>
                <c:pt idx="5">
                  <c:v>1.8099547511312219E-2</c:v>
                </c:pt>
                <c:pt idx="6">
                  <c:v>4.5248868778280547E-3</c:v>
                </c:pt>
                <c:pt idx="7">
                  <c:v>3.0165912518853696E-2</c:v>
                </c:pt>
              </c:numCache>
            </c:numRef>
          </c:val>
        </c:ser>
        <c:ser>
          <c:idx val="2"/>
          <c:order val="2"/>
          <c:tx>
            <c:strRef>
              <c:f>'FORMULAS FEB'!$E$105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FEB'!$B$106:$B$113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FEB'!$E$106:$E$113</c:f>
              <c:numCache>
                <c:formatCode>0.0%</c:formatCode>
                <c:ptCount val="8"/>
                <c:pt idx="0">
                  <c:v>4.6757164404223228E-2</c:v>
                </c:pt>
                <c:pt idx="1">
                  <c:v>3.7707390648567117E-2</c:v>
                </c:pt>
                <c:pt idx="2">
                  <c:v>4.5248868778280542E-2</c:v>
                </c:pt>
                <c:pt idx="3">
                  <c:v>4.3740573152337855E-2</c:v>
                </c:pt>
                <c:pt idx="4">
                  <c:v>9.9547511312217188E-2</c:v>
                </c:pt>
                <c:pt idx="5">
                  <c:v>4.2232277526395176E-2</c:v>
                </c:pt>
                <c:pt idx="6">
                  <c:v>1.0558069381598794E-2</c:v>
                </c:pt>
                <c:pt idx="7">
                  <c:v>6.485671191553545E-2</c:v>
                </c:pt>
              </c:numCache>
            </c:numRef>
          </c:val>
        </c:ser>
        <c:ser>
          <c:idx val="3"/>
          <c:order val="3"/>
          <c:tx>
            <c:strRef>
              <c:f>'FORMULAS FEB'!$F$105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0872351163086772E-17"/>
                  <c:y val="-6.6889620363658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8.91861604848779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4.4593080242439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6.6889620363658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4.4593080242439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FEB'!$B$106:$B$113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FEB'!$F$106:$F$113</c:f>
              <c:numCache>
                <c:formatCode>0.0%</c:formatCode>
                <c:ptCount val="8"/>
                <c:pt idx="0">
                  <c:v>1.8099547511312219E-2</c:v>
                </c:pt>
                <c:pt idx="1">
                  <c:v>2.4132730015082957E-2</c:v>
                </c:pt>
                <c:pt idx="2">
                  <c:v>3.6199095022624438E-2</c:v>
                </c:pt>
                <c:pt idx="3">
                  <c:v>3.0165912518853696E-2</c:v>
                </c:pt>
                <c:pt idx="4">
                  <c:v>9.9547511312217188E-2</c:v>
                </c:pt>
                <c:pt idx="5">
                  <c:v>1.5082956259426848E-3</c:v>
                </c:pt>
                <c:pt idx="6">
                  <c:v>1.6591251885369532E-2</c:v>
                </c:pt>
                <c:pt idx="7">
                  <c:v>4.5248868778280542E-2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503936"/>
        <c:axId val="148530304"/>
        <c:axId val="0"/>
      </c:bar3DChart>
      <c:catAx>
        <c:axId val="14850393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530304"/>
        <c:crosses val="autoZero"/>
        <c:auto val="1"/>
        <c:lblAlgn val="ctr"/>
        <c:lblOffset val="100"/>
        <c:noMultiLvlLbl val="0"/>
      </c:catAx>
      <c:valAx>
        <c:axId val="148530304"/>
        <c:scaling>
          <c:orientation val="minMax"/>
        </c:scaling>
        <c:delete val="0"/>
        <c:axPos val="b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503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207002179590412E-2"/>
          <c:y val="0.95110737434363468"/>
          <c:w val="0.85606731203487474"/>
          <c:h val="3.641393684742026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PROPIETARIOS CON UNA UNIDAD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PROPIETARIOS CON UNA UNIDAD (100% = 115)]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FEB'!$A$119</c:f>
              <c:strCache>
                <c:ptCount val="1"/>
                <c:pt idx="0">
                  <c:v>CARGA QUE TRANSPORTA. PROPIETARIOS 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FEB'!$B$121:$B$128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FEB'!$C$121:$C$128</c:f>
              <c:numCache>
                <c:formatCode>0.0%</c:formatCode>
                <c:ptCount val="8"/>
                <c:pt idx="0">
                  <c:v>0.19130434782608696</c:v>
                </c:pt>
                <c:pt idx="1">
                  <c:v>0.19130434782608696</c:v>
                </c:pt>
                <c:pt idx="2">
                  <c:v>6.0869565217391307E-2</c:v>
                </c:pt>
                <c:pt idx="3">
                  <c:v>3.4782608695652174E-2</c:v>
                </c:pt>
                <c:pt idx="4">
                  <c:v>0.19130434782608696</c:v>
                </c:pt>
                <c:pt idx="5">
                  <c:v>0.20869565217391303</c:v>
                </c:pt>
                <c:pt idx="6">
                  <c:v>3.4782608695652174E-2</c:v>
                </c:pt>
                <c:pt idx="7">
                  <c:v>8.6956521739130432E-2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563840"/>
        <c:axId val="148565376"/>
        <c:axId val="0"/>
      </c:bar3DChart>
      <c:catAx>
        <c:axId val="14856384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565376"/>
        <c:crosses val="autoZero"/>
        <c:auto val="1"/>
        <c:lblAlgn val="ctr"/>
        <c:lblOffset val="100"/>
        <c:noMultiLvlLbl val="0"/>
      </c:catAx>
      <c:valAx>
        <c:axId val="148565376"/>
        <c:scaling>
          <c:orientation val="minMax"/>
        </c:scaling>
        <c:delete val="0"/>
        <c:axPos val="b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563840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PROPIETARIOS</a:t>
            </a:r>
            <a:r>
              <a:rPr lang="en-US" sz="800" baseline="0"/>
              <a:t> CON DOS UNIDADES (100% = 109)]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FEB'!$A$133</c:f>
              <c:strCache>
                <c:ptCount val="1"/>
                <c:pt idx="0">
                  <c:v>CARGA QUE TRANSPORTA. PROPIETARIOS CON 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FEB'!$B$135:$B$142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FEB'!$C$135:$C$142</c:f>
              <c:numCache>
                <c:formatCode>0.0%</c:formatCode>
                <c:ptCount val="8"/>
                <c:pt idx="0">
                  <c:v>0.13761467889908258</c:v>
                </c:pt>
                <c:pt idx="1">
                  <c:v>8.2568807339449546E-2</c:v>
                </c:pt>
                <c:pt idx="2">
                  <c:v>0.16513761467889909</c:v>
                </c:pt>
                <c:pt idx="3">
                  <c:v>9.1743119266055051E-2</c:v>
                </c:pt>
                <c:pt idx="4">
                  <c:v>0.20183486238532111</c:v>
                </c:pt>
                <c:pt idx="5">
                  <c:v>0.11009174311926606</c:v>
                </c:pt>
                <c:pt idx="6">
                  <c:v>2.7522935779816515E-2</c:v>
                </c:pt>
                <c:pt idx="7">
                  <c:v>0.1834862385321101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598784"/>
        <c:axId val="148600320"/>
        <c:axId val="0"/>
      </c:bar3DChart>
      <c:catAx>
        <c:axId val="14859878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600320"/>
        <c:crosses val="autoZero"/>
        <c:auto val="1"/>
        <c:lblAlgn val="ctr"/>
        <c:lblOffset val="100"/>
        <c:noMultiLvlLbl val="0"/>
      </c:catAx>
      <c:valAx>
        <c:axId val="148600320"/>
        <c:scaling>
          <c:orientation val="minMax"/>
        </c:scaling>
        <c:delete val="0"/>
        <c:axPos val="b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598784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000"/>
              <a:t>ENCUESTAS A CONDUCTORES</a:t>
            </a:r>
          </a:p>
          <a:p>
            <a:pPr>
              <a:defRPr sz="1400"/>
            </a:pPr>
            <a:r>
              <a:rPr lang="en-US" sz="800"/>
              <a:t>[% SOBRE</a:t>
            </a:r>
            <a:r>
              <a:rPr lang="en-US" sz="800" baseline="0"/>
              <a:t> EL TOTAL DE RESPUESTAS PARA PROPIETARIOS CON TRES A CINCO UNIDADES (100% = 259)]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FEB'!$A$147</c:f>
              <c:strCache>
                <c:ptCount val="1"/>
                <c:pt idx="0">
                  <c:v>CARGA QUE TRANSPORTA. PROPIETARIOS CON 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FEB'!$B$149:$B$156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FEB'!$C$149:$C$156</c:f>
              <c:numCache>
                <c:formatCode>0.0%</c:formatCode>
                <c:ptCount val="8"/>
                <c:pt idx="0">
                  <c:v>0.11969111969111969</c:v>
                </c:pt>
                <c:pt idx="1">
                  <c:v>9.6525096525096526E-2</c:v>
                </c:pt>
                <c:pt idx="2">
                  <c:v>0.11583011583011583</c:v>
                </c:pt>
                <c:pt idx="3">
                  <c:v>0.11196911196911197</c:v>
                </c:pt>
                <c:pt idx="4">
                  <c:v>0.25482625482625482</c:v>
                </c:pt>
                <c:pt idx="5">
                  <c:v>0.10810810810810811</c:v>
                </c:pt>
                <c:pt idx="6">
                  <c:v>2.7027027027027029E-2</c:v>
                </c:pt>
                <c:pt idx="7">
                  <c:v>0.16602316602316602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625664"/>
        <c:axId val="148631552"/>
        <c:axId val="0"/>
      </c:bar3DChart>
      <c:catAx>
        <c:axId val="14862566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631552"/>
        <c:crosses val="autoZero"/>
        <c:auto val="1"/>
        <c:lblAlgn val="ctr"/>
        <c:lblOffset val="100"/>
        <c:noMultiLvlLbl val="0"/>
      </c:catAx>
      <c:valAx>
        <c:axId val="148631552"/>
        <c:scaling>
          <c:orientation val="minMax"/>
        </c:scaling>
        <c:delete val="0"/>
        <c:axPos val="b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625664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  <a:endParaRPr lang="en-US" sz="1400"/>
          </a:p>
          <a:p>
            <a:pPr>
              <a:defRPr sz="1400"/>
            </a:pPr>
            <a:r>
              <a:rPr lang="en-US" sz="1000"/>
              <a:t>ENCUESTAS A CONDUCTORES</a:t>
            </a:r>
          </a:p>
          <a:p>
            <a:pPr>
              <a:defRPr sz="1400"/>
            </a:pPr>
            <a:r>
              <a:rPr lang="en-US" sz="800"/>
              <a:t>[% SOBRE EL TOTAL DE RESPUESTAS PARA PROPIETARIOS CON SEIS A TREINTA UNIDADES (100% = 180)]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FEB'!$A$160</c:f>
              <c:strCache>
                <c:ptCount val="1"/>
                <c:pt idx="0">
                  <c:v>CARGA QUE TRANSPORTA. PROPIETARIOS CON 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FEB'!$B$162:$B$169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FEB'!$C$162:$C$169</c:f>
              <c:numCache>
                <c:formatCode>0.0%</c:formatCode>
                <c:ptCount val="8"/>
                <c:pt idx="0">
                  <c:v>6.6666666666666666E-2</c:v>
                </c:pt>
                <c:pt idx="1">
                  <c:v>8.8888888888888892E-2</c:v>
                </c:pt>
                <c:pt idx="2">
                  <c:v>0.13333333333333333</c:v>
                </c:pt>
                <c:pt idx="3">
                  <c:v>0.1111111111111111</c:v>
                </c:pt>
                <c:pt idx="4">
                  <c:v>0.36666666666666664</c:v>
                </c:pt>
                <c:pt idx="5">
                  <c:v>5.5555555555555558E-3</c:v>
                </c:pt>
                <c:pt idx="6">
                  <c:v>6.1111111111111109E-2</c:v>
                </c:pt>
                <c:pt idx="7">
                  <c:v>0.16666666666666666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804352"/>
        <c:axId val="148805888"/>
        <c:axId val="0"/>
      </c:bar3DChart>
      <c:catAx>
        <c:axId val="148804352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805888"/>
        <c:crosses val="autoZero"/>
        <c:auto val="1"/>
        <c:lblAlgn val="ctr"/>
        <c:lblOffset val="100"/>
        <c:noMultiLvlLbl val="0"/>
      </c:catAx>
      <c:valAx>
        <c:axId val="148805888"/>
        <c:scaling>
          <c:orientation val="minMax"/>
        </c:scaling>
        <c:delete val="0"/>
        <c:axPos val="b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804352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UNIDAD DE ARRASTRE POR TAMAÑO DE FLOTA</a:t>
            </a:r>
          </a:p>
          <a:p>
            <a:pPr>
              <a:defRPr sz="1400"/>
            </a:pPr>
            <a:r>
              <a:rPr lang="es-MX" sz="1000"/>
              <a:t>ENCUESTAS A CONDUCTORES</a:t>
            </a:r>
          </a:p>
          <a:p>
            <a:pPr>
              <a:defRPr sz="1400"/>
            </a:pPr>
            <a:r>
              <a:rPr lang="es-MX" sz="800"/>
              <a:t>[%</a:t>
            </a:r>
            <a:r>
              <a:rPr lang="es-MX" sz="800" baseline="0"/>
              <a:t> SOBRE EL TOTAL DE UNIDADES DE ARRASTRE (100% = 453)]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328915407313215E-2"/>
          <c:y val="0.14534562713339591"/>
          <c:w val="0.89305309662379284"/>
          <c:h val="0.4891632628761641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FEB'!$O$3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FEB'!$N$4:$N$10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FEB'!$O$4:$O$10</c:f>
              <c:numCache>
                <c:formatCode>0.00%</c:formatCode>
                <c:ptCount val="7"/>
                <c:pt idx="0">
                  <c:v>5.9602649006622516E-2</c:v>
                </c:pt>
                <c:pt idx="1">
                  <c:v>1.7660044150110375E-2</c:v>
                </c:pt>
                <c:pt idx="2">
                  <c:v>1.7660044150110375E-2</c:v>
                </c:pt>
                <c:pt idx="3">
                  <c:v>6.6225165562913907E-3</c:v>
                </c:pt>
                <c:pt idx="4">
                  <c:v>0</c:v>
                </c:pt>
                <c:pt idx="5">
                  <c:v>4.4150110375275942E-2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FEB'!$P$3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FEB'!$N$4:$N$10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FEB'!$P$4:$P$10</c:f>
              <c:numCache>
                <c:formatCode>0.00%</c:formatCode>
                <c:ptCount val="7"/>
                <c:pt idx="0">
                  <c:v>9.4922737306843266E-2</c:v>
                </c:pt>
                <c:pt idx="1">
                  <c:v>1.3245033112582781E-2</c:v>
                </c:pt>
                <c:pt idx="2">
                  <c:v>1.5452538631346579E-2</c:v>
                </c:pt>
                <c:pt idx="3">
                  <c:v>1.9867549668874173E-2</c:v>
                </c:pt>
                <c:pt idx="4">
                  <c:v>4.4150110375275938E-3</c:v>
                </c:pt>
                <c:pt idx="5">
                  <c:v>2.8697571743929361E-2</c:v>
                </c:pt>
                <c:pt idx="6">
                  <c:v>2.2075055187637969E-3</c:v>
                </c:pt>
              </c:numCache>
            </c:numRef>
          </c:val>
        </c:ser>
        <c:ser>
          <c:idx val="2"/>
          <c:order val="2"/>
          <c:tx>
            <c:strRef>
              <c:f>'FORMULAS FEB'!$Q$3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FEB'!$N$4:$N$10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FEB'!$Q$4:$Q$10</c:f>
              <c:numCache>
                <c:formatCode>0.00%</c:formatCode>
                <c:ptCount val="7"/>
                <c:pt idx="0">
                  <c:v>0.22075055187637968</c:v>
                </c:pt>
                <c:pt idx="1">
                  <c:v>4.6357615894039736E-2</c:v>
                </c:pt>
                <c:pt idx="2">
                  <c:v>3.5320088300220751E-2</c:v>
                </c:pt>
                <c:pt idx="3">
                  <c:v>3.5320088300220751E-2</c:v>
                </c:pt>
                <c:pt idx="4">
                  <c:v>4.4150110375275938E-3</c:v>
                </c:pt>
                <c:pt idx="5">
                  <c:v>5.9602649006622516E-2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FEB'!$R$3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1118012422361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351966873705981E-2"/>
                  <c:y val="5.25969756738988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21118012422361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1118012422361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1407867494824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FEB'!$N$4:$N$10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FEB'!$R$4:$R$10</c:f>
              <c:numCache>
                <c:formatCode>0.00%</c:formatCode>
                <c:ptCount val="7"/>
                <c:pt idx="0">
                  <c:v>0.16114790286975716</c:v>
                </c:pt>
                <c:pt idx="1">
                  <c:v>3.3112582781456956E-2</c:v>
                </c:pt>
                <c:pt idx="2">
                  <c:v>3.3112582781456956E-2</c:v>
                </c:pt>
                <c:pt idx="3">
                  <c:v>2.8697571743929361E-2</c:v>
                </c:pt>
                <c:pt idx="4">
                  <c:v>2.2075055187637969E-3</c:v>
                </c:pt>
                <c:pt idx="5">
                  <c:v>1.5452538631346579E-2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843136"/>
        <c:axId val="148865408"/>
        <c:axId val="0"/>
      </c:bar3DChart>
      <c:catAx>
        <c:axId val="148843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48865408"/>
        <c:crosses val="autoZero"/>
        <c:auto val="1"/>
        <c:lblAlgn val="ctr"/>
        <c:lblOffset val="100"/>
        <c:noMultiLvlLbl val="0"/>
      </c:catAx>
      <c:valAx>
        <c:axId val="14886540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843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2268140395493977E-2"/>
          <c:y val="0.94325268926876349"/>
          <c:w val="0.90667595898338904"/>
          <c:h val="4.6050616729903592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UNIDAD DE ARRASTRE. </a:t>
            </a:r>
          </a:p>
          <a:p>
            <a:pPr>
              <a:defRPr sz="1400"/>
            </a:pPr>
            <a:r>
              <a:rPr lang="en-US" sz="1200"/>
              <a:t>PROPIETARIOS CON UNA UNIDAD</a:t>
            </a:r>
          </a:p>
          <a:p>
            <a:pPr>
              <a:defRPr sz="1400"/>
            </a:pPr>
            <a:r>
              <a:rPr lang="en-US" sz="1000"/>
              <a:t>ENCUESTA A CONDUCTORES</a:t>
            </a:r>
            <a:endParaRPr lang="en-US" sz="1400"/>
          </a:p>
          <a:p>
            <a:pPr>
              <a:defRPr sz="1400"/>
            </a:pPr>
            <a:r>
              <a:rPr lang="en-US" sz="800"/>
              <a:t>[% SOBRE EL TOTAL DE UNIDADES DE ARRASTRE</a:t>
            </a:r>
            <a:r>
              <a:rPr lang="en-US" sz="800" baseline="0"/>
              <a:t> DE PROPIETARIOS CON UNA UNIDAD (100% = 66)]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FEB'!$N$13</c:f>
              <c:strCache>
                <c:ptCount val="1"/>
                <c:pt idx="0">
                  <c:v>UNIDAD DE ARRASTRE. PROPIETARIOS 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FEB'!$N$15:$N$21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FEB'!$O$15:$O$21</c:f>
              <c:numCache>
                <c:formatCode>0.00%</c:formatCode>
                <c:ptCount val="7"/>
                <c:pt idx="0">
                  <c:v>0.40909090909090912</c:v>
                </c:pt>
                <c:pt idx="1">
                  <c:v>0.12121212121212122</c:v>
                </c:pt>
                <c:pt idx="2">
                  <c:v>0.12121212121212122</c:v>
                </c:pt>
                <c:pt idx="3">
                  <c:v>4.5454545454545456E-2</c:v>
                </c:pt>
                <c:pt idx="4">
                  <c:v>0</c:v>
                </c:pt>
                <c:pt idx="5">
                  <c:v>0.30303030303030304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886656"/>
        <c:axId val="148888192"/>
        <c:axId val="0"/>
      </c:bar3DChart>
      <c:catAx>
        <c:axId val="148886656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888192"/>
        <c:crosses val="autoZero"/>
        <c:auto val="1"/>
        <c:lblAlgn val="ctr"/>
        <c:lblOffset val="100"/>
        <c:noMultiLvlLbl val="0"/>
      </c:catAx>
      <c:valAx>
        <c:axId val="148888192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886656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ESCOLARIDAD DEL CONDUCTOR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FORMULAS!$B$27</c:f>
              <c:strCache>
                <c:ptCount val="1"/>
                <c:pt idx="0">
                  <c:v>ESCOLARIDAD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FORMULAS!$B$28:$B$34</c:f>
              <c:strCache>
                <c:ptCount val="7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POSGRADO</c:v>
                </c:pt>
                <c:pt idx="6">
                  <c:v>OTROS</c:v>
                </c:pt>
              </c:strCache>
            </c:strRef>
          </c:cat>
          <c:val>
            <c:numRef>
              <c:f>FORMULAS!$D$28:$D$34</c:f>
              <c:numCache>
                <c:formatCode>General</c:formatCode>
                <c:ptCount val="7"/>
                <c:pt idx="0">
                  <c:v>21</c:v>
                </c:pt>
                <c:pt idx="1">
                  <c:v>109</c:v>
                </c:pt>
                <c:pt idx="2">
                  <c:v>218</c:v>
                </c:pt>
                <c:pt idx="3">
                  <c:v>95</c:v>
                </c:pt>
                <c:pt idx="4">
                  <c:v>6</c:v>
                </c:pt>
                <c:pt idx="5">
                  <c:v>0</c:v>
                </c:pt>
                <c:pt idx="6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769152"/>
        <c:axId val="36775040"/>
        <c:axId val="0"/>
      </c:bar3DChart>
      <c:catAx>
        <c:axId val="36769152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36775040"/>
        <c:crosses val="autoZero"/>
        <c:auto val="1"/>
        <c:lblAlgn val="ctr"/>
        <c:lblOffset val="100"/>
        <c:noMultiLvlLbl val="0"/>
      </c:catAx>
      <c:valAx>
        <c:axId val="36775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6769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UNIDAD DE ARRASTRE.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UNIDADES DE ARRASTRE</a:t>
            </a:r>
            <a:r>
              <a:rPr lang="en-US" sz="800" baseline="0"/>
              <a:t> DE </a:t>
            </a:r>
            <a:r>
              <a:rPr lang="en-US" sz="800"/>
              <a:t>PROPIETARIOS</a:t>
            </a:r>
            <a:r>
              <a:rPr lang="en-US" sz="800" baseline="0"/>
              <a:t> CON DOS UNIDADES (100% = 81)]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FEB'!$N$24</c:f>
              <c:strCache>
                <c:ptCount val="1"/>
                <c:pt idx="0">
                  <c:v>UNIDAD DE ARRASTRE. PROPIETARIOS CON 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FEB'!$N$26:$N$32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FEB'!$O$26:$O$32</c:f>
              <c:numCache>
                <c:formatCode>0.00%</c:formatCode>
                <c:ptCount val="7"/>
                <c:pt idx="0">
                  <c:v>0.53086419753086422</c:v>
                </c:pt>
                <c:pt idx="1">
                  <c:v>7.407407407407407E-2</c:v>
                </c:pt>
                <c:pt idx="2">
                  <c:v>8.6419753086419748E-2</c:v>
                </c:pt>
                <c:pt idx="3">
                  <c:v>0.1111111111111111</c:v>
                </c:pt>
                <c:pt idx="4">
                  <c:v>2.4691358024691357E-2</c:v>
                </c:pt>
                <c:pt idx="5">
                  <c:v>0.16049382716049382</c:v>
                </c:pt>
                <c:pt idx="6">
                  <c:v>1.2345679012345678E-2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938112"/>
        <c:axId val="148944000"/>
        <c:axId val="0"/>
      </c:bar3DChart>
      <c:catAx>
        <c:axId val="148938112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944000"/>
        <c:crosses val="autoZero"/>
        <c:auto val="1"/>
        <c:lblAlgn val="ctr"/>
        <c:lblOffset val="100"/>
        <c:noMultiLvlLbl val="0"/>
      </c:catAx>
      <c:valAx>
        <c:axId val="148944000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8938112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UNIDAD DE ARRASTRE. 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UNIDADES DE ARRASTRE DE PROPIETARIOS</a:t>
            </a:r>
            <a:r>
              <a:rPr lang="en-US" sz="800" baseline="0"/>
              <a:t> CON DOS A CINCO UNIDADES (100% = 182)]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FEB'!$N$35</c:f>
              <c:strCache>
                <c:ptCount val="1"/>
                <c:pt idx="0">
                  <c:v>UNIDAD DE ARRASTRE. PROPIETARIOS CON 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FEB'!$N$37:$N$43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FEB'!$O$37:$O$43</c:f>
              <c:numCache>
                <c:formatCode>0.00%</c:formatCode>
                <c:ptCount val="7"/>
                <c:pt idx="0">
                  <c:v>0.5494505494505495</c:v>
                </c:pt>
                <c:pt idx="1">
                  <c:v>0.11538461538461539</c:v>
                </c:pt>
                <c:pt idx="2">
                  <c:v>8.7912087912087919E-2</c:v>
                </c:pt>
                <c:pt idx="3">
                  <c:v>8.7912087912087919E-2</c:v>
                </c:pt>
                <c:pt idx="4">
                  <c:v>1.098901098901099E-2</c:v>
                </c:pt>
                <c:pt idx="5">
                  <c:v>0.14835164835164835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030784"/>
        <c:axId val="149032320"/>
        <c:axId val="0"/>
      </c:bar3DChart>
      <c:catAx>
        <c:axId val="14903078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032320"/>
        <c:crosses val="autoZero"/>
        <c:auto val="1"/>
        <c:lblAlgn val="ctr"/>
        <c:lblOffset val="100"/>
        <c:noMultiLvlLbl val="0"/>
      </c:catAx>
      <c:valAx>
        <c:axId val="149032320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030784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UNIDAD DE ARRASTRE. </a:t>
            </a:r>
          </a:p>
          <a:p>
            <a:pPr>
              <a:defRPr sz="1600"/>
            </a:pPr>
            <a:r>
              <a:rPr lang="en-US" sz="1200"/>
              <a:t>PROPIETARIOS CON SEIS A TREINTA UNIDADES</a:t>
            </a:r>
          </a:p>
          <a:p>
            <a:pPr>
              <a:defRPr sz="1600"/>
            </a:pPr>
            <a:r>
              <a:rPr lang="en-US" sz="1000"/>
              <a:t>ENCUESTA A CONDUCTORES</a:t>
            </a:r>
          </a:p>
          <a:p>
            <a:pPr>
              <a:defRPr sz="1600"/>
            </a:pPr>
            <a:r>
              <a:rPr lang="en-US" sz="800"/>
              <a:t>[% SOBRE EL TOTAL DE UNIDADES DE ARRASTRE DE PROPIETARIOS CON SEIS A TREINTA UNIDADES (100% = 124)]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FEB'!$N$46</c:f>
              <c:strCache>
                <c:ptCount val="1"/>
                <c:pt idx="0">
                  <c:v>UNIDAD DE ARRASTRE. PROPIETARIOS CON 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8.1504702194357612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FEB'!$N$48:$N$54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FEB'!$O$48:$O$54</c:f>
              <c:numCache>
                <c:formatCode>0.00%</c:formatCode>
                <c:ptCount val="7"/>
                <c:pt idx="0">
                  <c:v>0.58870967741935487</c:v>
                </c:pt>
                <c:pt idx="1">
                  <c:v>0.12096774193548387</c:v>
                </c:pt>
                <c:pt idx="2">
                  <c:v>0.12096774193548387</c:v>
                </c:pt>
                <c:pt idx="3">
                  <c:v>0.10483870967741936</c:v>
                </c:pt>
                <c:pt idx="4">
                  <c:v>8.0645161290322578E-3</c:v>
                </c:pt>
                <c:pt idx="5">
                  <c:v>5.6451612903225805E-2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091456"/>
        <c:axId val="149092992"/>
        <c:axId val="0"/>
      </c:bar3DChart>
      <c:catAx>
        <c:axId val="149091456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092992"/>
        <c:crosses val="autoZero"/>
        <c:auto val="1"/>
        <c:lblAlgn val="ctr"/>
        <c:lblOffset val="100"/>
        <c:noMultiLvlLbl val="0"/>
      </c:catAx>
      <c:valAx>
        <c:axId val="149092992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091456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UNIDADES DE ARRASTRE SEGÚN TIPO</a:t>
            </a:r>
            <a:r>
              <a:rPr lang="es-MX" sz="1400" baseline="0"/>
              <a:t> DE</a:t>
            </a:r>
            <a:r>
              <a:rPr lang="es-MX" sz="1400"/>
              <a:t> UNIDAD MOTRIZ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(100% = 453)]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'FORMULAS FEB'!$O$58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FEB'!$N$59:$N$65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FEB'!$O$59:$O$65</c:f>
              <c:numCache>
                <c:formatCode>0.00%</c:formatCode>
                <c:ptCount val="7"/>
                <c:pt idx="0">
                  <c:v>0.13024282560706402</c:v>
                </c:pt>
                <c:pt idx="1">
                  <c:v>4.4150110375275938E-3</c:v>
                </c:pt>
                <c:pt idx="2">
                  <c:v>3.0905077262693158E-2</c:v>
                </c:pt>
                <c:pt idx="3">
                  <c:v>2.6490066225165563E-2</c:v>
                </c:pt>
                <c:pt idx="4">
                  <c:v>6.6225165562913907E-3</c:v>
                </c:pt>
                <c:pt idx="5">
                  <c:v>3.5320088300220751E-2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FEB'!$P$58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3.79326695116169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3.79326695116169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5489220086964153E-17"/>
                  <c:y val="-1.89663347558084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FEB'!$N$59:$N$65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FEB'!$P$59:$P$65</c:f>
              <c:numCache>
                <c:formatCode>0.00%</c:formatCode>
                <c:ptCount val="7"/>
                <c:pt idx="0">
                  <c:v>5.9602649006622516E-2</c:v>
                </c:pt>
                <c:pt idx="1">
                  <c:v>8.8300220750551876E-3</c:v>
                </c:pt>
                <c:pt idx="2">
                  <c:v>8.8300220750551876E-3</c:v>
                </c:pt>
                <c:pt idx="3">
                  <c:v>2.2075055187637971E-2</c:v>
                </c:pt>
                <c:pt idx="4">
                  <c:v>2.2075055187637969E-3</c:v>
                </c:pt>
                <c:pt idx="5">
                  <c:v>8.3885209713024281E-2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FEB'!$Q$58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5.689900426742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3.79326695116169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5489220086964153E-17"/>
                  <c:y val="-3.79326695116176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5489220086964153E-17"/>
                  <c:y val="-5.6899004267426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5489220086964153E-17"/>
                  <c:y val="-3.793266951161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FEB'!$N$59:$N$65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FEB'!$Q$59:$Q$65</c:f>
              <c:numCache>
                <c:formatCode>0.00%</c:formatCode>
                <c:ptCount val="7"/>
                <c:pt idx="0">
                  <c:v>1.5452538631346579E-2</c:v>
                </c:pt>
                <c:pt idx="1">
                  <c:v>6.6225165562913907E-3</c:v>
                </c:pt>
                <c:pt idx="2">
                  <c:v>4.4150110375275938E-3</c:v>
                </c:pt>
                <c:pt idx="3">
                  <c:v>0</c:v>
                </c:pt>
                <c:pt idx="4">
                  <c:v>0</c:v>
                </c:pt>
                <c:pt idx="5">
                  <c:v>2.2075055187637969E-3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FEB'!$R$58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FEB'!$N$59:$N$65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FEB'!$R$59:$R$65</c:f>
              <c:numCache>
                <c:formatCode>0.00%</c:formatCode>
                <c:ptCount val="7"/>
                <c:pt idx="0">
                  <c:v>0.33112582781456956</c:v>
                </c:pt>
                <c:pt idx="1">
                  <c:v>9.0507726269315678E-2</c:v>
                </c:pt>
                <c:pt idx="2">
                  <c:v>5.7395143487858721E-2</c:v>
                </c:pt>
                <c:pt idx="3">
                  <c:v>4.194260485651214E-2</c:v>
                </c:pt>
                <c:pt idx="4">
                  <c:v>2.2075055187637969E-3</c:v>
                </c:pt>
                <c:pt idx="5">
                  <c:v>2.6490066225165563E-2</c:v>
                </c:pt>
                <c:pt idx="6">
                  <c:v>2.2075055187637969E-3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130624"/>
        <c:axId val="149152896"/>
        <c:axId val="0"/>
      </c:bar3DChart>
      <c:catAx>
        <c:axId val="14913062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152896"/>
        <c:crosses val="autoZero"/>
        <c:auto val="1"/>
        <c:lblAlgn val="ctr"/>
        <c:lblOffset val="100"/>
        <c:noMultiLvlLbl val="0"/>
      </c:catAx>
      <c:valAx>
        <c:axId val="149152896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130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UNIDADES DE ARRASTRE. </a:t>
            </a:r>
          </a:p>
          <a:p>
            <a:pPr>
              <a:defRPr sz="1400"/>
            </a:pPr>
            <a:r>
              <a:rPr lang="en-US" sz="1200"/>
              <a:t>UNIDAD MOTRIZ TIPO C2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CONDUCTORES</a:t>
            </a:r>
          </a:p>
          <a:p>
            <a:pPr>
              <a:defRPr sz="1400"/>
            </a:pPr>
            <a:r>
              <a:rPr lang="en-US" sz="800" baseline="0"/>
              <a:t>[% SOBRE EL TOTAL DE RESPUESTAS PARA UNIDADES TIPO C2 (100% = 106)]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FEB'!$N$68</c:f>
              <c:strCache>
                <c:ptCount val="1"/>
                <c:pt idx="0">
                  <c:v>UNIDADES DE ARRASTRE. UNIDAD MOTRIZ TIPO C2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FEB'!$N$70:$N$76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FEB'!$O$70:$O$76</c:f>
              <c:numCache>
                <c:formatCode>0.00%</c:formatCode>
                <c:ptCount val="7"/>
                <c:pt idx="0">
                  <c:v>0.55660377358490565</c:v>
                </c:pt>
                <c:pt idx="1">
                  <c:v>1.8867924528301886E-2</c:v>
                </c:pt>
                <c:pt idx="2">
                  <c:v>0.13207547169811321</c:v>
                </c:pt>
                <c:pt idx="3">
                  <c:v>0.11320754716981132</c:v>
                </c:pt>
                <c:pt idx="4">
                  <c:v>2.8301886792452831E-2</c:v>
                </c:pt>
                <c:pt idx="5">
                  <c:v>0.15094339622641509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178240"/>
        <c:axId val="149179776"/>
        <c:axId val="0"/>
      </c:bar3DChart>
      <c:catAx>
        <c:axId val="149178240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179776"/>
        <c:crosses val="autoZero"/>
        <c:auto val="1"/>
        <c:lblAlgn val="ctr"/>
        <c:lblOffset val="100"/>
        <c:noMultiLvlLbl val="0"/>
      </c:catAx>
      <c:valAx>
        <c:axId val="149179776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178240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UNIDADES DE ARRASTRE. </a:t>
            </a:r>
          </a:p>
          <a:p>
            <a:pPr>
              <a:defRPr sz="1400"/>
            </a:pPr>
            <a:r>
              <a:rPr lang="en-US" sz="1200"/>
              <a:t>UNIDAD MOTRIZ TIPO C3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CONDUCTORES</a:t>
            </a:r>
          </a:p>
          <a:p>
            <a:pPr>
              <a:defRPr sz="1400"/>
            </a:pPr>
            <a:r>
              <a:rPr lang="en-US" sz="800" baseline="0"/>
              <a:t>[% SOBRE EL TOTAL DE RESPUESTAS PARA UNIDADES TIPO C3 (100% = 84)]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FEB'!$N$79</c:f>
              <c:strCache>
                <c:ptCount val="1"/>
                <c:pt idx="0">
                  <c:v>UNIDADES DE ARRASTRE. UNIDAD MOTRIZ TIPO C3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FEB'!$N$81:$N$87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FEB'!$O$81:$O$87</c:f>
              <c:numCache>
                <c:formatCode>0.00%</c:formatCode>
                <c:ptCount val="7"/>
                <c:pt idx="0">
                  <c:v>0.32142857142857145</c:v>
                </c:pt>
                <c:pt idx="1">
                  <c:v>4.7619047619047616E-2</c:v>
                </c:pt>
                <c:pt idx="2">
                  <c:v>4.7619047619047616E-2</c:v>
                </c:pt>
                <c:pt idx="3">
                  <c:v>0.11904761904761904</c:v>
                </c:pt>
                <c:pt idx="4">
                  <c:v>1.1904761904761904E-2</c:v>
                </c:pt>
                <c:pt idx="5">
                  <c:v>0.45238095238095238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204992"/>
        <c:axId val="149206528"/>
        <c:axId val="0"/>
      </c:bar3DChart>
      <c:catAx>
        <c:axId val="149204992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206528"/>
        <c:crosses val="autoZero"/>
        <c:auto val="1"/>
        <c:lblAlgn val="ctr"/>
        <c:lblOffset val="100"/>
        <c:noMultiLvlLbl val="0"/>
      </c:catAx>
      <c:valAx>
        <c:axId val="149206528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204992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UNIDADES DE ARRASTRE. </a:t>
            </a:r>
          </a:p>
          <a:p>
            <a:pPr>
              <a:defRPr sz="1400"/>
            </a:pPr>
            <a:r>
              <a:rPr lang="en-US" sz="1200"/>
              <a:t>UNIDAD MOTRIZ TIPO T2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TIPO T2 (100% = 13)]</a:t>
            </a:r>
          </a:p>
        </c:rich>
      </c:tx>
      <c:layout>
        <c:manualLayout>
          <c:xMode val="edge"/>
          <c:yMode val="edge"/>
          <c:x val="0.32995822890559784"/>
          <c:y val="2.3856858846918478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FEB'!$N$90</c:f>
              <c:strCache>
                <c:ptCount val="1"/>
                <c:pt idx="0">
                  <c:v>UNIDADES DE ARRASTRE. UNIDAD MOTRIZ TIPO T2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FEB'!$N$92:$N$98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FEB'!$O$92:$O$98</c:f>
              <c:numCache>
                <c:formatCode>0.00%</c:formatCode>
                <c:ptCount val="7"/>
                <c:pt idx="0">
                  <c:v>0.53846153846153844</c:v>
                </c:pt>
                <c:pt idx="1">
                  <c:v>0.23076923076923078</c:v>
                </c:pt>
                <c:pt idx="2">
                  <c:v>0.15384615384615385</c:v>
                </c:pt>
                <c:pt idx="3">
                  <c:v>0</c:v>
                </c:pt>
                <c:pt idx="4">
                  <c:v>0</c:v>
                </c:pt>
                <c:pt idx="5">
                  <c:v>7.6923076923076927E-2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321216"/>
        <c:axId val="149322752"/>
        <c:axId val="0"/>
      </c:bar3DChart>
      <c:catAx>
        <c:axId val="149321216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322752"/>
        <c:crosses val="autoZero"/>
        <c:auto val="1"/>
        <c:lblAlgn val="ctr"/>
        <c:lblOffset val="100"/>
        <c:noMultiLvlLbl val="0"/>
      </c:catAx>
      <c:valAx>
        <c:axId val="149322752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321216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UNIDADES DE ARRASTRE. </a:t>
            </a:r>
          </a:p>
          <a:p>
            <a:pPr>
              <a:defRPr sz="1400"/>
            </a:pPr>
            <a:r>
              <a:rPr lang="en-US" sz="1200"/>
              <a:t>UNIDAD MOTRIZ TIPO T3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TIPO T3 (100% = 250)]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'FORMULAS FEB'!$N$101</c:f>
              <c:strCache>
                <c:ptCount val="1"/>
                <c:pt idx="0">
                  <c:v>UNIDADES DE ARRASTRE. UNIDAD MOTRIZ TIPO T3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301507537688516E-2"/>
                  <c:y val="-5.3015241882041183E-3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FEB'!$N$103:$N$109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FEB'!$O$103:$O$109</c:f>
              <c:numCache>
                <c:formatCode>0.00%</c:formatCode>
                <c:ptCount val="7"/>
                <c:pt idx="0">
                  <c:v>0.6</c:v>
                </c:pt>
                <c:pt idx="1">
                  <c:v>0.16400000000000001</c:v>
                </c:pt>
                <c:pt idx="2">
                  <c:v>0.104</c:v>
                </c:pt>
                <c:pt idx="3">
                  <c:v>7.5999999999999998E-2</c:v>
                </c:pt>
                <c:pt idx="4">
                  <c:v>4.0000000000000001E-3</c:v>
                </c:pt>
                <c:pt idx="5">
                  <c:v>4.8000000000000001E-2</c:v>
                </c:pt>
                <c:pt idx="6">
                  <c:v>4.0000000000000001E-3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368832"/>
        <c:axId val="149370368"/>
        <c:axId val="0"/>
      </c:bar3DChart>
      <c:catAx>
        <c:axId val="149368832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370368"/>
        <c:crosses val="autoZero"/>
        <c:auto val="1"/>
        <c:lblAlgn val="ctr"/>
        <c:lblOffset val="100"/>
        <c:noMultiLvlLbl val="0"/>
      </c:catAx>
      <c:valAx>
        <c:axId val="149370368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368832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COMBUSTIBLE SEGÚN TIPO DE UNIDAD MOTRIZ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(100% = 453)]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FEB'!$Z$5</c:f>
              <c:strCache>
                <c:ptCount val="1"/>
                <c:pt idx="0">
                  <c:v>Diesel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4.1797283176593534E-3"/>
                  <c:y val="0.26596675415573051"/>
                </c:manualLayout>
              </c:layout>
              <c:spPr/>
              <c:txPr>
                <a:bodyPr rot="-5400000" vert="horz"/>
                <a:lstStyle/>
                <a:p>
                  <a:pPr>
                    <a:defRPr sz="11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FEB'!$AA$4:$AD$4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FEB'!$AA$5:$AD$5</c:f>
              <c:numCache>
                <c:formatCode>0.00%</c:formatCode>
                <c:ptCount val="4"/>
                <c:pt idx="0">
                  <c:v>0.18543046357615894</c:v>
                </c:pt>
                <c:pt idx="1">
                  <c:v>0.18101545253863136</c:v>
                </c:pt>
                <c:pt idx="2">
                  <c:v>2.6490066225165563E-2</c:v>
                </c:pt>
                <c:pt idx="3">
                  <c:v>0.55187637969094927</c:v>
                </c:pt>
              </c:numCache>
            </c:numRef>
          </c:val>
        </c:ser>
        <c:ser>
          <c:idx val="1"/>
          <c:order val="1"/>
          <c:tx>
            <c:strRef>
              <c:f>'FORMULAS FEB'!$Z$6</c:f>
              <c:strCache>
                <c:ptCount val="1"/>
                <c:pt idx="0">
                  <c:v>Gasolina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FEB'!$AA$4:$AD$4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FEB'!$AA$6:$AD$6</c:f>
              <c:numCache>
                <c:formatCode>0.00%</c:formatCode>
                <c:ptCount val="4"/>
                <c:pt idx="0">
                  <c:v>4.194260485651214E-2</c:v>
                </c:pt>
                <c:pt idx="1">
                  <c:v>4.4150110375275938E-3</c:v>
                </c:pt>
                <c:pt idx="2">
                  <c:v>2.2075055187637969E-3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FEB'!$Z$7</c:f>
              <c:strCache>
                <c:ptCount val="1"/>
                <c:pt idx="0">
                  <c:v>Gas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4.1797283176593534E-3"/>
                  <c:y val="-1.343528909280041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FEB'!$AA$4:$AD$4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FEB'!$AA$7:$AD$7</c:f>
              <c:numCache>
                <c:formatCode>0.00%</c:formatCode>
                <c:ptCount val="4"/>
                <c:pt idx="0">
                  <c:v>6.6225165562913907E-3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398272"/>
        <c:axId val="149399808"/>
        <c:axId val="0"/>
      </c:bar3DChart>
      <c:catAx>
        <c:axId val="149398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399808"/>
        <c:crosses val="autoZero"/>
        <c:auto val="1"/>
        <c:lblAlgn val="ctr"/>
        <c:lblOffset val="100"/>
        <c:noMultiLvlLbl val="0"/>
      </c:catAx>
      <c:valAx>
        <c:axId val="14939980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398272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COMBUSTIBLE. </a:t>
            </a:r>
          </a:p>
          <a:p>
            <a:pPr>
              <a:defRPr sz="1400"/>
            </a:pPr>
            <a:r>
              <a:rPr lang="en-US" sz="1200"/>
              <a:t>TIPO DE UNIDAD MOTRIZ C2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CONDUCTORES</a:t>
            </a:r>
          </a:p>
          <a:p>
            <a:pPr>
              <a:defRPr sz="1400"/>
            </a:pPr>
            <a:r>
              <a:rPr lang="en-US" sz="800" baseline="0"/>
              <a:t>[TOTAL DE RESPUESTAS PARA UNIDAD MOTRIZ TIPO C2 (106)]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FEB'!$Z$12</c:f>
              <c:strCache>
                <c:ptCount val="1"/>
                <c:pt idx="0">
                  <c:v>COMBUSTIBLE. TIPO DE UNIDAD MOTRIZ C2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794348508634296E-3"/>
                  <c:y val="-3.007518796992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93144950287811E-3"/>
                  <c:y val="-3.007518796992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725798011512562E-3"/>
                  <c:y val="-2.0050125313283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FEB'!$Z$14:$Z$16</c:f>
              <c:strCache>
                <c:ptCount val="3"/>
                <c:pt idx="0">
                  <c:v>Diesel</c:v>
                </c:pt>
                <c:pt idx="1">
                  <c:v>Gasolina</c:v>
                </c:pt>
                <c:pt idx="2">
                  <c:v>Gas</c:v>
                </c:pt>
              </c:strCache>
            </c:strRef>
          </c:cat>
          <c:val>
            <c:numRef>
              <c:f>'FORMULAS FEB'!$AA$14:$AA$16</c:f>
              <c:numCache>
                <c:formatCode>0.00%</c:formatCode>
                <c:ptCount val="3"/>
                <c:pt idx="0">
                  <c:v>0.79245283018867929</c:v>
                </c:pt>
                <c:pt idx="1">
                  <c:v>0.17924528301886791</c:v>
                </c:pt>
                <c:pt idx="2">
                  <c:v>2.8301886792452831E-2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9432960"/>
        <c:axId val="149447040"/>
        <c:axId val="0"/>
      </c:bar3DChart>
      <c:catAx>
        <c:axId val="149432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 b="1" i="1" baseline="0"/>
            </a:pPr>
            <a:endParaRPr lang="es-MX"/>
          </a:p>
        </c:txPr>
        <c:crossAx val="149447040"/>
        <c:crosses val="autoZero"/>
        <c:auto val="1"/>
        <c:lblAlgn val="ctr"/>
        <c:lblOffset val="100"/>
        <c:noMultiLvlLbl val="0"/>
      </c:catAx>
      <c:valAx>
        <c:axId val="1494470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432960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EXPERIENCIA DEL CONDUCTOR</a:t>
            </a:r>
          </a:p>
          <a:p>
            <a:pPr>
              <a:defRPr sz="1400"/>
            </a:pPr>
            <a:r>
              <a:rPr lang="en-US" sz="1100"/>
              <a:t>AÑOS MANEJANDO</a:t>
            </a:r>
          </a:p>
        </c:rich>
      </c:tx>
      <c:layout>
        <c:manualLayout>
          <c:xMode val="edge"/>
          <c:yMode val="edge"/>
          <c:x val="0.32337492572787419"/>
          <c:y val="2.2857142857143169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397148885801265E-2"/>
          <c:y val="0.24554750656168106"/>
          <c:w val="0.8227125352646425"/>
          <c:h val="0.65945736782902142"/>
        </c:manualLayout>
      </c:layout>
      <c:pie3DChart>
        <c:varyColors val="1"/>
        <c:ser>
          <c:idx val="0"/>
          <c:order val="0"/>
          <c:tx>
            <c:strRef>
              <c:f>FORMULAS!$F$4</c:f>
              <c:strCache>
                <c:ptCount val="1"/>
                <c:pt idx="0">
                  <c:v>AÑOS MANEJANDO</c:v>
                </c:pt>
              </c:strCache>
            </c:strRef>
          </c:tx>
          <c:spPr>
            <a:solidFill>
              <a:srgbClr val="4F81BD">
                <a:alpha val="36000"/>
              </a:srgbClr>
            </a:solidFill>
          </c:spPr>
          <c:explosion val="25"/>
          <c:dPt>
            <c:idx val="0"/>
            <c:bubble3D val="0"/>
            <c:spPr>
              <a:solidFill>
                <a:srgbClr val="FFFF00"/>
              </a:solidFill>
            </c:spPr>
          </c:dPt>
          <c:dPt>
            <c:idx val="1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</c:spPr>
          </c:dPt>
          <c:dPt>
            <c:idx val="2"/>
            <c:bubble3D val="0"/>
            <c:spPr>
              <a:solidFill>
                <a:srgbClr val="F79646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5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txPr>
              <a:bodyPr/>
              <a:lstStyle/>
              <a:p>
                <a:pPr>
                  <a:defRPr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FORMULAS!$F$5:$F$10</c:f>
              <c:strCache>
                <c:ptCount val="6"/>
                <c:pt idx="0">
                  <c:v>0 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&gt;25</c:v>
                </c:pt>
              </c:strCache>
            </c:strRef>
          </c:cat>
          <c:val>
            <c:numRef>
              <c:f>FORMULAS!$G$5:$G$10</c:f>
              <c:numCache>
                <c:formatCode>0%</c:formatCode>
                <c:ptCount val="6"/>
                <c:pt idx="0">
                  <c:v>0.16114790286975716</c:v>
                </c:pt>
                <c:pt idx="1">
                  <c:v>0.18101545253863136</c:v>
                </c:pt>
                <c:pt idx="2">
                  <c:v>9.2715231788079472E-2</c:v>
                </c:pt>
                <c:pt idx="3">
                  <c:v>0.18101545253863136</c:v>
                </c:pt>
                <c:pt idx="4">
                  <c:v>0.16777041942604856</c:v>
                </c:pt>
                <c:pt idx="5">
                  <c:v>0.21633554083885209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COMBUSTIBLE. </a:t>
            </a:r>
          </a:p>
          <a:p>
            <a:pPr>
              <a:defRPr sz="1400"/>
            </a:pPr>
            <a:r>
              <a:rPr lang="en-US" sz="1200"/>
              <a:t>TIPO DE UNIDAD MOTRIZ C3</a:t>
            </a:r>
          </a:p>
          <a:p>
            <a:pPr>
              <a:defRPr sz="1400"/>
            </a:pPr>
            <a:r>
              <a:rPr lang="en-US" sz="1000"/>
              <a:t>ENCUESTA A CONDUCTORES</a:t>
            </a:r>
            <a:endParaRPr lang="en-US" sz="1400"/>
          </a:p>
          <a:p>
            <a:pPr>
              <a:defRPr sz="1400"/>
            </a:pPr>
            <a:r>
              <a:rPr lang="en-US" sz="800"/>
              <a:t>[TOTAL DE RESPUESTAS PARA UNIDAD MOTRIZ TIPO C3 (84)]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FEB'!$Z$19</c:f>
              <c:strCache>
                <c:ptCount val="1"/>
                <c:pt idx="0">
                  <c:v>COMBUSTIBLE. TIPO DE UNIDAD MOTRIZ C3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8720748829953209E-2"/>
                  <c:y val="-5.0914876690533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02496099844152E-3"/>
                  <c:y val="-5.409705648369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720748829953209E-2"/>
                  <c:y val="-5.0914876690533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FEB'!$Z$21:$Z$23</c:f>
              <c:strCache>
                <c:ptCount val="3"/>
                <c:pt idx="0">
                  <c:v>Diesel</c:v>
                </c:pt>
                <c:pt idx="1">
                  <c:v>Gasolina</c:v>
                </c:pt>
                <c:pt idx="2">
                  <c:v>Gas</c:v>
                </c:pt>
              </c:strCache>
            </c:strRef>
          </c:cat>
          <c:val>
            <c:numRef>
              <c:f>'FORMULAS FEB'!$AA$21:$AA$23</c:f>
              <c:numCache>
                <c:formatCode>0.00%</c:formatCode>
                <c:ptCount val="3"/>
                <c:pt idx="0">
                  <c:v>0.97619047619047616</c:v>
                </c:pt>
                <c:pt idx="1">
                  <c:v>2.3809523809523808E-2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9480192"/>
        <c:axId val="149481728"/>
        <c:axId val="0"/>
      </c:bar3DChart>
      <c:catAx>
        <c:axId val="149480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 b="1" i="1" baseline="0"/>
            </a:pPr>
            <a:endParaRPr lang="es-MX"/>
          </a:p>
        </c:txPr>
        <c:crossAx val="149481728"/>
        <c:crosses val="autoZero"/>
        <c:auto val="1"/>
        <c:lblAlgn val="ctr"/>
        <c:lblOffset val="100"/>
        <c:noMultiLvlLbl val="0"/>
      </c:catAx>
      <c:valAx>
        <c:axId val="1494817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480192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COMBUSTIBLE. </a:t>
            </a:r>
          </a:p>
          <a:p>
            <a:pPr>
              <a:defRPr sz="1400"/>
            </a:pPr>
            <a:r>
              <a:rPr lang="en-US" sz="1200"/>
              <a:t>TIPO DE UNIDAD MOTRIZ T2</a:t>
            </a:r>
          </a:p>
          <a:p>
            <a:pPr>
              <a:defRPr sz="1400"/>
            </a:pPr>
            <a:r>
              <a:rPr lang="en-US" sz="1000"/>
              <a:t>ENCUESTA A CONDUCTORES</a:t>
            </a:r>
            <a:endParaRPr lang="en-US" sz="1400"/>
          </a:p>
          <a:p>
            <a:pPr>
              <a:defRPr sz="1400"/>
            </a:pPr>
            <a:r>
              <a:rPr lang="en-US" sz="800"/>
              <a:t>[TOTAL DE RESPUESTAS PARA UNIDAD MOTRIZ TIPO T2 (13)]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FEB'!$Z$26</c:f>
              <c:strCache>
                <c:ptCount val="1"/>
                <c:pt idx="0">
                  <c:v>COMBUSTIBLE. TIPO DE UNIDAD MOTRIZ T2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2500000000000001E-2"/>
                  <c:y val="-3.1897926634768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500000000000001E-2"/>
                  <c:y val="-5.4226475279106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749999999999999E-2"/>
                  <c:y val="-2.8708133971291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FEB'!$Z$28:$Z$30</c:f>
              <c:strCache>
                <c:ptCount val="3"/>
                <c:pt idx="0">
                  <c:v>Diesel</c:v>
                </c:pt>
                <c:pt idx="1">
                  <c:v>Gasolina</c:v>
                </c:pt>
                <c:pt idx="2">
                  <c:v>Gas</c:v>
                </c:pt>
              </c:strCache>
            </c:strRef>
          </c:cat>
          <c:val>
            <c:numRef>
              <c:f>'FORMULAS FEB'!$AA$28:$AA$30</c:f>
              <c:numCache>
                <c:formatCode>0.00%</c:formatCode>
                <c:ptCount val="3"/>
                <c:pt idx="0">
                  <c:v>0.92307692307692313</c:v>
                </c:pt>
                <c:pt idx="1">
                  <c:v>7.6923076923076927E-2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9514880"/>
        <c:axId val="149520768"/>
        <c:axId val="0"/>
      </c:bar3DChart>
      <c:catAx>
        <c:axId val="149514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 b="1" i="1" baseline="0"/>
            </a:pPr>
            <a:endParaRPr lang="es-MX"/>
          </a:p>
        </c:txPr>
        <c:crossAx val="149520768"/>
        <c:crosses val="autoZero"/>
        <c:auto val="1"/>
        <c:lblAlgn val="ctr"/>
        <c:lblOffset val="100"/>
        <c:noMultiLvlLbl val="0"/>
      </c:catAx>
      <c:valAx>
        <c:axId val="14952076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514880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RENDIMIENTO DE COMBUSTIBLE (SOLO DIESEL). </a:t>
            </a:r>
          </a:p>
          <a:p>
            <a:pPr>
              <a:defRPr/>
            </a:pPr>
            <a:r>
              <a:rPr lang="en-US" sz="1200"/>
              <a:t>UNIDAD CARGADA</a:t>
            </a:r>
          </a:p>
          <a:p>
            <a:pPr>
              <a:defRPr/>
            </a:pPr>
            <a:r>
              <a:rPr lang="en-US" sz="1000"/>
              <a:t>ENCUESTA A CONDUCTORES</a:t>
            </a:r>
          </a:p>
          <a:p>
            <a:pPr>
              <a:defRPr/>
            </a:pPr>
            <a:r>
              <a:rPr lang="en-US" sz="800"/>
              <a:t>[% SOBRE EL TOTAL DE RESPUESTAS (100% = 427)]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FEB'!$AL$3</c:f>
              <c:strCache>
                <c:ptCount val="1"/>
                <c:pt idx="0">
                  <c:v>RENDIMIENTO DE COMBUSTIBLE.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FEB'!$AL$4:$AL$11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FEB'!$AM$4:$AM$11</c:f>
              <c:numCache>
                <c:formatCode>0.0%</c:formatCode>
                <c:ptCount val="8"/>
                <c:pt idx="0">
                  <c:v>7.4941451990632318E-2</c:v>
                </c:pt>
                <c:pt idx="1">
                  <c:v>0.13348946135831383</c:v>
                </c:pt>
                <c:pt idx="2">
                  <c:v>9.3676814988290405E-2</c:v>
                </c:pt>
                <c:pt idx="3">
                  <c:v>7.2599531615925056E-2</c:v>
                </c:pt>
                <c:pt idx="4">
                  <c:v>0.37704918032786883</c:v>
                </c:pt>
                <c:pt idx="5">
                  <c:v>0.15690866510538642</c:v>
                </c:pt>
                <c:pt idx="6">
                  <c:v>7.9625292740046844E-2</c:v>
                </c:pt>
                <c:pt idx="7">
                  <c:v>1.1709601873536301E-2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549824"/>
        <c:axId val="149551360"/>
        <c:axId val="0"/>
      </c:bar3DChart>
      <c:catAx>
        <c:axId val="149549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551360"/>
        <c:crosses val="autoZero"/>
        <c:auto val="1"/>
        <c:lblAlgn val="ctr"/>
        <c:lblOffset val="100"/>
        <c:noMultiLvlLbl val="0"/>
      </c:catAx>
      <c:valAx>
        <c:axId val="14955136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54982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DIESEL). </a:t>
            </a:r>
          </a:p>
          <a:p>
            <a:pPr>
              <a:defRPr sz="1400"/>
            </a:pPr>
            <a:r>
              <a:rPr lang="en-US" sz="1200"/>
              <a:t>UNIDAD EN VACÍO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(100% = 427)]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FEB'!$AL$17</c:f>
              <c:strCache>
                <c:ptCount val="1"/>
                <c:pt idx="0">
                  <c:v>RENDIMIENTO DE COMBUSTIBLE. UNIDAD EN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FEB'!$AL$18:$AL$25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FEB'!$AM$18:$AM$25</c:f>
              <c:numCache>
                <c:formatCode>0.0%</c:formatCode>
                <c:ptCount val="8"/>
                <c:pt idx="0">
                  <c:v>4.9180327868852458E-2</c:v>
                </c:pt>
                <c:pt idx="1">
                  <c:v>0.14519906323185011</c:v>
                </c:pt>
                <c:pt idx="2">
                  <c:v>4.6838407494145202E-2</c:v>
                </c:pt>
                <c:pt idx="3">
                  <c:v>0.10070257611241218</c:v>
                </c:pt>
                <c:pt idx="4">
                  <c:v>0.31615925058548011</c:v>
                </c:pt>
                <c:pt idx="5">
                  <c:v>0.19437939110070257</c:v>
                </c:pt>
                <c:pt idx="6">
                  <c:v>0.12177985948477751</c:v>
                </c:pt>
                <c:pt idx="7">
                  <c:v>2.576112412177986E-2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9637760"/>
        <c:axId val="149676416"/>
        <c:axId val="0"/>
      </c:bar3DChart>
      <c:catAx>
        <c:axId val="149637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676416"/>
        <c:crosses val="autoZero"/>
        <c:auto val="1"/>
        <c:lblAlgn val="ctr"/>
        <c:lblOffset val="100"/>
        <c:noMultiLvlLbl val="0"/>
      </c:catAx>
      <c:valAx>
        <c:axId val="14967641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6377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(SOLO DIESEL) POR TIPO DE UNIDAD MOTRIZ. </a:t>
            </a:r>
          </a:p>
          <a:p>
            <a:pPr>
              <a:defRPr sz="1400"/>
            </a:pPr>
            <a:r>
              <a:rPr lang="es-MX" sz="1200"/>
              <a:t>UNIDAD CARGADA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(100% = 427)]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FEB'!$AM$31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FEB'!$AL$32:$AL$39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FEB'!$AM$32:$AM$39</c:f>
              <c:numCache>
                <c:formatCode>0.0%</c:formatCode>
                <c:ptCount val="8"/>
                <c:pt idx="0">
                  <c:v>1.1709601873536301E-2</c:v>
                </c:pt>
                <c:pt idx="1">
                  <c:v>2.3419203747072601E-2</c:v>
                </c:pt>
                <c:pt idx="2">
                  <c:v>1.6393442622950821E-2</c:v>
                </c:pt>
                <c:pt idx="3">
                  <c:v>1.405152224824356E-2</c:v>
                </c:pt>
                <c:pt idx="4">
                  <c:v>5.1522248243559721E-2</c:v>
                </c:pt>
                <c:pt idx="5">
                  <c:v>5.6206088992974239E-2</c:v>
                </c:pt>
                <c:pt idx="6">
                  <c:v>9.3676814988290398E-3</c:v>
                </c:pt>
                <c:pt idx="7">
                  <c:v>1.1709601873536301E-2</c:v>
                </c:pt>
              </c:numCache>
            </c:numRef>
          </c:val>
        </c:ser>
        <c:ser>
          <c:idx val="1"/>
          <c:order val="1"/>
          <c:tx>
            <c:strRef>
              <c:f>'FORMULAS FEB'!$AN$31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FEB'!$AL$32:$AL$39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FEB'!$AN$32:$AN$39</c:f>
              <c:numCache>
                <c:formatCode>0.0%</c:formatCode>
                <c:ptCount val="8"/>
                <c:pt idx="0">
                  <c:v>1.1709601873536301E-2</c:v>
                </c:pt>
                <c:pt idx="1">
                  <c:v>2.3419203747072601E-2</c:v>
                </c:pt>
                <c:pt idx="2">
                  <c:v>1.1709601873536301E-2</c:v>
                </c:pt>
                <c:pt idx="3">
                  <c:v>1.6393442622950821E-2</c:v>
                </c:pt>
                <c:pt idx="4">
                  <c:v>1.6393442622950821E-2</c:v>
                </c:pt>
                <c:pt idx="5">
                  <c:v>4.9180327868852458E-2</c:v>
                </c:pt>
                <c:pt idx="6">
                  <c:v>6.323185011709602E-2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FEB'!$AO$31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FEB'!$AL$32:$AL$39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FEB'!$AO$32:$AO$39</c:f>
              <c:numCache>
                <c:formatCode>0.0%</c:formatCode>
                <c:ptCount val="8"/>
                <c:pt idx="0">
                  <c:v>2.34192037470726E-3</c:v>
                </c:pt>
                <c:pt idx="1">
                  <c:v>0</c:v>
                </c:pt>
                <c:pt idx="2">
                  <c:v>7.0257611241217799E-3</c:v>
                </c:pt>
                <c:pt idx="3">
                  <c:v>2.34192037470726E-3</c:v>
                </c:pt>
                <c:pt idx="4">
                  <c:v>7.0257611241217799E-3</c:v>
                </c:pt>
                <c:pt idx="5">
                  <c:v>9.3676814988290398E-3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FEB'!$AP$31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FEB'!$AL$32:$AL$39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FEB'!$AP$32:$AP$39</c:f>
              <c:numCache>
                <c:formatCode>0.0%</c:formatCode>
                <c:ptCount val="8"/>
                <c:pt idx="0">
                  <c:v>4.9180327868852458E-2</c:v>
                </c:pt>
                <c:pt idx="1">
                  <c:v>8.6651053864168617E-2</c:v>
                </c:pt>
                <c:pt idx="2">
                  <c:v>5.8548009367681501E-2</c:v>
                </c:pt>
                <c:pt idx="3">
                  <c:v>3.9812646370023422E-2</c:v>
                </c:pt>
                <c:pt idx="4">
                  <c:v>0.30210772833723654</c:v>
                </c:pt>
                <c:pt idx="5">
                  <c:v>4.2154566744730677E-2</c:v>
                </c:pt>
                <c:pt idx="6">
                  <c:v>7.0257611241217799E-3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775104"/>
        <c:axId val="149776640"/>
        <c:axId val="0"/>
      </c:bar3DChart>
      <c:catAx>
        <c:axId val="1497751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776640"/>
        <c:crosses val="autoZero"/>
        <c:auto val="1"/>
        <c:lblAlgn val="ctr"/>
        <c:lblOffset val="100"/>
        <c:noMultiLvlLbl val="0"/>
      </c:catAx>
      <c:valAx>
        <c:axId val="14977664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7751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RENDIMIENTO DE COMBUSTIBLE. </a:t>
            </a:r>
            <a:r>
              <a:rPr lang="en-US" sz="1400" b="1" i="0" baseline="0">
                <a:effectLst/>
              </a:rPr>
              <a:t>UNIDAD CARGADA</a:t>
            </a:r>
            <a:r>
              <a:rPr lang="en-US" sz="1400"/>
              <a:t>.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UNIDADES TIPO C2 (SOLO DIESEL).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ENCUESTA</a:t>
            </a:r>
            <a:r>
              <a:rPr lang="en-US" sz="1000" baseline="0"/>
              <a:t> A CONDUCTORES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800" baseline="0"/>
              <a:t>[% SOBRE EL TOTAL DE RESPUESTAS PARA UNIDADES C2 (100% = 83)]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FEB'!$AL$45</c:f>
              <c:strCache>
                <c:ptCount val="1"/>
                <c:pt idx="0">
                  <c:v>RENDIMIENTO DE COMBUSTIBLE UNIDADES TIPO C2.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FEB'!$AL$47:$AL$54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FEB'!$AM$47:$AM$54</c:f>
              <c:numCache>
                <c:formatCode>0.0%</c:formatCode>
                <c:ptCount val="8"/>
                <c:pt idx="0">
                  <c:v>6.0240963855421686E-2</c:v>
                </c:pt>
                <c:pt idx="1">
                  <c:v>0.12048192771084337</c:v>
                </c:pt>
                <c:pt idx="2">
                  <c:v>8.4337349397590355E-2</c:v>
                </c:pt>
                <c:pt idx="3">
                  <c:v>7.2289156626506021E-2</c:v>
                </c:pt>
                <c:pt idx="4">
                  <c:v>0.26506024096385544</c:v>
                </c:pt>
                <c:pt idx="5">
                  <c:v>0.28915662650602408</c:v>
                </c:pt>
                <c:pt idx="6">
                  <c:v>4.8192771084337352E-2</c:v>
                </c:pt>
                <c:pt idx="7">
                  <c:v>6.0240963855421686E-2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822464"/>
        <c:axId val="149828352"/>
        <c:axId val="0"/>
      </c:bar3DChart>
      <c:catAx>
        <c:axId val="149822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828352"/>
        <c:crosses val="autoZero"/>
        <c:auto val="1"/>
        <c:lblAlgn val="ctr"/>
        <c:lblOffset val="100"/>
        <c:noMultiLvlLbl val="0"/>
      </c:catAx>
      <c:valAx>
        <c:axId val="14982835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8224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COMBUSTIBLE. UNIDAD CARGADA. </a:t>
            </a:r>
          </a:p>
          <a:p>
            <a:pPr>
              <a:defRPr sz="1400"/>
            </a:pPr>
            <a:r>
              <a:rPr lang="en-US" sz="1200"/>
              <a:t>UNIDADES TIPO C3 (SOLO DIESEL). 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C3 (100% = 82)]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FEB'!$AL$59</c:f>
              <c:strCache>
                <c:ptCount val="1"/>
                <c:pt idx="0">
                  <c:v>RENDIMIENTO DE COMBUSTIBLE UNIDADES TIPO C3.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FEB'!$AL$61:$AL$68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FEB'!$AM$61:$AM$68</c:f>
              <c:numCache>
                <c:formatCode>0.0%</c:formatCode>
                <c:ptCount val="8"/>
                <c:pt idx="0">
                  <c:v>6.097560975609756E-2</c:v>
                </c:pt>
                <c:pt idx="1">
                  <c:v>0.12195121951219512</c:v>
                </c:pt>
                <c:pt idx="2">
                  <c:v>6.097560975609756E-2</c:v>
                </c:pt>
                <c:pt idx="3">
                  <c:v>8.5365853658536592E-2</c:v>
                </c:pt>
                <c:pt idx="4">
                  <c:v>8.5365853658536592E-2</c:v>
                </c:pt>
                <c:pt idx="5">
                  <c:v>0.25609756097560976</c:v>
                </c:pt>
                <c:pt idx="6">
                  <c:v>0.32926829268292684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866368"/>
        <c:axId val="149867904"/>
        <c:axId val="0"/>
      </c:bar3DChart>
      <c:catAx>
        <c:axId val="149866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867904"/>
        <c:crosses val="autoZero"/>
        <c:auto val="1"/>
        <c:lblAlgn val="ctr"/>
        <c:lblOffset val="100"/>
        <c:noMultiLvlLbl val="0"/>
      </c:catAx>
      <c:valAx>
        <c:axId val="14986790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86636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COMBUSTIBLE. UNIDAD CARGADA.</a:t>
            </a:r>
          </a:p>
          <a:p>
            <a:pPr>
              <a:defRPr sz="1400"/>
            </a:pPr>
            <a:r>
              <a:rPr lang="en-US" sz="1400"/>
              <a:t> </a:t>
            </a:r>
            <a:r>
              <a:rPr lang="en-US" sz="1200"/>
              <a:t>UNIDADES TIPO T2 (SOLO DIESEL)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T2(100% = 12)]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FEB'!$AL$73</c:f>
              <c:strCache>
                <c:ptCount val="1"/>
                <c:pt idx="0">
                  <c:v>RENDIMIENTO DE COMBUSTIBLE UNIDADES TIPO T2.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FEB'!$AL$75:$AL$82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FEB'!$AM$75:$AM$82</c:f>
              <c:numCache>
                <c:formatCode>0.0%</c:formatCode>
                <c:ptCount val="8"/>
                <c:pt idx="0">
                  <c:v>8.3333333333333329E-2</c:v>
                </c:pt>
                <c:pt idx="1">
                  <c:v>0</c:v>
                </c:pt>
                <c:pt idx="2">
                  <c:v>0.25</c:v>
                </c:pt>
                <c:pt idx="3">
                  <c:v>8.3333333333333329E-2</c:v>
                </c:pt>
                <c:pt idx="4">
                  <c:v>0.25</c:v>
                </c:pt>
                <c:pt idx="5">
                  <c:v>0.33333333333333331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906176"/>
        <c:axId val="149907712"/>
        <c:axId val="0"/>
      </c:bar3DChart>
      <c:catAx>
        <c:axId val="149906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907712"/>
        <c:crosses val="autoZero"/>
        <c:auto val="1"/>
        <c:lblAlgn val="ctr"/>
        <c:lblOffset val="100"/>
        <c:noMultiLvlLbl val="0"/>
      </c:catAx>
      <c:valAx>
        <c:axId val="14990771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90617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COMBUSTIBLE. UNIDAD CARGADA. </a:t>
            </a:r>
          </a:p>
          <a:p>
            <a:pPr>
              <a:defRPr sz="1400"/>
            </a:pPr>
            <a:r>
              <a:rPr lang="en-US" sz="1200"/>
              <a:t>UNIDADES TIPO T3</a:t>
            </a:r>
            <a:r>
              <a:rPr lang="en-US" sz="1200" baseline="0"/>
              <a:t> (SOLO DIESEL).</a:t>
            </a:r>
            <a:endParaRPr lang="en-US" sz="1200"/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T3 (100% = 250)]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FEB'!$AL$87</c:f>
              <c:strCache>
                <c:ptCount val="1"/>
                <c:pt idx="0">
                  <c:v>RENDIMIENTO DE COMBUSTIBLE. UNIDAD CARGADA. UNIDADES TIPO T3.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FEB'!$AL$89:$AL$96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FEB'!$AM$89:$AM$96</c:f>
              <c:numCache>
                <c:formatCode>0.0%</c:formatCode>
                <c:ptCount val="8"/>
                <c:pt idx="0">
                  <c:v>8.4000000000000005E-2</c:v>
                </c:pt>
                <c:pt idx="1">
                  <c:v>0.14799999999999999</c:v>
                </c:pt>
                <c:pt idx="2">
                  <c:v>0.1</c:v>
                </c:pt>
                <c:pt idx="3">
                  <c:v>6.8000000000000005E-2</c:v>
                </c:pt>
                <c:pt idx="4">
                  <c:v>0.51600000000000001</c:v>
                </c:pt>
                <c:pt idx="5">
                  <c:v>7.1999999999999995E-2</c:v>
                </c:pt>
                <c:pt idx="6">
                  <c:v>1.2E-2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9945728"/>
        <c:axId val="149951616"/>
        <c:axId val="0"/>
      </c:bar3DChart>
      <c:catAx>
        <c:axId val="149945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951616"/>
        <c:crosses val="autoZero"/>
        <c:auto val="1"/>
        <c:lblAlgn val="ctr"/>
        <c:lblOffset val="100"/>
        <c:noMultiLvlLbl val="0"/>
      </c:catAx>
      <c:valAx>
        <c:axId val="14995161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994572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POR TIPO DE UNIDAD MOTRIZ. </a:t>
            </a:r>
          </a:p>
          <a:p>
            <a:pPr>
              <a:defRPr sz="1400"/>
            </a:pPr>
            <a:r>
              <a:rPr lang="es-MX" sz="1200"/>
              <a:t>UNIDAD EN VACÍO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(100% = 427)]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FEB'!$AM$103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FEB'!$AL$104:$AL$111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FEB'!$AM$104:$AM$111</c:f>
              <c:numCache>
                <c:formatCode>0.0%</c:formatCode>
                <c:ptCount val="8"/>
                <c:pt idx="0">
                  <c:v>4.6838407494145199E-3</c:v>
                </c:pt>
                <c:pt idx="1">
                  <c:v>2.3419203747072601E-2</c:v>
                </c:pt>
                <c:pt idx="2">
                  <c:v>9.3676814988290398E-3</c:v>
                </c:pt>
                <c:pt idx="3">
                  <c:v>1.6393442622950821E-2</c:v>
                </c:pt>
                <c:pt idx="4">
                  <c:v>3.0444964871194378E-2</c:v>
                </c:pt>
                <c:pt idx="5">
                  <c:v>7.0257611241217793E-2</c:v>
                </c:pt>
                <c:pt idx="6">
                  <c:v>2.3419203747072601E-2</c:v>
                </c:pt>
                <c:pt idx="7">
                  <c:v>1.6393442622950821E-2</c:v>
                </c:pt>
              </c:numCache>
            </c:numRef>
          </c:val>
        </c:ser>
        <c:ser>
          <c:idx val="1"/>
          <c:order val="1"/>
          <c:tx>
            <c:strRef>
              <c:f>'FORMULAS FEB'!$AN$103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FEB'!$AL$104:$AL$111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FEB'!$AN$104:$AN$111</c:f>
              <c:numCache>
                <c:formatCode>0.0%</c:formatCode>
                <c:ptCount val="8"/>
                <c:pt idx="0">
                  <c:v>9.3676814988290398E-3</c:v>
                </c:pt>
                <c:pt idx="1">
                  <c:v>2.576112412177986E-2</c:v>
                </c:pt>
                <c:pt idx="2">
                  <c:v>9.3676814988290398E-3</c:v>
                </c:pt>
                <c:pt idx="3">
                  <c:v>1.405152224824356E-2</c:v>
                </c:pt>
                <c:pt idx="4">
                  <c:v>1.6393442622950821E-2</c:v>
                </c:pt>
                <c:pt idx="5">
                  <c:v>2.3419203747072601E-2</c:v>
                </c:pt>
                <c:pt idx="6">
                  <c:v>8.6651053864168617E-2</c:v>
                </c:pt>
                <c:pt idx="7">
                  <c:v>7.0257611241217799E-3</c:v>
                </c:pt>
              </c:numCache>
            </c:numRef>
          </c:val>
        </c:ser>
        <c:ser>
          <c:idx val="2"/>
          <c:order val="2"/>
          <c:tx>
            <c:strRef>
              <c:f>'FORMULAS FEB'!$AO$103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FEB'!$AL$104:$AL$111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FEB'!$AO$104:$AO$111</c:f>
              <c:numCache>
                <c:formatCode>0.0%</c:formatCode>
                <c:ptCount val="8"/>
                <c:pt idx="0">
                  <c:v>2.34192037470726E-3</c:v>
                </c:pt>
                <c:pt idx="1">
                  <c:v>2.34192037470726E-3</c:v>
                </c:pt>
                <c:pt idx="2">
                  <c:v>2.34192037470726E-3</c:v>
                </c:pt>
                <c:pt idx="3">
                  <c:v>4.6838407494145199E-3</c:v>
                </c:pt>
                <c:pt idx="4">
                  <c:v>4.6838407494145199E-3</c:v>
                </c:pt>
                <c:pt idx="5">
                  <c:v>9.3676814988290398E-3</c:v>
                </c:pt>
                <c:pt idx="6">
                  <c:v>2.34192037470726E-3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FEB'!$AP$103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FEB'!$AL$104:$AL$111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FEB'!$AP$104:$AP$111</c:f>
              <c:numCache>
                <c:formatCode>0.0%</c:formatCode>
                <c:ptCount val="8"/>
                <c:pt idx="0">
                  <c:v>3.2786885245901641E-2</c:v>
                </c:pt>
                <c:pt idx="1">
                  <c:v>9.3676814988290405E-2</c:v>
                </c:pt>
                <c:pt idx="2">
                  <c:v>2.576112412177986E-2</c:v>
                </c:pt>
                <c:pt idx="3">
                  <c:v>6.5573770491803282E-2</c:v>
                </c:pt>
                <c:pt idx="4">
                  <c:v>0.26463700234192039</c:v>
                </c:pt>
                <c:pt idx="5">
                  <c:v>9.1334894613583142E-2</c:v>
                </c:pt>
                <c:pt idx="6">
                  <c:v>9.3676814988290398E-3</c:v>
                </c:pt>
                <c:pt idx="7">
                  <c:v>2.34192037470726E-3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0006016"/>
        <c:axId val="150020096"/>
        <c:axId val="0"/>
      </c:bar3DChart>
      <c:catAx>
        <c:axId val="150006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020096"/>
        <c:crosses val="autoZero"/>
        <c:auto val="1"/>
        <c:lblAlgn val="ctr"/>
        <c:lblOffset val="100"/>
        <c:noMultiLvlLbl val="0"/>
      </c:catAx>
      <c:valAx>
        <c:axId val="15002009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006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TIPO DE UNIDAD QUE CONDUCE</a:t>
            </a:r>
          </a:p>
          <a:p>
            <a:pPr>
              <a:defRPr sz="1400"/>
            </a:pPr>
            <a:r>
              <a:rPr lang="en-US" sz="1200"/>
              <a:t>ENCUESTA A CONDUCTORES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FORMULAS!$F$12</c:f>
              <c:strCache>
                <c:ptCount val="1"/>
                <c:pt idx="0">
                  <c:v>UNIDAD QUE CONDUCE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7131782945736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1301247771836124E-3"/>
                  <c:y val="-3.100775193798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4260249554367201E-2"/>
                  <c:y val="-2.7131782945736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1390374331550797E-2"/>
                  <c:y val="-1.1627906976744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260249554367201E-2"/>
                  <c:y val="-1.550387596899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FORMULAS!$F$13:$F$16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FORMULAS!$G$13:$G$16</c:f>
              <c:numCache>
                <c:formatCode>General</c:formatCode>
                <c:ptCount val="4"/>
                <c:pt idx="0">
                  <c:v>106</c:v>
                </c:pt>
                <c:pt idx="1">
                  <c:v>84</c:v>
                </c:pt>
                <c:pt idx="2">
                  <c:v>13</c:v>
                </c:pt>
                <c:pt idx="3">
                  <c:v>250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45824"/>
        <c:axId val="36851712"/>
        <c:axId val="0"/>
      </c:bar3DChart>
      <c:catAx>
        <c:axId val="36845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36851712"/>
        <c:crosses val="autoZero"/>
        <c:auto val="1"/>
        <c:lblAlgn val="ctr"/>
        <c:lblOffset val="100"/>
        <c:noMultiLvlLbl val="0"/>
      </c:catAx>
      <c:valAx>
        <c:axId val="36851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3684582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COMBUSTIBLE. UNIDAD EN VACÍO. </a:t>
            </a:r>
          </a:p>
          <a:p>
            <a:pPr>
              <a:defRPr sz="1400"/>
            </a:pPr>
            <a:r>
              <a:rPr lang="en-US" sz="1200"/>
              <a:t>UNIDADES C2 (SOLO DIESEL)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C2 (100% = 83)]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FEB'!$AL$117</c:f>
              <c:strCache>
                <c:ptCount val="1"/>
                <c:pt idx="0">
                  <c:v>RENDIMIENTO DE COMBUSTIBLE. UNIDAD EN VACÍO. UNIDADES C2 (SOLO DIESEL)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FEB'!$AL$119:$AL$126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FEB'!$AM$119:$AM$126</c:f>
              <c:numCache>
                <c:formatCode>0.0%</c:formatCode>
                <c:ptCount val="8"/>
                <c:pt idx="0">
                  <c:v>2.4096385542168676E-2</c:v>
                </c:pt>
                <c:pt idx="1">
                  <c:v>0.12048192771084337</c:v>
                </c:pt>
                <c:pt idx="2">
                  <c:v>4.8192771084337352E-2</c:v>
                </c:pt>
                <c:pt idx="3">
                  <c:v>8.4337349397590355E-2</c:v>
                </c:pt>
                <c:pt idx="4">
                  <c:v>0.15662650602409639</c:v>
                </c:pt>
                <c:pt idx="5">
                  <c:v>0.36144578313253012</c:v>
                </c:pt>
                <c:pt idx="6">
                  <c:v>0.12048192771084337</c:v>
                </c:pt>
                <c:pt idx="7">
                  <c:v>8.4337349397590355E-2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0041728"/>
        <c:axId val="150043264"/>
        <c:axId val="0"/>
      </c:bar3DChart>
      <c:catAx>
        <c:axId val="150041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043264"/>
        <c:crosses val="autoZero"/>
        <c:auto val="1"/>
        <c:lblAlgn val="ctr"/>
        <c:lblOffset val="100"/>
        <c:noMultiLvlLbl val="0"/>
      </c:catAx>
      <c:valAx>
        <c:axId val="15004326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04172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COMBUSTIBLE.UNIDAD EN VACÍO. </a:t>
            </a:r>
          </a:p>
          <a:p>
            <a:pPr>
              <a:defRPr sz="1400"/>
            </a:pPr>
            <a:r>
              <a:rPr lang="en-US" sz="1200"/>
              <a:t>UNIDADES C3 (SOLO DIESEL)</a:t>
            </a:r>
            <a:endParaRPr lang="en-US" sz="1400"/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C3 (100% = 82)]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FEB'!$AL$131</c:f>
              <c:strCache>
                <c:ptCount val="1"/>
                <c:pt idx="0">
                  <c:v>RENDIMIENTO DE COMBUSTIBLE.UNIDAD EN VACÍO. UNIDADES C3 (SOLO DIESEL)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FEB'!$AL$133:$AL$140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FEB'!$AM$133:$AM$140</c:f>
              <c:numCache>
                <c:formatCode>0.0%</c:formatCode>
                <c:ptCount val="8"/>
                <c:pt idx="0">
                  <c:v>4.878048780487805E-2</c:v>
                </c:pt>
                <c:pt idx="1">
                  <c:v>0.13414634146341464</c:v>
                </c:pt>
                <c:pt idx="2">
                  <c:v>4.878048780487805E-2</c:v>
                </c:pt>
                <c:pt idx="3">
                  <c:v>7.3170731707317069E-2</c:v>
                </c:pt>
                <c:pt idx="4">
                  <c:v>8.5365853658536592E-2</c:v>
                </c:pt>
                <c:pt idx="5">
                  <c:v>0.12195121951219512</c:v>
                </c:pt>
                <c:pt idx="6">
                  <c:v>0.45121951219512196</c:v>
                </c:pt>
                <c:pt idx="7">
                  <c:v>3.6585365853658534E-2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0142976"/>
        <c:axId val="150144512"/>
        <c:axId val="0"/>
      </c:bar3DChart>
      <c:catAx>
        <c:axId val="150142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144512"/>
        <c:crosses val="autoZero"/>
        <c:auto val="1"/>
        <c:lblAlgn val="ctr"/>
        <c:lblOffset val="100"/>
        <c:noMultiLvlLbl val="0"/>
      </c:catAx>
      <c:valAx>
        <c:axId val="15014451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14297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COMBUSTIBLE.UNIDAD EN VACÍO. </a:t>
            </a:r>
          </a:p>
          <a:p>
            <a:pPr>
              <a:defRPr sz="1400"/>
            </a:pPr>
            <a:r>
              <a:rPr lang="en-US" sz="1200"/>
              <a:t>UNIDADES T2 (SOLO DIESEL)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T2 (100% = 12)]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FEB'!$AL$144</c:f>
              <c:strCache>
                <c:ptCount val="1"/>
                <c:pt idx="0">
                  <c:v>RENDIMIENTO DE COMBUSTIBLE.UNIDAD EN VACÍO. UNIDADES T2 (SOLO DIESEL)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FEB'!$AL$146:$AL$153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FEB'!$AM$146:$AM$153</c:f>
              <c:numCache>
                <c:formatCode>0.0%</c:formatCode>
                <c:ptCount val="8"/>
                <c:pt idx="0">
                  <c:v>8.3333333333333329E-2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0.16666666666666666</c:v>
                </c:pt>
                <c:pt idx="4">
                  <c:v>0.16666666666666666</c:v>
                </c:pt>
                <c:pt idx="5">
                  <c:v>0.33333333333333331</c:v>
                </c:pt>
                <c:pt idx="6">
                  <c:v>8.3333333333333329E-2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0182528"/>
        <c:axId val="150184320"/>
        <c:axId val="0"/>
      </c:bar3DChart>
      <c:catAx>
        <c:axId val="150182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184320"/>
        <c:crosses val="autoZero"/>
        <c:auto val="1"/>
        <c:lblAlgn val="ctr"/>
        <c:lblOffset val="100"/>
        <c:noMultiLvlLbl val="0"/>
      </c:catAx>
      <c:valAx>
        <c:axId val="15018432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18252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COMBUSTIBLE.UNIDAD EN VACÍO. </a:t>
            </a:r>
          </a:p>
          <a:p>
            <a:pPr>
              <a:defRPr sz="1400"/>
            </a:pPr>
            <a:r>
              <a:rPr lang="en-US" sz="1200"/>
              <a:t>UNIDADES T3 (SOLO DIESEL)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</a:t>
            </a:r>
            <a:r>
              <a:rPr lang="en-US" sz="800" baseline="0"/>
              <a:t> T3 (100% = 250)]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FEB'!$AL$157</c:f>
              <c:strCache>
                <c:ptCount val="1"/>
                <c:pt idx="0">
                  <c:v>RENDIMIENTO DE COMBUSTIBLE.UNIDAD EN VACÍO. UNIDADES T3 (SOLO DIESEL)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FEB'!$AL$159:$AL$166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FEB'!$AM$159:$AM$166</c:f>
              <c:numCache>
                <c:formatCode>0.0%</c:formatCode>
                <c:ptCount val="8"/>
                <c:pt idx="0">
                  <c:v>5.6000000000000001E-2</c:v>
                </c:pt>
                <c:pt idx="1">
                  <c:v>0.16</c:v>
                </c:pt>
                <c:pt idx="2">
                  <c:v>4.3999999999999997E-2</c:v>
                </c:pt>
                <c:pt idx="3">
                  <c:v>0.112</c:v>
                </c:pt>
                <c:pt idx="4">
                  <c:v>0.45200000000000001</c:v>
                </c:pt>
                <c:pt idx="5">
                  <c:v>0.156</c:v>
                </c:pt>
                <c:pt idx="6">
                  <c:v>1.6E-2</c:v>
                </c:pt>
                <c:pt idx="7">
                  <c:v>4.0000000000000001E-3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0304256"/>
        <c:axId val="150305792"/>
        <c:axId val="0"/>
      </c:bar3DChart>
      <c:catAx>
        <c:axId val="150304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30425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(SOLO</a:t>
            </a:r>
            <a:r>
              <a:rPr lang="es-MX" sz="1400" baseline="0"/>
              <a:t> DIESEL) </a:t>
            </a:r>
            <a:r>
              <a:rPr lang="es-MX" sz="1400"/>
              <a:t>POR CARGA QUE TRANSPORTA. </a:t>
            </a:r>
          </a:p>
          <a:p>
            <a:pPr>
              <a:defRPr sz="1400"/>
            </a:pPr>
            <a:r>
              <a:rPr lang="es-MX" sz="1200"/>
              <a:t>UNIDAD CARGADA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PARA UNIDADES QUE USAN DIESEL (100% = 628)]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997659716914628E-2"/>
          <c:y val="9.6113021121220513E-2"/>
          <c:w val="0.8690838532316647"/>
          <c:h val="0.79433025157853043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'FORMULAS FEB'!$AL$173</c:f>
              <c:strCache>
                <c:ptCount val="1"/>
                <c:pt idx="0">
                  <c:v>Productos perecederos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FEB'!$AM$172:$AT$172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FEB'!$AM$173:$AT$173</c:f>
              <c:numCache>
                <c:formatCode>0.0%</c:formatCode>
                <c:ptCount val="8"/>
                <c:pt idx="0">
                  <c:v>3.1847133757961785E-3</c:v>
                </c:pt>
                <c:pt idx="1">
                  <c:v>1.9108280254777069E-2</c:v>
                </c:pt>
                <c:pt idx="2">
                  <c:v>9.5541401273885346E-3</c:v>
                </c:pt>
                <c:pt idx="3">
                  <c:v>7.9617834394904458E-3</c:v>
                </c:pt>
                <c:pt idx="4">
                  <c:v>3.3439490445859872E-2</c:v>
                </c:pt>
                <c:pt idx="5">
                  <c:v>1.751592356687898E-2</c:v>
                </c:pt>
                <c:pt idx="6">
                  <c:v>2.0700636942675158E-2</c:v>
                </c:pt>
                <c:pt idx="7">
                  <c:v>3.1847133757961785E-3</c:v>
                </c:pt>
              </c:numCache>
            </c:numRef>
          </c:val>
        </c:ser>
        <c:ser>
          <c:idx val="1"/>
          <c:order val="1"/>
          <c:tx>
            <c:strRef>
              <c:f>'FORMULAS FEB'!$AL$174</c:f>
              <c:strCache>
                <c:ptCount val="1"/>
                <c:pt idx="0">
                  <c:v>Alimentos no perecederos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1.4563986358017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4.3691959074051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3.42460098117685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3.2540156346483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FEB'!$AM$172:$AT$172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FEB'!$AM$174:$AT$174</c:f>
              <c:numCache>
                <c:formatCode>0.0%</c:formatCode>
                <c:ptCount val="8"/>
                <c:pt idx="0">
                  <c:v>7.9617834394904458E-3</c:v>
                </c:pt>
                <c:pt idx="1">
                  <c:v>7.9617834394904458E-3</c:v>
                </c:pt>
                <c:pt idx="2">
                  <c:v>4.7770700636942673E-3</c:v>
                </c:pt>
                <c:pt idx="3">
                  <c:v>3.1847133757961785E-3</c:v>
                </c:pt>
                <c:pt idx="4">
                  <c:v>4.9363057324840767E-2</c:v>
                </c:pt>
                <c:pt idx="5">
                  <c:v>6.369426751592357E-3</c:v>
                </c:pt>
                <c:pt idx="6">
                  <c:v>2.2292993630573247E-2</c:v>
                </c:pt>
                <c:pt idx="7">
                  <c:v>4.7770700636942673E-3</c:v>
                </c:pt>
              </c:numCache>
            </c:numRef>
          </c:val>
        </c:ser>
        <c:ser>
          <c:idx val="2"/>
          <c:order val="2"/>
          <c:tx>
            <c:strRef>
              <c:f>'FORMULAS FEB'!$AL$175</c:f>
              <c:strCache>
                <c:ptCount val="1"/>
                <c:pt idx="0">
                  <c:v>Químicos y peligrosos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FEB'!$AM$172:$AT$172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FEB'!$AM$175:$AT$175</c:f>
              <c:numCache>
                <c:formatCode>0.0%</c:formatCode>
                <c:ptCount val="8"/>
                <c:pt idx="0">
                  <c:v>4.7770700636942673E-3</c:v>
                </c:pt>
                <c:pt idx="1">
                  <c:v>1.751592356687898E-2</c:v>
                </c:pt>
                <c:pt idx="2">
                  <c:v>3.1847133757961785E-3</c:v>
                </c:pt>
                <c:pt idx="3">
                  <c:v>9.5541401273885346E-3</c:v>
                </c:pt>
                <c:pt idx="4">
                  <c:v>4.9363057324840767E-2</c:v>
                </c:pt>
                <c:pt idx="5">
                  <c:v>1.9108280254777069E-2</c:v>
                </c:pt>
                <c:pt idx="6">
                  <c:v>1.5923566878980892E-2</c:v>
                </c:pt>
                <c:pt idx="7">
                  <c:v>3.1847133757961785E-3</c:v>
                </c:pt>
              </c:numCache>
            </c:numRef>
          </c:val>
        </c:ser>
        <c:ser>
          <c:idx val="3"/>
          <c:order val="3"/>
          <c:tx>
            <c:strRef>
              <c:f>'FORMULAS FEB'!$AL$176</c:f>
              <c:strCache>
                <c:ptCount val="1"/>
                <c:pt idx="0">
                  <c:v>Materiales para construcción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0"/>
                  <c:y val="-4.8810234519725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FEB'!$AM$172:$AT$172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FEB'!$AM$176:$AT$176</c:f>
              <c:numCache>
                <c:formatCode>0.0%</c:formatCode>
                <c:ptCount val="8"/>
                <c:pt idx="0">
                  <c:v>1.1146496815286623E-2</c:v>
                </c:pt>
                <c:pt idx="1">
                  <c:v>1.751592356687898E-2</c:v>
                </c:pt>
                <c:pt idx="2">
                  <c:v>7.9617834394904458E-3</c:v>
                </c:pt>
                <c:pt idx="3">
                  <c:v>6.369426751592357E-3</c:v>
                </c:pt>
                <c:pt idx="4">
                  <c:v>3.8216560509554139E-2</c:v>
                </c:pt>
                <c:pt idx="5">
                  <c:v>1.751592356687898E-2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'FORMULAS FEB'!$AL$177</c:f>
              <c:strCache>
                <c:ptCount val="1"/>
                <c:pt idx="0">
                  <c:v>Materias primas para producción/ensamble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4.8810234519725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FEB'!$AM$172:$AT$172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FEB'!$AM$177:$AT$177</c:f>
              <c:numCache>
                <c:formatCode>0.0%</c:formatCode>
                <c:ptCount val="8"/>
                <c:pt idx="0">
                  <c:v>9.5541401273885346E-3</c:v>
                </c:pt>
                <c:pt idx="1">
                  <c:v>2.2292993630573247E-2</c:v>
                </c:pt>
                <c:pt idx="2">
                  <c:v>2.0700636942675158E-2</c:v>
                </c:pt>
                <c:pt idx="3">
                  <c:v>3.1847133757961785E-3</c:v>
                </c:pt>
                <c:pt idx="4">
                  <c:v>0.18949044585987262</c:v>
                </c:pt>
                <c:pt idx="5">
                  <c:v>1.5923566878980892E-2</c:v>
                </c:pt>
                <c:pt idx="6">
                  <c:v>9.5541401273885346E-3</c:v>
                </c:pt>
                <c:pt idx="7">
                  <c:v>1.5923566878980893E-3</c:v>
                </c:pt>
              </c:numCache>
            </c:numRef>
          </c:val>
        </c:ser>
        <c:ser>
          <c:idx val="5"/>
          <c:order val="5"/>
          <c:tx>
            <c:strRef>
              <c:f>'FORMULAS FEB'!$AL$178</c:f>
              <c:strCache>
                <c:ptCount val="1"/>
                <c:pt idx="0">
                  <c:v>Transporta Granos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4.3691959074051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4.3691959074051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794673850676363E-17"/>
                  <c:y val="-2.9127972716034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3.2540156346483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3.2540156346483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FEB'!$AM$172:$AT$172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FEB'!$AM$178:$AT$178</c:f>
              <c:numCache>
                <c:formatCode>0.0%</c:formatCode>
                <c:ptCount val="8"/>
                <c:pt idx="0">
                  <c:v>7.9617834394904458E-3</c:v>
                </c:pt>
                <c:pt idx="1">
                  <c:v>1.1146496815286623E-2</c:v>
                </c:pt>
                <c:pt idx="2">
                  <c:v>4.7770700636942673E-3</c:v>
                </c:pt>
                <c:pt idx="3">
                  <c:v>6.369426751592357E-3</c:v>
                </c:pt>
                <c:pt idx="4">
                  <c:v>1.751592356687898E-2</c:v>
                </c:pt>
                <c:pt idx="5">
                  <c:v>1.2738853503184714E-2</c:v>
                </c:pt>
                <c:pt idx="6">
                  <c:v>2.7070063694267517E-2</c:v>
                </c:pt>
                <c:pt idx="7">
                  <c:v>3.1847133757961785E-3</c:v>
                </c:pt>
              </c:numCache>
            </c:numRef>
          </c:val>
        </c:ser>
        <c:ser>
          <c:idx val="6"/>
          <c:order val="6"/>
          <c:tx>
            <c:strRef>
              <c:f>'FORMULAS FEB'!$AL$179</c:f>
              <c:strCache>
                <c:ptCount val="1"/>
                <c:pt idx="0">
                  <c:v>Productos refrigerados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9127972716034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4.3691959074051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3.2540156346483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4.8810234519725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FEB'!$AM$172:$AT$172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FEB'!$AM$179:$AT$179</c:f>
              <c:numCache>
                <c:formatCode>0.0%</c:formatCode>
                <c:ptCount val="8"/>
                <c:pt idx="0">
                  <c:v>0</c:v>
                </c:pt>
                <c:pt idx="1">
                  <c:v>6.369426751592357E-3</c:v>
                </c:pt>
                <c:pt idx="2">
                  <c:v>3.1847133757961785E-3</c:v>
                </c:pt>
                <c:pt idx="3">
                  <c:v>3.1847133757961785E-3</c:v>
                </c:pt>
                <c:pt idx="4">
                  <c:v>1.9108280254777069E-2</c:v>
                </c:pt>
                <c:pt idx="5">
                  <c:v>7.9617834394904458E-3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'FORMULAS FEB'!$AL$180</c:f>
              <c:strCache>
                <c:ptCount val="1"/>
                <c:pt idx="0">
                  <c:v>Otros productos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FEB'!$AM$172:$AT$172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FEB'!$AM$180:$AT$180</c:f>
              <c:numCache>
                <c:formatCode>0.0%</c:formatCode>
                <c:ptCount val="8"/>
                <c:pt idx="0">
                  <c:v>9.5541401273885346E-3</c:v>
                </c:pt>
                <c:pt idx="1">
                  <c:v>2.0700636942675158E-2</c:v>
                </c:pt>
                <c:pt idx="2">
                  <c:v>1.751592356687898E-2</c:v>
                </c:pt>
                <c:pt idx="3">
                  <c:v>1.5923566878980892E-2</c:v>
                </c:pt>
                <c:pt idx="4">
                  <c:v>4.7770700636942678E-2</c:v>
                </c:pt>
                <c:pt idx="5">
                  <c:v>3.0254777070063694E-2</c:v>
                </c:pt>
                <c:pt idx="6">
                  <c:v>1.1146496815286623E-2</c:v>
                </c:pt>
                <c:pt idx="7">
                  <c:v>1.5923566878980893E-3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348544"/>
        <c:axId val="150350080"/>
        <c:axId val="0"/>
      </c:bar3DChart>
      <c:catAx>
        <c:axId val="15034854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350080"/>
        <c:crosses val="autoZero"/>
        <c:auto val="1"/>
        <c:lblAlgn val="ctr"/>
        <c:lblOffset val="100"/>
        <c:noMultiLvlLbl val="0"/>
      </c:catAx>
      <c:valAx>
        <c:axId val="150350080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34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5695538057742781E-2"/>
          <c:y val="0.92629957775907346"/>
          <c:w val="0.95872131672028682"/>
          <c:h val="6.8441676395103762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 </a:t>
            </a:r>
          </a:p>
          <a:p>
            <a:pPr>
              <a:defRPr sz="1400"/>
            </a:pPr>
            <a:r>
              <a:rPr lang="en-US" sz="1200"/>
              <a:t>TRANSPORTA PRODUCTOS PERECEDEROS. UNIDAD CARGADA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</a:t>
            </a:r>
            <a:r>
              <a:rPr lang="en-US" sz="800" baseline="0"/>
              <a:t> A TRANSPORTA PRODUCTOS PERECEDEROS (100% = 72)]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FEB'!$AL$185</c:f>
              <c:strCache>
                <c:ptCount val="1"/>
                <c:pt idx="0">
                  <c:v>RENDIMIENTO DE COMBUSTIBLE  (SOLO DIESEL). TRANSPORTA PRODUCTOS PERECEDEROS.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FEB'!$AM$186:$AT$186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FEB'!$AM$187:$AT$187</c:f>
              <c:numCache>
                <c:formatCode>0.0%</c:formatCode>
                <c:ptCount val="8"/>
                <c:pt idx="0">
                  <c:v>2.7777777777777776E-2</c:v>
                </c:pt>
                <c:pt idx="1">
                  <c:v>0.16666666666666666</c:v>
                </c:pt>
                <c:pt idx="2">
                  <c:v>8.3333333333333329E-2</c:v>
                </c:pt>
                <c:pt idx="3">
                  <c:v>6.9444444444444448E-2</c:v>
                </c:pt>
                <c:pt idx="4">
                  <c:v>0.29166666666666669</c:v>
                </c:pt>
                <c:pt idx="5">
                  <c:v>0.15277777777777779</c:v>
                </c:pt>
                <c:pt idx="6">
                  <c:v>0.18055555555555555</c:v>
                </c:pt>
                <c:pt idx="7">
                  <c:v>2.7777777777777776E-2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396928"/>
        <c:axId val="150398464"/>
        <c:axId val="0"/>
      </c:bar3DChart>
      <c:catAx>
        <c:axId val="150396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398464"/>
        <c:crosses val="autoZero"/>
        <c:auto val="1"/>
        <c:lblAlgn val="ctr"/>
        <c:lblOffset val="100"/>
        <c:noMultiLvlLbl val="0"/>
      </c:catAx>
      <c:valAx>
        <c:axId val="15039846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39692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 </a:t>
            </a:r>
          </a:p>
          <a:p>
            <a:pPr>
              <a:defRPr sz="1400"/>
            </a:pPr>
            <a:r>
              <a:rPr lang="en-US" sz="1200"/>
              <a:t>TRANSPORTA ALIMENTOS NO PERECEDEROS. UNIDAD CARGADA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 ALIMENTOS NO PERECEDEROS (100% = 67)]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FEB'!$AL$189</c:f>
              <c:strCache>
                <c:ptCount val="1"/>
                <c:pt idx="0">
                  <c:v>RENDIMIENTO DE COMBUSTIBLE  (SOLO DIESEL). TRANSPORTA ALIMENTOS NO PERECEDEROS.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FEB'!$AM$190:$AT$190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FEB'!$AM$191:$AT$191</c:f>
              <c:numCache>
                <c:formatCode>0.0%</c:formatCode>
                <c:ptCount val="8"/>
                <c:pt idx="0">
                  <c:v>7.4626865671641784E-2</c:v>
                </c:pt>
                <c:pt idx="1">
                  <c:v>7.4626865671641784E-2</c:v>
                </c:pt>
                <c:pt idx="2">
                  <c:v>4.4776119402985072E-2</c:v>
                </c:pt>
                <c:pt idx="3">
                  <c:v>2.9850746268656716E-2</c:v>
                </c:pt>
                <c:pt idx="4">
                  <c:v>0.46268656716417911</c:v>
                </c:pt>
                <c:pt idx="5">
                  <c:v>5.9701492537313432E-2</c:v>
                </c:pt>
                <c:pt idx="6">
                  <c:v>0.20895522388059701</c:v>
                </c:pt>
                <c:pt idx="7">
                  <c:v>4.4776119402985072E-2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489344"/>
        <c:axId val="150491136"/>
        <c:axId val="0"/>
      </c:bar3DChart>
      <c:catAx>
        <c:axId val="150489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491136"/>
        <c:crosses val="autoZero"/>
        <c:auto val="1"/>
        <c:lblAlgn val="ctr"/>
        <c:lblOffset val="100"/>
        <c:noMultiLvlLbl val="0"/>
      </c:catAx>
      <c:valAx>
        <c:axId val="15049113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48934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 </a:t>
            </a:r>
          </a:p>
          <a:p>
            <a:pPr>
              <a:defRPr sz="1400"/>
            </a:pPr>
            <a:r>
              <a:rPr lang="en-US" sz="1200"/>
              <a:t>TRANSPORTA QUÍMICOS Y PELIGROSOS. UNIDAD CARGADA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 QUÍMICOS Y PELIGROSOS (100% = 77)]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FEB'!$AL$193</c:f>
              <c:strCache>
                <c:ptCount val="1"/>
                <c:pt idx="0">
                  <c:v>RENDIMIENTO DE COMBUSTIBLE  (SOLO DIESEL). TRANSPORTA QUÍMICOS Y PELIGROSOS.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FEB'!$AM$194:$AT$194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FEB'!$AM$195:$AT$195</c:f>
              <c:numCache>
                <c:formatCode>0.0%</c:formatCode>
                <c:ptCount val="8"/>
                <c:pt idx="0">
                  <c:v>3.896103896103896E-2</c:v>
                </c:pt>
                <c:pt idx="1">
                  <c:v>0.14285714285714285</c:v>
                </c:pt>
                <c:pt idx="2">
                  <c:v>2.5974025974025976E-2</c:v>
                </c:pt>
                <c:pt idx="3">
                  <c:v>7.792207792207792E-2</c:v>
                </c:pt>
                <c:pt idx="4">
                  <c:v>0.40259740259740262</c:v>
                </c:pt>
                <c:pt idx="5">
                  <c:v>0.15584415584415584</c:v>
                </c:pt>
                <c:pt idx="6">
                  <c:v>0.12987012987012986</c:v>
                </c:pt>
                <c:pt idx="7">
                  <c:v>2.5974025974025976E-2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532864"/>
        <c:axId val="150534400"/>
        <c:axId val="0"/>
      </c:bar3DChart>
      <c:catAx>
        <c:axId val="150532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534400"/>
        <c:crosses val="autoZero"/>
        <c:auto val="1"/>
        <c:lblAlgn val="ctr"/>
        <c:lblOffset val="100"/>
        <c:noMultiLvlLbl val="0"/>
      </c:catAx>
      <c:valAx>
        <c:axId val="15053440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5328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MATERIALES PARA CONSTRUCCIÓN. </a:t>
            </a:r>
          </a:p>
          <a:p>
            <a:pPr>
              <a:defRPr sz="1400"/>
            </a:pPr>
            <a:r>
              <a:rPr lang="en-US" sz="1200"/>
              <a:t>UNIDAD CARGADA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 MATERIALES PARA CONSTRUCCIÓN</a:t>
            </a:r>
          </a:p>
          <a:p>
            <a:pPr>
              <a:defRPr sz="1400"/>
            </a:pPr>
            <a:r>
              <a:rPr lang="en-US" sz="800"/>
              <a:t>(100% = 62)]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FEB'!$AL$201</c:f>
              <c:strCache>
                <c:ptCount val="1"/>
                <c:pt idx="0">
                  <c:v>RENDIMIENTO DE COMBUSTIBLE  (SOLO DIESEL). TRANSPORTA MATERIAS PRIMAS PARA PRODUCCIÓN/ENSAMBLE.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FEB'!$AM$198:$AT$198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FEB'!$AM$199:$AT$199</c:f>
              <c:numCache>
                <c:formatCode>0.0%</c:formatCode>
                <c:ptCount val="8"/>
                <c:pt idx="0">
                  <c:v>0.11290322580645161</c:v>
                </c:pt>
                <c:pt idx="1">
                  <c:v>0.17741935483870969</c:v>
                </c:pt>
                <c:pt idx="2">
                  <c:v>8.0645161290322578E-2</c:v>
                </c:pt>
                <c:pt idx="3">
                  <c:v>6.4516129032258063E-2</c:v>
                </c:pt>
                <c:pt idx="4">
                  <c:v>0.38709677419354838</c:v>
                </c:pt>
                <c:pt idx="5">
                  <c:v>0.17741935483870969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621184"/>
        <c:axId val="150643456"/>
        <c:axId val="0"/>
      </c:bar3DChart>
      <c:catAx>
        <c:axId val="150621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643456"/>
        <c:crosses val="autoZero"/>
        <c:auto val="1"/>
        <c:lblAlgn val="ctr"/>
        <c:lblOffset val="100"/>
        <c:noMultiLvlLbl val="0"/>
      </c:catAx>
      <c:valAx>
        <c:axId val="15064345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6211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GRANOS. UNIDAD CARGADA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A TRANSPORTA GRANOS (100% = 57)]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FEB'!$AL$205</c:f>
              <c:strCache>
                <c:ptCount val="1"/>
                <c:pt idx="0">
                  <c:v>RENDIMIENTO DE COMBUSTIBLE  (SOLO DIESEL). TRANSPORTA GRANOS.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FEB'!$AM$206:$AT$206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FEB'!$AM$207:$AT$207</c:f>
              <c:numCache>
                <c:formatCode>0.0%</c:formatCode>
                <c:ptCount val="8"/>
                <c:pt idx="0">
                  <c:v>8.771929824561403E-2</c:v>
                </c:pt>
                <c:pt idx="1">
                  <c:v>0.12280701754385964</c:v>
                </c:pt>
                <c:pt idx="2">
                  <c:v>5.2631578947368418E-2</c:v>
                </c:pt>
                <c:pt idx="3">
                  <c:v>7.0175438596491224E-2</c:v>
                </c:pt>
                <c:pt idx="4">
                  <c:v>0.19298245614035087</c:v>
                </c:pt>
                <c:pt idx="5">
                  <c:v>0.14035087719298245</c:v>
                </c:pt>
                <c:pt idx="6">
                  <c:v>0.2982456140350877</c:v>
                </c:pt>
                <c:pt idx="7">
                  <c:v>3.5087719298245612E-2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680704"/>
        <c:axId val="150682240"/>
        <c:axId val="0"/>
      </c:bar3DChart>
      <c:catAx>
        <c:axId val="150680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682240"/>
        <c:crosses val="autoZero"/>
        <c:auto val="1"/>
        <c:lblAlgn val="ctr"/>
        <c:lblOffset val="100"/>
        <c:noMultiLvlLbl val="0"/>
      </c:catAx>
      <c:valAx>
        <c:axId val="15068224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68070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UNIDAD DE ARRASTRE </a:t>
            </a:r>
          </a:p>
          <a:p>
            <a:pPr>
              <a:defRPr sz="1200"/>
            </a:pPr>
            <a:r>
              <a:rPr lang="en-US" sz="1050"/>
              <a:t>CONDUCTORES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FORMULAS!$F$20</c:f>
              <c:strCache>
                <c:ptCount val="1"/>
                <c:pt idx="0">
                  <c:v>UNIDAD DE ARRASTRE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FORMULAS!$F$21:$F$30</c:f>
              <c:strCache>
                <c:ptCount val="10"/>
                <c:pt idx="0">
                  <c:v>Caja seca</c:v>
                </c:pt>
                <c:pt idx="1">
                  <c:v>Caja seca refrigerada</c:v>
                </c:pt>
                <c:pt idx="2">
                  <c:v>Remolque</c:v>
                </c:pt>
                <c:pt idx="3">
                  <c:v>Refrigeradas</c:v>
                </c:pt>
                <c:pt idx="4">
                  <c:v>Tanque</c:v>
                </c:pt>
                <c:pt idx="5">
                  <c:v>Plataforma</c:v>
                </c:pt>
                <c:pt idx="6">
                  <c:v>Volteo</c:v>
                </c:pt>
                <c:pt idx="7">
                  <c:v>Redilas</c:v>
                </c:pt>
                <c:pt idx="8">
                  <c:v>Hazmat</c:v>
                </c:pt>
                <c:pt idx="9">
                  <c:v>Otra</c:v>
                </c:pt>
              </c:strCache>
            </c:strRef>
          </c:cat>
          <c:val>
            <c:numRef>
              <c:f>FORMULAS!$G$21:$G$30</c:f>
              <c:numCache>
                <c:formatCode>General</c:formatCode>
                <c:ptCount val="10"/>
                <c:pt idx="0">
                  <c:v>243</c:v>
                </c:pt>
                <c:pt idx="1">
                  <c:v>19</c:v>
                </c:pt>
                <c:pt idx="2">
                  <c:v>6</c:v>
                </c:pt>
                <c:pt idx="3">
                  <c:v>27</c:v>
                </c:pt>
                <c:pt idx="4">
                  <c:v>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880768"/>
        <c:axId val="36882304"/>
        <c:axId val="0"/>
      </c:bar3DChart>
      <c:catAx>
        <c:axId val="3688076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s-MX"/>
          </a:p>
        </c:txPr>
        <c:crossAx val="36882304"/>
        <c:crosses val="autoZero"/>
        <c:auto val="1"/>
        <c:lblAlgn val="ctr"/>
        <c:lblOffset val="100"/>
        <c:noMultiLvlLbl val="0"/>
      </c:catAx>
      <c:valAx>
        <c:axId val="36882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s-MX"/>
          </a:p>
        </c:txPr>
        <c:crossAx val="36880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PRODUCTOS REFRIGERADOS. UNIDAD CARGADA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 PRODUCTOS REFRIGERADOS (100% = 25)]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FEB'!$AL$209</c:f>
              <c:strCache>
                <c:ptCount val="1"/>
                <c:pt idx="0">
                  <c:v>RENDIMIENTO DE COMBUSTIBLE  (SOLO DIESEL). TRANSPORTA PRODUCTOS REFRIGERADOS.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FEB'!$AM$210:$AT$210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FEB'!$AM$211:$AT$211</c:f>
              <c:numCache>
                <c:formatCode>0.0%</c:formatCode>
                <c:ptCount val="8"/>
                <c:pt idx="0">
                  <c:v>0</c:v>
                </c:pt>
                <c:pt idx="1">
                  <c:v>0.16</c:v>
                </c:pt>
                <c:pt idx="2">
                  <c:v>0.08</c:v>
                </c:pt>
                <c:pt idx="3">
                  <c:v>0.08</c:v>
                </c:pt>
                <c:pt idx="4">
                  <c:v>0.48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712320"/>
        <c:axId val="150713856"/>
        <c:axId val="0"/>
      </c:bar3DChart>
      <c:catAx>
        <c:axId val="150712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713856"/>
        <c:crosses val="autoZero"/>
        <c:auto val="1"/>
        <c:lblAlgn val="ctr"/>
        <c:lblOffset val="100"/>
        <c:noMultiLvlLbl val="0"/>
      </c:catAx>
      <c:valAx>
        <c:axId val="15071385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7123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OTROS PRODUCTOS. UNIDAD CARGADA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 OTROS PRODUCTOS (100% =</a:t>
            </a:r>
            <a:r>
              <a:rPr lang="en-US" sz="800" baseline="0"/>
              <a:t> 97)]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FEB'!$AL$213</c:f>
              <c:strCache>
                <c:ptCount val="1"/>
                <c:pt idx="0">
                  <c:v>RENDIMIENTO DE COMBUSTIBLE  (SOLO DIESEL). TRANSPORTA OTROS PRODUCTOS.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FEB'!$AM$214:$AT$214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FEB'!$AM$215:$AT$215</c:f>
              <c:numCache>
                <c:formatCode>0.0%</c:formatCode>
                <c:ptCount val="8"/>
                <c:pt idx="0">
                  <c:v>6.1855670103092786E-2</c:v>
                </c:pt>
                <c:pt idx="1">
                  <c:v>0.13402061855670103</c:v>
                </c:pt>
                <c:pt idx="2">
                  <c:v>0.1134020618556701</c:v>
                </c:pt>
                <c:pt idx="3">
                  <c:v>0.10309278350515463</c:v>
                </c:pt>
                <c:pt idx="4">
                  <c:v>0.30927835051546393</c:v>
                </c:pt>
                <c:pt idx="5">
                  <c:v>0.19587628865979381</c:v>
                </c:pt>
                <c:pt idx="6">
                  <c:v>7.2164948453608241E-2</c:v>
                </c:pt>
                <c:pt idx="7">
                  <c:v>1.0309278350515464E-2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0743296"/>
        <c:axId val="150769664"/>
        <c:axId val="0"/>
      </c:bar3DChart>
      <c:catAx>
        <c:axId val="150743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769664"/>
        <c:crosses val="autoZero"/>
        <c:auto val="1"/>
        <c:lblAlgn val="ctr"/>
        <c:lblOffset val="100"/>
        <c:noMultiLvlLbl val="0"/>
      </c:catAx>
      <c:valAx>
        <c:axId val="15076966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74329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(SOLO DIESEL) POR CARGA QUE TRANSPORTA.</a:t>
            </a:r>
          </a:p>
          <a:p>
            <a:pPr>
              <a:defRPr sz="1400"/>
            </a:pPr>
            <a:r>
              <a:rPr lang="es-MX" sz="1200"/>
              <a:t>UNIDAD DE VACÍO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</a:t>
            </a:r>
            <a:r>
              <a:rPr lang="es-MX" sz="800" baseline="0"/>
              <a:t> PARA UNIDADES QUE USAN DIESEL (100% = 628)]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997659716914628E-2"/>
          <c:y val="9.7012544704960679E-2"/>
          <c:w val="0.84766854481790155"/>
          <c:h val="0.8044154478171911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'FORMULAS FEB'!$BF$173</c:f>
              <c:strCache>
                <c:ptCount val="1"/>
                <c:pt idx="0">
                  <c:v>Productos perecederos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FEB'!$BG$172:$BN$172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FEB'!$BG$173:$BN$173</c:f>
              <c:numCache>
                <c:formatCode>0.0%</c:formatCode>
                <c:ptCount val="8"/>
                <c:pt idx="0">
                  <c:v>0</c:v>
                </c:pt>
                <c:pt idx="1">
                  <c:v>6.369426751592357E-3</c:v>
                </c:pt>
                <c:pt idx="2">
                  <c:v>9.5541401273885346E-3</c:v>
                </c:pt>
                <c:pt idx="3">
                  <c:v>7.9617834394904458E-3</c:v>
                </c:pt>
                <c:pt idx="4">
                  <c:v>1.1146496815286623E-2</c:v>
                </c:pt>
                <c:pt idx="5">
                  <c:v>3.8216560509554139E-2</c:v>
                </c:pt>
                <c:pt idx="6">
                  <c:v>3.3439490445859872E-2</c:v>
                </c:pt>
                <c:pt idx="7">
                  <c:v>7.9617834394904458E-3</c:v>
                </c:pt>
              </c:numCache>
            </c:numRef>
          </c:val>
        </c:ser>
        <c:ser>
          <c:idx val="1"/>
          <c:order val="1"/>
          <c:tx>
            <c:strRef>
              <c:f>'FORMULAS FEB'!$BF$174</c:f>
              <c:strCache>
                <c:ptCount val="1"/>
                <c:pt idx="0">
                  <c:v>Alimentos no perecederos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FEB'!$BG$172:$BN$172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FEB'!$BG$174:$BN$174</c:f>
              <c:numCache>
                <c:formatCode>0.0%</c:formatCode>
                <c:ptCount val="8"/>
                <c:pt idx="0">
                  <c:v>1.5923566878980893E-3</c:v>
                </c:pt>
                <c:pt idx="1">
                  <c:v>7.9617834394904458E-3</c:v>
                </c:pt>
                <c:pt idx="2">
                  <c:v>0</c:v>
                </c:pt>
                <c:pt idx="3">
                  <c:v>6.369426751592357E-3</c:v>
                </c:pt>
                <c:pt idx="4">
                  <c:v>1.5923566878980893E-3</c:v>
                </c:pt>
                <c:pt idx="5">
                  <c:v>5.5732484076433123E-2</c:v>
                </c:pt>
                <c:pt idx="6">
                  <c:v>2.7070063694267517E-2</c:v>
                </c:pt>
                <c:pt idx="7">
                  <c:v>6.369426751592357E-3</c:v>
                </c:pt>
              </c:numCache>
            </c:numRef>
          </c:val>
        </c:ser>
        <c:ser>
          <c:idx val="2"/>
          <c:order val="2"/>
          <c:tx>
            <c:strRef>
              <c:f>'FORMULAS FEB'!$BF$175</c:f>
              <c:strCache>
                <c:ptCount val="1"/>
                <c:pt idx="0">
                  <c:v>Químicos y peligrosos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FEB'!$BG$172:$BN$172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FEB'!$BG$175:$BN$175</c:f>
              <c:numCache>
                <c:formatCode>0.0%</c:formatCode>
                <c:ptCount val="8"/>
                <c:pt idx="0">
                  <c:v>0</c:v>
                </c:pt>
                <c:pt idx="1">
                  <c:v>1.1146496815286623E-2</c:v>
                </c:pt>
                <c:pt idx="2">
                  <c:v>0</c:v>
                </c:pt>
                <c:pt idx="3">
                  <c:v>7.9617834394904458E-3</c:v>
                </c:pt>
                <c:pt idx="4">
                  <c:v>4.7770700636942673E-3</c:v>
                </c:pt>
                <c:pt idx="5">
                  <c:v>6.5286624203821655E-2</c:v>
                </c:pt>
                <c:pt idx="6">
                  <c:v>3.0254777070063694E-2</c:v>
                </c:pt>
                <c:pt idx="7">
                  <c:v>3.1847133757961785E-3</c:v>
                </c:pt>
              </c:numCache>
            </c:numRef>
          </c:val>
        </c:ser>
        <c:ser>
          <c:idx val="3"/>
          <c:order val="3"/>
          <c:tx>
            <c:strRef>
              <c:f>'FORMULAS FEB'!$BF$176</c:f>
              <c:strCache>
                <c:ptCount val="1"/>
                <c:pt idx="0">
                  <c:v>Materiales para construcción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FEB'!$BG$172:$BN$172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FEB'!$BG$176:$BN$176</c:f>
              <c:numCache>
                <c:formatCode>0.0%</c:formatCode>
                <c:ptCount val="8"/>
                <c:pt idx="0">
                  <c:v>0</c:v>
                </c:pt>
                <c:pt idx="1">
                  <c:v>7.9617834394904458E-3</c:v>
                </c:pt>
                <c:pt idx="2">
                  <c:v>6.369426751592357E-3</c:v>
                </c:pt>
                <c:pt idx="3">
                  <c:v>9.5541401273885346E-3</c:v>
                </c:pt>
                <c:pt idx="4">
                  <c:v>1.751592356687898E-2</c:v>
                </c:pt>
                <c:pt idx="5">
                  <c:v>4.9363057324840767E-2</c:v>
                </c:pt>
                <c:pt idx="6">
                  <c:v>7.9617834394904458E-3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'FORMULAS FEB'!$BF$177</c:f>
              <c:strCache>
                <c:ptCount val="1"/>
                <c:pt idx="0">
                  <c:v>Materias primas para producción/ensamble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FEB'!$BG$172:$BN$172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FEB'!$BG$177:$BN$177</c:f>
              <c:numCache>
                <c:formatCode>0.0%</c:formatCode>
                <c:ptCount val="8"/>
                <c:pt idx="0">
                  <c:v>1.5923566878980893E-3</c:v>
                </c:pt>
                <c:pt idx="1">
                  <c:v>1.751592356687898E-2</c:v>
                </c:pt>
                <c:pt idx="2">
                  <c:v>1.5923566878980893E-3</c:v>
                </c:pt>
                <c:pt idx="3">
                  <c:v>1.2738853503184714E-2</c:v>
                </c:pt>
                <c:pt idx="4">
                  <c:v>1.5923566878980892E-2</c:v>
                </c:pt>
                <c:pt idx="5">
                  <c:v>0.20859872611464969</c:v>
                </c:pt>
                <c:pt idx="6">
                  <c:v>1.2738853503184714E-2</c:v>
                </c:pt>
                <c:pt idx="7">
                  <c:v>1.5923566878980893E-3</c:v>
                </c:pt>
              </c:numCache>
            </c:numRef>
          </c:val>
        </c:ser>
        <c:ser>
          <c:idx val="5"/>
          <c:order val="5"/>
          <c:tx>
            <c:strRef>
              <c:f>'FORMULAS FEB'!$BF$178</c:f>
              <c:strCache>
                <c:ptCount val="1"/>
                <c:pt idx="0">
                  <c:v>Transporta Granos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FEB'!$BG$172:$BN$172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FEB'!$BG$178:$BN$178</c:f>
              <c:numCache>
                <c:formatCode>0.0%</c:formatCode>
                <c:ptCount val="8"/>
                <c:pt idx="0">
                  <c:v>1.5923566878980893E-3</c:v>
                </c:pt>
                <c:pt idx="1">
                  <c:v>3.1847133757961785E-3</c:v>
                </c:pt>
                <c:pt idx="2">
                  <c:v>4.7770700636942673E-3</c:v>
                </c:pt>
                <c:pt idx="3">
                  <c:v>4.7770700636942673E-3</c:v>
                </c:pt>
                <c:pt idx="4">
                  <c:v>9.5541401273885346E-3</c:v>
                </c:pt>
                <c:pt idx="5">
                  <c:v>2.3885350318471339E-2</c:v>
                </c:pt>
                <c:pt idx="6">
                  <c:v>3.662420382165605E-2</c:v>
                </c:pt>
                <c:pt idx="7">
                  <c:v>6.369426751592357E-3</c:v>
                </c:pt>
              </c:numCache>
            </c:numRef>
          </c:val>
        </c:ser>
        <c:ser>
          <c:idx val="6"/>
          <c:order val="6"/>
          <c:tx>
            <c:strRef>
              <c:f>'FORMULAS FEB'!$BF$179</c:f>
              <c:strCache>
                <c:ptCount val="1"/>
                <c:pt idx="0">
                  <c:v>Productos refrigerados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FEB'!$BG$172:$BN$172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FEB'!$BG$179:$BN$179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1.5923566878980893E-3</c:v>
                </c:pt>
                <c:pt idx="3">
                  <c:v>4.7770700636942673E-3</c:v>
                </c:pt>
                <c:pt idx="4">
                  <c:v>4.7770700636942673E-3</c:v>
                </c:pt>
                <c:pt idx="5">
                  <c:v>2.0700636942675158E-2</c:v>
                </c:pt>
                <c:pt idx="6">
                  <c:v>7.9617834394904458E-3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'FORMULAS FEB'!$BF$180</c:f>
              <c:strCache>
                <c:ptCount val="1"/>
                <c:pt idx="0">
                  <c:v>Otros productos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FEB'!$BG$172:$BN$172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FEB'!$BG$180:$BN$180</c:f>
              <c:numCache>
                <c:formatCode>0.0%</c:formatCode>
                <c:ptCount val="8"/>
                <c:pt idx="0">
                  <c:v>0</c:v>
                </c:pt>
                <c:pt idx="1">
                  <c:v>7.9617834394904458E-3</c:v>
                </c:pt>
                <c:pt idx="2">
                  <c:v>1.1146496815286623E-2</c:v>
                </c:pt>
                <c:pt idx="3">
                  <c:v>6.369426751592357E-3</c:v>
                </c:pt>
                <c:pt idx="4">
                  <c:v>2.3885350318471339E-2</c:v>
                </c:pt>
                <c:pt idx="5">
                  <c:v>7.9617834394904455E-2</c:v>
                </c:pt>
                <c:pt idx="6">
                  <c:v>1.9108280254777069E-2</c:v>
                </c:pt>
                <c:pt idx="7">
                  <c:v>6.369426751592357E-3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0849024"/>
        <c:axId val="150850560"/>
        <c:axId val="0"/>
      </c:bar3DChart>
      <c:catAx>
        <c:axId val="15084902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850560"/>
        <c:crosses val="autoZero"/>
        <c:auto val="1"/>
        <c:lblAlgn val="ctr"/>
        <c:lblOffset val="100"/>
        <c:noMultiLvlLbl val="0"/>
      </c:catAx>
      <c:valAx>
        <c:axId val="150850560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84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2338920388901728E-2"/>
          <c:y val="0.93187521149921693"/>
          <c:w val="0.95906815259830758"/>
          <c:h val="6.7591243057094491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PRODUCTOS PERECEDEROS. UNIDAD DE VACÍO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 PRODUCTOS PERECEDEROS</a:t>
            </a:r>
            <a:r>
              <a:rPr lang="en-US" sz="800" baseline="0"/>
              <a:t> (100% = 72)]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FEB'!$BF$185</c:f>
              <c:strCache>
                <c:ptCount val="1"/>
                <c:pt idx="0">
                  <c:v>RENDIMIENTO DE COMBUSTIBLE  (SOLO DIESEL). TRANSPORTA PRODUCTOS PERECEDEROS.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FEB'!$BG$186:$BN$186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FEB'!$BG$187:$BN$187</c:f>
              <c:numCache>
                <c:formatCode>0.0%</c:formatCode>
                <c:ptCount val="8"/>
                <c:pt idx="0">
                  <c:v>0</c:v>
                </c:pt>
                <c:pt idx="1">
                  <c:v>5.5555555555555552E-2</c:v>
                </c:pt>
                <c:pt idx="2">
                  <c:v>8.3333333333333329E-2</c:v>
                </c:pt>
                <c:pt idx="3">
                  <c:v>6.9444444444444448E-2</c:v>
                </c:pt>
                <c:pt idx="4">
                  <c:v>9.7222222222222224E-2</c:v>
                </c:pt>
                <c:pt idx="5">
                  <c:v>0.33333333333333331</c:v>
                </c:pt>
                <c:pt idx="6">
                  <c:v>0.29166666666666669</c:v>
                </c:pt>
                <c:pt idx="7">
                  <c:v>6.9444444444444448E-2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0897408"/>
        <c:axId val="150898944"/>
        <c:axId val="0"/>
      </c:bar3DChart>
      <c:catAx>
        <c:axId val="1508974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898944"/>
        <c:crosses val="autoZero"/>
        <c:auto val="1"/>
        <c:lblAlgn val="ctr"/>
        <c:lblOffset val="100"/>
        <c:noMultiLvlLbl val="0"/>
      </c:catAx>
      <c:valAx>
        <c:axId val="15089894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08974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ALIMENTOS NO PERECEDEROS. UNIDAD DE VACÍO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</a:t>
            </a:r>
            <a:r>
              <a:rPr lang="en-US" sz="800" baseline="0"/>
              <a:t> A TRANSPORTA ALIMENTOS NO PERECEDEROS (100% = 67)]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FEB'!$BF$189</c:f>
              <c:strCache>
                <c:ptCount val="1"/>
                <c:pt idx="0">
                  <c:v>RENDIMIENTO DE COMBUSTIBLE  (SOLO DIESEL). TRANSPORTA ALIMENTOS NO PERECEDEROS.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FEB'!$BG$190:$BN$190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FEB'!$BG$191:$BN$191</c:f>
              <c:numCache>
                <c:formatCode>0.0%</c:formatCode>
                <c:ptCount val="8"/>
                <c:pt idx="0">
                  <c:v>1.4925373134328358E-2</c:v>
                </c:pt>
                <c:pt idx="1">
                  <c:v>7.4626865671641784E-2</c:v>
                </c:pt>
                <c:pt idx="2">
                  <c:v>0</c:v>
                </c:pt>
                <c:pt idx="3">
                  <c:v>5.9701492537313432E-2</c:v>
                </c:pt>
                <c:pt idx="4">
                  <c:v>1.4925373134328358E-2</c:v>
                </c:pt>
                <c:pt idx="5">
                  <c:v>0.52238805970149249</c:v>
                </c:pt>
                <c:pt idx="6">
                  <c:v>0.2537313432835821</c:v>
                </c:pt>
                <c:pt idx="7">
                  <c:v>5.9701492537313432E-2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1002112"/>
        <c:axId val="151003904"/>
        <c:axId val="0"/>
      </c:bar3DChart>
      <c:catAx>
        <c:axId val="151002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003904"/>
        <c:crosses val="autoZero"/>
        <c:auto val="1"/>
        <c:lblAlgn val="ctr"/>
        <c:lblOffset val="100"/>
        <c:noMultiLvlLbl val="0"/>
      </c:catAx>
      <c:valAx>
        <c:axId val="15100390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00211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QUÍMICOS Y PELIGROSOS. UNIDAD DE VACÍO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 QUÍMICOS Y PELIGROSOS (100% = 77)]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FEB'!$BF$193</c:f>
              <c:strCache>
                <c:ptCount val="1"/>
                <c:pt idx="0">
                  <c:v>RENDIMIENTO DE COMBUSTIBLE  (SOLO DIESEL). TRANSPORTA QUÍMICOS Y PELIGROSOS.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FEB'!$BG$194:$BN$194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FEB'!$BG$195:$BN$195</c:f>
              <c:numCache>
                <c:formatCode>0.0%</c:formatCode>
                <c:ptCount val="8"/>
                <c:pt idx="0">
                  <c:v>0</c:v>
                </c:pt>
                <c:pt idx="1">
                  <c:v>9.0909090909090912E-2</c:v>
                </c:pt>
                <c:pt idx="2">
                  <c:v>0</c:v>
                </c:pt>
                <c:pt idx="3">
                  <c:v>6.4935064935064929E-2</c:v>
                </c:pt>
                <c:pt idx="4">
                  <c:v>3.896103896103896E-2</c:v>
                </c:pt>
                <c:pt idx="5">
                  <c:v>0.53246753246753242</c:v>
                </c:pt>
                <c:pt idx="6">
                  <c:v>0.24675324675324675</c:v>
                </c:pt>
                <c:pt idx="7">
                  <c:v>2.5974025974025976E-2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1037440"/>
        <c:axId val="151038976"/>
        <c:axId val="0"/>
      </c:bar3DChart>
      <c:catAx>
        <c:axId val="151037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038976"/>
        <c:crosses val="autoZero"/>
        <c:auto val="1"/>
        <c:lblAlgn val="ctr"/>
        <c:lblOffset val="100"/>
        <c:noMultiLvlLbl val="0"/>
      </c:catAx>
      <c:valAx>
        <c:axId val="15103897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03744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MATERIAS PRIMAS PARA PRODUCCIÓN/ENSAMBLE</a:t>
            </a:r>
            <a:r>
              <a:rPr lang="en-US" sz="1400"/>
              <a:t>. </a:t>
            </a:r>
          </a:p>
          <a:p>
            <a:pPr>
              <a:defRPr sz="1400"/>
            </a:pPr>
            <a:r>
              <a:rPr lang="en-US" sz="1000"/>
              <a:t>UNIDAD DE VACÍO</a:t>
            </a:r>
          </a:p>
          <a:p>
            <a:pPr>
              <a:defRPr sz="1400"/>
            </a:pPr>
            <a:r>
              <a:rPr lang="en-US" sz="800"/>
              <a:t>[% SOBRE EL TOTAL DE RESPUESTAS A TRANSPORTA MATERIAS PRIMAS PARA PRODUCCIÓN/ENSAMBLE</a:t>
            </a:r>
            <a:r>
              <a:rPr lang="en-US" sz="800" baseline="0"/>
              <a:t> </a:t>
            </a:r>
          </a:p>
          <a:p>
            <a:pPr>
              <a:defRPr sz="1400"/>
            </a:pPr>
            <a:r>
              <a:rPr lang="en-US" sz="800" baseline="0"/>
              <a:t>(100% = 171)]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FEB'!$BF$201</c:f>
              <c:strCache>
                <c:ptCount val="1"/>
                <c:pt idx="0">
                  <c:v>RENDIMIENTO DE COMBUSTIBLE  (SOLO DIESEL). TRANSPORTA MATERIAS PRIMAS PARA PRODUCCIÓN/ENSAMBLE.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FEB'!$BG$202:$BN$202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FEB'!$BG$203:$BN$203</c:f>
              <c:numCache>
                <c:formatCode>0.0%</c:formatCode>
                <c:ptCount val="8"/>
                <c:pt idx="0">
                  <c:v>5.8479532163742687E-3</c:v>
                </c:pt>
                <c:pt idx="1">
                  <c:v>6.4327485380116955E-2</c:v>
                </c:pt>
                <c:pt idx="2">
                  <c:v>5.8479532163742687E-3</c:v>
                </c:pt>
                <c:pt idx="3">
                  <c:v>4.6783625730994149E-2</c:v>
                </c:pt>
                <c:pt idx="4">
                  <c:v>5.8479532163742687E-2</c:v>
                </c:pt>
                <c:pt idx="5">
                  <c:v>0.76608187134502925</c:v>
                </c:pt>
                <c:pt idx="6">
                  <c:v>4.6783625730994149E-2</c:v>
                </c:pt>
                <c:pt idx="7">
                  <c:v>5.8479532163742687E-3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1068672"/>
        <c:axId val="151070208"/>
        <c:axId val="0"/>
      </c:bar3DChart>
      <c:catAx>
        <c:axId val="151068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070208"/>
        <c:crosses val="autoZero"/>
        <c:auto val="1"/>
        <c:lblAlgn val="ctr"/>
        <c:lblOffset val="100"/>
        <c:noMultiLvlLbl val="0"/>
      </c:catAx>
      <c:valAx>
        <c:axId val="15107020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06867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GRANOS. UNIDAD DE VACÍO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LAS RESPUESTAS A TRANSPORTA GRANOS (100% = 57)]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FEB'!$BF$205</c:f>
              <c:strCache>
                <c:ptCount val="1"/>
                <c:pt idx="0">
                  <c:v>RENDIMIENTO DE COMBUSTIBLE  (SOLO DIESEL). TRANSPORTA GRANOS.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FEB'!$BG$206:$BN$206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FEB'!$BG$207:$BN$207</c:f>
              <c:numCache>
                <c:formatCode>0.0%</c:formatCode>
                <c:ptCount val="8"/>
                <c:pt idx="0">
                  <c:v>1.7543859649122806E-2</c:v>
                </c:pt>
                <c:pt idx="1">
                  <c:v>3.5087719298245612E-2</c:v>
                </c:pt>
                <c:pt idx="2">
                  <c:v>5.2631578947368418E-2</c:v>
                </c:pt>
                <c:pt idx="3">
                  <c:v>5.2631578947368418E-2</c:v>
                </c:pt>
                <c:pt idx="4">
                  <c:v>0.10526315789473684</c:v>
                </c:pt>
                <c:pt idx="5">
                  <c:v>0.26315789473684209</c:v>
                </c:pt>
                <c:pt idx="6">
                  <c:v>0.40350877192982454</c:v>
                </c:pt>
                <c:pt idx="7">
                  <c:v>7.0175438596491224E-2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1116032"/>
        <c:axId val="151126016"/>
        <c:axId val="0"/>
      </c:bar3DChart>
      <c:catAx>
        <c:axId val="151116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1160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PRODUCTOS REFRIGERADOS. UNIDAD DE VACÍO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 PRODUCTOS REFRIGERADOS (100% = 25)]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FEB'!$BF$209</c:f>
              <c:strCache>
                <c:ptCount val="1"/>
                <c:pt idx="0">
                  <c:v>RENDIMIENTO DE COMBUSTIBLE  (SOLO DIESEL). TRANSPORTA PRODUCTOS REFRIGERADOS.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FEB'!$BG$210:$BN$210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FEB'!$BG$211:$BN$211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0.04</c:v>
                </c:pt>
                <c:pt idx="3">
                  <c:v>0.12</c:v>
                </c:pt>
                <c:pt idx="4">
                  <c:v>0.12</c:v>
                </c:pt>
                <c:pt idx="5">
                  <c:v>0.52</c:v>
                </c:pt>
                <c:pt idx="6">
                  <c:v>0.2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1155840"/>
        <c:axId val="151157376"/>
        <c:axId val="0"/>
      </c:bar3DChart>
      <c:catAx>
        <c:axId val="151155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157376"/>
        <c:crosses val="autoZero"/>
        <c:auto val="1"/>
        <c:lblAlgn val="ctr"/>
        <c:lblOffset val="100"/>
        <c:noMultiLvlLbl val="0"/>
      </c:catAx>
      <c:valAx>
        <c:axId val="15115737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15584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 (SOLO DIESEL).</a:t>
            </a:r>
          </a:p>
          <a:p>
            <a:pPr>
              <a:defRPr sz="1400"/>
            </a:pPr>
            <a:r>
              <a:rPr lang="en-US" sz="1200"/>
              <a:t>TRANSPORTA OTROS PRODUCTOS. UNIDAD DE VACÍO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TRANSPORTA</a:t>
            </a:r>
            <a:r>
              <a:rPr lang="en-US" sz="800" baseline="0"/>
              <a:t> OTROS PRODUCTOS (100% = 97)]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FEB'!$BF$213</c:f>
              <c:strCache>
                <c:ptCount val="1"/>
                <c:pt idx="0">
                  <c:v>RENDIMIENTO DE COMBUSTIBLE  (SOLO DIESEL). TRANSPORTA OTROS PRODUCTOS.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FEB'!$BG$214:$BN$214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FEB'!$BG$215:$BN$215</c:f>
              <c:numCache>
                <c:formatCode>0.0%</c:formatCode>
                <c:ptCount val="8"/>
                <c:pt idx="0">
                  <c:v>0</c:v>
                </c:pt>
                <c:pt idx="1">
                  <c:v>5.1546391752577317E-2</c:v>
                </c:pt>
                <c:pt idx="2">
                  <c:v>7.2164948453608241E-2</c:v>
                </c:pt>
                <c:pt idx="3">
                  <c:v>4.1237113402061855E-2</c:v>
                </c:pt>
                <c:pt idx="4">
                  <c:v>0.15463917525773196</c:v>
                </c:pt>
                <c:pt idx="5">
                  <c:v>0.51546391752577314</c:v>
                </c:pt>
                <c:pt idx="6">
                  <c:v>0.12371134020618557</c:v>
                </c:pt>
                <c:pt idx="7">
                  <c:v>4.1237113402061855E-2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1186816"/>
        <c:axId val="151598208"/>
        <c:axId val="0"/>
      </c:bar3DChart>
      <c:catAx>
        <c:axId val="151186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598208"/>
        <c:crosses val="autoZero"/>
        <c:auto val="1"/>
        <c:lblAlgn val="ctr"/>
        <c:lblOffset val="100"/>
        <c:noMultiLvlLbl val="0"/>
      </c:catAx>
      <c:valAx>
        <c:axId val="15159820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18681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MX" sz="1200"/>
              <a:t>AÑO MODELO </a:t>
            </a:r>
          </a:p>
          <a:p>
            <a:pPr>
              <a:defRPr sz="1100"/>
            </a:pPr>
            <a:r>
              <a:rPr lang="es-MX" sz="1000"/>
              <a:t>DE LA UNIDAD QUE CONDUCE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5003557662919476E-2"/>
          <c:y val="9.0804326008008265E-2"/>
          <c:w val="0.93612042601155665"/>
          <c:h val="0.820504533888612"/>
        </c:manualLayout>
      </c:layout>
      <c:bar3DChart>
        <c:barDir val="col"/>
        <c:grouping val="clustered"/>
        <c:varyColors val="1"/>
        <c:ser>
          <c:idx val="1"/>
          <c:order val="0"/>
          <c:tx>
            <c:strRef>
              <c:f>FORMULAS!$F$32</c:f>
              <c:strCache>
                <c:ptCount val="1"/>
                <c:pt idx="0">
                  <c:v>AÑO MODELO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FORMULAS!$F$39:$F$78</c:f>
              <c:numCache>
                <c:formatCode>General</c:formatCode>
                <c:ptCount val="40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  <c:pt idx="24">
                  <c:v>1999</c:v>
                </c:pt>
                <c:pt idx="25">
                  <c:v>2000</c:v>
                </c:pt>
                <c:pt idx="26">
                  <c:v>2001</c:v>
                </c:pt>
                <c:pt idx="27">
                  <c:v>2002</c:v>
                </c:pt>
                <c:pt idx="28">
                  <c:v>2003</c:v>
                </c:pt>
                <c:pt idx="29">
                  <c:v>2004</c:v>
                </c:pt>
                <c:pt idx="30">
                  <c:v>2005</c:v>
                </c:pt>
                <c:pt idx="31">
                  <c:v>2006</c:v>
                </c:pt>
                <c:pt idx="32">
                  <c:v>2007</c:v>
                </c:pt>
                <c:pt idx="33">
                  <c:v>2008</c:v>
                </c:pt>
                <c:pt idx="34">
                  <c:v>2009</c:v>
                </c:pt>
                <c:pt idx="35">
                  <c:v>2010</c:v>
                </c:pt>
                <c:pt idx="36">
                  <c:v>2011</c:v>
                </c:pt>
                <c:pt idx="37">
                  <c:v>2012</c:v>
                </c:pt>
                <c:pt idx="38">
                  <c:v>2013</c:v>
                </c:pt>
                <c:pt idx="39">
                  <c:v>2014</c:v>
                </c:pt>
              </c:numCache>
            </c:numRef>
          </c:cat>
          <c:val>
            <c:numRef>
              <c:f>FORMULAS!$G$39:$G$78</c:f>
              <c:numCache>
                <c:formatCode>General</c:formatCode>
                <c:ptCount val="40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7</c:v>
                </c:pt>
                <c:pt idx="11">
                  <c:v>6</c:v>
                </c:pt>
                <c:pt idx="12">
                  <c:v>6</c:v>
                </c:pt>
                <c:pt idx="13">
                  <c:v>4</c:v>
                </c:pt>
                <c:pt idx="14">
                  <c:v>7</c:v>
                </c:pt>
                <c:pt idx="15">
                  <c:v>11</c:v>
                </c:pt>
                <c:pt idx="16">
                  <c:v>3</c:v>
                </c:pt>
                <c:pt idx="17">
                  <c:v>6</c:v>
                </c:pt>
                <c:pt idx="18">
                  <c:v>2</c:v>
                </c:pt>
                <c:pt idx="19">
                  <c:v>6</c:v>
                </c:pt>
                <c:pt idx="20">
                  <c:v>13</c:v>
                </c:pt>
                <c:pt idx="21">
                  <c:v>6</c:v>
                </c:pt>
                <c:pt idx="22">
                  <c:v>11</c:v>
                </c:pt>
                <c:pt idx="23">
                  <c:v>15</c:v>
                </c:pt>
                <c:pt idx="24">
                  <c:v>9</c:v>
                </c:pt>
                <c:pt idx="25">
                  <c:v>25</c:v>
                </c:pt>
                <c:pt idx="26">
                  <c:v>18</c:v>
                </c:pt>
                <c:pt idx="27">
                  <c:v>12</c:v>
                </c:pt>
                <c:pt idx="28">
                  <c:v>21</c:v>
                </c:pt>
                <c:pt idx="29">
                  <c:v>27</c:v>
                </c:pt>
                <c:pt idx="30">
                  <c:v>29</c:v>
                </c:pt>
                <c:pt idx="31">
                  <c:v>26</c:v>
                </c:pt>
                <c:pt idx="32">
                  <c:v>33</c:v>
                </c:pt>
                <c:pt idx="33">
                  <c:v>32</c:v>
                </c:pt>
                <c:pt idx="34">
                  <c:v>22</c:v>
                </c:pt>
                <c:pt idx="35">
                  <c:v>21</c:v>
                </c:pt>
                <c:pt idx="36">
                  <c:v>12</c:v>
                </c:pt>
                <c:pt idx="37">
                  <c:v>16</c:v>
                </c:pt>
                <c:pt idx="38">
                  <c:v>10</c:v>
                </c:pt>
                <c:pt idx="39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2675200"/>
        <c:axId val="62676992"/>
        <c:axId val="0"/>
      </c:bar3DChart>
      <c:catAx>
        <c:axId val="626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 i="0" baseline="0">
                <a:latin typeface="Arial" panose="020B0604020202020204" pitchFamily="34" charset="0"/>
              </a:defRPr>
            </a:pPr>
            <a:endParaRPr lang="es-MX"/>
          </a:p>
        </c:txPr>
        <c:crossAx val="62676992"/>
        <c:crosses val="autoZero"/>
        <c:auto val="1"/>
        <c:lblAlgn val="ctr"/>
        <c:lblOffset val="100"/>
        <c:noMultiLvlLbl val="0"/>
      </c:catAx>
      <c:valAx>
        <c:axId val="6267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latin typeface="Arial" panose="020B0604020202020204" pitchFamily="34" charset="0"/>
              </a:defRPr>
            </a:pPr>
            <a:endParaRPr lang="es-MX"/>
          </a:p>
        </c:txPr>
        <c:crossAx val="62675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(GASOLINA) POR TIPO DE UNIDAD MOTRIZ. </a:t>
            </a:r>
          </a:p>
          <a:p>
            <a:pPr>
              <a:defRPr sz="1400"/>
            </a:pPr>
            <a:r>
              <a:rPr lang="es-MX" sz="1200"/>
              <a:t>UNIDAD CARGADA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</a:t>
            </a:r>
            <a:r>
              <a:rPr lang="es-MX" sz="800" baseline="0"/>
              <a:t> SOBRE EL TOTAL DE RESPUESTAS (100% = 22)]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FEB'!$CA$3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FEB'!$BZ$4:$BZ$10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FEB'!$CA$4:$CA$10</c:f>
              <c:numCache>
                <c:formatCode>0.0%</c:formatCode>
                <c:ptCount val="7"/>
                <c:pt idx="0">
                  <c:v>4.5454545454545456E-2</c:v>
                </c:pt>
                <c:pt idx="1">
                  <c:v>0.13636363636363635</c:v>
                </c:pt>
                <c:pt idx="2">
                  <c:v>9.0909090909090912E-2</c:v>
                </c:pt>
                <c:pt idx="3">
                  <c:v>0.13636363636363635</c:v>
                </c:pt>
                <c:pt idx="4">
                  <c:v>0.31818181818181818</c:v>
                </c:pt>
                <c:pt idx="5">
                  <c:v>0.13636363636363635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FEB'!$CB$3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FEB'!$BZ$4:$BZ$10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FEB'!$CB$4:$CB$10</c:f>
              <c:numCache>
                <c:formatCode>0.0%</c:formatCode>
                <c:ptCount val="7"/>
                <c:pt idx="0">
                  <c:v>0</c:v>
                </c:pt>
                <c:pt idx="1">
                  <c:v>4.5454545454545456E-2</c:v>
                </c:pt>
                <c:pt idx="2">
                  <c:v>4.5454545454545456E-2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FEB'!$CC$3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FEB'!$BZ$4:$BZ$10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FEB'!$CC$4:$CC$10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4.5454545454545456E-2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642496"/>
        <c:axId val="151644032"/>
        <c:axId val="0"/>
      </c:bar3DChart>
      <c:catAx>
        <c:axId val="1516424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644032"/>
        <c:crosses val="autoZero"/>
        <c:auto val="1"/>
        <c:lblAlgn val="ctr"/>
        <c:lblOffset val="100"/>
        <c:noMultiLvlLbl val="0"/>
      </c:catAx>
      <c:valAx>
        <c:axId val="151644032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642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(GASOLINA) POR TIPO DE UNIDAD MOTRIZ. </a:t>
            </a:r>
          </a:p>
          <a:p>
            <a:pPr>
              <a:defRPr sz="1400"/>
            </a:pPr>
            <a:r>
              <a:rPr lang="es-MX" sz="1200"/>
              <a:t>UNIDAD EN VACÍO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(100% = 22)]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311132130324684E-2"/>
          <c:y val="0.30414891747611056"/>
          <c:w val="0.83860568910945488"/>
          <c:h val="0.6120312573685120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FEB'!$CA$18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FEB'!$BZ$19:$BZ$25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FEB'!$CA$19:$CA$25</c:f>
              <c:numCache>
                <c:formatCode>0.0%</c:formatCode>
                <c:ptCount val="7"/>
                <c:pt idx="0">
                  <c:v>4.5454545454545456E-2</c:v>
                </c:pt>
                <c:pt idx="1">
                  <c:v>0</c:v>
                </c:pt>
                <c:pt idx="2">
                  <c:v>0.18181818181818182</c:v>
                </c:pt>
                <c:pt idx="3">
                  <c:v>9.0909090909090912E-2</c:v>
                </c:pt>
                <c:pt idx="4">
                  <c:v>0.27272727272727271</c:v>
                </c:pt>
                <c:pt idx="5">
                  <c:v>0.18181818181818182</c:v>
                </c:pt>
                <c:pt idx="6">
                  <c:v>9.0909090909090912E-2</c:v>
                </c:pt>
              </c:numCache>
            </c:numRef>
          </c:val>
        </c:ser>
        <c:ser>
          <c:idx val="1"/>
          <c:order val="1"/>
          <c:tx>
            <c:strRef>
              <c:f>'FORMULAS FEB'!$CB$18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FEB'!$BZ$19:$BZ$25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FEB'!$CB$19:$CB$25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4.5454545454545456E-2</c:v>
                </c:pt>
                <c:pt idx="3">
                  <c:v>4.5454545454545456E-2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FEB'!$CC$18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FEB'!$BZ$19:$BZ$25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FEB'!$CC$19:$CC$25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4.5454545454545456E-2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1377408"/>
        <c:axId val="151378944"/>
        <c:axId val="0"/>
      </c:bar3DChart>
      <c:catAx>
        <c:axId val="1513774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378944"/>
        <c:crosses val="autoZero"/>
        <c:auto val="1"/>
        <c:lblAlgn val="ctr"/>
        <c:lblOffset val="100"/>
        <c:noMultiLvlLbl val="0"/>
      </c:catAx>
      <c:valAx>
        <c:axId val="15137894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377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AÑO MODELO DEL MOTOR DE LA UNIDAD MOTRIZ SEGÚN TIPO DE UNIDAD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UNIDADES (100% = 453)]</a:t>
            </a:r>
          </a:p>
        </c:rich>
      </c:tx>
      <c:layout>
        <c:manualLayout>
          <c:xMode val="edge"/>
          <c:yMode val="edge"/>
          <c:x val="0.11578774962022102"/>
          <c:y val="3.995005718572820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FEB'!$CM$3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FEB'!$CL$4:$CL$10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FEB'!$CM$4:$CM$10</c:f>
              <c:numCache>
                <c:formatCode>0.0%</c:formatCode>
                <c:ptCount val="7"/>
                <c:pt idx="0">
                  <c:v>3.5320088300220751E-2</c:v>
                </c:pt>
                <c:pt idx="1">
                  <c:v>4.4150110375275938E-3</c:v>
                </c:pt>
                <c:pt idx="2">
                  <c:v>2.4282560706401765E-2</c:v>
                </c:pt>
                <c:pt idx="3">
                  <c:v>5.2980132450331126E-2</c:v>
                </c:pt>
                <c:pt idx="4">
                  <c:v>3.0905077262693158E-2</c:v>
                </c:pt>
                <c:pt idx="5">
                  <c:v>4.856512141280353E-2</c:v>
                </c:pt>
                <c:pt idx="6">
                  <c:v>3.7527593818984545E-2</c:v>
                </c:pt>
              </c:numCache>
            </c:numRef>
          </c:val>
        </c:ser>
        <c:ser>
          <c:idx val="1"/>
          <c:order val="1"/>
          <c:tx>
            <c:strRef>
              <c:f>'FORMULAS FEB'!$CN$3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FEB'!$CL$4:$CL$10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FEB'!$CN$4:$CN$10</c:f>
              <c:numCache>
                <c:formatCode>0.0%</c:formatCode>
                <c:ptCount val="7"/>
                <c:pt idx="0">
                  <c:v>4.6357615894039736E-2</c:v>
                </c:pt>
                <c:pt idx="1">
                  <c:v>2.2075055187637969E-3</c:v>
                </c:pt>
                <c:pt idx="2">
                  <c:v>3.3112582781456956E-2</c:v>
                </c:pt>
                <c:pt idx="3">
                  <c:v>5.518763796909492E-2</c:v>
                </c:pt>
                <c:pt idx="4">
                  <c:v>2.2075055187637971E-2</c:v>
                </c:pt>
                <c:pt idx="5">
                  <c:v>1.7660044150110375E-2</c:v>
                </c:pt>
                <c:pt idx="6">
                  <c:v>8.8300220750551876E-3</c:v>
                </c:pt>
              </c:numCache>
            </c:numRef>
          </c:val>
        </c:ser>
        <c:ser>
          <c:idx val="2"/>
          <c:order val="2"/>
          <c:tx>
            <c:strRef>
              <c:f>'FORMULAS FEB'!$CO$3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FEB'!$CL$4:$CL$10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FEB'!$CO$4:$CO$10</c:f>
              <c:numCache>
                <c:formatCode>0.0%</c:formatCode>
                <c:ptCount val="7"/>
                <c:pt idx="0">
                  <c:v>4.4150110375275938E-3</c:v>
                </c:pt>
                <c:pt idx="1">
                  <c:v>0</c:v>
                </c:pt>
                <c:pt idx="2">
                  <c:v>2.2075055187637969E-3</c:v>
                </c:pt>
                <c:pt idx="3">
                  <c:v>6.6225165562913907E-3</c:v>
                </c:pt>
                <c:pt idx="4">
                  <c:v>2.2075055187637969E-3</c:v>
                </c:pt>
                <c:pt idx="5">
                  <c:v>1.1037527593818985E-2</c:v>
                </c:pt>
                <c:pt idx="6">
                  <c:v>2.2075055187637969E-3</c:v>
                </c:pt>
              </c:numCache>
            </c:numRef>
          </c:val>
        </c:ser>
        <c:ser>
          <c:idx val="3"/>
          <c:order val="3"/>
          <c:tx>
            <c:strRef>
              <c:f>'FORMULAS FEB'!$CP$3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FEB'!$CL$4:$CL$10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FEB'!$CP$4:$CP$10</c:f>
              <c:numCache>
                <c:formatCode>0.0%</c:formatCode>
                <c:ptCount val="7"/>
                <c:pt idx="0">
                  <c:v>4.6357615894039736E-2</c:v>
                </c:pt>
                <c:pt idx="1">
                  <c:v>1.3245033112582781E-2</c:v>
                </c:pt>
                <c:pt idx="2">
                  <c:v>2.6490066225165563E-2</c:v>
                </c:pt>
                <c:pt idx="3">
                  <c:v>0.12362030905077263</c:v>
                </c:pt>
                <c:pt idx="4">
                  <c:v>0.13024282560706402</c:v>
                </c:pt>
                <c:pt idx="5">
                  <c:v>0.16335540838852097</c:v>
                </c:pt>
                <c:pt idx="6">
                  <c:v>4.856512141280353E-2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429120"/>
        <c:axId val="151430656"/>
        <c:axId val="0"/>
      </c:bar3DChart>
      <c:catAx>
        <c:axId val="1514291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430656"/>
        <c:crosses val="autoZero"/>
        <c:auto val="1"/>
        <c:lblAlgn val="ctr"/>
        <c:lblOffset val="100"/>
        <c:noMultiLvlLbl val="0"/>
      </c:catAx>
      <c:valAx>
        <c:axId val="15143065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4291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AÑO MODELO DEL MOTOR DE LA UNIDAD MOTRIZ SEGÚN TAMAÑO DE FLOTA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UNIDADES (100% = 453)]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109086638895423E-2"/>
          <c:y val="0.23840237657588989"/>
          <c:w val="0.86481233801818813"/>
          <c:h val="0.563331843055574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FEB'!$CM$15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FEB'!$CM$16:$CM$22</c:f>
              <c:numCache>
                <c:formatCode>0.0%</c:formatCode>
                <c:ptCount val="7"/>
                <c:pt idx="0">
                  <c:v>2.6490066225165563E-2</c:v>
                </c:pt>
                <c:pt idx="1">
                  <c:v>0</c:v>
                </c:pt>
                <c:pt idx="2">
                  <c:v>1.5452538631346579E-2</c:v>
                </c:pt>
                <c:pt idx="3">
                  <c:v>5.2980132450331126E-2</c:v>
                </c:pt>
                <c:pt idx="4">
                  <c:v>2.6490066225165563E-2</c:v>
                </c:pt>
                <c:pt idx="5">
                  <c:v>1.7660044150110375E-2</c:v>
                </c:pt>
                <c:pt idx="6">
                  <c:v>6.6225165562913907E-3</c:v>
                </c:pt>
              </c:numCache>
            </c:numRef>
          </c:val>
        </c:ser>
        <c:ser>
          <c:idx val="1"/>
          <c:order val="1"/>
          <c:tx>
            <c:strRef>
              <c:f>'FORMULAS FEB'!$CN$15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FEB'!$CN$16:$CN$22</c:f>
              <c:numCache>
                <c:formatCode>0.0%</c:formatCode>
                <c:ptCount val="7"/>
                <c:pt idx="0">
                  <c:v>2.8697571743929361E-2</c:v>
                </c:pt>
                <c:pt idx="1">
                  <c:v>2.2075055187637969E-3</c:v>
                </c:pt>
                <c:pt idx="2">
                  <c:v>2.2075055187637971E-2</c:v>
                </c:pt>
                <c:pt idx="3">
                  <c:v>4.194260485651214E-2</c:v>
                </c:pt>
                <c:pt idx="4">
                  <c:v>3.5320088300220751E-2</c:v>
                </c:pt>
                <c:pt idx="5">
                  <c:v>3.3112582781456956E-2</c:v>
                </c:pt>
                <c:pt idx="6">
                  <c:v>1.5452538631346579E-2</c:v>
                </c:pt>
              </c:numCache>
            </c:numRef>
          </c:val>
        </c:ser>
        <c:ser>
          <c:idx val="2"/>
          <c:order val="2"/>
          <c:tx>
            <c:strRef>
              <c:f>'FORMULAS FEB'!$CO$15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FEB'!$CO$16:$CO$22</c:f>
              <c:numCache>
                <c:formatCode>0.0%</c:formatCode>
                <c:ptCount val="7"/>
                <c:pt idx="0">
                  <c:v>5.7395143487858721E-2</c:v>
                </c:pt>
                <c:pt idx="1">
                  <c:v>4.4150110375275938E-3</c:v>
                </c:pt>
                <c:pt idx="2">
                  <c:v>3.5320088300220751E-2</c:v>
                </c:pt>
                <c:pt idx="3">
                  <c:v>0.10154525386313466</c:v>
                </c:pt>
                <c:pt idx="4">
                  <c:v>7.505518763796909E-2</c:v>
                </c:pt>
                <c:pt idx="5">
                  <c:v>8.8300220750551883E-2</c:v>
                </c:pt>
                <c:pt idx="6">
                  <c:v>3.9735099337748346E-2</c:v>
                </c:pt>
              </c:numCache>
            </c:numRef>
          </c:val>
        </c:ser>
        <c:ser>
          <c:idx val="3"/>
          <c:order val="3"/>
          <c:tx>
            <c:strRef>
              <c:f>'FORMULAS FEB'!$CP$15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794348508634287E-3"/>
                  <c:y val="-3.34587994403159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18628990057561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794348508634287E-3"/>
                  <c:y val="-6.13404236974373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7943485086342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2794348508634287E-3"/>
                  <c:y val="6.13404236974373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FEB'!$CL$16:$CL$22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FEB'!$CP$16:$CP$22</c:f>
              <c:numCache>
                <c:formatCode>0.0%</c:formatCode>
                <c:ptCount val="7"/>
                <c:pt idx="0">
                  <c:v>1.9867549668874173E-2</c:v>
                </c:pt>
                <c:pt idx="1">
                  <c:v>1.3245033112582781E-2</c:v>
                </c:pt>
                <c:pt idx="2">
                  <c:v>1.3245033112582781E-2</c:v>
                </c:pt>
                <c:pt idx="3">
                  <c:v>4.194260485651214E-2</c:v>
                </c:pt>
                <c:pt idx="4">
                  <c:v>4.856512141280353E-2</c:v>
                </c:pt>
                <c:pt idx="5">
                  <c:v>0.10154525386313466</c:v>
                </c:pt>
                <c:pt idx="6">
                  <c:v>3.5320088300220751E-2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566208"/>
        <c:axId val="151567744"/>
        <c:axId val="0"/>
      </c:bar3DChart>
      <c:catAx>
        <c:axId val="151566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567744"/>
        <c:crosses val="autoZero"/>
        <c:auto val="1"/>
        <c:lblAlgn val="ctr"/>
        <c:lblOffset val="100"/>
        <c:noMultiLvlLbl val="0"/>
      </c:catAx>
      <c:valAx>
        <c:axId val="15156774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56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7310226331598605E-2"/>
          <c:y val="0.92964167733440517"/>
          <c:w val="0.95431719386724856"/>
          <c:h val="5.4643752043423734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DEL MOTOR DE LA UNIDAD MOTRIZ. </a:t>
            </a:r>
          </a:p>
          <a:p>
            <a:pPr>
              <a:defRPr sz="1400"/>
            </a:pPr>
            <a:r>
              <a:rPr lang="en-US" sz="1200"/>
              <a:t>PROPIETARIOS CON UNA UNIDAD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</a:t>
            </a:r>
            <a:r>
              <a:rPr lang="en-US" sz="800" baseline="0"/>
              <a:t> RESPUESTAS PARA</a:t>
            </a:r>
            <a:r>
              <a:rPr lang="en-US" sz="800"/>
              <a:t> PROPIETARIOS CON UNA UNIDAD (100% = 66)]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FEB'!$CL$26</c:f>
              <c:strCache>
                <c:ptCount val="1"/>
                <c:pt idx="0">
                  <c:v>AÑO MODELO DEL MOTOR DE LA UNIDAD MOTRIZ. PROPIETARIOS 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FEB'!$CL$28:$CL$34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FEB'!$CM$28:$CM$34</c:f>
              <c:numCache>
                <c:formatCode>0.0%</c:formatCode>
                <c:ptCount val="7"/>
                <c:pt idx="0">
                  <c:v>0.18181818181818182</c:v>
                </c:pt>
                <c:pt idx="1">
                  <c:v>0</c:v>
                </c:pt>
                <c:pt idx="2">
                  <c:v>0.10606060606060606</c:v>
                </c:pt>
                <c:pt idx="3">
                  <c:v>0.36363636363636365</c:v>
                </c:pt>
                <c:pt idx="4">
                  <c:v>0.18181818181818182</c:v>
                </c:pt>
                <c:pt idx="5">
                  <c:v>0.12121212121212122</c:v>
                </c:pt>
                <c:pt idx="6">
                  <c:v>4.5454545454545456E-2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671168"/>
        <c:axId val="151672704"/>
        <c:axId val="0"/>
      </c:bar3DChart>
      <c:catAx>
        <c:axId val="151671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672704"/>
        <c:crosses val="autoZero"/>
        <c:auto val="1"/>
        <c:lblAlgn val="ctr"/>
        <c:lblOffset val="100"/>
        <c:noMultiLvlLbl val="0"/>
      </c:catAx>
      <c:valAx>
        <c:axId val="15167270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67116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DEL MOTOR DE LA UNIDAD MOTRIZ.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PROPIETARIETARIOS CON DOS UNIDADES (100% = 81)]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FEB'!$CL$37</c:f>
              <c:strCache>
                <c:ptCount val="1"/>
                <c:pt idx="0">
                  <c:v>AÑO MODELO DEL MOTOR DE LA UNIDAD MOTRIZ. PROPIETARIOS CON 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FEB'!$CL$39:$CL$45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FEB'!$CM$39:$CM$45</c:f>
              <c:numCache>
                <c:formatCode>0.0%</c:formatCode>
                <c:ptCount val="7"/>
                <c:pt idx="0">
                  <c:v>0.16049382716049382</c:v>
                </c:pt>
                <c:pt idx="1">
                  <c:v>1.2345679012345678E-2</c:v>
                </c:pt>
                <c:pt idx="2">
                  <c:v>0.12345679012345678</c:v>
                </c:pt>
                <c:pt idx="3">
                  <c:v>0.23456790123456789</c:v>
                </c:pt>
                <c:pt idx="4">
                  <c:v>0.19753086419753085</c:v>
                </c:pt>
                <c:pt idx="5">
                  <c:v>0.18518518518518517</c:v>
                </c:pt>
                <c:pt idx="6">
                  <c:v>8.6419753086419748E-2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706240"/>
        <c:axId val="151712128"/>
        <c:axId val="0"/>
      </c:bar3DChart>
      <c:catAx>
        <c:axId val="151706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712128"/>
        <c:crosses val="autoZero"/>
        <c:auto val="1"/>
        <c:lblAlgn val="ctr"/>
        <c:lblOffset val="100"/>
        <c:noMultiLvlLbl val="0"/>
      </c:catAx>
      <c:valAx>
        <c:axId val="15171212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70624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DEL MOTOR DE LA UNIDAD MOTRIZ. 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PROPIETARIOS CON TRES A CINCO UNIDADES (100% = 182)]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FEB'!$CL$48</c:f>
              <c:strCache>
                <c:ptCount val="1"/>
                <c:pt idx="0">
                  <c:v>AÑO MODELO DEL MOTOR DE LA UNIDAD MOTRIZ. PROPIETARIOS CON 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FEB'!$CL$50:$CL$56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FEB'!$CM$50:$CM$56</c:f>
              <c:numCache>
                <c:formatCode>0.0%</c:formatCode>
                <c:ptCount val="7"/>
                <c:pt idx="0">
                  <c:v>0.14285714285714285</c:v>
                </c:pt>
                <c:pt idx="1">
                  <c:v>1.098901098901099E-2</c:v>
                </c:pt>
                <c:pt idx="2">
                  <c:v>8.7912087912087919E-2</c:v>
                </c:pt>
                <c:pt idx="3">
                  <c:v>0.25274725274725274</c:v>
                </c:pt>
                <c:pt idx="4">
                  <c:v>0.18681318681318682</c:v>
                </c:pt>
                <c:pt idx="5">
                  <c:v>0.21978021978021978</c:v>
                </c:pt>
                <c:pt idx="6">
                  <c:v>9.8901098901098897E-2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798912"/>
        <c:axId val="151800448"/>
        <c:axId val="0"/>
      </c:bar3DChart>
      <c:catAx>
        <c:axId val="151798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800448"/>
        <c:crosses val="autoZero"/>
        <c:auto val="1"/>
        <c:lblAlgn val="ctr"/>
        <c:lblOffset val="100"/>
        <c:noMultiLvlLbl val="0"/>
      </c:catAx>
      <c:valAx>
        <c:axId val="15180044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79891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DEL MOTOR DE LA UNIDAD MOTRIZ. 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  <a:endParaRPr lang="en-US" sz="1400"/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PROPIETARIOS CON SEIS A TREINTA UNIDADES</a:t>
            </a:r>
            <a:r>
              <a:rPr lang="en-US" sz="800" baseline="0"/>
              <a:t> (100% = 124)]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FEB'!$CL$59</c:f>
              <c:strCache>
                <c:ptCount val="1"/>
                <c:pt idx="0">
                  <c:v>AÑO MODELO DEL MOTOR DE LA UNIDAD MOTRIZ. PROPIETARIOS CON 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FEB'!$CL$61:$CL$67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FEB'!$CM$61:$CM$67</c:f>
              <c:numCache>
                <c:formatCode>0.0%</c:formatCode>
                <c:ptCount val="7"/>
                <c:pt idx="0">
                  <c:v>7.2580645161290328E-2</c:v>
                </c:pt>
                <c:pt idx="1">
                  <c:v>4.8387096774193547E-2</c:v>
                </c:pt>
                <c:pt idx="2">
                  <c:v>4.8387096774193547E-2</c:v>
                </c:pt>
                <c:pt idx="3">
                  <c:v>0.15322580645161291</c:v>
                </c:pt>
                <c:pt idx="4">
                  <c:v>0.17741935483870969</c:v>
                </c:pt>
                <c:pt idx="5">
                  <c:v>0.37096774193548387</c:v>
                </c:pt>
                <c:pt idx="6">
                  <c:v>0.12903225806451613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817216"/>
        <c:axId val="151835392"/>
        <c:axId val="0"/>
      </c:bar3DChart>
      <c:catAx>
        <c:axId val="151817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835392"/>
        <c:crosses val="autoZero"/>
        <c:auto val="1"/>
        <c:lblAlgn val="ctr"/>
        <c:lblOffset val="100"/>
        <c:noMultiLvlLbl val="0"/>
      </c:catAx>
      <c:valAx>
        <c:axId val="15183539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81721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DEL MOTOR DE LA UNIDAD MOTRIZ. </a:t>
            </a:r>
          </a:p>
          <a:p>
            <a:pPr>
              <a:defRPr sz="1400"/>
            </a:pPr>
            <a:r>
              <a:rPr lang="en-US" sz="1200"/>
              <a:t>UNIDADES TIPO C2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TIPO C2 (100% = 106)]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546847723846719E-2"/>
          <c:y val="0.24758913186561296"/>
          <c:w val="0.90776040318903795"/>
          <c:h val="0.62744084551533164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'FORMULAS FEB'!$CL$70</c:f>
              <c:strCache>
                <c:ptCount val="1"/>
                <c:pt idx="0">
                  <c:v>AÑO MODELO DEL MOTOR DE LA UNIDAD MOTRIZ. UNIDADES TIPO C2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FEB'!$CL$72:$CL$78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FEB'!$CM$72:$CM$78</c:f>
              <c:numCache>
                <c:formatCode>0.0%</c:formatCode>
                <c:ptCount val="7"/>
                <c:pt idx="0">
                  <c:v>0.15094339622641509</c:v>
                </c:pt>
                <c:pt idx="1">
                  <c:v>1.8867924528301886E-2</c:v>
                </c:pt>
                <c:pt idx="2">
                  <c:v>0.10377358490566038</c:v>
                </c:pt>
                <c:pt idx="3">
                  <c:v>0.22641509433962265</c:v>
                </c:pt>
                <c:pt idx="4">
                  <c:v>0.13207547169811321</c:v>
                </c:pt>
                <c:pt idx="5">
                  <c:v>0.20754716981132076</c:v>
                </c:pt>
                <c:pt idx="6">
                  <c:v>0.16037735849056603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1942272"/>
        <c:axId val="151943808"/>
        <c:axId val="0"/>
      </c:bar3DChart>
      <c:catAx>
        <c:axId val="151942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943808"/>
        <c:crosses val="autoZero"/>
        <c:auto val="1"/>
        <c:lblAlgn val="ctr"/>
        <c:lblOffset val="100"/>
        <c:noMultiLvlLbl val="0"/>
      </c:catAx>
      <c:valAx>
        <c:axId val="15194380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94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DEL MOTOR DE LA UNIDAD MOTRIZ. </a:t>
            </a:r>
          </a:p>
          <a:p>
            <a:pPr>
              <a:defRPr sz="1400"/>
            </a:pPr>
            <a:r>
              <a:rPr lang="en-US" sz="1200"/>
              <a:t>UNIDADES TIPO C3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CONDUCTORES</a:t>
            </a:r>
          </a:p>
          <a:p>
            <a:pPr>
              <a:defRPr sz="1400"/>
            </a:pPr>
            <a:r>
              <a:rPr lang="en-US" sz="800" baseline="0"/>
              <a:t>[% SOBRE EL TOTAL DE RESPUESTAS PARA UNIDADES TIPO C3 (100% = 84)]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FEB'!$CL$82</c:f>
              <c:strCache>
                <c:ptCount val="1"/>
                <c:pt idx="0">
                  <c:v>AÑO MODELO DEL MOTOR DE LA UNIDAD MOTRIZ. UNIDADES TIPO C3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FEB'!$CL$84:$CL$90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FEB'!$CM$84:$CM$90</c:f>
              <c:numCache>
                <c:formatCode>0.0%</c:formatCode>
                <c:ptCount val="7"/>
                <c:pt idx="0">
                  <c:v>0.25</c:v>
                </c:pt>
                <c:pt idx="1">
                  <c:v>1.1904761904761904E-2</c:v>
                </c:pt>
                <c:pt idx="2">
                  <c:v>0.17857142857142858</c:v>
                </c:pt>
                <c:pt idx="3">
                  <c:v>0.29761904761904762</c:v>
                </c:pt>
                <c:pt idx="4">
                  <c:v>0.11904761904761904</c:v>
                </c:pt>
                <c:pt idx="5">
                  <c:v>9.5238095238095233E-2</c:v>
                </c:pt>
                <c:pt idx="6">
                  <c:v>4.7619047619047616E-2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1952384"/>
        <c:axId val="151970560"/>
        <c:axId val="0"/>
      </c:bar3DChart>
      <c:catAx>
        <c:axId val="15195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970560"/>
        <c:crosses val="autoZero"/>
        <c:auto val="1"/>
        <c:lblAlgn val="ctr"/>
        <c:lblOffset val="100"/>
        <c:noMultiLvlLbl val="0"/>
      </c:catAx>
      <c:valAx>
        <c:axId val="15197056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19523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KILÓMETROS RECORRIDOS POR LA UNIDAD</a:t>
            </a:r>
          </a:p>
        </c:rich>
      </c:tx>
      <c:overlay val="0"/>
    </c:title>
    <c:autoTitleDeleted val="0"/>
    <c:view3D>
      <c:rotX val="30"/>
      <c:rotY val="6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FORMULAS!$F$80</c:f>
              <c:strCache>
                <c:ptCount val="1"/>
                <c:pt idx="0">
                  <c:v>KILÓMETROS RECORRIDOS UNIDAD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900" b="1" i="0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000" b="1" i="0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000" b="1" i="0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50"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FORMULAS!$F$81:$F$89</c:f>
              <c:strCache>
                <c:ptCount val="9"/>
                <c:pt idx="0">
                  <c:v>&lt;250,000</c:v>
                </c:pt>
                <c:pt idx="1">
                  <c:v>250,001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  <c:pt idx="7">
                  <c:v>CONTADOR DAÑADO</c:v>
                </c:pt>
                <c:pt idx="8">
                  <c:v>NO SABE</c:v>
                </c:pt>
              </c:strCache>
            </c:strRef>
          </c:cat>
          <c:val>
            <c:numRef>
              <c:f>FORMULAS!$G$81:$G$89</c:f>
              <c:numCache>
                <c:formatCode>0.0%</c:formatCode>
                <c:ptCount val="9"/>
                <c:pt idx="0">
                  <c:v>8.8300220750551883E-2</c:v>
                </c:pt>
                <c:pt idx="1">
                  <c:v>0.1479028697571744</c:v>
                </c:pt>
                <c:pt idx="2">
                  <c:v>0.43487858719646799</c:v>
                </c:pt>
                <c:pt idx="3">
                  <c:v>9.4922737306843266E-2</c:v>
                </c:pt>
                <c:pt idx="4">
                  <c:v>6.6225165562913912E-2</c:v>
                </c:pt>
                <c:pt idx="5">
                  <c:v>2.6490066225165563E-2</c:v>
                </c:pt>
                <c:pt idx="6">
                  <c:v>1.3245033112582781E-2</c:v>
                </c:pt>
                <c:pt idx="7">
                  <c:v>5.7395143487858721E-2</c:v>
                </c:pt>
                <c:pt idx="8">
                  <c:v>7.0640176600441501E-2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DEL MOTOR DE LA UNIDAD MOTRIZ. </a:t>
            </a:r>
          </a:p>
          <a:p>
            <a:pPr>
              <a:defRPr sz="1400"/>
            </a:pPr>
            <a:r>
              <a:rPr lang="en-US" sz="1200"/>
              <a:t>UNIDADES TIPO T2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TIPO T2 (100% = 13)]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FEB'!$CL$94</c:f>
              <c:strCache>
                <c:ptCount val="1"/>
                <c:pt idx="0">
                  <c:v>AÑO MODELO DEL MOTOR DE LA UNIDAD MOTRIZ. UNIDADES TIPO T2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FEB'!$CL$96:$CL$102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FEB'!$CM$96:$CM$102</c:f>
              <c:numCache>
                <c:formatCode>0.0%</c:formatCode>
                <c:ptCount val="7"/>
                <c:pt idx="0">
                  <c:v>0.15384615384615385</c:v>
                </c:pt>
                <c:pt idx="1">
                  <c:v>0</c:v>
                </c:pt>
                <c:pt idx="2">
                  <c:v>7.6923076923076927E-2</c:v>
                </c:pt>
                <c:pt idx="3">
                  <c:v>0.23076923076923078</c:v>
                </c:pt>
                <c:pt idx="4">
                  <c:v>7.6923076923076927E-2</c:v>
                </c:pt>
                <c:pt idx="5">
                  <c:v>0.38461538461538464</c:v>
                </c:pt>
                <c:pt idx="6">
                  <c:v>7.6923076923076927E-2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2331392"/>
        <c:axId val="152332928"/>
        <c:axId val="0"/>
      </c:bar3DChart>
      <c:catAx>
        <c:axId val="152331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332928"/>
        <c:crosses val="autoZero"/>
        <c:auto val="1"/>
        <c:lblAlgn val="ctr"/>
        <c:lblOffset val="100"/>
        <c:noMultiLvlLbl val="0"/>
      </c:catAx>
      <c:valAx>
        <c:axId val="15233292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3313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DEL MOTOR DE LA UNIDAD MOTRIZ. </a:t>
            </a:r>
          </a:p>
          <a:p>
            <a:pPr>
              <a:defRPr sz="1400"/>
            </a:pPr>
            <a:r>
              <a:rPr lang="en-US" sz="1200"/>
              <a:t>UNIDADES TIPO T3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TIPO T3 (100% = 250)]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FEB'!$CL$106</c:f>
              <c:strCache>
                <c:ptCount val="1"/>
                <c:pt idx="0">
                  <c:v>AÑO MODELO DEL MOTOR DE LA UNIDAD MOTRIZ. UNIDADES TIPO T3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FEB'!$CL$108:$CL$114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FEB'!$CM$108:$CM$114</c:f>
              <c:numCache>
                <c:formatCode>0.0%</c:formatCode>
                <c:ptCount val="7"/>
                <c:pt idx="0">
                  <c:v>8.4000000000000005E-2</c:v>
                </c:pt>
                <c:pt idx="1">
                  <c:v>2.4E-2</c:v>
                </c:pt>
                <c:pt idx="2">
                  <c:v>4.8000000000000001E-2</c:v>
                </c:pt>
                <c:pt idx="3">
                  <c:v>0.224</c:v>
                </c:pt>
                <c:pt idx="4">
                  <c:v>0.23599999999999999</c:v>
                </c:pt>
                <c:pt idx="5">
                  <c:v>0.29599999999999999</c:v>
                </c:pt>
                <c:pt idx="6">
                  <c:v>8.7999999999999995E-2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2366080"/>
        <c:axId val="152113920"/>
        <c:axId val="0"/>
      </c:bar3DChart>
      <c:catAx>
        <c:axId val="152366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113920"/>
        <c:crosses val="autoZero"/>
        <c:auto val="1"/>
        <c:lblAlgn val="ctr"/>
        <c:lblOffset val="100"/>
        <c:noMultiLvlLbl val="0"/>
      </c:catAx>
      <c:valAx>
        <c:axId val="15211392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3660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(SOLO DIESEL) SEGÚN AÑO MODELO DEL MOTOR. </a:t>
            </a:r>
          </a:p>
          <a:p>
            <a:pPr>
              <a:defRPr sz="1400"/>
            </a:pPr>
            <a:r>
              <a:rPr lang="es-MX" sz="1200"/>
              <a:t>UNIDAD CARGADA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</a:t>
            </a:r>
            <a:r>
              <a:rPr lang="es-MX" sz="800" baseline="0"/>
              <a:t> DE RENDIMIENTO COMBUSTIBLE DIESEL UNIDAD CARGADA (100% = 427)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'FORMULAS FEB'!$CY$4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FEB'!$CX$5:$CX$12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FEB'!$CY$5:$CY$12</c:f>
              <c:numCache>
                <c:formatCode>0.0%</c:formatCode>
                <c:ptCount val="8"/>
                <c:pt idx="0">
                  <c:v>1.405152224824356E-2</c:v>
                </c:pt>
                <c:pt idx="1">
                  <c:v>3.7470725995316159E-2</c:v>
                </c:pt>
                <c:pt idx="2">
                  <c:v>1.6393442622950821E-2</c:v>
                </c:pt>
                <c:pt idx="3">
                  <c:v>9.3676814988290398E-3</c:v>
                </c:pt>
                <c:pt idx="4">
                  <c:v>2.1077283372365339E-2</c:v>
                </c:pt>
                <c:pt idx="5">
                  <c:v>1.1709601873536301E-2</c:v>
                </c:pt>
                <c:pt idx="6">
                  <c:v>1.1709601873536301E-2</c:v>
                </c:pt>
                <c:pt idx="7">
                  <c:v>2.34192037470726E-3</c:v>
                </c:pt>
              </c:numCache>
            </c:numRef>
          </c:val>
        </c:ser>
        <c:ser>
          <c:idx val="1"/>
          <c:order val="1"/>
          <c:tx>
            <c:strRef>
              <c:f>'FORMULAS FEB'!$CZ$4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FEB'!$CX$5:$CX$12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FEB'!$CZ$5:$CZ$12</c:f>
              <c:numCache>
                <c:formatCode>0.0%</c:formatCode>
                <c:ptCount val="8"/>
                <c:pt idx="0">
                  <c:v>0</c:v>
                </c:pt>
                <c:pt idx="1">
                  <c:v>7.0257611241217799E-3</c:v>
                </c:pt>
                <c:pt idx="2">
                  <c:v>2.34192037470726E-3</c:v>
                </c:pt>
                <c:pt idx="3">
                  <c:v>0</c:v>
                </c:pt>
                <c:pt idx="4">
                  <c:v>7.0257611241217799E-3</c:v>
                </c:pt>
                <c:pt idx="5">
                  <c:v>2.34192037470726E-3</c:v>
                </c:pt>
                <c:pt idx="6">
                  <c:v>2.34192037470726E-3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FEB'!$DA$4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FEB'!$CX$5:$CX$12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FEB'!$DA$5:$DA$12</c:f>
              <c:numCache>
                <c:formatCode>0.0%</c:formatCode>
                <c:ptCount val="8"/>
                <c:pt idx="0">
                  <c:v>2.34192037470726E-3</c:v>
                </c:pt>
                <c:pt idx="1">
                  <c:v>1.405152224824356E-2</c:v>
                </c:pt>
                <c:pt idx="2">
                  <c:v>7.0257611241217799E-3</c:v>
                </c:pt>
                <c:pt idx="3">
                  <c:v>4.6838407494145199E-3</c:v>
                </c:pt>
                <c:pt idx="4">
                  <c:v>1.1709601873536301E-2</c:v>
                </c:pt>
                <c:pt idx="5">
                  <c:v>3.0444964871194378E-2</c:v>
                </c:pt>
                <c:pt idx="6">
                  <c:v>9.3676814988290398E-3</c:v>
                </c:pt>
                <c:pt idx="7">
                  <c:v>2.34192037470726E-3</c:v>
                </c:pt>
              </c:numCache>
            </c:numRef>
          </c:val>
        </c:ser>
        <c:ser>
          <c:idx val="3"/>
          <c:order val="3"/>
          <c:tx>
            <c:strRef>
              <c:f>'FORMULAS FEB'!$DB$4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FEB'!$CX$5:$CX$12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FEB'!$DB$5:$DB$12</c:f>
              <c:numCache>
                <c:formatCode>0.0%</c:formatCode>
                <c:ptCount val="8"/>
                <c:pt idx="0">
                  <c:v>1.6393442622950821E-2</c:v>
                </c:pt>
                <c:pt idx="1">
                  <c:v>4.2154566744730677E-2</c:v>
                </c:pt>
                <c:pt idx="2">
                  <c:v>2.576112412177986E-2</c:v>
                </c:pt>
                <c:pt idx="3">
                  <c:v>2.1077283372365339E-2</c:v>
                </c:pt>
                <c:pt idx="4">
                  <c:v>7.4941451990632318E-2</c:v>
                </c:pt>
                <c:pt idx="5">
                  <c:v>3.7470725995316159E-2</c:v>
                </c:pt>
                <c:pt idx="6">
                  <c:v>2.1077283372365339E-2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'FORMULAS FEB'!$DC$4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FEB'!$CX$5:$CX$12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FEB'!$DC$5:$DC$12</c:f>
              <c:numCache>
                <c:formatCode>0.0%</c:formatCode>
                <c:ptCount val="8"/>
                <c:pt idx="0">
                  <c:v>9.3676814988290398E-3</c:v>
                </c:pt>
                <c:pt idx="1">
                  <c:v>1.1709601873536301E-2</c:v>
                </c:pt>
                <c:pt idx="2">
                  <c:v>4.6838407494145199E-3</c:v>
                </c:pt>
                <c:pt idx="3">
                  <c:v>1.405152224824356E-2</c:v>
                </c:pt>
                <c:pt idx="4">
                  <c:v>0.11241217798594848</c:v>
                </c:pt>
                <c:pt idx="5">
                  <c:v>1.873536299765808E-2</c:v>
                </c:pt>
                <c:pt idx="6">
                  <c:v>1.873536299765808E-2</c:v>
                </c:pt>
                <c:pt idx="7">
                  <c:v>2.34192037470726E-3</c:v>
                </c:pt>
              </c:numCache>
            </c:numRef>
          </c:val>
        </c:ser>
        <c:ser>
          <c:idx val="5"/>
          <c:order val="5"/>
          <c:tx>
            <c:strRef>
              <c:f>'FORMULAS FEB'!$DD$4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FEB'!$CX$5:$CX$12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FEB'!$DD$5:$DD$12</c:f>
              <c:numCache>
                <c:formatCode>0.0%</c:formatCode>
                <c:ptCount val="8"/>
                <c:pt idx="0">
                  <c:v>2.1077283372365339E-2</c:v>
                </c:pt>
                <c:pt idx="1">
                  <c:v>1.405152224824356E-2</c:v>
                </c:pt>
                <c:pt idx="2">
                  <c:v>1.6393442622950821E-2</c:v>
                </c:pt>
                <c:pt idx="3">
                  <c:v>2.1077283372365339E-2</c:v>
                </c:pt>
                <c:pt idx="4">
                  <c:v>0.12646370023419204</c:v>
                </c:pt>
                <c:pt idx="5">
                  <c:v>3.0444964871194378E-2</c:v>
                </c:pt>
                <c:pt idx="6">
                  <c:v>1.405152224824356E-2</c:v>
                </c:pt>
                <c:pt idx="7">
                  <c:v>2.34192037470726E-3</c:v>
                </c:pt>
              </c:numCache>
            </c:numRef>
          </c:val>
        </c:ser>
        <c:ser>
          <c:idx val="6"/>
          <c:order val="6"/>
          <c:tx>
            <c:strRef>
              <c:f>'FORMULAS FEB'!$DE$4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FEB'!$CX$5:$CX$12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FEB'!$DE$5:$DE$12</c:f>
              <c:numCache>
                <c:formatCode>0.0%</c:formatCode>
                <c:ptCount val="8"/>
                <c:pt idx="0">
                  <c:v>1.1709601873536301E-2</c:v>
                </c:pt>
                <c:pt idx="1">
                  <c:v>7.0257611241217799E-3</c:v>
                </c:pt>
                <c:pt idx="2">
                  <c:v>2.1077283372365339E-2</c:v>
                </c:pt>
                <c:pt idx="3">
                  <c:v>2.34192037470726E-3</c:v>
                </c:pt>
                <c:pt idx="4">
                  <c:v>2.3419203747072601E-2</c:v>
                </c:pt>
                <c:pt idx="5">
                  <c:v>2.576112412177986E-2</c:v>
                </c:pt>
                <c:pt idx="6">
                  <c:v>2.34192037470726E-3</c:v>
                </c:pt>
                <c:pt idx="7">
                  <c:v>2.34192037470726E-3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256896"/>
        <c:axId val="152258432"/>
        <c:axId val="0"/>
      </c:bar3DChart>
      <c:catAx>
        <c:axId val="15225689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258432"/>
        <c:crosses val="autoZero"/>
        <c:auto val="1"/>
        <c:lblAlgn val="ctr"/>
        <c:lblOffset val="100"/>
        <c:noMultiLvlLbl val="0"/>
      </c:catAx>
      <c:valAx>
        <c:axId val="152258432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256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(SOLO DIESEL) SEGÚN AÑO MODELO DEL MOTOR. </a:t>
            </a:r>
          </a:p>
          <a:p>
            <a:pPr>
              <a:defRPr sz="1400"/>
            </a:pPr>
            <a:r>
              <a:rPr lang="es-MX" sz="1200"/>
              <a:t>UNIDAD DE VACÍO</a:t>
            </a:r>
          </a:p>
          <a:p>
            <a:pPr>
              <a:defRPr sz="1400"/>
            </a:pPr>
            <a:r>
              <a:rPr lang="es-MX" sz="1000"/>
              <a:t>ENCUESTA A CONDUCTORES</a:t>
            </a:r>
          </a:p>
          <a:p>
            <a:pPr>
              <a:defRPr sz="1400"/>
            </a:pPr>
            <a:r>
              <a:rPr lang="es-MX" sz="800"/>
              <a:t>[% SOBRE EL TOTAL DE RESPUESTAS DE RENDIMIENTO COMBUSTIBLE DIESEL UNIDAD DE</a:t>
            </a:r>
            <a:r>
              <a:rPr lang="es-MX" sz="800" baseline="0"/>
              <a:t> VACÍO (100% = 427)]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'FORMULAS FEB'!$CY$18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FEB'!$CX$19:$CX$26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FEB'!$CY$19:$CY$26</c:f>
              <c:numCache>
                <c:formatCode>0.0%</c:formatCode>
                <c:ptCount val="8"/>
                <c:pt idx="0">
                  <c:v>0</c:v>
                </c:pt>
                <c:pt idx="1">
                  <c:v>1.6393442622950821E-2</c:v>
                </c:pt>
                <c:pt idx="2">
                  <c:v>1.1709601873536301E-2</c:v>
                </c:pt>
                <c:pt idx="3">
                  <c:v>1.873536299765808E-2</c:v>
                </c:pt>
                <c:pt idx="4">
                  <c:v>2.576112412177986E-2</c:v>
                </c:pt>
                <c:pt idx="5">
                  <c:v>2.576112412177986E-2</c:v>
                </c:pt>
                <c:pt idx="6">
                  <c:v>2.1077283372365339E-2</c:v>
                </c:pt>
                <c:pt idx="7">
                  <c:v>4.6838407494145199E-3</c:v>
                </c:pt>
              </c:numCache>
            </c:numRef>
          </c:val>
        </c:ser>
        <c:ser>
          <c:idx val="1"/>
          <c:order val="1"/>
          <c:tx>
            <c:strRef>
              <c:f>'FORMULAS FEB'!$CZ$18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FEB'!$CX$19:$CX$26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FEB'!$CZ$19:$CZ$26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2.34192037470726E-3</c:v>
                </c:pt>
                <c:pt idx="3">
                  <c:v>4.6838407494145199E-3</c:v>
                </c:pt>
                <c:pt idx="4">
                  <c:v>4.6838407494145199E-3</c:v>
                </c:pt>
                <c:pt idx="5">
                  <c:v>7.0257611241217799E-3</c:v>
                </c:pt>
                <c:pt idx="6">
                  <c:v>2.34192037470726E-3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FEB'!$DA$18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FEB'!$CX$19:$CX$26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FEB'!$DA$19:$DA$26</c:f>
              <c:numCache>
                <c:formatCode>0.0%</c:formatCode>
                <c:ptCount val="8"/>
                <c:pt idx="0">
                  <c:v>0</c:v>
                </c:pt>
                <c:pt idx="1">
                  <c:v>2.34192037470726E-3</c:v>
                </c:pt>
                <c:pt idx="2">
                  <c:v>4.6838407494145199E-3</c:v>
                </c:pt>
                <c:pt idx="3">
                  <c:v>1.1709601873536301E-2</c:v>
                </c:pt>
                <c:pt idx="4">
                  <c:v>9.3676814988290398E-3</c:v>
                </c:pt>
                <c:pt idx="5">
                  <c:v>2.3419203747072601E-2</c:v>
                </c:pt>
                <c:pt idx="6">
                  <c:v>2.8103044496487119E-2</c:v>
                </c:pt>
                <c:pt idx="7">
                  <c:v>2.34192037470726E-3</c:v>
                </c:pt>
              </c:numCache>
            </c:numRef>
          </c:val>
        </c:ser>
        <c:ser>
          <c:idx val="3"/>
          <c:order val="3"/>
          <c:tx>
            <c:strRef>
              <c:f>'FORMULAS FEB'!$DB$18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FEB'!$CX$19:$CX$26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FEB'!$DB$19:$DB$26</c:f>
              <c:numCache>
                <c:formatCode>0.0%</c:formatCode>
                <c:ptCount val="8"/>
                <c:pt idx="0">
                  <c:v>2.34192037470726E-3</c:v>
                </c:pt>
                <c:pt idx="1">
                  <c:v>1.1709601873536301E-2</c:v>
                </c:pt>
                <c:pt idx="2">
                  <c:v>1.405152224824356E-2</c:v>
                </c:pt>
                <c:pt idx="3">
                  <c:v>1.6393442622950821E-2</c:v>
                </c:pt>
                <c:pt idx="4">
                  <c:v>2.8103044496487119E-2</c:v>
                </c:pt>
                <c:pt idx="5">
                  <c:v>0.11943793911007025</c:v>
                </c:pt>
                <c:pt idx="6">
                  <c:v>4.449648711943794E-2</c:v>
                </c:pt>
                <c:pt idx="7">
                  <c:v>2.34192037470726E-3</c:v>
                </c:pt>
              </c:numCache>
            </c:numRef>
          </c:val>
        </c:ser>
        <c:ser>
          <c:idx val="4"/>
          <c:order val="4"/>
          <c:tx>
            <c:strRef>
              <c:f>'FORMULAS FEB'!$DC$18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FEB'!$CX$19:$CX$26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FEB'!$DC$19:$DC$26</c:f>
              <c:numCache>
                <c:formatCode>0.0%</c:formatCode>
                <c:ptCount val="8"/>
                <c:pt idx="0">
                  <c:v>0</c:v>
                </c:pt>
                <c:pt idx="1">
                  <c:v>1.1709601873536301E-2</c:v>
                </c:pt>
                <c:pt idx="2">
                  <c:v>2.34192037470726E-3</c:v>
                </c:pt>
                <c:pt idx="3">
                  <c:v>4.6838407494145199E-3</c:v>
                </c:pt>
                <c:pt idx="4">
                  <c:v>1.1709601873536301E-2</c:v>
                </c:pt>
                <c:pt idx="5">
                  <c:v>0.12646370023419204</c:v>
                </c:pt>
                <c:pt idx="6">
                  <c:v>2.8103044496487119E-2</c:v>
                </c:pt>
                <c:pt idx="7">
                  <c:v>7.0257611241217799E-3</c:v>
                </c:pt>
              </c:numCache>
            </c:numRef>
          </c:val>
        </c:ser>
        <c:ser>
          <c:idx val="5"/>
          <c:order val="5"/>
          <c:tx>
            <c:strRef>
              <c:f>'FORMULAS FEB'!$DD$18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FEB'!$CX$19:$CX$26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FEB'!$DD$19:$DD$26</c:f>
              <c:numCache>
                <c:formatCode>0.0%</c:formatCode>
                <c:ptCount val="8"/>
                <c:pt idx="0">
                  <c:v>0</c:v>
                </c:pt>
                <c:pt idx="1">
                  <c:v>1.873536299765808E-2</c:v>
                </c:pt>
                <c:pt idx="2">
                  <c:v>7.0257611241217799E-3</c:v>
                </c:pt>
                <c:pt idx="3">
                  <c:v>1.405152224824356E-2</c:v>
                </c:pt>
                <c:pt idx="4">
                  <c:v>1.405152224824356E-2</c:v>
                </c:pt>
                <c:pt idx="5">
                  <c:v>0.15456674473067916</c:v>
                </c:pt>
                <c:pt idx="6">
                  <c:v>3.0444964871194378E-2</c:v>
                </c:pt>
                <c:pt idx="7">
                  <c:v>7.0257611241217799E-3</c:v>
                </c:pt>
              </c:numCache>
            </c:numRef>
          </c:val>
        </c:ser>
        <c:ser>
          <c:idx val="6"/>
          <c:order val="6"/>
          <c:tx>
            <c:strRef>
              <c:f>'FORMULAS FEB'!$DE$18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FEB'!$CX$19:$CX$26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FEB'!$DE$19:$DE$26</c:f>
              <c:numCache>
                <c:formatCode>0.0%</c:formatCode>
                <c:ptCount val="8"/>
                <c:pt idx="0">
                  <c:v>2.34192037470726E-3</c:v>
                </c:pt>
                <c:pt idx="1">
                  <c:v>4.6838407494145199E-3</c:v>
                </c:pt>
                <c:pt idx="2">
                  <c:v>2.34192037470726E-3</c:v>
                </c:pt>
                <c:pt idx="3">
                  <c:v>9.3676814988290398E-3</c:v>
                </c:pt>
                <c:pt idx="4">
                  <c:v>1.6393442622950821E-2</c:v>
                </c:pt>
                <c:pt idx="5">
                  <c:v>4.449648711943794E-2</c:v>
                </c:pt>
                <c:pt idx="6">
                  <c:v>1.405152224824356E-2</c:v>
                </c:pt>
                <c:pt idx="7">
                  <c:v>2.34192037470726E-3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2738048"/>
        <c:axId val="152748032"/>
        <c:axId val="0"/>
      </c:bar3DChart>
      <c:catAx>
        <c:axId val="15273804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748032"/>
        <c:crosses val="autoZero"/>
        <c:auto val="1"/>
        <c:lblAlgn val="ctr"/>
        <c:lblOffset val="100"/>
        <c:noMultiLvlLbl val="0"/>
      </c:catAx>
      <c:valAx>
        <c:axId val="152748032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738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 CARGADA. </a:t>
            </a:r>
          </a:p>
          <a:p>
            <a:pPr>
              <a:defRPr sz="1400"/>
            </a:pPr>
            <a:r>
              <a:rPr lang="en-US" sz="1200"/>
              <a:t>UNIDADES CON MOTORES ANTERIORES A 1991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CON MOTORES ANTERIORES</a:t>
            </a:r>
            <a:r>
              <a:rPr lang="en-US" sz="800" baseline="0"/>
              <a:t> A 1991 (100% = 53)]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FEB'!$CX$31</c:f>
              <c:strCache>
                <c:ptCount val="1"/>
                <c:pt idx="0">
                  <c:v>RENDIMIENTO DE COMBUSTIBLE (SOLO DIESEL) UNIDAD CARGADA. UNIDADES CON MOTORES ANTERIORES A 1991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FEB'!$CX$33:$CX$40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FEB'!$CY$33:$CY$40</c:f>
              <c:numCache>
                <c:formatCode>0.0%</c:formatCode>
                <c:ptCount val="8"/>
                <c:pt idx="0">
                  <c:v>0.11320754716981132</c:v>
                </c:pt>
                <c:pt idx="1">
                  <c:v>0.30188679245283018</c:v>
                </c:pt>
                <c:pt idx="2">
                  <c:v>0.13207547169811321</c:v>
                </c:pt>
                <c:pt idx="3">
                  <c:v>7.5471698113207544E-2</c:v>
                </c:pt>
                <c:pt idx="4">
                  <c:v>0.16981132075471697</c:v>
                </c:pt>
                <c:pt idx="5">
                  <c:v>9.4339622641509441E-2</c:v>
                </c:pt>
                <c:pt idx="6">
                  <c:v>9.4339622641509441E-2</c:v>
                </c:pt>
                <c:pt idx="7">
                  <c:v>1.8867924528301886E-2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781952"/>
        <c:axId val="152783488"/>
        <c:axId val="0"/>
      </c:bar3DChart>
      <c:catAx>
        <c:axId val="152781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783488"/>
        <c:crosses val="autoZero"/>
        <c:auto val="1"/>
        <c:lblAlgn val="ctr"/>
        <c:lblOffset val="100"/>
        <c:noMultiLvlLbl val="0"/>
      </c:catAx>
      <c:valAx>
        <c:axId val="15278348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78195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 CARGADA. </a:t>
            </a:r>
          </a:p>
          <a:p>
            <a:pPr>
              <a:defRPr sz="1400"/>
            </a:pPr>
            <a:r>
              <a:rPr lang="en-US" sz="1200"/>
              <a:t>UNIDADES CON MOTORES ENTRE 1991 Y 1993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 UNIDADES CON MOTORES ENTRE 1991 Y 1993 (100% = 9)]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FEB'!$CX$44</c:f>
              <c:strCache>
                <c:ptCount val="1"/>
                <c:pt idx="0">
                  <c:v>RENDIMIENTO DE COMBUSTIBLE (SOLO DIESEL) UNIDAD CARGADA. UNIDADES CON MOTORES ENTRE 1991 Y 1993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FEB'!$CX$46:$CX$53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FEB'!$CY$46:$CY$53</c:f>
              <c:numCache>
                <c:formatCode>0.0%</c:formatCode>
                <c:ptCount val="8"/>
                <c:pt idx="0">
                  <c:v>0</c:v>
                </c:pt>
                <c:pt idx="1">
                  <c:v>0.33333333333333331</c:v>
                </c:pt>
                <c:pt idx="2">
                  <c:v>0.1111111111111111</c:v>
                </c:pt>
                <c:pt idx="3">
                  <c:v>0</c:v>
                </c:pt>
                <c:pt idx="4">
                  <c:v>0.33333333333333331</c:v>
                </c:pt>
                <c:pt idx="5">
                  <c:v>0.1111111111111111</c:v>
                </c:pt>
                <c:pt idx="6">
                  <c:v>0.1111111111111111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808832"/>
        <c:axId val="152818816"/>
        <c:axId val="0"/>
      </c:bar3DChart>
      <c:catAx>
        <c:axId val="152808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818816"/>
        <c:crosses val="autoZero"/>
        <c:auto val="1"/>
        <c:lblAlgn val="ctr"/>
        <c:lblOffset val="100"/>
        <c:noMultiLvlLbl val="0"/>
      </c:catAx>
      <c:valAx>
        <c:axId val="15281881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8088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 CARGADA. </a:t>
            </a:r>
          </a:p>
          <a:p>
            <a:pPr>
              <a:defRPr sz="1400"/>
            </a:pPr>
            <a:r>
              <a:rPr lang="en-US" sz="1200"/>
              <a:t>UNIDADES CON MOTORES ENTRE 1994 Y 1997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 UNIDADES CON MOTORES ENTRE 1994 Y 1997 (100% = 35)]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FEB'!$CX$58</c:f>
              <c:strCache>
                <c:ptCount val="1"/>
                <c:pt idx="0">
                  <c:v>RENDIMIENTO DE COMBUSTIBLE (SOLO DIESEL) UNIDAD CARGADA. UNIDADES CON MOTORES ENTRE 1994 Y 1997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FEB'!$CX$60:$CX$67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FEB'!$CY$60:$CY$67</c:f>
              <c:numCache>
                <c:formatCode>0.0%</c:formatCode>
                <c:ptCount val="8"/>
                <c:pt idx="0">
                  <c:v>2.8571428571428571E-2</c:v>
                </c:pt>
                <c:pt idx="1">
                  <c:v>0.17142857142857143</c:v>
                </c:pt>
                <c:pt idx="2">
                  <c:v>8.5714285714285715E-2</c:v>
                </c:pt>
                <c:pt idx="3">
                  <c:v>5.7142857142857141E-2</c:v>
                </c:pt>
                <c:pt idx="4">
                  <c:v>0.14285714285714285</c:v>
                </c:pt>
                <c:pt idx="5">
                  <c:v>0.37142857142857144</c:v>
                </c:pt>
                <c:pt idx="6">
                  <c:v>0.11428571428571428</c:v>
                </c:pt>
                <c:pt idx="7">
                  <c:v>2.8571428571428571E-2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844160"/>
        <c:axId val="152845696"/>
        <c:axId val="0"/>
      </c:bar3DChart>
      <c:catAx>
        <c:axId val="152844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845696"/>
        <c:crosses val="autoZero"/>
        <c:auto val="1"/>
        <c:lblAlgn val="ctr"/>
        <c:lblOffset val="100"/>
        <c:noMultiLvlLbl val="0"/>
      </c:catAx>
      <c:valAx>
        <c:axId val="15284569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8441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400"/>
              <a:t>RENDIMIENTO DE COMBUSTIBLE (SOLO DIESEL) </a:t>
            </a:r>
          </a:p>
          <a:p>
            <a:pPr>
              <a:defRPr sz="1600"/>
            </a:pPr>
            <a:r>
              <a:rPr lang="en-US" sz="1400"/>
              <a:t>UNIDAD CARGADA. </a:t>
            </a:r>
          </a:p>
          <a:p>
            <a:pPr>
              <a:defRPr sz="1600"/>
            </a:pPr>
            <a:r>
              <a:rPr lang="en-US" sz="1200"/>
              <a:t>UNIDADES CON MOTORES ENTRE 1998 Y 2003</a:t>
            </a:r>
          </a:p>
          <a:p>
            <a:pPr>
              <a:defRPr sz="1600"/>
            </a:pPr>
            <a:r>
              <a:rPr lang="en-US" sz="1000" b="1" i="0" baseline="0">
                <a:effectLst/>
              </a:rPr>
              <a:t>ENCUESTA A CONDUCTORES</a:t>
            </a:r>
            <a:endParaRPr lang="es-MX" sz="1000">
              <a:effectLst/>
            </a:endParaRPr>
          </a:p>
          <a:p>
            <a:pPr>
              <a:defRPr sz="1600"/>
            </a:pPr>
            <a:r>
              <a:rPr lang="en-US" sz="800" b="1" i="0" baseline="0">
                <a:effectLst/>
              </a:rPr>
              <a:t>[% SOBRE EL TOTAL DE RESPUESTAS PARA  UNIDADES CON MOTORES ENTRE 1998 Y 2003 (100% = 102)]</a:t>
            </a:r>
            <a:endParaRPr lang="es-MX" sz="8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FEB'!$CX$72</c:f>
              <c:strCache>
                <c:ptCount val="1"/>
                <c:pt idx="0">
                  <c:v>RENDIMIENTO DE COMBUSTIBLE (SOLO DIESEL) UNIDAD CARGADA. UNIDADES CON MOTORES ENTRE 1998 Y 2003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FEB'!$CX$74:$CX$81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FEB'!$CY$74:$CY$81</c:f>
              <c:numCache>
                <c:formatCode>0.0%</c:formatCode>
                <c:ptCount val="8"/>
                <c:pt idx="0">
                  <c:v>6.8627450980392163E-2</c:v>
                </c:pt>
                <c:pt idx="1">
                  <c:v>0.17647058823529413</c:v>
                </c:pt>
                <c:pt idx="2">
                  <c:v>0.10784313725490197</c:v>
                </c:pt>
                <c:pt idx="3">
                  <c:v>8.8235294117647065E-2</c:v>
                </c:pt>
                <c:pt idx="4">
                  <c:v>0.31372549019607843</c:v>
                </c:pt>
                <c:pt idx="5">
                  <c:v>0.15686274509803921</c:v>
                </c:pt>
                <c:pt idx="6">
                  <c:v>8.8235294117647065E-2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506752"/>
        <c:axId val="152508288"/>
        <c:axId val="0"/>
      </c:bar3DChart>
      <c:catAx>
        <c:axId val="152506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508288"/>
        <c:crosses val="autoZero"/>
        <c:auto val="1"/>
        <c:lblAlgn val="ctr"/>
        <c:lblOffset val="100"/>
        <c:noMultiLvlLbl val="0"/>
      </c:catAx>
      <c:valAx>
        <c:axId val="15250828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50675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 </a:t>
            </a:r>
          </a:p>
          <a:p>
            <a:pPr>
              <a:defRPr sz="1400"/>
            </a:pPr>
            <a:r>
              <a:rPr lang="en-US" sz="1400"/>
              <a:t>UNIDAD CARGADA. </a:t>
            </a:r>
          </a:p>
          <a:p>
            <a:pPr>
              <a:defRPr sz="1400"/>
            </a:pPr>
            <a:r>
              <a:rPr lang="en-US" sz="1200"/>
              <a:t>UNIDADES CON MOTORES ENTRE 2004 y 2006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UNIDADES CON MOTORES ENTRE 2004 Y 2006 (100% = 82)]</a:t>
            </a:r>
          </a:p>
        </c:rich>
      </c:tx>
      <c:layout>
        <c:manualLayout>
          <c:xMode val="edge"/>
          <c:yMode val="edge"/>
          <c:x val="0.12630636914356488"/>
          <c:y val="2.6672729287024355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FEB'!$CX$86</c:f>
              <c:strCache>
                <c:ptCount val="1"/>
                <c:pt idx="0">
                  <c:v>RENDIMIENTO DE COMBUSTIBLE (SOLO DIESEL) UNIDAD CARGADA. UNIDADES CON MOTORES ENTRE 2004 y 2006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FEB'!$CX$88:$CX$95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FEB'!$CY$88:$CY$95</c:f>
              <c:numCache>
                <c:formatCode>0.0%</c:formatCode>
                <c:ptCount val="8"/>
                <c:pt idx="0">
                  <c:v>4.878048780487805E-2</c:v>
                </c:pt>
                <c:pt idx="1">
                  <c:v>6.097560975609756E-2</c:v>
                </c:pt>
                <c:pt idx="2">
                  <c:v>2.4390243902439025E-2</c:v>
                </c:pt>
                <c:pt idx="3">
                  <c:v>7.3170731707317069E-2</c:v>
                </c:pt>
                <c:pt idx="4">
                  <c:v>0.58536585365853655</c:v>
                </c:pt>
                <c:pt idx="5">
                  <c:v>9.7560975609756101E-2</c:v>
                </c:pt>
                <c:pt idx="6">
                  <c:v>9.7560975609756101E-2</c:v>
                </c:pt>
                <c:pt idx="7">
                  <c:v>1.2195121951219513E-2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529536"/>
        <c:axId val="152531328"/>
        <c:axId val="0"/>
      </c:bar3DChart>
      <c:catAx>
        <c:axId val="152529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531328"/>
        <c:crosses val="autoZero"/>
        <c:auto val="1"/>
        <c:lblAlgn val="ctr"/>
        <c:lblOffset val="100"/>
        <c:noMultiLvlLbl val="0"/>
      </c:catAx>
      <c:valAx>
        <c:axId val="15253132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5295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 </a:t>
            </a:r>
          </a:p>
          <a:p>
            <a:pPr>
              <a:defRPr sz="1400"/>
            </a:pPr>
            <a:r>
              <a:rPr lang="en-US" sz="1400"/>
              <a:t>UNIDAD CARGADA. </a:t>
            </a:r>
          </a:p>
          <a:p>
            <a:pPr>
              <a:defRPr sz="1400"/>
            </a:pPr>
            <a:r>
              <a:rPr lang="en-US" sz="1200"/>
              <a:t>UNIDADES CON MOTORES ENTRE 2007 Y 2010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[%SOBRE EL TOTAL DE RESPUESTAS PARA UNIDADES CON MOTORES ENTRE 2007 Y 2010 (100% =  105)]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FEB'!$CX$99</c:f>
              <c:strCache>
                <c:ptCount val="1"/>
                <c:pt idx="0">
                  <c:v>RENDIMIENTO DE COMBUSTIBLE (SOLO DIESEL) UNIDAD CARGADA. UNIDADES CON MOTORES ENTRE 2007 Y 2010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FEB'!$CX$101:$CX$108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FEB'!$CY$101:$CY$108</c:f>
              <c:numCache>
                <c:formatCode>0.0%</c:formatCode>
                <c:ptCount val="8"/>
                <c:pt idx="0">
                  <c:v>8.5714285714285715E-2</c:v>
                </c:pt>
                <c:pt idx="1">
                  <c:v>5.7142857142857141E-2</c:v>
                </c:pt>
                <c:pt idx="2">
                  <c:v>6.6666666666666666E-2</c:v>
                </c:pt>
                <c:pt idx="3">
                  <c:v>8.5714285714285715E-2</c:v>
                </c:pt>
                <c:pt idx="4">
                  <c:v>0.51428571428571423</c:v>
                </c:pt>
                <c:pt idx="5">
                  <c:v>0.12380952380952381</c:v>
                </c:pt>
                <c:pt idx="6">
                  <c:v>5.7142857142857141E-2</c:v>
                </c:pt>
                <c:pt idx="7">
                  <c:v>9.5238095238095247E-3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2646784"/>
        <c:axId val="152648320"/>
        <c:axId val="0"/>
      </c:bar3DChart>
      <c:catAx>
        <c:axId val="152646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648320"/>
        <c:crosses val="autoZero"/>
        <c:auto val="1"/>
        <c:lblAlgn val="ctr"/>
        <c:lblOffset val="100"/>
        <c:noMultiLvlLbl val="0"/>
      </c:catAx>
      <c:valAx>
        <c:axId val="15264832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526467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48.xml"/><Relationship Id="rId117" Type="http://schemas.openxmlformats.org/officeDocument/2006/relationships/chart" Target="../charts/chart139.xml"/><Relationship Id="rId21" Type="http://schemas.openxmlformats.org/officeDocument/2006/relationships/chart" Target="../charts/chart43.xml"/><Relationship Id="rId42" Type="http://schemas.openxmlformats.org/officeDocument/2006/relationships/chart" Target="../charts/chart64.xml"/><Relationship Id="rId47" Type="http://schemas.openxmlformats.org/officeDocument/2006/relationships/chart" Target="../charts/chart69.xml"/><Relationship Id="rId63" Type="http://schemas.openxmlformats.org/officeDocument/2006/relationships/chart" Target="../charts/chart85.xml"/><Relationship Id="rId68" Type="http://schemas.openxmlformats.org/officeDocument/2006/relationships/chart" Target="../charts/chart90.xml"/><Relationship Id="rId84" Type="http://schemas.openxmlformats.org/officeDocument/2006/relationships/chart" Target="../charts/chart106.xml"/><Relationship Id="rId89" Type="http://schemas.openxmlformats.org/officeDocument/2006/relationships/chart" Target="../charts/chart111.xml"/><Relationship Id="rId112" Type="http://schemas.openxmlformats.org/officeDocument/2006/relationships/chart" Target="../charts/chart134.xml"/><Relationship Id="rId133" Type="http://schemas.openxmlformats.org/officeDocument/2006/relationships/chart" Target="../charts/chart155.xml"/><Relationship Id="rId138" Type="http://schemas.openxmlformats.org/officeDocument/2006/relationships/chart" Target="../charts/chart160.xml"/><Relationship Id="rId16" Type="http://schemas.openxmlformats.org/officeDocument/2006/relationships/chart" Target="../charts/chart38.xml"/><Relationship Id="rId107" Type="http://schemas.openxmlformats.org/officeDocument/2006/relationships/chart" Target="../charts/chart129.xml"/><Relationship Id="rId11" Type="http://schemas.openxmlformats.org/officeDocument/2006/relationships/chart" Target="../charts/chart33.xml"/><Relationship Id="rId32" Type="http://schemas.openxmlformats.org/officeDocument/2006/relationships/chart" Target="../charts/chart54.xml"/><Relationship Id="rId37" Type="http://schemas.openxmlformats.org/officeDocument/2006/relationships/chart" Target="../charts/chart59.xml"/><Relationship Id="rId53" Type="http://schemas.openxmlformats.org/officeDocument/2006/relationships/chart" Target="../charts/chart75.xml"/><Relationship Id="rId58" Type="http://schemas.openxmlformats.org/officeDocument/2006/relationships/chart" Target="../charts/chart80.xml"/><Relationship Id="rId74" Type="http://schemas.openxmlformats.org/officeDocument/2006/relationships/chart" Target="../charts/chart96.xml"/><Relationship Id="rId79" Type="http://schemas.openxmlformats.org/officeDocument/2006/relationships/chart" Target="../charts/chart101.xml"/><Relationship Id="rId102" Type="http://schemas.openxmlformats.org/officeDocument/2006/relationships/chart" Target="../charts/chart124.xml"/><Relationship Id="rId123" Type="http://schemas.openxmlformats.org/officeDocument/2006/relationships/chart" Target="../charts/chart145.xml"/><Relationship Id="rId128" Type="http://schemas.openxmlformats.org/officeDocument/2006/relationships/chart" Target="../charts/chart150.xml"/><Relationship Id="rId144" Type="http://schemas.openxmlformats.org/officeDocument/2006/relationships/chart" Target="../charts/chart166.xml"/><Relationship Id="rId5" Type="http://schemas.openxmlformats.org/officeDocument/2006/relationships/chart" Target="../charts/chart27.xml"/><Relationship Id="rId90" Type="http://schemas.openxmlformats.org/officeDocument/2006/relationships/chart" Target="../charts/chart112.xml"/><Relationship Id="rId95" Type="http://schemas.openxmlformats.org/officeDocument/2006/relationships/chart" Target="../charts/chart117.xml"/><Relationship Id="rId22" Type="http://schemas.openxmlformats.org/officeDocument/2006/relationships/chart" Target="../charts/chart44.xml"/><Relationship Id="rId27" Type="http://schemas.openxmlformats.org/officeDocument/2006/relationships/chart" Target="../charts/chart49.xml"/><Relationship Id="rId43" Type="http://schemas.openxmlformats.org/officeDocument/2006/relationships/chart" Target="../charts/chart65.xml"/><Relationship Id="rId48" Type="http://schemas.openxmlformats.org/officeDocument/2006/relationships/chart" Target="../charts/chart70.xml"/><Relationship Id="rId64" Type="http://schemas.openxmlformats.org/officeDocument/2006/relationships/chart" Target="../charts/chart86.xml"/><Relationship Id="rId69" Type="http://schemas.openxmlformats.org/officeDocument/2006/relationships/chart" Target="../charts/chart91.xml"/><Relationship Id="rId113" Type="http://schemas.openxmlformats.org/officeDocument/2006/relationships/chart" Target="../charts/chart135.xml"/><Relationship Id="rId118" Type="http://schemas.openxmlformats.org/officeDocument/2006/relationships/chart" Target="../charts/chart140.xml"/><Relationship Id="rId134" Type="http://schemas.openxmlformats.org/officeDocument/2006/relationships/chart" Target="../charts/chart156.xml"/><Relationship Id="rId139" Type="http://schemas.openxmlformats.org/officeDocument/2006/relationships/chart" Target="../charts/chart161.xml"/><Relationship Id="rId80" Type="http://schemas.openxmlformats.org/officeDocument/2006/relationships/chart" Target="../charts/chart102.xml"/><Relationship Id="rId85" Type="http://schemas.openxmlformats.org/officeDocument/2006/relationships/chart" Target="../charts/chart107.xml"/><Relationship Id="rId3" Type="http://schemas.openxmlformats.org/officeDocument/2006/relationships/chart" Target="../charts/chart25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7.xml"/><Relationship Id="rId33" Type="http://schemas.openxmlformats.org/officeDocument/2006/relationships/chart" Target="../charts/chart55.xml"/><Relationship Id="rId38" Type="http://schemas.openxmlformats.org/officeDocument/2006/relationships/chart" Target="../charts/chart60.xml"/><Relationship Id="rId46" Type="http://schemas.openxmlformats.org/officeDocument/2006/relationships/chart" Target="../charts/chart68.xml"/><Relationship Id="rId59" Type="http://schemas.openxmlformats.org/officeDocument/2006/relationships/chart" Target="../charts/chart81.xml"/><Relationship Id="rId67" Type="http://schemas.openxmlformats.org/officeDocument/2006/relationships/chart" Target="../charts/chart89.xml"/><Relationship Id="rId103" Type="http://schemas.openxmlformats.org/officeDocument/2006/relationships/chart" Target="../charts/chart125.xml"/><Relationship Id="rId108" Type="http://schemas.openxmlformats.org/officeDocument/2006/relationships/chart" Target="../charts/chart130.xml"/><Relationship Id="rId116" Type="http://schemas.openxmlformats.org/officeDocument/2006/relationships/chart" Target="../charts/chart138.xml"/><Relationship Id="rId124" Type="http://schemas.openxmlformats.org/officeDocument/2006/relationships/chart" Target="../charts/chart146.xml"/><Relationship Id="rId129" Type="http://schemas.openxmlformats.org/officeDocument/2006/relationships/chart" Target="../charts/chart151.xml"/><Relationship Id="rId137" Type="http://schemas.openxmlformats.org/officeDocument/2006/relationships/chart" Target="../charts/chart159.xml"/><Relationship Id="rId20" Type="http://schemas.openxmlformats.org/officeDocument/2006/relationships/chart" Target="../charts/chart42.xml"/><Relationship Id="rId41" Type="http://schemas.openxmlformats.org/officeDocument/2006/relationships/chart" Target="../charts/chart63.xml"/><Relationship Id="rId54" Type="http://schemas.openxmlformats.org/officeDocument/2006/relationships/chart" Target="../charts/chart76.xml"/><Relationship Id="rId62" Type="http://schemas.openxmlformats.org/officeDocument/2006/relationships/chart" Target="../charts/chart84.xml"/><Relationship Id="rId70" Type="http://schemas.openxmlformats.org/officeDocument/2006/relationships/chart" Target="../charts/chart92.xml"/><Relationship Id="rId75" Type="http://schemas.openxmlformats.org/officeDocument/2006/relationships/chart" Target="../charts/chart97.xml"/><Relationship Id="rId83" Type="http://schemas.openxmlformats.org/officeDocument/2006/relationships/chart" Target="../charts/chart105.xml"/><Relationship Id="rId88" Type="http://schemas.openxmlformats.org/officeDocument/2006/relationships/chart" Target="../charts/chart110.xml"/><Relationship Id="rId91" Type="http://schemas.openxmlformats.org/officeDocument/2006/relationships/chart" Target="../charts/chart113.xml"/><Relationship Id="rId96" Type="http://schemas.openxmlformats.org/officeDocument/2006/relationships/chart" Target="../charts/chart118.xml"/><Relationship Id="rId111" Type="http://schemas.openxmlformats.org/officeDocument/2006/relationships/chart" Target="../charts/chart133.xml"/><Relationship Id="rId132" Type="http://schemas.openxmlformats.org/officeDocument/2006/relationships/chart" Target="../charts/chart154.xml"/><Relationship Id="rId140" Type="http://schemas.openxmlformats.org/officeDocument/2006/relationships/chart" Target="../charts/chart162.xml"/><Relationship Id="rId145" Type="http://schemas.openxmlformats.org/officeDocument/2006/relationships/chart" Target="../charts/chart167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5" Type="http://schemas.openxmlformats.org/officeDocument/2006/relationships/chart" Target="../charts/chart37.xml"/><Relationship Id="rId23" Type="http://schemas.openxmlformats.org/officeDocument/2006/relationships/chart" Target="../charts/chart45.xml"/><Relationship Id="rId28" Type="http://schemas.openxmlformats.org/officeDocument/2006/relationships/chart" Target="../charts/chart50.xml"/><Relationship Id="rId36" Type="http://schemas.openxmlformats.org/officeDocument/2006/relationships/chart" Target="../charts/chart58.xml"/><Relationship Id="rId49" Type="http://schemas.openxmlformats.org/officeDocument/2006/relationships/chart" Target="../charts/chart71.xml"/><Relationship Id="rId57" Type="http://schemas.openxmlformats.org/officeDocument/2006/relationships/chart" Target="../charts/chart79.xml"/><Relationship Id="rId106" Type="http://schemas.openxmlformats.org/officeDocument/2006/relationships/chart" Target="../charts/chart128.xml"/><Relationship Id="rId114" Type="http://schemas.openxmlformats.org/officeDocument/2006/relationships/chart" Target="../charts/chart136.xml"/><Relationship Id="rId119" Type="http://schemas.openxmlformats.org/officeDocument/2006/relationships/chart" Target="../charts/chart141.xml"/><Relationship Id="rId127" Type="http://schemas.openxmlformats.org/officeDocument/2006/relationships/chart" Target="../charts/chart149.xml"/><Relationship Id="rId10" Type="http://schemas.openxmlformats.org/officeDocument/2006/relationships/chart" Target="../charts/chart32.xml"/><Relationship Id="rId31" Type="http://schemas.openxmlformats.org/officeDocument/2006/relationships/chart" Target="../charts/chart53.xml"/><Relationship Id="rId44" Type="http://schemas.openxmlformats.org/officeDocument/2006/relationships/chart" Target="../charts/chart66.xml"/><Relationship Id="rId52" Type="http://schemas.openxmlformats.org/officeDocument/2006/relationships/chart" Target="../charts/chart74.xml"/><Relationship Id="rId60" Type="http://schemas.openxmlformats.org/officeDocument/2006/relationships/chart" Target="../charts/chart82.xml"/><Relationship Id="rId65" Type="http://schemas.openxmlformats.org/officeDocument/2006/relationships/chart" Target="../charts/chart87.xml"/><Relationship Id="rId73" Type="http://schemas.openxmlformats.org/officeDocument/2006/relationships/chart" Target="../charts/chart95.xml"/><Relationship Id="rId78" Type="http://schemas.openxmlformats.org/officeDocument/2006/relationships/chart" Target="../charts/chart100.xml"/><Relationship Id="rId81" Type="http://schemas.openxmlformats.org/officeDocument/2006/relationships/chart" Target="../charts/chart103.xml"/><Relationship Id="rId86" Type="http://schemas.openxmlformats.org/officeDocument/2006/relationships/chart" Target="../charts/chart108.xml"/><Relationship Id="rId94" Type="http://schemas.openxmlformats.org/officeDocument/2006/relationships/chart" Target="../charts/chart116.xml"/><Relationship Id="rId99" Type="http://schemas.openxmlformats.org/officeDocument/2006/relationships/chart" Target="../charts/chart121.xml"/><Relationship Id="rId101" Type="http://schemas.openxmlformats.org/officeDocument/2006/relationships/chart" Target="../charts/chart123.xml"/><Relationship Id="rId122" Type="http://schemas.openxmlformats.org/officeDocument/2006/relationships/chart" Target="../charts/chart144.xml"/><Relationship Id="rId130" Type="http://schemas.openxmlformats.org/officeDocument/2006/relationships/chart" Target="../charts/chart152.xml"/><Relationship Id="rId135" Type="http://schemas.openxmlformats.org/officeDocument/2006/relationships/chart" Target="../charts/chart157.xml"/><Relationship Id="rId143" Type="http://schemas.openxmlformats.org/officeDocument/2006/relationships/chart" Target="../charts/chart165.xml"/><Relationship Id="rId148" Type="http://schemas.openxmlformats.org/officeDocument/2006/relationships/chart" Target="../charts/chart170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9" Type="http://schemas.openxmlformats.org/officeDocument/2006/relationships/chart" Target="../charts/chart61.xml"/><Relationship Id="rId109" Type="http://schemas.openxmlformats.org/officeDocument/2006/relationships/chart" Target="../charts/chart131.xml"/><Relationship Id="rId34" Type="http://schemas.openxmlformats.org/officeDocument/2006/relationships/chart" Target="../charts/chart56.xml"/><Relationship Id="rId50" Type="http://schemas.openxmlformats.org/officeDocument/2006/relationships/chart" Target="../charts/chart72.xml"/><Relationship Id="rId55" Type="http://schemas.openxmlformats.org/officeDocument/2006/relationships/chart" Target="../charts/chart77.xml"/><Relationship Id="rId76" Type="http://schemas.openxmlformats.org/officeDocument/2006/relationships/chart" Target="../charts/chart98.xml"/><Relationship Id="rId97" Type="http://schemas.openxmlformats.org/officeDocument/2006/relationships/chart" Target="../charts/chart119.xml"/><Relationship Id="rId104" Type="http://schemas.openxmlformats.org/officeDocument/2006/relationships/chart" Target="../charts/chart126.xml"/><Relationship Id="rId120" Type="http://schemas.openxmlformats.org/officeDocument/2006/relationships/chart" Target="../charts/chart142.xml"/><Relationship Id="rId125" Type="http://schemas.openxmlformats.org/officeDocument/2006/relationships/chart" Target="../charts/chart147.xml"/><Relationship Id="rId141" Type="http://schemas.openxmlformats.org/officeDocument/2006/relationships/chart" Target="../charts/chart163.xml"/><Relationship Id="rId146" Type="http://schemas.openxmlformats.org/officeDocument/2006/relationships/chart" Target="../charts/chart168.xml"/><Relationship Id="rId7" Type="http://schemas.openxmlformats.org/officeDocument/2006/relationships/chart" Target="../charts/chart29.xml"/><Relationship Id="rId71" Type="http://schemas.openxmlformats.org/officeDocument/2006/relationships/chart" Target="../charts/chart93.xml"/><Relationship Id="rId92" Type="http://schemas.openxmlformats.org/officeDocument/2006/relationships/chart" Target="../charts/chart114.xml"/><Relationship Id="rId2" Type="http://schemas.openxmlformats.org/officeDocument/2006/relationships/chart" Target="../charts/chart24.xml"/><Relationship Id="rId29" Type="http://schemas.openxmlformats.org/officeDocument/2006/relationships/chart" Target="../charts/chart51.xml"/><Relationship Id="rId24" Type="http://schemas.openxmlformats.org/officeDocument/2006/relationships/chart" Target="../charts/chart46.xml"/><Relationship Id="rId40" Type="http://schemas.openxmlformats.org/officeDocument/2006/relationships/chart" Target="../charts/chart62.xml"/><Relationship Id="rId45" Type="http://schemas.openxmlformats.org/officeDocument/2006/relationships/chart" Target="../charts/chart67.xml"/><Relationship Id="rId66" Type="http://schemas.openxmlformats.org/officeDocument/2006/relationships/chart" Target="../charts/chart88.xml"/><Relationship Id="rId87" Type="http://schemas.openxmlformats.org/officeDocument/2006/relationships/chart" Target="../charts/chart109.xml"/><Relationship Id="rId110" Type="http://schemas.openxmlformats.org/officeDocument/2006/relationships/chart" Target="../charts/chart132.xml"/><Relationship Id="rId115" Type="http://schemas.openxmlformats.org/officeDocument/2006/relationships/chart" Target="../charts/chart137.xml"/><Relationship Id="rId131" Type="http://schemas.openxmlformats.org/officeDocument/2006/relationships/chart" Target="../charts/chart153.xml"/><Relationship Id="rId136" Type="http://schemas.openxmlformats.org/officeDocument/2006/relationships/chart" Target="../charts/chart158.xml"/><Relationship Id="rId61" Type="http://schemas.openxmlformats.org/officeDocument/2006/relationships/chart" Target="../charts/chart83.xml"/><Relationship Id="rId82" Type="http://schemas.openxmlformats.org/officeDocument/2006/relationships/chart" Target="../charts/chart104.xml"/><Relationship Id="rId19" Type="http://schemas.openxmlformats.org/officeDocument/2006/relationships/chart" Target="../charts/chart41.xml"/><Relationship Id="rId14" Type="http://schemas.openxmlformats.org/officeDocument/2006/relationships/chart" Target="../charts/chart36.xml"/><Relationship Id="rId30" Type="http://schemas.openxmlformats.org/officeDocument/2006/relationships/chart" Target="../charts/chart52.xml"/><Relationship Id="rId35" Type="http://schemas.openxmlformats.org/officeDocument/2006/relationships/chart" Target="../charts/chart57.xml"/><Relationship Id="rId56" Type="http://schemas.openxmlformats.org/officeDocument/2006/relationships/chart" Target="../charts/chart78.xml"/><Relationship Id="rId77" Type="http://schemas.openxmlformats.org/officeDocument/2006/relationships/chart" Target="../charts/chart99.xml"/><Relationship Id="rId100" Type="http://schemas.openxmlformats.org/officeDocument/2006/relationships/chart" Target="../charts/chart122.xml"/><Relationship Id="rId105" Type="http://schemas.openxmlformats.org/officeDocument/2006/relationships/chart" Target="../charts/chart127.xml"/><Relationship Id="rId126" Type="http://schemas.openxmlformats.org/officeDocument/2006/relationships/chart" Target="../charts/chart148.xml"/><Relationship Id="rId147" Type="http://schemas.openxmlformats.org/officeDocument/2006/relationships/chart" Target="../charts/chart169.xml"/><Relationship Id="rId8" Type="http://schemas.openxmlformats.org/officeDocument/2006/relationships/chart" Target="../charts/chart30.xml"/><Relationship Id="rId51" Type="http://schemas.openxmlformats.org/officeDocument/2006/relationships/chart" Target="../charts/chart73.xml"/><Relationship Id="rId72" Type="http://schemas.openxmlformats.org/officeDocument/2006/relationships/chart" Target="../charts/chart94.xml"/><Relationship Id="rId93" Type="http://schemas.openxmlformats.org/officeDocument/2006/relationships/chart" Target="../charts/chart115.xml"/><Relationship Id="rId98" Type="http://schemas.openxmlformats.org/officeDocument/2006/relationships/chart" Target="../charts/chart120.xml"/><Relationship Id="rId121" Type="http://schemas.openxmlformats.org/officeDocument/2006/relationships/chart" Target="../charts/chart143.xml"/><Relationship Id="rId142" Type="http://schemas.openxmlformats.org/officeDocument/2006/relationships/chart" Target="../charts/chart1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2</xdr:row>
      <xdr:rowOff>180975</xdr:rowOff>
    </xdr:from>
    <xdr:to>
      <xdr:col>8</xdr:col>
      <xdr:colOff>0</xdr:colOff>
      <xdr:row>20</xdr:row>
      <xdr:rowOff>66675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752474</xdr:colOff>
      <xdr:row>21</xdr:row>
      <xdr:rowOff>161924</xdr:rowOff>
    </xdr:from>
    <xdr:to>
      <xdr:col>8</xdr:col>
      <xdr:colOff>19049</xdr:colOff>
      <xdr:row>39</xdr:row>
      <xdr:rowOff>95249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9525</xdr:colOff>
      <xdr:row>2</xdr:row>
      <xdr:rowOff>180974</xdr:rowOff>
    </xdr:from>
    <xdr:to>
      <xdr:col>16</xdr:col>
      <xdr:colOff>9525</xdr:colOff>
      <xdr:row>20</xdr:row>
      <xdr:rowOff>57149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723899</xdr:colOff>
      <xdr:row>22</xdr:row>
      <xdr:rowOff>9525</xdr:rowOff>
    </xdr:from>
    <xdr:to>
      <xdr:col>16</xdr:col>
      <xdr:colOff>28574</xdr:colOff>
      <xdr:row>39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761999</xdr:colOff>
      <xdr:row>2</xdr:row>
      <xdr:rowOff>161925</xdr:rowOff>
    </xdr:from>
    <xdr:to>
      <xdr:col>24</xdr:col>
      <xdr:colOff>9524</xdr:colOff>
      <xdr:row>20</xdr:row>
      <xdr:rowOff>66675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28574</xdr:colOff>
      <xdr:row>22</xdr:row>
      <xdr:rowOff>57150</xdr:rowOff>
    </xdr:from>
    <xdr:to>
      <xdr:col>24</xdr:col>
      <xdr:colOff>38099</xdr:colOff>
      <xdr:row>39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95250</xdr:colOff>
      <xdr:row>42</xdr:row>
      <xdr:rowOff>66675</xdr:rowOff>
    </xdr:from>
    <xdr:to>
      <xdr:col>24</xdr:col>
      <xdr:colOff>76200</xdr:colOff>
      <xdr:row>60</xdr:row>
      <xdr:rowOff>9525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361950</xdr:colOff>
      <xdr:row>2</xdr:row>
      <xdr:rowOff>38099</xdr:rowOff>
    </xdr:from>
    <xdr:to>
      <xdr:col>34</xdr:col>
      <xdr:colOff>561975</xdr:colOff>
      <xdr:row>33</xdr:row>
      <xdr:rowOff>95251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9524</xdr:colOff>
      <xdr:row>2</xdr:row>
      <xdr:rowOff>76199</xdr:rowOff>
    </xdr:from>
    <xdr:to>
      <xdr:col>42</xdr:col>
      <xdr:colOff>723900</xdr:colOff>
      <xdr:row>24</xdr:row>
      <xdr:rowOff>114300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66675</xdr:colOff>
      <xdr:row>27</xdr:row>
      <xdr:rowOff>123824</xdr:rowOff>
    </xdr:from>
    <xdr:to>
      <xdr:col>42</xdr:col>
      <xdr:colOff>752475</xdr:colOff>
      <xdr:row>48</xdr:row>
      <xdr:rowOff>171449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9524</xdr:colOff>
      <xdr:row>2</xdr:row>
      <xdr:rowOff>38099</xdr:rowOff>
    </xdr:from>
    <xdr:to>
      <xdr:col>52</xdr:col>
      <xdr:colOff>219075</xdr:colOff>
      <xdr:row>32</xdr:row>
      <xdr:rowOff>142874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742949</xdr:colOff>
      <xdr:row>34</xdr:row>
      <xdr:rowOff>38099</xdr:rowOff>
    </xdr:from>
    <xdr:to>
      <xdr:col>52</xdr:col>
      <xdr:colOff>180974</xdr:colOff>
      <xdr:row>56</xdr:row>
      <xdr:rowOff>161924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52</xdr:col>
      <xdr:colOff>647699</xdr:colOff>
      <xdr:row>2</xdr:row>
      <xdr:rowOff>100012</xdr:rowOff>
    </xdr:from>
    <xdr:to>
      <xdr:col>60</xdr:col>
      <xdr:colOff>9524</xdr:colOff>
      <xdr:row>22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53</xdr:col>
      <xdr:colOff>28574</xdr:colOff>
      <xdr:row>25</xdr:row>
      <xdr:rowOff>52386</xdr:rowOff>
    </xdr:from>
    <xdr:to>
      <xdr:col>60</xdr:col>
      <xdr:colOff>114299</xdr:colOff>
      <xdr:row>45</xdr:row>
      <xdr:rowOff>171449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61</xdr:col>
      <xdr:colOff>9524</xdr:colOff>
      <xdr:row>2</xdr:row>
      <xdr:rowOff>100012</xdr:rowOff>
    </xdr:from>
    <xdr:to>
      <xdr:col>68</xdr:col>
      <xdr:colOff>76199</xdr:colOff>
      <xdr:row>22</xdr:row>
      <xdr:rowOff>152400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60</xdr:col>
      <xdr:colOff>752475</xdr:colOff>
      <xdr:row>24</xdr:row>
      <xdr:rowOff>52386</xdr:rowOff>
    </xdr:from>
    <xdr:to>
      <xdr:col>68</xdr:col>
      <xdr:colOff>85725</xdr:colOff>
      <xdr:row>41</xdr:row>
      <xdr:rowOff>171449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69</xdr:col>
      <xdr:colOff>19049</xdr:colOff>
      <xdr:row>2</xdr:row>
      <xdr:rowOff>119061</xdr:rowOff>
    </xdr:from>
    <xdr:to>
      <xdr:col>76</xdr:col>
      <xdr:colOff>9524</xdr:colOff>
      <xdr:row>22</xdr:row>
      <xdr:rowOff>180974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10583</xdr:colOff>
      <xdr:row>42</xdr:row>
      <xdr:rowOff>148166</xdr:rowOff>
    </xdr:from>
    <xdr:to>
      <xdr:col>9</xdr:col>
      <xdr:colOff>497417</xdr:colOff>
      <xdr:row>77</xdr:row>
      <xdr:rowOff>190499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486833</xdr:colOff>
      <xdr:row>63</xdr:row>
      <xdr:rowOff>30690</xdr:rowOff>
    </xdr:from>
    <xdr:to>
      <xdr:col>19</xdr:col>
      <xdr:colOff>74083</xdr:colOff>
      <xdr:row>88</xdr:row>
      <xdr:rowOff>158749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69</xdr:col>
      <xdr:colOff>0</xdr:colOff>
      <xdr:row>27</xdr:row>
      <xdr:rowOff>0</xdr:rowOff>
    </xdr:from>
    <xdr:to>
      <xdr:col>74</xdr:col>
      <xdr:colOff>592667</xdr:colOff>
      <xdr:row>44</xdr:row>
      <xdr:rowOff>135468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75</xdr:col>
      <xdr:colOff>643465</xdr:colOff>
      <xdr:row>27</xdr:row>
      <xdr:rowOff>2</xdr:rowOff>
    </xdr:from>
    <xdr:to>
      <xdr:col>82</xdr:col>
      <xdr:colOff>287866</xdr:colOff>
      <xdr:row>45</xdr:row>
      <xdr:rowOff>8468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85</xdr:col>
      <xdr:colOff>10583</xdr:colOff>
      <xdr:row>0</xdr:row>
      <xdr:rowOff>168274</xdr:rowOff>
    </xdr:from>
    <xdr:to>
      <xdr:col>92</xdr:col>
      <xdr:colOff>740833</xdr:colOff>
      <xdr:row>20</xdr:row>
      <xdr:rowOff>158750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0.88837</cdr:x>
      <cdr:y>0.92199</cdr:y>
    </cdr:from>
    <cdr:to>
      <cdr:x>0.98018</cdr:x>
      <cdr:y>0.98738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32425" y="350837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0.8849</cdr:x>
      <cdr:y>0.92449</cdr:y>
    </cdr:from>
    <cdr:to>
      <cdr:x>0.97699</cdr:x>
      <cdr:y>0.98989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94325" y="351790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0.88646</cdr:x>
      <cdr:y>0.92159</cdr:y>
    </cdr:from>
    <cdr:to>
      <cdr:x>0.97856</cdr:x>
      <cdr:y>0.98732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03850" y="348932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0.89098</cdr:x>
      <cdr:y>0.92237</cdr:y>
    </cdr:from>
    <cdr:to>
      <cdr:x>0.98322</cdr:x>
      <cdr:y>0.98745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22900" y="352742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0.01279</cdr:x>
      <cdr:y>0.10522</cdr:y>
    </cdr:from>
    <cdr:to>
      <cdr:x>0.07932</cdr:x>
      <cdr:y>0.13376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107950" y="91757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0.88785</cdr:x>
      <cdr:y>0.92411</cdr:y>
    </cdr:from>
    <cdr:to>
      <cdr:x>0.98009</cdr:x>
      <cdr:y>0.98983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03850" y="349885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0.88628</cdr:x>
      <cdr:y>0.92468</cdr:y>
    </cdr:from>
    <cdr:to>
      <cdr:x>0.97852</cdr:x>
      <cdr:y>0.98991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94325" y="352742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0.88941</cdr:x>
      <cdr:y>0.92505</cdr:y>
    </cdr:from>
    <cdr:to>
      <cdr:x>0.98165</cdr:x>
      <cdr:y>0.98996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13375" y="354647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0.88315</cdr:x>
      <cdr:y>0.92392</cdr:y>
    </cdr:from>
    <cdr:to>
      <cdr:x>0.97539</cdr:x>
      <cdr:y>0.98981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75275" y="348932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0.88664</cdr:x>
      <cdr:y>0.92199</cdr:y>
    </cdr:from>
    <cdr:to>
      <cdr:x>0.97859</cdr:x>
      <cdr:y>0.98738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13375" y="350837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4761</xdr:rowOff>
    </xdr:from>
    <xdr:to>
      <xdr:col>7</xdr:col>
      <xdr:colOff>752474</xdr:colOff>
      <xdr:row>20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47624</xdr:colOff>
      <xdr:row>21</xdr:row>
      <xdr:rowOff>23811</xdr:rowOff>
    </xdr:from>
    <xdr:to>
      <xdr:col>7</xdr:col>
      <xdr:colOff>742949</xdr:colOff>
      <xdr:row>40</xdr:row>
      <xdr:rowOff>171450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41</xdr:row>
      <xdr:rowOff>128586</xdr:rowOff>
    </xdr:from>
    <xdr:to>
      <xdr:col>8</xdr:col>
      <xdr:colOff>19050</xdr:colOff>
      <xdr:row>61</xdr:row>
      <xdr:rowOff>76199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9524</xdr:colOff>
      <xdr:row>63</xdr:row>
      <xdr:rowOff>4762</xdr:rowOff>
    </xdr:from>
    <xdr:to>
      <xdr:col>7</xdr:col>
      <xdr:colOff>761999</xdr:colOff>
      <xdr:row>82</xdr:row>
      <xdr:rowOff>152400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84</xdr:row>
      <xdr:rowOff>4762</xdr:rowOff>
    </xdr:from>
    <xdr:to>
      <xdr:col>8</xdr:col>
      <xdr:colOff>0</xdr:colOff>
      <xdr:row>103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105</xdr:row>
      <xdr:rowOff>9523</xdr:rowOff>
    </xdr:from>
    <xdr:to>
      <xdr:col>12</xdr:col>
      <xdr:colOff>47624</xdr:colOff>
      <xdr:row>140</xdr:row>
      <xdr:rowOff>9524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141</xdr:row>
      <xdr:rowOff>180975</xdr:rowOff>
    </xdr:from>
    <xdr:to>
      <xdr:col>10</xdr:col>
      <xdr:colOff>0</xdr:colOff>
      <xdr:row>165</xdr:row>
      <xdr:rowOff>161925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167</xdr:row>
      <xdr:rowOff>19049</xdr:rowOff>
    </xdr:from>
    <xdr:to>
      <xdr:col>10</xdr:col>
      <xdr:colOff>0</xdr:colOff>
      <xdr:row>191</xdr:row>
      <xdr:rowOff>180974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218</xdr:row>
      <xdr:rowOff>180974</xdr:rowOff>
    </xdr:from>
    <xdr:to>
      <xdr:col>10</xdr:col>
      <xdr:colOff>0</xdr:colOff>
      <xdr:row>243</xdr:row>
      <xdr:rowOff>190499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193</xdr:row>
      <xdr:rowOff>9525</xdr:rowOff>
    </xdr:from>
    <xdr:to>
      <xdr:col>9</xdr:col>
      <xdr:colOff>742950</xdr:colOff>
      <xdr:row>218</xdr:row>
      <xdr:rowOff>9525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245</xdr:row>
      <xdr:rowOff>9524</xdr:rowOff>
    </xdr:from>
    <xdr:to>
      <xdr:col>12</xdr:col>
      <xdr:colOff>9524</xdr:colOff>
      <xdr:row>274</xdr:row>
      <xdr:rowOff>180975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276</xdr:row>
      <xdr:rowOff>180974</xdr:rowOff>
    </xdr:from>
    <xdr:to>
      <xdr:col>10</xdr:col>
      <xdr:colOff>19050</xdr:colOff>
      <xdr:row>301</xdr:row>
      <xdr:rowOff>190499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302</xdr:row>
      <xdr:rowOff>190499</xdr:rowOff>
    </xdr:from>
    <xdr:to>
      <xdr:col>10</xdr:col>
      <xdr:colOff>9524</xdr:colOff>
      <xdr:row>327</xdr:row>
      <xdr:rowOff>180974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328</xdr:row>
      <xdr:rowOff>180974</xdr:rowOff>
    </xdr:from>
    <xdr:to>
      <xdr:col>10</xdr:col>
      <xdr:colOff>9524</xdr:colOff>
      <xdr:row>353</xdr:row>
      <xdr:rowOff>171449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354</xdr:row>
      <xdr:rowOff>180974</xdr:rowOff>
    </xdr:from>
    <xdr:to>
      <xdr:col>10</xdr:col>
      <xdr:colOff>9524</xdr:colOff>
      <xdr:row>380</xdr:row>
      <xdr:rowOff>19049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742950</xdr:colOff>
      <xdr:row>0</xdr:row>
      <xdr:rowOff>152399</xdr:rowOff>
    </xdr:from>
    <xdr:to>
      <xdr:col>21</xdr:col>
      <xdr:colOff>19050</xdr:colOff>
      <xdr:row>26</xdr:row>
      <xdr:rowOff>28574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742950</xdr:colOff>
      <xdr:row>26</xdr:row>
      <xdr:rowOff>180975</xdr:rowOff>
    </xdr:from>
    <xdr:to>
      <xdr:col>21</xdr:col>
      <xdr:colOff>19050</xdr:colOff>
      <xdr:row>46</xdr:row>
      <xdr:rowOff>161925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9524</xdr:colOff>
      <xdr:row>48</xdr:row>
      <xdr:rowOff>28575</xdr:rowOff>
    </xdr:from>
    <xdr:to>
      <xdr:col>20</xdr:col>
      <xdr:colOff>761999</xdr:colOff>
      <xdr:row>67</xdr:row>
      <xdr:rowOff>28575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9524</xdr:colOff>
      <xdr:row>67</xdr:row>
      <xdr:rowOff>180975</xdr:rowOff>
    </xdr:from>
    <xdr:to>
      <xdr:col>20</xdr:col>
      <xdr:colOff>761999</xdr:colOff>
      <xdr:row>87</xdr:row>
      <xdr:rowOff>9525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38100</xdr:colOff>
      <xdr:row>88</xdr:row>
      <xdr:rowOff>19050</xdr:rowOff>
    </xdr:from>
    <xdr:to>
      <xdr:col>21</xdr:col>
      <xdr:colOff>19050</xdr:colOff>
      <xdr:row>107</xdr:row>
      <xdr:rowOff>171450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9524</xdr:colOff>
      <xdr:row>108</xdr:row>
      <xdr:rowOff>190499</xdr:rowOff>
    </xdr:from>
    <xdr:to>
      <xdr:col>24</xdr:col>
      <xdr:colOff>761999</xdr:colOff>
      <xdr:row>144</xdr:row>
      <xdr:rowOff>28574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38100</xdr:colOff>
      <xdr:row>145</xdr:row>
      <xdr:rowOff>9524</xdr:rowOff>
    </xdr:from>
    <xdr:to>
      <xdr:col>23</xdr:col>
      <xdr:colOff>19050</xdr:colOff>
      <xdr:row>168</xdr:row>
      <xdr:rowOff>171449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19050</xdr:colOff>
      <xdr:row>170</xdr:row>
      <xdr:rowOff>9524</xdr:rowOff>
    </xdr:from>
    <xdr:to>
      <xdr:col>23</xdr:col>
      <xdr:colOff>19050</xdr:colOff>
      <xdr:row>196</xdr:row>
      <xdr:rowOff>19049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19050</xdr:colOff>
      <xdr:row>196</xdr:row>
      <xdr:rowOff>180974</xdr:rowOff>
    </xdr:from>
    <xdr:to>
      <xdr:col>23</xdr:col>
      <xdr:colOff>0</xdr:colOff>
      <xdr:row>222</xdr:row>
      <xdr:rowOff>19049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19050</xdr:colOff>
      <xdr:row>222</xdr:row>
      <xdr:rowOff>180974</xdr:rowOff>
    </xdr:from>
    <xdr:to>
      <xdr:col>22</xdr:col>
      <xdr:colOff>742950</xdr:colOff>
      <xdr:row>248</xdr:row>
      <xdr:rowOff>19049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0</xdr:colOff>
      <xdr:row>0</xdr:row>
      <xdr:rowOff>180974</xdr:rowOff>
    </xdr:from>
    <xdr:to>
      <xdr:col>33</xdr:col>
      <xdr:colOff>742950</xdr:colOff>
      <xdr:row>19</xdr:row>
      <xdr:rowOff>190499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28574</xdr:colOff>
      <xdr:row>21</xdr:row>
      <xdr:rowOff>9525</xdr:rowOff>
    </xdr:from>
    <xdr:to>
      <xdr:col>33</xdr:col>
      <xdr:colOff>761999</xdr:colOff>
      <xdr:row>41</xdr:row>
      <xdr:rowOff>0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752474</xdr:colOff>
      <xdr:row>42</xdr:row>
      <xdr:rowOff>9524</xdr:rowOff>
    </xdr:from>
    <xdr:to>
      <xdr:col>33</xdr:col>
      <xdr:colOff>761999</xdr:colOff>
      <xdr:row>62</xdr:row>
      <xdr:rowOff>190499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19050</xdr:colOff>
      <xdr:row>64</xdr:row>
      <xdr:rowOff>9525</xdr:rowOff>
    </xdr:from>
    <xdr:to>
      <xdr:col>34</xdr:col>
      <xdr:colOff>19050</xdr:colOff>
      <xdr:row>84</xdr:row>
      <xdr:rowOff>180975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752474</xdr:colOff>
      <xdr:row>0</xdr:row>
      <xdr:rowOff>185737</xdr:rowOff>
    </xdr:from>
    <xdr:to>
      <xdr:col>42</xdr:col>
      <xdr:colOff>752475</xdr:colOff>
      <xdr:row>20</xdr:row>
      <xdr:rowOff>28575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0</xdr:colOff>
      <xdr:row>21</xdr:row>
      <xdr:rowOff>14287</xdr:rowOff>
    </xdr:from>
    <xdr:to>
      <xdr:col>43</xdr:col>
      <xdr:colOff>0</xdr:colOff>
      <xdr:row>41</xdr:row>
      <xdr:rowOff>9525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761998</xdr:colOff>
      <xdr:row>42</xdr:row>
      <xdr:rowOff>23811</xdr:rowOff>
    </xdr:from>
    <xdr:to>
      <xdr:col>45</xdr:col>
      <xdr:colOff>761999</xdr:colOff>
      <xdr:row>62</xdr:row>
      <xdr:rowOff>180974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9524</xdr:colOff>
      <xdr:row>63</xdr:row>
      <xdr:rowOff>176212</xdr:rowOff>
    </xdr:from>
    <xdr:to>
      <xdr:col>43</xdr:col>
      <xdr:colOff>19049</xdr:colOff>
      <xdr:row>85</xdr:row>
      <xdr:rowOff>0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34</xdr:col>
      <xdr:colOff>752474</xdr:colOff>
      <xdr:row>86</xdr:row>
      <xdr:rowOff>33336</xdr:rowOff>
    </xdr:from>
    <xdr:to>
      <xdr:col>43</xdr:col>
      <xdr:colOff>19049</xdr:colOff>
      <xdr:row>105</xdr:row>
      <xdr:rowOff>190499</xdr:rowOff>
    </xdr:to>
    <xdr:graphicFrame macro="">
      <xdr:nvGraphicFramePr>
        <xdr:cNvPr id="35" name="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106</xdr:row>
      <xdr:rowOff>185736</xdr:rowOff>
    </xdr:from>
    <xdr:to>
      <xdr:col>43</xdr:col>
      <xdr:colOff>0</xdr:colOff>
      <xdr:row>126</xdr:row>
      <xdr:rowOff>190499</xdr:rowOff>
    </xdr:to>
    <xdr:graphicFrame macro="">
      <xdr:nvGraphicFramePr>
        <xdr:cNvPr id="36" name="3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35</xdr:col>
      <xdr:colOff>9524</xdr:colOff>
      <xdr:row>127</xdr:row>
      <xdr:rowOff>185736</xdr:rowOff>
    </xdr:from>
    <xdr:to>
      <xdr:col>42</xdr:col>
      <xdr:colOff>761999</xdr:colOff>
      <xdr:row>147</xdr:row>
      <xdr:rowOff>190499</xdr:rowOff>
    </xdr:to>
    <xdr:graphicFrame macro="">
      <xdr:nvGraphicFramePr>
        <xdr:cNvPr id="37" name="3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34</xdr:col>
      <xdr:colOff>761999</xdr:colOff>
      <xdr:row>149</xdr:row>
      <xdr:rowOff>14286</xdr:rowOff>
    </xdr:from>
    <xdr:to>
      <xdr:col>46</xdr:col>
      <xdr:colOff>28574</xdr:colOff>
      <xdr:row>168</xdr:row>
      <xdr:rowOff>190499</xdr:rowOff>
    </xdr:to>
    <xdr:graphicFrame macro="">
      <xdr:nvGraphicFramePr>
        <xdr:cNvPr id="38" name="3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35</xdr:col>
      <xdr:colOff>0</xdr:colOff>
      <xdr:row>170</xdr:row>
      <xdr:rowOff>23812</xdr:rowOff>
    </xdr:from>
    <xdr:to>
      <xdr:col>43</xdr:col>
      <xdr:colOff>19050</xdr:colOff>
      <xdr:row>190</xdr:row>
      <xdr:rowOff>19050</xdr:rowOff>
    </xdr:to>
    <xdr:graphicFrame macro="">
      <xdr:nvGraphicFramePr>
        <xdr:cNvPr id="39" name="3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35</xdr:col>
      <xdr:colOff>0</xdr:colOff>
      <xdr:row>191</xdr:row>
      <xdr:rowOff>4762</xdr:rowOff>
    </xdr:from>
    <xdr:to>
      <xdr:col>43</xdr:col>
      <xdr:colOff>0</xdr:colOff>
      <xdr:row>211</xdr:row>
      <xdr:rowOff>0</xdr:rowOff>
    </xdr:to>
    <xdr:graphicFrame macro="">
      <xdr:nvGraphicFramePr>
        <xdr:cNvPr id="40" name="3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34</xdr:col>
      <xdr:colOff>752475</xdr:colOff>
      <xdr:row>212</xdr:row>
      <xdr:rowOff>4762</xdr:rowOff>
    </xdr:from>
    <xdr:to>
      <xdr:col>42</xdr:col>
      <xdr:colOff>752475</xdr:colOff>
      <xdr:row>231</xdr:row>
      <xdr:rowOff>171450</xdr:rowOff>
    </xdr:to>
    <xdr:graphicFrame macro="">
      <xdr:nvGraphicFramePr>
        <xdr:cNvPr id="41" name="4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761999</xdr:colOff>
      <xdr:row>233</xdr:row>
      <xdr:rowOff>4762</xdr:rowOff>
    </xdr:from>
    <xdr:to>
      <xdr:col>42</xdr:col>
      <xdr:colOff>752474</xdr:colOff>
      <xdr:row>253</xdr:row>
      <xdr:rowOff>19050</xdr:rowOff>
    </xdr:to>
    <xdr:graphicFrame macro="">
      <xdr:nvGraphicFramePr>
        <xdr:cNvPr id="42" name="4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35</xdr:col>
      <xdr:colOff>0</xdr:colOff>
      <xdr:row>254</xdr:row>
      <xdr:rowOff>23810</xdr:rowOff>
    </xdr:from>
    <xdr:to>
      <xdr:col>46</xdr:col>
      <xdr:colOff>57150</xdr:colOff>
      <xdr:row>299</xdr:row>
      <xdr:rowOff>171450</xdr:rowOff>
    </xdr:to>
    <xdr:graphicFrame macro="">
      <xdr:nvGraphicFramePr>
        <xdr:cNvPr id="43" name="4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35</xdr:col>
      <xdr:colOff>9524</xdr:colOff>
      <xdr:row>301</xdr:row>
      <xdr:rowOff>4762</xdr:rowOff>
    </xdr:from>
    <xdr:to>
      <xdr:col>42</xdr:col>
      <xdr:colOff>761999</xdr:colOff>
      <xdr:row>320</xdr:row>
      <xdr:rowOff>171450</xdr:rowOff>
    </xdr:to>
    <xdr:graphicFrame macro="">
      <xdr:nvGraphicFramePr>
        <xdr:cNvPr id="44" name="4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35</xdr:col>
      <xdr:colOff>9524</xdr:colOff>
      <xdr:row>322</xdr:row>
      <xdr:rowOff>4761</xdr:rowOff>
    </xdr:from>
    <xdr:to>
      <xdr:col>42</xdr:col>
      <xdr:colOff>761999</xdr:colOff>
      <xdr:row>342</xdr:row>
      <xdr:rowOff>9524</xdr:rowOff>
    </xdr:to>
    <xdr:graphicFrame macro="">
      <xdr:nvGraphicFramePr>
        <xdr:cNvPr id="45" name="4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34</xdr:col>
      <xdr:colOff>752474</xdr:colOff>
      <xdr:row>342</xdr:row>
      <xdr:rowOff>185736</xdr:rowOff>
    </xdr:from>
    <xdr:to>
      <xdr:col>42</xdr:col>
      <xdr:colOff>742949</xdr:colOff>
      <xdr:row>363</xdr:row>
      <xdr:rowOff>19049</xdr:rowOff>
    </xdr:to>
    <xdr:graphicFrame macro="">
      <xdr:nvGraphicFramePr>
        <xdr:cNvPr id="46" name="4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35</xdr:col>
      <xdr:colOff>9524</xdr:colOff>
      <xdr:row>364</xdr:row>
      <xdr:rowOff>23811</xdr:rowOff>
    </xdr:from>
    <xdr:to>
      <xdr:col>42</xdr:col>
      <xdr:colOff>761999</xdr:colOff>
      <xdr:row>383</xdr:row>
      <xdr:rowOff>180974</xdr:rowOff>
    </xdr:to>
    <xdr:graphicFrame macro="">
      <xdr:nvGraphicFramePr>
        <xdr:cNvPr id="47" name="4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34</xdr:col>
      <xdr:colOff>752474</xdr:colOff>
      <xdr:row>385</xdr:row>
      <xdr:rowOff>14287</xdr:rowOff>
    </xdr:from>
    <xdr:to>
      <xdr:col>42</xdr:col>
      <xdr:colOff>761999</xdr:colOff>
      <xdr:row>405</xdr:row>
      <xdr:rowOff>9525</xdr:rowOff>
    </xdr:to>
    <xdr:graphicFrame macro="">
      <xdr:nvGraphicFramePr>
        <xdr:cNvPr id="48" name="4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35</xdr:col>
      <xdr:colOff>9525</xdr:colOff>
      <xdr:row>406</xdr:row>
      <xdr:rowOff>23812</xdr:rowOff>
    </xdr:from>
    <xdr:to>
      <xdr:col>42</xdr:col>
      <xdr:colOff>752475</xdr:colOff>
      <xdr:row>426</xdr:row>
      <xdr:rowOff>0</xdr:rowOff>
    </xdr:to>
    <xdr:graphicFrame macro="">
      <xdr:nvGraphicFramePr>
        <xdr:cNvPr id="49" name="4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35</xdr:col>
      <xdr:colOff>0</xdr:colOff>
      <xdr:row>427</xdr:row>
      <xdr:rowOff>4762</xdr:rowOff>
    </xdr:from>
    <xdr:to>
      <xdr:col>43</xdr:col>
      <xdr:colOff>0</xdr:colOff>
      <xdr:row>447</xdr:row>
      <xdr:rowOff>0</xdr:rowOff>
    </xdr:to>
    <xdr:graphicFrame macro="">
      <xdr:nvGraphicFramePr>
        <xdr:cNvPr id="50" name="4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oneCellAnchor>
    <xdr:from>
      <xdr:col>42</xdr:col>
      <xdr:colOff>133350</xdr:colOff>
      <xdr:row>18</xdr:row>
      <xdr:rowOff>114300</xdr:rowOff>
    </xdr:from>
    <xdr:ext cx="561436" cy="248851"/>
    <xdr:sp macro="" textlink="">
      <xdr:nvSpPr>
        <xdr:cNvPr id="52" name="51 CuadroTexto"/>
        <xdr:cNvSpPr txBox="1"/>
      </xdr:nvSpPr>
      <xdr:spPr>
        <a:xfrm>
          <a:off x="32137350" y="3543300"/>
          <a:ext cx="56143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000" b="1"/>
            <a:t>(km/lt)</a:t>
          </a:r>
        </a:p>
      </xdr:txBody>
    </xdr:sp>
    <xdr:clientData/>
  </xdr:oneCellAnchor>
  <xdr:twoCellAnchor>
    <xdr:from>
      <xdr:col>46</xdr:col>
      <xdr:colOff>733425</xdr:colOff>
      <xdr:row>254</xdr:row>
      <xdr:rowOff>42861</xdr:rowOff>
    </xdr:from>
    <xdr:to>
      <xdr:col>58</xdr:col>
      <xdr:colOff>28575</xdr:colOff>
      <xdr:row>300</xdr:row>
      <xdr:rowOff>47624</xdr:rowOff>
    </xdr:to>
    <xdr:graphicFrame macro="">
      <xdr:nvGraphicFramePr>
        <xdr:cNvPr id="51" name="5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47</xdr:col>
      <xdr:colOff>9525</xdr:colOff>
      <xdr:row>301</xdr:row>
      <xdr:rowOff>4761</xdr:rowOff>
    </xdr:from>
    <xdr:to>
      <xdr:col>55</xdr:col>
      <xdr:colOff>1</xdr:colOff>
      <xdr:row>321</xdr:row>
      <xdr:rowOff>9524</xdr:rowOff>
    </xdr:to>
    <xdr:graphicFrame macro="">
      <xdr:nvGraphicFramePr>
        <xdr:cNvPr id="53" name="5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46</xdr:col>
      <xdr:colOff>761999</xdr:colOff>
      <xdr:row>322</xdr:row>
      <xdr:rowOff>23812</xdr:rowOff>
    </xdr:from>
    <xdr:to>
      <xdr:col>54</xdr:col>
      <xdr:colOff>752474</xdr:colOff>
      <xdr:row>342</xdr:row>
      <xdr:rowOff>38100</xdr:rowOff>
    </xdr:to>
    <xdr:graphicFrame macro="">
      <xdr:nvGraphicFramePr>
        <xdr:cNvPr id="54" name="5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47</xdr:col>
      <xdr:colOff>9524</xdr:colOff>
      <xdr:row>343</xdr:row>
      <xdr:rowOff>4762</xdr:rowOff>
    </xdr:from>
    <xdr:to>
      <xdr:col>54</xdr:col>
      <xdr:colOff>761999</xdr:colOff>
      <xdr:row>363</xdr:row>
      <xdr:rowOff>19050</xdr:rowOff>
    </xdr:to>
    <xdr:graphicFrame macro="">
      <xdr:nvGraphicFramePr>
        <xdr:cNvPr id="55" name="5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47</xdr:col>
      <xdr:colOff>0</xdr:colOff>
      <xdr:row>364</xdr:row>
      <xdr:rowOff>14286</xdr:rowOff>
    </xdr:from>
    <xdr:to>
      <xdr:col>54</xdr:col>
      <xdr:colOff>704850</xdr:colOff>
      <xdr:row>384</xdr:row>
      <xdr:rowOff>19049</xdr:rowOff>
    </xdr:to>
    <xdr:graphicFrame macro="">
      <xdr:nvGraphicFramePr>
        <xdr:cNvPr id="56" name="5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47</xdr:col>
      <xdr:colOff>9525</xdr:colOff>
      <xdr:row>385</xdr:row>
      <xdr:rowOff>4761</xdr:rowOff>
    </xdr:from>
    <xdr:to>
      <xdr:col>54</xdr:col>
      <xdr:colOff>752475</xdr:colOff>
      <xdr:row>405</xdr:row>
      <xdr:rowOff>28574</xdr:rowOff>
    </xdr:to>
    <xdr:graphicFrame macro="">
      <xdr:nvGraphicFramePr>
        <xdr:cNvPr id="58" name="5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47</xdr:col>
      <xdr:colOff>19049</xdr:colOff>
      <xdr:row>406</xdr:row>
      <xdr:rowOff>23811</xdr:rowOff>
    </xdr:from>
    <xdr:to>
      <xdr:col>54</xdr:col>
      <xdr:colOff>752474</xdr:colOff>
      <xdr:row>426</xdr:row>
      <xdr:rowOff>9524</xdr:rowOff>
    </xdr:to>
    <xdr:graphicFrame macro="">
      <xdr:nvGraphicFramePr>
        <xdr:cNvPr id="59" name="5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46</xdr:col>
      <xdr:colOff>752475</xdr:colOff>
      <xdr:row>426</xdr:row>
      <xdr:rowOff>185736</xdr:rowOff>
    </xdr:from>
    <xdr:to>
      <xdr:col>54</xdr:col>
      <xdr:colOff>752475</xdr:colOff>
      <xdr:row>446</xdr:row>
      <xdr:rowOff>190499</xdr:rowOff>
    </xdr:to>
    <xdr:graphicFrame macro="">
      <xdr:nvGraphicFramePr>
        <xdr:cNvPr id="60" name="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59</xdr:col>
      <xdr:colOff>9524</xdr:colOff>
      <xdr:row>1</xdr:row>
      <xdr:rowOff>14287</xdr:rowOff>
    </xdr:from>
    <xdr:to>
      <xdr:col>66</xdr:col>
      <xdr:colOff>761999</xdr:colOff>
      <xdr:row>21</xdr:row>
      <xdr:rowOff>47625</xdr:rowOff>
    </xdr:to>
    <xdr:graphicFrame macro="">
      <xdr:nvGraphicFramePr>
        <xdr:cNvPr id="57" name="5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59</xdr:col>
      <xdr:colOff>9524</xdr:colOff>
      <xdr:row>21</xdr:row>
      <xdr:rowOff>185736</xdr:rowOff>
    </xdr:from>
    <xdr:to>
      <xdr:col>67</xdr:col>
      <xdr:colOff>19049</xdr:colOff>
      <xdr:row>41</xdr:row>
      <xdr:rowOff>171449</xdr:rowOff>
    </xdr:to>
    <xdr:graphicFrame macro="">
      <xdr:nvGraphicFramePr>
        <xdr:cNvPr id="61" name="6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68</xdr:col>
      <xdr:colOff>9524</xdr:colOff>
      <xdr:row>0</xdr:row>
      <xdr:rowOff>176211</xdr:rowOff>
    </xdr:from>
    <xdr:to>
      <xdr:col>76</xdr:col>
      <xdr:colOff>19049</xdr:colOff>
      <xdr:row>20</xdr:row>
      <xdr:rowOff>180974</xdr:rowOff>
    </xdr:to>
    <xdr:graphicFrame macro="">
      <xdr:nvGraphicFramePr>
        <xdr:cNvPr id="62" name="6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68</xdr:col>
      <xdr:colOff>28574</xdr:colOff>
      <xdr:row>21</xdr:row>
      <xdr:rowOff>185736</xdr:rowOff>
    </xdr:from>
    <xdr:to>
      <xdr:col>75</xdr:col>
      <xdr:colOff>761999</xdr:colOff>
      <xdr:row>41</xdr:row>
      <xdr:rowOff>171449</xdr:rowOff>
    </xdr:to>
    <xdr:graphicFrame macro="">
      <xdr:nvGraphicFramePr>
        <xdr:cNvPr id="63" name="6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68</xdr:col>
      <xdr:colOff>9525</xdr:colOff>
      <xdr:row>43</xdr:row>
      <xdr:rowOff>14287</xdr:rowOff>
    </xdr:from>
    <xdr:to>
      <xdr:col>76</xdr:col>
      <xdr:colOff>9525</xdr:colOff>
      <xdr:row>62</xdr:row>
      <xdr:rowOff>180975</xdr:rowOff>
    </xdr:to>
    <xdr:graphicFrame macro="">
      <xdr:nvGraphicFramePr>
        <xdr:cNvPr id="64" name="6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67</xdr:col>
      <xdr:colOff>761999</xdr:colOff>
      <xdr:row>64</xdr:row>
      <xdr:rowOff>14286</xdr:rowOff>
    </xdr:from>
    <xdr:to>
      <xdr:col>75</xdr:col>
      <xdr:colOff>752474</xdr:colOff>
      <xdr:row>84</xdr:row>
      <xdr:rowOff>19049</xdr:rowOff>
    </xdr:to>
    <xdr:graphicFrame macro="">
      <xdr:nvGraphicFramePr>
        <xdr:cNvPr id="65" name="6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67</xdr:col>
      <xdr:colOff>761999</xdr:colOff>
      <xdr:row>85</xdr:row>
      <xdr:rowOff>4761</xdr:rowOff>
    </xdr:from>
    <xdr:to>
      <xdr:col>75</xdr:col>
      <xdr:colOff>752474</xdr:colOff>
      <xdr:row>104</xdr:row>
      <xdr:rowOff>180974</xdr:rowOff>
    </xdr:to>
    <xdr:graphicFrame macro="">
      <xdr:nvGraphicFramePr>
        <xdr:cNvPr id="66" name="6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68</xdr:col>
      <xdr:colOff>9525</xdr:colOff>
      <xdr:row>106</xdr:row>
      <xdr:rowOff>14287</xdr:rowOff>
    </xdr:from>
    <xdr:to>
      <xdr:col>76</xdr:col>
      <xdr:colOff>9525</xdr:colOff>
      <xdr:row>125</xdr:row>
      <xdr:rowOff>180975</xdr:rowOff>
    </xdr:to>
    <xdr:graphicFrame macro="">
      <xdr:nvGraphicFramePr>
        <xdr:cNvPr id="67" name="6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67</xdr:col>
      <xdr:colOff>761999</xdr:colOff>
      <xdr:row>127</xdr:row>
      <xdr:rowOff>23812</xdr:rowOff>
    </xdr:from>
    <xdr:to>
      <xdr:col>75</xdr:col>
      <xdr:colOff>752474</xdr:colOff>
      <xdr:row>147</xdr:row>
      <xdr:rowOff>0</xdr:rowOff>
    </xdr:to>
    <xdr:graphicFrame macro="">
      <xdr:nvGraphicFramePr>
        <xdr:cNvPr id="68" name="6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68</xdr:col>
      <xdr:colOff>0</xdr:colOff>
      <xdr:row>148</xdr:row>
      <xdr:rowOff>14287</xdr:rowOff>
    </xdr:from>
    <xdr:to>
      <xdr:col>76</xdr:col>
      <xdr:colOff>0</xdr:colOff>
      <xdr:row>168</xdr:row>
      <xdr:rowOff>9525</xdr:rowOff>
    </xdr:to>
    <xdr:graphicFrame macro="">
      <xdr:nvGraphicFramePr>
        <xdr:cNvPr id="69" name="6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67</xdr:col>
      <xdr:colOff>761999</xdr:colOff>
      <xdr:row>169</xdr:row>
      <xdr:rowOff>71436</xdr:rowOff>
    </xdr:from>
    <xdr:to>
      <xdr:col>75</xdr:col>
      <xdr:colOff>752474</xdr:colOff>
      <xdr:row>189</xdr:row>
      <xdr:rowOff>57149</xdr:rowOff>
    </xdr:to>
    <xdr:graphicFrame macro="">
      <xdr:nvGraphicFramePr>
        <xdr:cNvPr id="70" name="6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68</xdr:col>
      <xdr:colOff>9525</xdr:colOff>
      <xdr:row>190</xdr:row>
      <xdr:rowOff>23811</xdr:rowOff>
    </xdr:from>
    <xdr:to>
      <xdr:col>76</xdr:col>
      <xdr:colOff>9525</xdr:colOff>
      <xdr:row>210</xdr:row>
      <xdr:rowOff>9524</xdr:rowOff>
    </xdr:to>
    <xdr:graphicFrame macro="">
      <xdr:nvGraphicFramePr>
        <xdr:cNvPr id="71" name="7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77</xdr:col>
      <xdr:colOff>8659</xdr:colOff>
      <xdr:row>1</xdr:row>
      <xdr:rowOff>18182</xdr:rowOff>
    </xdr:from>
    <xdr:to>
      <xdr:col>88</xdr:col>
      <xdr:colOff>25977</xdr:colOff>
      <xdr:row>42</xdr:row>
      <xdr:rowOff>8659</xdr:rowOff>
    </xdr:to>
    <xdr:graphicFrame macro="">
      <xdr:nvGraphicFramePr>
        <xdr:cNvPr id="72" name="7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77</xdr:col>
      <xdr:colOff>17318</xdr:colOff>
      <xdr:row>43</xdr:row>
      <xdr:rowOff>35502</xdr:rowOff>
    </xdr:from>
    <xdr:to>
      <xdr:col>87</xdr:col>
      <xdr:colOff>761999</xdr:colOff>
      <xdr:row>84</xdr:row>
      <xdr:rowOff>17318</xdr:rowOff>
    </xdr:to>
    <xdr:graphicFrame macro="">
      <xdr:nvGraphicFramePr>
        <xdr:cNvPr id="73" name="7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77</xdr:col>
      <xdr:colOff>0</xdr:colOff>
      <xdr:row>85</xdr:row>
      <xdr:rowOff>865</xdr:rowOff>
    </xdr:from>
    <xdr:to>
      <xdr:col>85</xdr:col>
      <xdr:colOff>0</xdr:colOff>
      <xdr:row>105</xdr:row>
      <xdr:rowOff>8659</xdr:rowOff>
    </xdr:to>
    <xdr:graphicFrame macro="">
      <xdr:nvGraphicFramePr>
        <xdr:cNvPr id="74" name="7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76</xdr:col>
      <xdr:colOff>761999</xdr:colOff>
      <xdr:row>106</xdr:row>
      <xdr:rowOff>9525</xdr:rowOff>
    </xdr:from>
    <xdr:to>
      <xdr:col>85</xdr:col>
      <xdr:colOff>8658</xdr:colOff>
      <xdr:row>126</xdr:row>
      <xdr:rowOff>25977</xdr:rowOff>
    </xdr:to>
    <xdr:graphicFrame macro="">
      <xdr:nvGraphicFramePr>
        <xdr:cNvPr id="75" name="7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76</xdr:col>
      <xdr:colOff>727363</xdr:colOff>
      <xdr:row>126</xdr:row>
      <xdr:rowOff>182707</xdr:rowOff>
    </xdr:from>
    <xdr:to>
      <xdr:col>84</xdr:col>
      <xdr:colOff>736022</xdr:colOff>
      <xdr:row>147</xdr:row>
      <xdr:rowOff>8659</xdr:rowOff>
    </xdr:to>
    <xdr:graphicFrame macro="">
      <xdr:nvGraphicFramePr>
        <xdr:cNvPr id="76" name="7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76</xdr:col>
      <xdr:colOff>744682</xdr:colOff>
      <xdr:row>148</xdr:row>
      <xdr:rowOff>9525</xdr:rowOff>
    </xdr:from>
    <xdr:to>
      <xdr:col>85</xdr:col>
      <xdr:colOff>0</xdr:colOff>
      <xdr:row>167</xdr:row>
      <xdr:rowOff>181841</xdr:rowOff>
    </xdr:to>
    <xdr:graphicFrame macro="">
      <xdr:nvGraphicFramePr>
        <xdr:cNvPr id="77" name="7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76</xdr:col>
      <xdr:colOff>710046</xdr:colOff>
      <xdr:row>169</xdr:row>
      <xdr:rowOff>18184</xdr:rowOff>
    </xdr:from>
    <xdr:to>
      <xdr:col>84</xdr:col>
      <xdr:colOff>727364</xdr:colOff>
      <xdr:row>189</xdr:row>
      <xdr:rowOff>17318</xdr:rowOff>
    </xdr:to>
    <xdr:graphicFrame macro="">
      <xdr:nvGraphicFramePr>
        <xdr:cNvPr id="78" name="7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76</xdr:col>
      <xdr:colOff>753342</xdr:colOff>
      <xdr:row>190</xdr:row>
      <xdr:rowOff>865</xdr:rowOff>
    </xdr:from>
    <xdr:to>
      <xdr:col>84</xdr:col>
      <xdr:colOff>744682</xdr:colOff>
      <xdr:row>210</xdr:row>
      <xdr:rowOff>25976</xdr:rowOff>
    </xdr:to>
    <xdr:graphicFrame macro="">
      <xdr:nvGraphicFramePr>
        <xdr:cNvPr id="79" name="7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77</xdr:col>
      <xdr:colOff>8659</xdr:colOff>
      <xdr:row>211</xdr:row>
      <xdr:rowOff>18183</xdr:rowOff>
    </xdr:from>
    <xdr:to>
      <xdr:col>85</xdr:col>
      <xdr:colOff>8659</xdr:colOff>
      <xdr:row>231</xdr:row>
      <xdr:rowOff>8658</xdr:rowOff>
    </xdr:to>
    <xdr:graphicFrame macro="">
      <xdr:nvGraphicFramePr>
        <xdr:cNvPr id="80" name="7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76</xdr:col>
      <xdr:colOff>753340</xdr:colOff>
      <xdr:row>231</xdr:row>
      <xdr:rowOff>165388</xdr:rowOff>
    </xdr:from>
    <xdr:to>
      <xdr:col>84</xdr:col>
      <xdr:colOff>761999</xdr:colOff>
      <xdr:row>252</xdr:row>
      <xdr:rowOff>0</xdr:rowOff>
    </xdr:to>
    <xdr:graphicFrame macro="">
      <xdr:nvGraphicFramePr>
        <xdr:cNvPr id="81" name="8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77</xdr:col>
      <xdr:colOff>8659</xdr:colOff>
      <xdr:row>253</xdr:row>
      <xdr:rowOff>9523</xdr:rowOff>
    </xdr:from>
    <xdr:to>
      <xdr:col>84</xdr:col>
      <xdr:colOff>753341</xdr:colOff>
      <xdr:row>273</xdr:row>
      <xdr:rowOff>25976</xdr:rowOff>
    </xdr:to>
    <xdr:graphicFrame macro="">
      <xdr:nvGraphicFramePr>
        <xdr:cNvPr id="82" name="8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77</xdr:col>
      <xdr:colOff>0</xdr:colOff>
      <xdr:row>273</xdr:row>
      <xdr:rowOff>174046</xdr:rowOff>
    </xdr:from>
    <xdr:to>
      <xdr:col>84</xdr:col>
      <xdr:colOff>727364</xdr:colOff>
      <xdr:row>293</xdr:row>
      <xdr:rowOff>173181</xdr:rowOff>
    </xdr:to>
    <xdr:graphicFrame macro="">
      <xdr:nvGraphicFramePr>
        <xdr:cNvPr id="83" name="8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77</xdr:col>
      <xdr:colOff>0</xdr:colOff>
      <xdr:row>294</xdr:row>
      <xdr:rowOff>182706</xdr:rowOff>
    </xdr:from>
    <xdr:to>
      <xdr:col>84</xdr:col>
      <xdr:colOff>744682</xdr:colOff>
      <xdr:row>315</xdr:row>
      <xdr:rowOff>17317</xdr:rowOff>
    </xdr:to>
    <xdr:graphicFrame macro="">
      <xdr:nvGraphicFramePr>
        <xdr:cNvPr id="84" name="8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76</xdr:col>
      <xdr:colOff>753340</xdr:colOff>
      <xdr:row>316</xdr:row>
      <xdr:rowOff>866</xdr:rowOff>
    </xdr:from>
    <xdr:to>
      <xdr:col>84</xdr:col>
      <xdr:colOff>744681</xdr:colOff>
      <xdr:row>335</xdr:row>
      <xdr:rowOff>173182</xdr:rowOff>
    </xdr:to>
    <xdr:graphicFrame macro="">
      <xdr:nvGraphicFramePr>
        <xdr:cNvPr id="85" name="8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77</xdr:col>
      <xdr:colOff>0</xdr:colOff>
      <xdr:row>337</xdr:row>
      <xdr:rowOff>865</xdr:rowOff>
    </xdr:from>
    <xdr:to>
      <xdr:col>84</xdr:col>
      <xdr:colOff>744681</xdr:colOff>
      <xdr:row>356</xdr:row>
      <xdr:rowOff>181840</xdr:rowOff>
    </xdr:to>
    <xdr:graphicFrame macro="">
      <xdr:nvGraphicFramePr>
        <xdr:cNvPr id="86" name="8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77</xdr:col>
      <xdr:colOff>8659</xdr:colOff>
      <xdr:row>358</xdr:row>
      <xdr:rowOff>18183</xdr:rowOff>
    </xdr:from>
    <xdr:to>
      <xdr:col>85</xdr:col>
      <xdr:colOff>8659</xdr:colOff>
      <xdr:row>378</xdr:row>
      <xdr:rowOff>25977</xdr:rowOff>
    </xdr:to>
    <xdr:graphicFrame macro="">
      <xdr:nvGraphicFramePr>
        <xdr:cNvPr id="87" name="8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88</xdr:col>
      <xdr:colOff>744682</xdr:colOff>
      <xdr:row>0</xdr:row>
      <xdr:rowOff>165389</xdr:rowOff>
    </xdr:from>
    <xdr:to>
      <xdr:col>96</xdr:col>
      <xdr:colOff>744682</xdr:colOff>
      <xdr:row>21</xdr:row>
      <xdr:rowOff>8659</xdr:rowOff>
    </xdr:to>
    <xdr:graphicFrame macro="">
      <xdr:nvGraphicFramePr>
        <xdr:cNvPr id="88" name="8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89</xdr:col>
      <xdr:colOff>8660</xdr:colOff>
      <xdr:row>21</xdr:row>
      <xdr:rowOff>174047</xdr:rowOff>
    </xdr:from>
    <xdr:to>
      <xdr:col>96</xdr:col>
      <xdr:colOff>744682</xdr:colOff>
      <xdr:row>41</xdr:row>
      <xdr:rowOff>181841</xdr:rowOff>
    </xdr:to>
    <xdr:graphicFrame macro="">
      <xdr:nvGraphicFramePr>
        <xdr:cNvPr id="89" name="8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89</xdr:col>
      <xdr:colOff>0</xdr:colOff>
      <xdr:row>43</xdr:row>
      <xdr:rowOff>9525</xdr:rowOff>
    </xdr:from>
    <xdr:to>
      <xdr:col>97</xdr:col>
      <xdr:colOff>0</xdr:colOff>
      <xdr:row>62</xdr:row>
      <xdr:rowOff>164523</xdr:rowOff>
    </xdr:to>
    <xdr:graphicFrame macro="">
      <xdr:nvGraphicFramePr>
        <xdr:cNvPr id="90" name="8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89</xdr:col>
      <xdr:colOff>8660</xdr:colOff>
      <xdr:row>64</xdr:row>
      <xdr:rowOff>865</xdr:rowOff>
    </xdr:from>
    <xdr:to>
      <xdr:col>96</xdr:col>
      <xdr:colOff>744682</xdr:colOff>
      <xdr:row>83</xdr:row>
      <xdr:rowOff>181840</xdr:rowOff>
    </xdr:to>
    <xdr:graphicFrame macro="">
      <xdr:nvGraphicFramePr>
        <xdr:cNvPr id="91" name="9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89</xdr:col>
      <xdr:colOff>8658</xdr:colOff>
      <xdr:row>85</xdr:row>
      <xdr:rowOff>864</xdr:rowOff>
    </xdr:from>
    <xdr:to>
      <xdr:col>96</xdr:col>
      <xdr:colOff>761999</xdr:colOff>
      <xdr:row>104</xdr:row>
      <xdr:rowOff>155863</xdr:rowOff>
    </xdr:to>
    <xdr:graphicFrame macro="">
      <xdr:nvGraphicFramePr>
        <xdr:cNvPr id="92" name="9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89</xdr:col>
      <xdr:colOff>1</xdr:colOff>
      <xdr:row>106</xdr:row>
      <xdr:rowOff>26841</xdr:rowOff>
    </xdr:from>
    <xdr:to>
      <xdr:col>96</xdr:col>
      <xdr:colOff>752475</xdr:colOff>
      <xdr:row>126</xdr:row>
      <xdr:rowOff>25976</xdr:rowOff>
    </xdr:to>
    <xdr:graphicFrame macro="">
      <xdr:nvGraphicFramePr>
        <xdr:cNvPr id="93" name="9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89</xdr:col>
      <xdr:colOff>8659</xdr:colOff>
      <xdr:row>127</xdr:row>
      <xdr:rowOff>9524</xdr:rowOff>
    </xdr:from>
    <xdr:to>
      <xdr:col>96</xdr:col>
      <xdr:colOff>753340</xdr:colOff>
      <xdr:row>146</xdr:row>
      <xdr:rowOff>173181</xdr:rowOff>
    </xdr:to>
    <xdr:graphicFrame macro="">
      <xdr:nvGraphicFramePr>
        <xdr:cNvPr id="94" name="9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100</xdr:col>
      <xdr:colOff>761999</xdr:colOff>
      <xdr:row>1</xdr:row>
      <xdr:rowOff>4762</xdr:rowOff>
    </xdr:from>
    <xdr:to>
      <xdr:col>112</xdr:col>
      <xdr:colOff>19050</xdr:colOff>
      <xdr:row>21</xdr:row>
      <xdr:rowOff>19050</xdr:rowOff>
    </xdr:to>
    <xdr:graphicFrame macro="">
      <xdr:nvGraphicFramePr>
        <xdr:cNvPr id="95" name="9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100</xdr:col>
      <xdr:colOff>761999</xdr:colOff>
      <xdr:row>21</xdr:row>
      <xdr:rowOff>176212</xdr:rowOff>
    </xdr:from>
    <xdr:to>
      <xdr:col>108</xdr:col>
      <xdr:colOff>752474</xdr:colOff>
      <xdr:row>42</xdr:row>
      <xdr:rowOff>19050</xdr:rowOff>
    </xdr:to>
    <xdr:graphicFrame macro="">
      <xdr:nvGraphicFramePr>
        <xdr:cNvPr id="96" name="9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101</xdr:col>
      <xdr:colOff>19050</xdr:colOff>
      <xdr:row>42</xdr:row>
      <xdr:rowOff>185736</xdr:rowOff>
    </xdr:from>
    <xdr:to>
      <xdr:col>108</xdr:col>
      <xdr:colOff>742950</xdr:colOff>
      <xdr:row>63</xdr:row>
      <xdr:rowOff>19049</xdr:rowOff>
    </xdr:to>
    <xdr:graphicFrame macro="">
      <xdr:nvGraphicFramePr>
        <xdr:cNvPr id="97" name="9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101</xdr:col>
      <xdr:colOff>9524</xdr:colOff>
      <xdr:row>64</xdr:row>
      <xdr:rowOff>14286</xdr:rowOff>
    </xdr:from>
    <xdr:to>
      <xdr:col>108</xdr:col>
      <xdr:colOff>761999</xdr:colOff>
      <xdr:row>84</xdr:row>
      <xdr:rowOff>19049</xdr:rowOff>
    </xdr:to>
    <xdr:graphicFrame macro="">
      <xdr:nvGraphicFramePr>
        <xdr:cNvPr id="98" name="9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100</xdr:col>
      <xdr:colOff>761999</xdr:colOff>
      <xdr:row>85</xdr:row>
      <xdr:rowOff>4762</xdr:rowOff>
    </xdr:from>
    <xdr:to>
      <xdr:col>108</xdr:col>
      <xdr:colOff>752474</xdr:colOff>
      <xdr:row>105</xdr:row>
      <xdr:rowOff>0</xdr:rowOff>
    </xdr:to>
    <xdr:graphicFrame macro="">
      <xdr:nvGraphicFramePr>
        <xdr:cNvPr id="99" name="9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101</xdr:col>
      <xdr:colOff>9524</xdr:colOff>
      <xdr:row>106</xdr:row>
      <xdr:rowOff>14287</xdr:rowOff>
    </xdr:from>
    <xdr:to>
      <xdr:col>108</xdr:col>
      <xdr:colOff>723899</xdr:colOff>
      <xdr:row>125</xdr:row>
      <xdr:rowOff>180975</xdr:rowOff>
    </xdr:to>
    <xdr:graphicFrame macro="">
      <xdr:nvGraphicFramePr>
        <xdr:cNvPr id="100" name="9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101</xdr:col>
      <xdr:colOff>9525</xdr:colOff>
      <xdr:row>127</xdr:row>
      <xdr:rowOff>14286</xdr:rowOff>
    </xdr:from>
    <xdr:to>
      <xdr:col>109</xdr:col>
      <xdr:colOff>28575</xdr:colOff>
      <xdr:row>147</xdr:row>
      <xdr:rowOff>19049</xdr:rowOff>
    </xdr:to>
    <xdr:graphicFrame macro="">
      <xdr:nvGraphicFramePr>
        <xdr:cNvPr id="101" name="10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101</xdr:col>
      <xdr:colOff>19050</xdr:colOff>
      <xdr:row>147</xdr:row>
      <xdr:rowOff>176212</xdr:rowOff>
    </xdr:from>
    <xdr:to>
      <xdr:col>108</xdr:col>
      <xdr:colOff>742950</xdr:colOff>
      <xdr:row>168</xdr:row>
      <xdr:rowOff>19050</xdr:rowOff>
    </xdr:to>
    <xdr:graphicFrame macro="">
      <xdr:nvGraphicFramePr>
        <xdr:cNvPr id="102" name="10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113</xdr:col>
      <xdr:colOff>19049</xdr:colOff>
      <xdr:row>1</xdr:row>
      <xdr:rowOff>4762</xdr:rowOff>
    </xdr:from>
    <xdr:to>
      <xdr:col>124</xdr:col>
      <xdr:colOff>0</xdr:colOff>
      <xdr:row>21</xdr:row>
      <xdr:rowOff>19050</xdr:rowOff>
    </xdr:to>
    <xdr:graphicFrame macro="">
      <xdr:nvGraphicFramePr>
        <xdr:cNvPr id="104" name="10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112</xdr:col>
      <xdr:colOff>761999</xdr:colOff>
      <xdr:row>22</xdr:row>
      <xdr:rowOff>4761</xdr:rowOff>
    </xdr:from>
    <xdr:to>
      <xdr:col>121</xdr:col>
      <xdr:colOff>9524</xdr:colOff>
      <xdr:row>41</xdr:row>
      <xdr:rowOff>180974</xdr:rowOff>
    </xdr:to>
    <xdr:graphicFrame macro="">
      <xdr:nvGraphicFramePr>
        <xdr:cNvPr id="105" name="10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113</xdr:col>
      <xdr:colOff>19049</xdr:colOff>
      <xdr:row>43</xdr:row>
      <xdr:rowOff>4762</xdr:rowOff>
    </xdr:from>
    <xdr:to>
      <xdr:col>120</xdr:col>
      <xdr:colOff>733424</xdr:colOff>
      <xdr:row>63</xdr:row>
      <xdr:rowOff>0</xdr:rowOff>
    </xdr:to>
    <xdr:graphicFrame macro="">
      <xdr:nvGraphicFramePr>
        <xdr:cNvPr id="106" name="10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112</xdr:col>
      <xdr:colOff>761999</xdr:colOff>
      <xdr:row>64</xdr:row>
      <xdr:rowOff>4761</xdr:rowOff>
    </xdr:from>
    <xdr:to>
      <xdr:col>121</xdr:col>
      <xdr:colOff>9524</xdr:colOff>
      <xdr:row>84</xdr:row>
      <xdr:rowOff>9524</xdr:rowOff>
    </xdr:to>
    <xdr:graphicFrame macro="">
      <xdr:nvGraphicFramePr>
        <xdr:cNvPr id="107" name="10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113</xdr:col>
      <xdr:colOff>0</xdr:colOff>
      <xdr:row>85</xdr:row>
      <xdr:rowOff>14287</xdr:rowOff>
    </xdr:from>
    <xdr:to>
      <xdr:col>121</xdr:col>
      <xdr:colOff>0</xdr:colOff>
      <xdr:row>105</xdr:row>
      <xdr:rowOff>9525</xdr:rowOff>
    </xdr:to>
    <xdr:graphicFrame macro="">
      <xdr:nvGraphicFramePr>
        <xdr:cNvPr id="108" name="10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89</xdr:col>
      <xdr:colOff>0</xdr:colOff>
      <xdr:row>147</xdr:row>
      <xdr:rowOff>185737</xdr:rowOff>
    </xdr:from>
    <xdr:to>
      <xdr:col>100</xdr:col>
      <xdr:colOff>19050</xdr:colOff>
      <xdr:row>168</xdr:row>
      <xdr:rowOff>28575</xdr:rowOff>
    </xdr:to>
    <xdr:graphicFrame macro="">
      <xdr:nvGraphicFramePr>
        <xdr:cNvPr id="109" name="10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88</xdr:col>
      <xdr:colOff>761999</xdr:colOff>
      <xdr:row>169</xdr:row>
      <xdr:rowOff>14286</xdr:rowOff>
    </xdr:from>
    <xdr:to>
      <xdr:col>100</xdr:col>
      <xdr:colOff>9524</xdr:colOff>
      <xdr:row>189</xdr:row>
      <xdr:rowOff>19049</xdr:rowOff>
    </xdr:to>
    <xdr:graphicFrame macro="">
      <xdr:nvGraphicFramePr>
        <xdr:cNvPr id="110" name="10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89</xdr:col>
      <xdr:colOff>9525</xdr:colOff>
      <xdr:row>190</xdr:row>
      <xdr:rowOff>14286</xdr:rowOff>
    </xdr:from>
    <xdr:to>
      <xdr:col>97</xdr:col>
      <xdr:colOff>9525</xdr:colOff>
      <xdr:row>209</xdr:row>
      <xdr:rowOff>190499</xdr:rowOff>
    </xdr:to>
    <xdr:graphicFrame macro="">
      <xdr:nvGraphicFramePr>
        <xdr:cNvPr id="111" name="1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89</xdr:col>
      <xdr:colOff>28574</xdr:colOff>
      <xdr:row>211</xdr:row>
      <xdr:rowOff>4762</xdr:rowOff>
    </xdr:from>
    <xdr:to>
      <xdr:col>97</xdr:col>
      <xdr:colOff>19049</xdr:colOff>
      <xdr:row>231</xdr:row>
      <xdr:rowOff>0</xdr:rowOff>
    </xdr:to>
    <xdr:graphicFrame macro="">
      <xdr:nvGraphicFramePr>
        <xdr:cNvPr id="112" name="1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89</xdr:col>
      <xdr:colOff>0</xdr:colOff>
      <xdr:row>232</xdr:row>
      <xdr:rowOff>4761</xdr:rowOff>
    </xdr:from>
    <xdr:to>
      <xdr:col>97</xdr:col>
      <xdr:colOff>0</xdr:colOff>
      <xdr:row>252</xdr:row>
      <xdr:rowOff>9524</xdr:rowOff>
    </xdr:to>
    <xdr:graphicFrame macro="">
      <xdr:nvGraphicFramePr>
        <xdr:cNvPr id="113" name="1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89</xdr:col>
      <xdr:colOff>9525</xdr:colOff>
      <xdr:row>253</xdr:row>
      <xdr:rowOff>23812</xdr:rowOff>
    </xdr:from>
    <xdr:to>
      <xdr:col>97</xdr:col>
      <xdr:colOff>9525</xdr:colOff>
      <xdr:row>273</xdr:row>
      <xdr:rowOff>0</xdr:rowOff>
    </xdr:to>
    <xdr:graphicFrame macro="">
      <xdr:nvGraphicFramePr>
        <xdr:cNvPr id="114" name="1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88</xdr:col>
      <xdr:colOff>757237</xdr:colOff>
      <xdr:row>274</xdr:row>
      <xdr:rowOff>0</xdr:rowOff>
    </xdr:from>
    <xdr:to>
      <xdr:col>100</xdr:col>
      <xdr:colOff>9525</xdr:colOff>
      <xdr:row>294</xdr:row>
      <xdr:rowOff>19050</xdr:rowOff>
    </xdr:to>
    <xdr:graphicFrame macro="">
      <xdr:nvGraphicFramePr>
        <xdr:cNvPr id="115" name="1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124</xdr:col>
      <xdr:colOff>747711</xdr:colOff>
      <xdr:row>1</xdr:row>
      <xdr:rowOff>19049</xdr:rowOff>
    </xdr:from>
    <xdr:to>
      <xdr:col>133</xdr:col>
      <xdr:colOff>9524</xdr:colOff>
      <xdr:row>20</xdr:row>
      <xdr:rowOff>180974</xdr:rowOff>
    </xdr:to>
    <xdr:graphicFrame macro="">
      <xdr:nvGraphicFramePr>
        <xdr:cNvPr id="117" name="1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134</xdr:col>
      <xdr:colOff>0</xdr:colOff>
      <xdr:row>1</xdr:row>
      <xdr:rowOff>0</xdr:rowOff>
    </xdr:from>
    <xdr:to>
      <xdr:col>141</xdr:col>
      <xdr:colOff>730250</xdr:colOff>
      <xdr:row>20</xdr:row>
      <xdr:rowOff>180976</xdr:rowOff>
    </xdr:to>
    <xdr:graphicFrame macro="">
      <xdr:nvGraphicFramePr>
        <xdr:cNvPr id="116" name="1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133</xdr:col>
      <xdr:colOff>752474</xdr:colOff>
      <xdr:row>22</xdr:row>
      <xdr:rowOff>4762</xdr:rowOff>
    </xdr:from>
    <xdr:to>
      <xdr:col>141</xdr:col>
      <xdr:colOff>761999</xdr:colOff>
      <xdr:row>42</xdr:row>
      <xdr:rowOff>19050</xdr:rowOff>
    </xdr:to>
    <xdr:graphicFrame macro="">
      <xdr:nvGraphicFramePr>
        <xdr:cNvPr id="103" name="10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133</xdr:col>
      <xdr:colOff>752474</xdr:colOff>
      <xdr:row>43</xdr:row>
      <xdr:rowOff>4761</xdr:rowOff>
    </xdr:from>
    <xdr:to>
      <xdr:col>141</xdr:col>
      <xdr:colOff>742949</xdr:colOff>
      <xdr:row>62</xdr:row>
      <xdr:rowOff>180974</xdr:rowOff>
    </xdr:to>
    <xdr:graphicFrame macro="">
      <xdr:nvGraphicFramePr>
        <xdr:cNvPr id="118" name="1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134</xdr:col>
      <xdr:colOff>19050</xdr:colOff>
      <xdr:row>64</xdr:row>
      <xdr:rowOff>4762</xdr:rowOff>
    </xdr:from>
    <xdr:to>
      <xdr:col>142</xdr:col>
      <xdr:colOff>0</xdr:colOff>
      <xdr:row>84</xdr:row>
      <xdr:rowOff>19050</xdr:rowOff>
    </xdr:to>
    <xdr:graphicFrame macro="">
      <xdr:nvGraphicFramePr>
        <xdr:cNvPr id="119" name="1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34</xdr:col>
      <xdr:colOff>714375</xdr:colOff>
      <xdr:row>449</xdr:row>
      <xdr:rowOff>27382</xdr:rowOff>
    </xdr:from>
    <xdr:to>
      <xdr:col>43</xdr:col>
      <xdr:colOff>23812</xdr:colOff>
      <xdr:row>469</xdr:row>
      <xdr:rowOff>71437</xdr:rowOff>
    </xdr:to>
    <xdr:graphicFrame macro="">
      <xdr:nvGraphicFramePr>
        <xdr:cNvPr id="122" name="1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46</xdr:col>
      <xdr:colOff>666750</xdr:colOff>
      <xdr:row>448</xdr:row>
      <xdr:rowOff>9523</xdr:rowOff>
    </xdr:from>
    <xdr:to>
      <xdr:col>55</xdr:col>
      <xdr:colOff>0</xdr:colOff>
      <xdr:row>468</xdr:row>
      <xdr:rowOff>52916</xdr:rowOff>
    </xdr:to>
    <xdr:graphicFrame macro="">
      <xdr:nvGraphicFramePr>
        <xdr:cNvPr id="123" name="1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143</xdr:col>
      <xdr:colOff>10583</xdr:colOff>
      <xdr:row>0</xdr:row>
      <xdr:rowOff>178857</xdr:rowOff>
    </xdr:from>
    <xdr:to>
      <xdr:col>154</xdr:col>
      <xdr:colOff>52917</xdr:colOff>
      <xdr:row>31</xdr:row>
      <xdr:rowOff>10583</xdr:rowOff>
    </xdr:to>
    <xdr:graphicFrame macro="">
      <xdr:nvGraphicFramePr>
        <xdr:cNvPr id="124" name="1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143</xdr:col>
      <xdr:colOff>10583</xdr:colOff>
      <xdr:row>31</xdr:row>
      <xdr:rowOff>178857</xdr:rowOff>
    </xdr:from>
    <xdr:to>
      <xdr:col>154</xdr:col>
      <xdr:colOff>10583</xdr:colOff>
      <xdr:row>62</xdr:row>
      <xdr:rowOff>10583</xdr:rowOff>
    </xdr:to>
    <xdr:graphicFrame macro="">
      <xdr:nvGraphicFramePr>
        <xdr:cNvPr id="125" name="1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143</xdr:col>
      <xdr:colOff>31749</xdr:colOff>
      <xdr:row>62</xdr:row>
      <xdr:rowOff>157689</xdr:rowOff>
    </xdr:from>
    <xdr:to>
      <xdr:col>154</xdr:col>
      <xdr:colOff>42332</xdr:colOff>
      <xdr:row>92</xdr:row>
      <xdr:rowOff>169332</xdr:rowOff>
    </xdr:to>
    <xdr:graphicFrame macro="">
      <xdr:nvGraphicFramePr>
        <xdr:cNvPr id="126" name="1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142</xdr:col>
      <xdr:colOff>761999</xdr:colOff>
      <xdr:row>93</xdr:row>
      <xdr:rowOff>178856</xdr:rowOff>
    </xdr:from>
    <xdr:to>
      <xdr:col>154</xdr:col>
      <xdr:colOff>21167</xdr:colOff>
      <xdr:row>124</xdr:row>
      <xdr:rowOff>31749</xdr:rowOff>
    </xdr:to>
    <xdr:graphicFrame macro="">
      <xdr:nvGraphicFramePr>
        <xdr:cNvPr id="127" name="1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35717</xdr:colOff>
      <xdr:row>381</xdr:row>
      <xdr:rowOff>178594</xdr:rowOff>
    </xdr:from>
    <xdr:to>
      <xdr:col>10</xdr:col>
      <xdr:colOff>59531</xdr:colOff>
      <xdr:row>413</xdr:row>
      <xdr:rowOff>11906</xdr:rowOff>
    </xdr:to>
    <xdr:graphicFrame macro="">
      <xdr:nvGraphicFramePr>
        <xdr:cNvPr id="128" name="1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0</xdr:colOff>
      <xdr:row>415</xdr:row>
      <xdr:rowOff>0</xdr:rowOff>
    </xdr:from>
    <xdr:to>
      <xdr:col>10</xdr:col>
      <xdr:colOff>11905</xdr:colOff>
      <xdr:row>445</xdr:row>
      <xdr:rowOff>47625</xdr:rowOff>
    </xdr:to>
    <xdr:graphicFrame macro="">
      <xdr:nvGraphicFramePr>
        <xdr:cNvPr id="130" name="1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1</xdr:colOff>
      <xdr:row>447</xdr:row>
      <xdr:rowOff>23813</xdr:rowOff>
    </xdr:from>
    <xdr:to>
      <xdr:col>8</xdr:col>
      <xdr:colOff>23813</xdr:colOff>
      <xdr:row>467</xdr:row>
      <xdr:rowOff>35719</xdr:rowOff>
    </xdr:to>
    <xdr:graphicFrame macro="">
      <xdr:nvGraphicFramePr>
        <xdr:cNvPr id="132" name="1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0</xdr:colOff>
      <xdr:row>468</xdr:row>
      <xdr:rowOff>178595</xdr:rowOff>
    </xdr:from>
    <xdr:to>
      <xdr:col>8</xdr:col>
      <xdr:colOff>35718</xdr:colOff>
      <xdr:row>489</xdr:row>
      <xdr:rowOff>35719</xdr:rowOff>
    </xdr:to>
    <xdr:graphicFrame macro="">
      <xdr:nvGraphicFramePr>
        <xdr:cNvPr id="133" name="1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0</xdr:colOff>
      <xdr:row>491</xdr:row>
      <xdr:rowOff>23813</xdr:rowOff>
    </xdr:from>
    <xdr:to>
      <xdr:col>8</xdr:col>
      <xdr:colOff>0</xdr:colOff>
      <xdr:row>511</xdr:row>
      <xdr:rowOff>47625</xdr:rowOff>
    </xdr:to>
    <xdr:graphicFrame macro="">
      <xdr:nvGraphicFramePr>
        <xdr:cNvPr id="134" name="1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0</xdr:colOff>
      <xdr:row>511</xdr:row>
      <xdr:rowOff>178594</xdr:rowOff>
    </xdr:from>
    <xdr:to>
      <xdr:col>8</xdr:col>
      <xdr:colOff>11906</xdr:colOff>
      <xdr:row>531</xdr:row>
      <xdr:rowOff>178594</xdr:rowOff>
    </xdr:to>
    <xdr:graphicFrame macro="">
      <xdr:nvGraphicFramePr>
        <xdr:cNvPr id="135" name="1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0</xdr:colOff>
      <xdr:row>533</xdr:row>
      <xdr:rowOff>0</xdr:rowOff>
    </xdr:from>
    <xdr:to>
      <xdr:col>7</xdr:col>
      <xdr:colOff>750094</xdr:colOff>
      <xdr:row>553</xdr:row>
      <xdr:rowOff>47625</xdr:rowOff>
    </xdr:to>
    <xdr:graphicFrame macro="">
      <xdr:nvGraphicFramePr>
        <xdr:cNvPr id="136" name="13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554</xdr:row>
      <xdr:rowOff>178594</xdr:rowOff>
    </xdr:from>
    <xdr:to>
      <xdr:col>7</xdr:col>
      <xdr:colOff>761999</xdr:colOff>
      <xdr:row>575</xdr:row>
      <xdr:rowOff>35719</xdr:rowOff>
    </xdr:to>
    <xdr:graphicFrame macro="">
      <xdr:nvGraphicFramePr>
        <xdr:cNvPr id="137" name="13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576</xdr:row>
      <xdr:rowOff>1</xdr:rowOff>
    </xdr:from>
    <xdr:to>
      <xdr:col>8</xdr:col>
      <xdr:colOff>11906</xdr:colOff>
      <xdr:row>596</xdr:row>
      <xdr:rowOff>0</xdr:rowOff>
    </xdr:to>
    <xdr:graphicFrame macro="">
      <xdr:nvGraphicFramePr>
        <xdr:cNvPr id="138" name="13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35720</xdr:colOff>
      <xdr:row>597</xdr:row>
      <xdr:rowOff>1</xdr:rowOff>
    </xdr:from>
    <xdr:to>
      <xdr:col>8</xdr:col>
      <xdr:colOff>11906</xdr:colOff>
      <xdr:row>616</xdr:row>
      <xdr:rowOff>166688</xdr:rowOff>
    </xdr:to>
    <xdr:graphicFrame macro="">
      <xdr:nvGraphicFramePr>
        <xdr:cNvPr id="139" name="13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10</xdr:col>
      <xdr:colOff>761999</xdr:colOff>
      <xdr:row>382</xdr:row>
      <xdr:rowOff>11906</xdr:rowOff>
    </xdr:from>
    <xdr:to>
      <xdr:col>19</xdr:col>
      <xdr:colOff>23813</xdr:colOff>
      <xdr:row>407</xdr:row>
      <xdr:rowOff>23813</xdr:rowOff>
    </xdr:to>
    <xdr:graphicFrame macro="">
      <xdr:nvGraphicFramePr>
        <xdr:cNvPr id="141" name="14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11</xdr:col>
      <xdr:colOff>11906</xdr:colOff>
      <xdr:row>407</xdr:row>
      <xdr:rowOff>178594</xdr:rowOff>
    </xdr:from>
    <xdr:to>
      <xdr:col>19</xdr:col>
      <xdr:colOff>0</xdr:colOff>
      <xdr:row>433</xdr:row>
      <xdr:rowOff>0</xdr:rowOff>
    </xdr:to>
    <xdr:graphicFrame macro="">
      <xdr:nvGraphicFramePr>
        <xdr:cNvPr id="142" name="14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10</xdr:col>
      <xdr:colOff>738188</xdr:colOff>
      <xdr:row>433</xdr:row>
      <xdr:rowOff>178593</xdr:rowOff>
    </xdr:from>
    <xdr:to>
      <xdr:col>19</xdr:col>
      <xdr:colOff>11906</xdr:colOff>
      <xdr:row>458</xdr:row>
      <xdr:rowOff>190499</xdr:rowOff>
    </xdr:to>
    <xdr:graphicFrame macro="">
      <xdr:nvGraphicFramePr>
        <xdr:cNvPr id="143" name="14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11</xdr:col>
      <xdr:colOff>35719</xdr:colOff>
      <xdr:row>460</xdr:row>
      <xdr:rowOff>11906</xdr:rowOff>
    </xdr:from>
    <xdr:to>
      <xdr:col>19</xdr:col>
      <xdr:colOff>47625</xdr:colOff>
      <xdr:row>485</xdr:row>
      <xdr:rowOff>23812</xdr:rowOff>
    </xdr:to>
    <xdr:graphicFrame macro="">
      <xdr:nvGraphicFramePr>
        <xdr:cNvPr id="144" name="14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10</xdr:col>
      <xdr:colOff>738188</xdr:colOff>
      <xdr:row>487</xdr:row>
      <xdr:rowOff>0</xdr:rowOff>
    </xdr:from>
    <xdr:to>
      <xdr:col>18</xdr:col>
      <xdr:colOff>750094</xdr:colOff>
      <xdr:row>512</xdr:row>
      <xdr:rowOff>0</xdr:rowOff>
    </xdr:to>
    <xdr:graphicFrame macro="">
      <xdr:nvGraphicFramePr>
        <xdr:cNvPr id="145" name="14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11</xdr:col>
      <xdr:colOff>11907</xdr:colOff>
      <xdr:row>513</xdr:row>
      <xdr:rowOff>11907</xdr:rowOff>
    </xdr:from>
    <xdr:to>
      <xdr:col>19</xdr:col>
      <xdr:colOff>35719</xdr:colOff>
      <xdr:row>538</xdr:row>
      <xdr:rowOff>11906</xdr:rowOff>
    </xdr:to>
    <xdr:graphicFrame macro="">
      <xdr:nvGraphicFramePr>
        <xdr:cNvPr id="146" name="14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11</xdr:col>
      <xdr:colOff>11905</xdr:colOff>
      <xdr:row>538</xdr:row>
      <xdr:rowOff>178595</xdr:rowOff>
    </xdr:from>
    <xdr:to>
      <xdr:col>19</xdr:col>
      <xdr:colOff>35718</xdr:colOff>
      <xdr:row>564</xdr:row>
      <xdr:rowOff>35719</xdr:rowOff>
    </xdr:to>
    <xdr:graphicFrame macro="">
      <xdr:nvGraphicFramePr>
        <xdr:cNvPr id="147" name="14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10</xdr:col>
      <xdr:colOff>750094</xdr:colOff>
      <xdr:row>565</xdr:row>
      <xdr:rowOff>1</xdr:rowOff>
    </xdr:from>
    <xdr:to>
      <xdr:col>19</xdr:col>
      <xdr:colOff>0</xdr:colOff>
      <xdr:row>590</xdr:row>
      <xdr:rowOff>23812</xdr:rowOff>
    </xdr:to>
    <xdr:graphicFrame macro="">
      <xdr:nvGraphicFramePr>
        <xdr:cNvPr id="148" name="14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155</xdr:col>
      <xdr:colOff>750094</xdr:colOff>
      <xdr:row>1</xdr:row>
      <xdr:rowOff>23813</xdr:rowOff>
    </xdr:from>
    <xdr:to>
      <xdr:col>165</xdr:col>
      <xdr:colOff>738188</xdr:colOff>
      <xdr:row>27</xdr:row>
      <xdr:rowOff>59531</xdr:rowOff>
    </xdr:to>
    <xdr:graphicFrame macro="">
      <xdr:nvGraphicFramePr>
        <xdr:cNvPr id="149" name="14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156</xdr:col>
      <xdr:colOff>0</xdr:colOff>
      <xdr:row>28</xdr:row>
      <xdr:rowOff>71438</xdr:rowOff>
    </xdr:from>
    <xdr:to>
      <xdr:col>166</xdr:col>
      <xdr:colOff>0</xdr:colOff>
      <xdr:row>54</xdr:row>
      <xdr:rowOff>130969</xdr:rowOff>
    </xdr:to>
    <xdr:graphicFrame macro="">
      <xdr:nvGraphicFramePr>
        <xdr:cNvPr id="150" name="14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156</xdr:col>
      <xdr:colOff>35718</xdr:colOff>
      <xdr:row>56</xdr:row>
      <xdr:rowOff>11905</xdr:rowOff>
    </xdr:from>
    <xdr:to>
      <xdr:col>165</xdr:col>
      <xdr:colOff>750094</xdr:colOff>
      <xdr:row>82</xdr:row>
      <xdr:rowOff>107155</xdr:rowOff>
    </xdr:to>
    <xdr:graphicFrame macro="">
      <xdr:nvGraphicFramePr>
        <xdr:cNvPr id="151" name="15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155</xdr:col>
      <xdr:colOff>761999</xdr:colOff>
      <xdr:row>83</xdr:row>
      <xdr:rowOff>166688</xdr:rowOff>
    </xdr:from>
    <xdr:to>
      <xdr:col>165</xdr:col>
      <xdr:colOff>690562</xdr:colOff>
      <xdr:row>110</xdr:row>
      <xdr:rowOff>95250</xdr:rowOff>
    </xdr:to>
    <xdr:graphicFrame macro="">
      <xdr:nvGraphicFramePr>
        <xdr:cNvPr id="152" name="15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156</xdr:col>
      <xdr:colOff>11905</xdr:colOff>
      <xdr:row>111</xdr:row>
      <xdr:rowOff>166688</xdr:rowOff>
    </xdr:from>
    <xdr:to>
      <xdr:col>165</xdr:col>
      <xdr:colOff>702468</xdr:colOff>
      <xdr:row>138</xdr:row>
      <xdr:rowOff>83344</xdr:rowOff>
    </xdr:to>
    <xdr:graphicFrame macro="">
      <xdr:nvGraphicFramePr>
        <xdr:cNvPr id="153" name="15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64</xdr:col>
      <xdr:colOff>750094</xdr:colOff>
      <xdr:row>211</xdr:row>
      <xdr:rowOff>27383</xdr:rowOff>
    </xdr:from>
    <xdr:to>
      <xdr:col>75</xdr:col>
      <xdr:colOff>738188</xdr:colOff>
      <xdr:row>241</xdr:row>
      <xdr:rowOff>47624</xdr:rowOff>
    </xdr:to>
    <xdr:graphicFrame macro="">
      <xdr:nvGraphicFramePr>
        <xdr:cNvPr id="120" name="1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64</xdr:col>
      <xdr:colOff>738188</xdr:colOff>
      <xdr:row>242</xdr:row>
      <xdr:rowOff>27383</xdr:rowOff>
    </xdr:from>
    <xdr:to>
      <xdr:col>76</xdr:col>
      <xdr:colOff>0</xdr:colOff>
      <xdr:row>272</xdr:row>
      <xdr:rowOff>142874</xdr:rowOff>
    </xdr:to>
    <xdr:graphicFrame macro="">
      <xdr:nvGraphicFramePr>
        <xdr:cNvPr id="121" name="1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0.88924</cdr:x>
      <cdr:y>0.92411</cdr:y>
    </cdr:from>
    <cdr:to>
      <cdr:x>0.98162</cdr:x>
      <cdr:y>0.98983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03850" y="349885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0.8849</cdr:x>
      <cdr:y>0.92199</cdr:y>
    </cdr:from>
    <cdr:to>
      <cdr:x>0.97699</cdr:x>
      <cdr:y>0.98738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94325" y="350837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0.01505</cdr:x>
      <cdr:y>0.10791</cdr:y>
    </cdr:from>
    <cdr:to>
      <cdr:x>0.08158</cdr:x>
      <cdr:y>0.13629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127000" y="94615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0.88941</cdr:x>
      <cdr:y>0.92218</cdr:y>
    </cdr:from>
    <cdr:to>
      <cdr:x>0.98165</cdr:x>
      <cdr:y>0.98741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13375" y="351790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0.88785</cdr:x>
      <cdr:y>0.92486</cdr:y>
    </cdr:from>
    <cdr:to>
      <cdr:x>0.98009</cdr:x>
      <cdr:y>0.98994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03850" y="353695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0.88785</cdr:x>
      <cdr:y>0.92237</cdr:y>
    </cdr:from>
    <cdr:to>
      <cdr:x>0.98009</cdr:x>
      <cdr:y>0.98745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03850" y="352742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0.88854</cdr:x>
      <cdr:y>0.91719</cdr:y>
    </cdr:from>
    <cdr:to>
      <cdr:x>0.98151</cdr:x>
      <cdr:y>0.98242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65750" y="349885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0.8861</cdr:x>
      <cdr:y>0.92008</cdr:y>
    </cdr:from>
    <cdr:to>
      <cdr:x>0.97849</cdr:x>
      <cdr:y>0.98499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84800" y="352742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0.88906</cdr:x>
      <cdr:y>0.91677</cdr:y>
    </cdr:from>
    <cdr:to>
      <cdr:x>0.9816</cdr:x>
      <cdr:y>0.98233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94325" y="347980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0.88958</cdr:x>
      <cdr:y>0.91719</cdr:y>
    </cdr:from>
    <cdr:to>
      <cdr:x>0.98168</cdr:x>
      <cdr:y>0.98242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22900" y="349885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0.89583</cdr:x>
      <cdr:y>0.92199</cdr:y>
    </cdr:from>
    <cdr:to>
      <cdr:x>0.98793</cdr:x>
      <cdr:y>0.98738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61000" y="350837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0.84246</cdr:x>
      <cdr:y>0.9178</cdr:y>
    </cdr:from>
    <cdr:to>
      <cdr:x>0.93471</cdr:x>
      <cdr:y>0.98255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127625" y="352742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0.84607</cdr:x>
      <cdr:y>0.91426</cdr:y>
    </cdr:from>
    <cdr:to>
      <cdr:x>0.93803</cdr:x>
      <cdr:y>0.97982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165725" y="347027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0.01533</cdr:x>
      <cdr:y>0.11196</cdr:y>
    </cdr:from>
    <cdr:to>
      <cdr:x>0.08217</cdr:x>
      <cdr:y>0.14386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128732" y="873414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0.01332</cdr:x>
      <cdr:y>0.10097</cdr:y>
    </cdr:from>
    <cdr:to>
      <cdr:x>0.08044</cdr:x>
      <cdr:y>0.13291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111414" y="786823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0.88902</cdr:x>
      <cdr:y>0.91827</cdr:y>
    </cdr:from>
    <cdr:to>
      <cdr:x>0.98111</cdr:x>
      <cdr:y>0.98345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19436" y="3505777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0.89201</cdr:x>
      <cdr:y>0.92072</cdr:y>
    </cdr:from>
    <cdr:to>
      <cdr:x>0.98398</cdr:x>
      <cdr:y>0.98576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45413" y="3523096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0.89201</cdr:x>
      <cdr:y>0.92298</cdr:y>
    </cdr:from>
    <cdr:to>
      <cdr:x>0.98398</cdr:x>
      <cdr:y>0.98802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45413" y="3531754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0.89216</cdr:x>
      <cdr:y>0.92228</cdr:y>
    </cdr:from>
    <cdr:to>
      <cdr:x>0.984</cdr:x>
      <cdr:y>0.98791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54072" y="3497119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0.88508</cdr:x>
      <cdr:y>0.91809</cdr:y>
    </cdr:from>
    <cdr:to>
      <cdr:x>0.97692</cdr:x>
      <cdr:y>0.98342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10778" y="3497119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0.8917</cdr:x>
      <cdr:y>0.9209</cdr:y>
    </cdr:from>
    <cdr:to>
      <cdr:x>0.98393</cdr:x>
      <cdr:y>0.98579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28096" y="353175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0.87538</cdr:x>
      <cdr:y>0.92517</cdr:y>
    </cdr:from>
    <cdr:to>
      <cdr:x>0.94236</cdr:x>
      <cdr:y>0.9879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7337425" y="367030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0.89896</cdr:x>
      <cdr:y>0.92018</cdr:y>
    </cdr:from>
    <cdr:to>
      <cdr:x>0.99106</cdr:x>
      <cdr:y>0.98566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80050" y="3497119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0.89626</cdr:x>
      <cdr:y>0.91864</cdr:y>
    </cdr:from>
    <cdr:to>
      <cdr:x>0.98823</cdr:x>
      <cdr:y>0.98353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71391" y="352309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0.883</cdr:x>
      <cdr:y>0.91846</cdr:y>
    </cdr:from>
    <cdr:to>
      <cdr:x>0.97536</cdr:x>
      <cdr:y>0.98349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67482" y="3514437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0.88695</cdr:x>
      <cdr:y>0.91809</cdr:y>
    </cdr:from>
    <cdr:to>
      <cdr:x>0.97958</cdr:x>
      <cdr:y>0.98342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76141" y="3497118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0.88727</cdr:x>
      <cdr:y>0.91187</cdr:y>
    </cdr:from>
    <cdr:to>
      <cdr:x>0.97964</cdr:x>
      <cdr:y>0.97676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93459" y="3497118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0.88459</cdr:x>
      <cdr:y>0.91771</cdr:y>
    </cdr:from>
    <cdr:to>
      <cdr:x>0.97682</cdr:x>
      <cdr:y>0.98334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384800" y="347980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0.8887</cdr:x>
      <cdr:y>0.9179</cdr:y>
    </cdr:from>
    <cdr:to>
      <cdr:x>0.98106</cdr:x>
      <cdr:y>0.98338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02118" y="3488459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0.89186</cdr:x>
      <cdr:y>0.91601</cdr:y>
    </cdr:from>
    <cdr:to>
      <cdr:x>0.98396</cdr:x>
      <cdr:y>0.98119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36754" y="3497119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0.91761</cdr:x>
      <cdr:y>0.89187</cdr:y>
    </cdr:from>
    <cdr:to>
      <cdr:x>0.97443</cdr:x>
      <cdr:y>0.95495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93772" y="3428134"/>
          <a:ext cx="346365" cy="242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0.9185</cdr:x>
      <cdr:y>0.90466</cdr:y>
    </cdr:from>
    <cdr:to>
      <cdr:x>0.97556</cdr:x>
      <cdr:y>0.96817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75300" y="3453823"/>
          <a:ext cx="346365" cy="242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0.88664</cdr:x>
      <cdr:y>0.92369</cdr:y>
    </cdr:from>
    <cdr:to>
      <cdr:x>0.97859</cdr:x>
      <cdr:y>0.98567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13375" y="370840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0.90748</cdr:x>
      <cdr:y>0.90128</cdr:y>
    </cdr:from>
    <cdr:to>
      <cdr:x>0.9643</cdr:x>
      <cdr:y>0.96551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32005" y="3401868"/>
          <a:ext cx="346365" cy="242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0.90709</cdr:x>
      <cdr:y>0.89512</cdr:y>
    </cdr:from>
    <cdr:to>
      <cdr:x>0.96415</cdr:x>
      <cdr:y>0.95891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06027" y="3401868"/>
          <a:ext cx="346365" cy="242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0.91446</cdr:x>
      <cdr:y>0.89669</cdr:y>
    </cdr:from>
    <cdr:to>
      <cdr:x>0.97136</cdr:x>
      <cdr:y>0.96092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66641" y="3384550"/>
          <a:ext cx="346365" cy="242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0.91316</cdr:x>
      <cdr:y>0.89535</cdr:y>
    </cdr:from>
    <cdr:to>
      <cdr:x>0.96998</cdr:x>
      <cdr:y>0.95901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66641" y="3410527"/>
          <a:ext cx="346365" cy="242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0.91007</cdr:x>
      <cdr:y>0.88777</cdr:y>
    </cdr:from>
    <cdr:to>
      <cdr:x>0.96705</cdr:x>
      <cdr:y>0.95186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32005" y="3358573"/>
          <a:ext cx="346365" cy="242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0.7963</cdr:x>
      <cdr:y>0.91988</cdr:y>
    </cdr:from>
    <cdr:to>
      <cdr:x>0.86735</cdr:x>
      <cdr:y>0.98329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689724" y="3517900"/>
          <a:ext cx="596901" cy="242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0.87533</cdr:x>
      <cdr:y>0.88063</cdr:y>
    </cdr:from>
    <cdr:to>
      <cdr:x>0.9734</cdr:x>
      <cdr:y>0.94372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27650" y="3384550"/>
          <a:ext cx="596901" cy="242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0.8826</cdr:x>
      <cdr:y>0.88033</cdr:y>
    </cdr:from>
    <cdr:to>
      <cdr:x>0.98113</cdr:x>
      <cdr:y>0.94358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46700" y="3375025"/>
          <a:ext cx="596901" cy="242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0.88785</cdr:x>
      <cdr:y>0.87973</cdr:y>
    </cdr:from>
    <cdr:to>
      <cdr:x>0.98592</cdr:x>
      <cdr:y>0.94329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03850" y="3355975"/>
          <a:ext cx="596901" cy="242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0.88315</cdr:x>
      <cdr:y>0.88444</cdr:y>
    </cdr:from>
    <cdr:to>
      <cdr:x>0.98122</cdr:x>
      <cdr:y>0.94816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75275" y="3365500"/>
          <a:ext cx="596901" cy="242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0.89632</cdr:x>
      <cdr:y>0.9214</cdr:y>
    </cdr:from>
    <cdr:to>
      <cdr:x>0.98799</cdr:x>
      <cdr:y>0.98729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89575" y="347980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0.88084</cdr:x>
      <cdr:y>0.88386</cdr:y>
    </cdr:from>
    <cdr:to>
      <cdr:x>0.97953</cdr:x>
      <cdr:y>0.9479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27650" y="3346450"/>
          <a:ext cx="596901" cy="242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0.88058</cdr:x>
      <cdr:y>0.88223</cdr:y>
    </cdr:from>
    <cdr:to>
      <cdr:x>0.97819</cdr:x>
      <cdr:y>0.94579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84800" y="3365500"/>
          <a:ext cx="596901" cy="242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0.87788</cdr:x>
      <cdr:y>0.87815</cdr:y>
    </cdr:from>
    <cdr:to>
      <cdr:x>0.97642</cdr:x>
      <cdr:y>0.94124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18125" y="3375025"/>
          <a:ext cx="596901" cy="242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0.81557</cdr:x>
      <cdr:y>0.89302</cdr:y>
    </cdr:from>
    <cdr:to>
      <cdr:x>0.8568</cdr:x>
      <cdr:y>0.95611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851650" y="3432175"/>
          <a:ext cx="346363" cy="242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0.76542</cdr:x>
      <cdr:y>0.87973</cdr:y>
    </cdr:from>
    <cdr:to>
      <cdr:x>0.80669</cdr:x>
      <cdr:y>0.94329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423025" y="3355975"/>
          <a:ext cx="346363" cy="242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0.92083</cdr:x>
      <cdr:y>0.88666</cdr:y>
    </cdr:from>
    <cdr:to>
      <cdr:x>0.97765</cdr:x>
      <cdr:y>0.95054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613400" y="3365500"/>
          <a:ext cx="346363" cy="242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0.91445</cdr:x>
      <cdr:y>0.89695</cdr:y>
    </cdr:from>
    <cdr:to>
      <cdr:x>0.97136</cdr:x>
      <cdr:y>0.96067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65775" y="3413125"/>
          <a:ext cx="346363" cy="242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0.91771</cdr:x>
      <cdr:y>0.90221</cdr:y>
    </cdr:from>
    <cdr:to>
      <cdr:x>0.97453</cdr:x>
      <cdr:y>0.96576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94350" y="3441700"/>
          <a:ext cx="346363" cy="242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0.90365</cdr:x>
      <cdr:y>0.8914</cdr:y>
    </cdr:from>
    <cdr:to>
      <cdr:x>0.96046</cdr:x>
      <cdr:y>0.95544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08625" y="3375025"/>
          <a:ext cx="346363" cy="242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0.02874</cdr:x>
      <cdr:y>0.04063</cdr:y>
    </cdr:from>
    <cdr:to>
      <cdr:x>0.06999</cdr:x>
      <cdr:y>0.10395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41300" y="155575"/>
          <a:ext cx="346363" cy="242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0.89115</cdr:x>
      <cdr:y>0.92218</cdr:y>
    </cdr:from>
    <cdr:to>
      <cdr:x>0.98324</cdr:x>
      <cdr:y>0.98741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32425" y="351790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0.30151</cdr:x>
      <cdr:y>0.10718</cdr:y>
    </cdr:from>
    <cdr:to>
      <cdr:x>0.73618</cdr:x>
      <cdr:y>0.27689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40001" y="614894"/>
          <a:ext cx="3661834" cy="973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800" b="1" i="0"/>
            <a:t>[% SOBRE EL TOTAL DE RESPUESTAS UNIDADES ANTERIORES A 1991 (100% = 60)]</a:t>
          </a:r>
        </a:p>
        <a:p xmlns:a="http://schemas.openxmlformats.org/drawingml/2006/main">
          <a:r>
            <a:rPr lang="es-MX" sz="800" b="1" i="0"/>
            <a:t>[% SOBRE EL TOTAL DE RESPUESTAS UNIDADES ENTRE 1991 Y 1993 (100% =</a:t>
          </a:r>
          <a:r>
            <a:rPr lang="es-MX" sz="800" b="1" i="0" baseline="0"/>
            <a:t> 9)]</a:t>
          </a:r>
        </a:p>
        <a:p xmlns:a="http://schemas.openxmlformats.org/drawingml/2006/main">
          <a:r>
            <a:rPr lang="es-MX" sz="800" b="1" i="0" baseline="0"/>
            <a:t>[% SOBRE EL TOTAL DE RESPUESTAS UNIDADES ENTRE 1994 Y 1997 (100% = 39)]</a:t>
          </a:r>
        </a:p>
        <a:p xmlns:a="http://schemas.openxmlformats.org/drawingml/2006/main">
          <a:r>
            <a:rPr lang="es-MX" sz="800" b="1" i="0" baseline="0"/>
            <a:t>[% SOBRE EL TOTAL DE RESPUESTAS UNIDADES ENTRE 1998 Y 2003 (100 % = 106)]</a:t>
          </a:r>
        </a:p>
        <a:p xmlns:a="http://schemas.openxmlformats.org/drawingml/2006/main">
          <a:r>
            <a:rPr lang="es-MX" sz="800" b="1" i="0" baseline="0"/>
            <a:t>[% SOBRE EL TOTAL DE RESPUESTAS UNIDADES ENTRE 2004 Y 2006 (100% = 84)]</a:t>
          </a:r>
        </a:p>
        <a:p xmlns:a="http://schemas.openxmlformats.org/drawingml/2006/main">
          <a:r>
            <a:rPr lang="es-MX" sz="800" b="1" i="0" baseline="0"/>
            <a:t>[% SOBRE EL TOTAL DE RESPUESTAS UNIDADES ENTRE 2007 Y 2010 (100% = 108)]</a:t>
          </a:r>
        </a:p>
        <a:p xmlns:a="http://schemas.openxmlformats.org/drawingml/2006/main">
          <a:r>
            <a:rPr lang="es-MX" sz="800" b="1" i="0" baseline="0"/>
            <a:t>[% SOBRE EL TOTAL DE RESPUESTAS UNIDADES 2011 EN ADELANTE (100% = 42)]</a:t>
          </a:r>
          <a:endParaRPr lang="es-MX" sz="800" b="1" i="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0.28258</cdr:x>
      <cdr:y>0.114</cdr:y>
    </cdr:from>
    <cdr:to>
      <cdr:x>0.71944</cdr:x>
      <cdr:y>0.28371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368549" y="654050"/>
          <a:ext cx="3661834" cy="973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 b="1" i="0"/>
            <a:t>[% SOBRE EL TOTAL DE RESPUESTAS UNIDADES ANTERIORES A 1991 (100% = 56)]</a:t>
          </a:r>
        </a:p>
        <a:p xmlns:a="http://schemas.openxmlformats.org/drawingml/2006/main">
          <a:r>
            <a:rPr lang="es-MX" sz="800" b="1" i="0"/>
            <a:t>[% SOBRE EL TOTAL DE RESPUESTAS UNIDADES ENTRE 1991 Y 1993 (100% =</a:t>
          </a:r>
          <a:r>
            <a:rPr lang="es-MX" sz="800" b="1" i="0" baseline="0"/>
            <a:t> 7)]</a:t>
          </a:r>
        </a:p>
        <a:p xmlns:a="http://schemas.openxmlformats.org/drawingml/2006/main">
          <a:r>
            <a:rPr lang="es-MX" sz="800" b="1" i="0" baseline="0"/>
            <a:t>[% SOBRE EL TOTAL DE RESPUESTAS UNIDADES ENTRE 1994 Y 1997 (100% = 36)]</a:t>
          </a:r>
        </a:p>
        <a:p xmlns:a="http://schemas.openxmlformats.org/drawingml/2006/main">
          <a:r>
            <a:rPr lang="es-MX" sz="800" b="1" i="0" baseline="0"/>
            <a:t>[% SOBRE EL TOTAL DE RESPUESTAS UNIDADES ENTRE 1998 Y 2003 (100 % = 102)]</a:t>
          </a:r>
        </a:p>
        <a:p xmlns:a="http://schemas.openxmlformats.org/drawingml/2006/main">
          <a:r>
            <a:rPr lang="es-MX" sz="800" b="1" i="0" baseline="0"/>
            <a:t>[% SOBRE EL TOTAL DE RESPUESTAS UNIDADES ENTRE 2004 Y 2006 (100% = 83)]</a:t>
          </a:r>
        </a:p>
        <a:p xmlns:a="http://schemas.openxmlformats.org/drawingml/2006/main">
          <a:r>
            <a:rPr lang="es-MX" sz="800" b="1" i="0" baseline="0"/>
            <a:t>[% SOBRE EL TOTAL DE RESPUESTAS UNIDADES ENTRE 2007 Y 2010 (100% = 108)]</a:t>
          </a:r>
        </a:p>
        <a:p xmlns:a="http://schemas.openxmlformats.org/drawingml/2006/main">
          <a:r>
            <a:rPr lang="es-MX" sz="800" b="1" i="0" baseline="0"/>
            <a:t>[% SOBRE EL TOTAL DE RESPUESTAS UNIDADES 2011 EN ADELANTE (100% = 42)]</a:t>
          </a:r>
          <a:endParaRPr lang="es-MX" sz="800" b="1" i="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0.27844</cdr:x>
      <cdr:y>0.11606</cdr:y>
    </cdr:from>
    <cdr:to>
      <cdr:x>0.71475</cdr:x>
      <cdr:y>0.28608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336800" y="664633"/>
          <a:ext cx="3661834" cy="973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 b="1" i="0"/>
            <a:t>[% SOBRE EL TOTAL DE RESPUESTAS UNIDADES ANTERIORES A 1991 (100% = 46)]</a:t>
          </a:r>
        </a:p>
        <a:p xmlns:a="http://schemas.openxmlformats.org/drawingml/2006/main">
          <a:r>
            <a:rPr lang="es-MX" sz="800" b="1" i="0"/>
            <a:t>[% SOBRE EL TOTAL DE RESPUESTAS UNIDADES ENTRE 1991 Y 1993 (100% =</a:t>
          </a:r>
          <a:r>
            <a:rPr lang="es-MX" sz="800" b="1" i="0" baseline="0"/>
            <a:t> 8)]</a:t>
          </a:r>
        </a:p>
        <a:p xmlns:a="http://schemas.openxmlformats.org/drawingml/2006/main">
          <a:r>
            <a:rPr lang="es-MX" sz="800" b="1" i="0" baseline="0"/>
            <a:t>[% SOBRE EL TOTAL DE RESPUESTAS UNIDADES ENTRE 1994 Y 1997 (100% = 24)]</a:t>
          </a:r>
        </a:p>
        <a:p xmlns:a="http://schemas.openxmlformats.org/drawingml/2006/main">
          <a:r>
            <a:rPr lang="es-MX" sz="800" b="1" i="0" baseline="0"/>
            <a:t>[% SOBRE EL TOTAL DE RESPUESTAS UNIDADES ENTRE 1998 Y 2003 (100 % = 85)]</a:t>
          </a:r>
        </a:p>
        <a:p xmlns:a="http://schemas.openxmlformats.org/drawingml/2006/main">
          <a:r>
            <a:rPr lang="es-MX" sz="800" b="1" i="0" baseline="0"/>
            <a:t>[% SOBRE EL TOTAL DE RESPUESTAS UNIDADES ENTRE 2004 Y 2006 (100% = 65)]</a:t>
          </a:r>
        </a:p>
        <a:p xmlns:a="http://schemas.openxmlformats.org/drawingml/2006/main">
          <a:r>
            <a:rPr lang="es-MX" sz="800" b="1" i="0" baseline="0"/>
            <a:t>[% SOBRE EL TOTAL DE RESPUESTAS UNIDADES ENTRE 2007 Y 2010 (100% = 104)]</a:t>
          </a:r>
        </a:p>
        <a:p xmlns:a="http://schemas.openxmlformats.org/drawingml/2006/main">
          <a:r>
            <a:rPr lang="es-MX" sz="800" b="1" i="0" baseline="0"/>
            <a:t>[% SOBRE EL TOTAL DE RESPUESTAS UNIDADES 2011 EN ADELANTE (100% = 41)]</a:t>
          </a:r>
          <a:endParaRPr lang="es-MX" sz="800" b="1" i="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0.27935</cdr:x>
      <cdr:y>0.10072</cdr:y>
    </cdr:from>
    <cdr:to>
      <cdr:x>0.71511</cdr:x>
      <cdr:y>0.2698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347384" y="579967"/>
          <a:ext cx="3661834" cy="973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 b="1" i="0"/>
            <a:t>[% SOBRE EL TOTAL DE RESPUESTAS UNIDADES ANTERIORES A 1991 (100% = 42)]</a:t>
          </a:r>
        </a:p>
        <a:p xmlns:a="http://schemas.openxmlformats.org/drawingml/2006/main">
          <a:r>
            <a:rPr lang="es-MX" sz="800" b="1" i="0"/>
            <a:t>[% SOBRE EL TOTAL DE RESPUESTAS UNIDADES ENTRE 1991 Y 1993 (100% =</a:t>
          </a:r>
          <a:r>
            <a:rPr lang="es-MX" sz="800" b="1" i="0" baseline="0"/>
            <a:t> 8)]</a:t>
          </a:r>
        </a:p>
        <a:p xmlns:a="http://schemas.openxmlformats.org/drawingml/2006/main">
          <a:r>
            <a:rPr lang="es-MX" sz="800" b="1" i="0" baseline="0"/>
            <a:t>[% SOBRE EL TOTAL DE RESPUESTAS UNIDADES ENTRE 1994 Y 1997 (100% = 26)]</a:t>
          </a:r>
        </a:p>
        <a:p xmlns:a="http://schemas.openxmlformats.org/drawingml/2006/main">
          <a:r>
            <a:rPr lang="es-MX" sz="800" b="1" i="0" baseline="0"/>
            <a:t>[% SOBRE EL TOTAL DE RESPUESTAS UNIDADES ENTRE 1998 Y 2003 (100 % = 88)]</a:t>
          </a:r>
        </a:p>
        <a:p xmlns:a="http://schemas.openxmlformats.org/drawingml/2006/main">
          <a:r>
            <a:rPr lang="es-MX" sz="800" b="1" i="0" baseline="0"/>
            <a:t>[% SOBRE EL TOTAL DE RESPUESTAS UNIDADES ENTRE 2004 Y 2006 (100% = 73)]</a:t>
          </a:r>
        </a:p>
        <a:p xmlns:a="http://schemas.openxmlformats.org/drawingml/2006/main">
          <a:r>
            <a:rPr lang="es-MX" sz="800" b="1" i="0" baseline="0"/>
            <a:t>[% SOBRE EL TOTAL DE RESPUESTAS UNIDADES ENTRE 2007 Y 2010 (100% = 103)]</a:t>
          </a:r>
        </a:p>
        <a:p xmlns:a="http://schemas.openxmlformats.org/drawingml/2006/main">
          <a:r>
            <a:rPr lang="es-MX" sz="800" b="1" i="0" baseline="0"/>
            <a:t>[% SOBRE EL TOTAL DE RESPUESTAS UNIDADES 2011 EN ADELANTE (100% = 32)]</a:t>
          </a:r>
          <a:endParaRPr lang="es-MX" sz="800" b="1" i="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0.8988</cdr:x>
      <cdr:y>0.92468</cdr:y>
    </cdr:from>
    <cdr:to>
      <cdr:x>0.99104</cdr:x>
      <cdr:y>0.98991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5470525" y="3527425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0.8792</cdr:x>
      <cdr:y>0.91677</cdr:y>
    </cdr:from>
    <cdr:to>
      <cdr:x>0.94595</cdr:x>
      <cdr:y>0.98233</cdr:y>
    </cdr:to>
    <cdr:sp macro="" textlink="">
      <cdr:nvSpPr>
        <cdr:cNvPr id="2" name="51 CuadroTexto"/>
        <cdr:cNvSpPr txBox="1"/>
      </cdr:nvSpPr>
      <cdr:spPr>
        <a:xfrm xmlns:a="http://schemas.openxmlformats.org/drawingml/2006/main">
          <a:off x="7394575" y="3479800"/>
          <a:ext cx="561436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 b="1"/>
            <a:t>(km/lt)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16"/>
  <sheetViews>
    <sheetView zoomScale="80" zoomScaleNormal="80" workbookViewId="0">
      <pane xSplit="4" ySplit="6" topLeftCell="E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.42578125" defaultRowHeight="15" x14ac:dyDescent="0.25"/>
  <cols>
    <col min="1" max="1" width="18.7109375" style="8" bestFit="1" customWidth="1"/>
    <col min="2" max="2" width="18.7109375" style="8" customWidth="1"/>
    <col min="3" max="3" width="41.140625" style="8" customWidth="1"/>
    <col min="4" max="4" width="8.5703125" style="18" customWidth="1"/>
    <col min="5" max="5" width="12.7109375" style="18" customWidth="1"/>
    <col min="6" max="6" width="12.28515625" style="18" customWidth="1"/>
    <col min="7" max="7" width="9.5703125" style="18" customWidth="1"/>
    <col min="8" max="8" width="10.5703125" style="18" customWidth="1"/>
    <col min="9" max="9" width="7" style="18" customWidth="1"/>
    <col min="10" max="10" width="10" style="18" customWidth="1"/>
    <col min="11" max="11" width="22.140625" style="18" customWidth="1"/>
    <col min="12" max="12" width="31.5703125" style="18" customWidth="1"/>
    <col min="13" max="14" width="24.85546875" style="18" customWidth="1"/>
    <col min="15" max="15" width="23.7109375" style="18" customWidth="1"/>
    <col min="16" max="19" width="10.140625" style="18" customWidth="1"/>
    <col min="20" max="21" width="11.42578125" style="18"/>
    <col min="22" max="22" width="12.28515625" style="18" customWidth="1"/>
    <col min="23" max="25" width="11.42578125" style="18"/>
    <col min="26" max="26" width="13.5703125" style="18" bestFit="1" customWidth="1"/>
    <col min="27" max="32" width="13.5703125" style="18" customWidth="1"/>
    <col min="33" max="33" width="15.85546875" style="18" customWidth="1"/>
    <col min="34" max="34" width="9.28515625" style="18" customWidth="1"/>
    <col min="35" max="35" width="12" style="19" bestFit="1" customWidth="1"/>
    <col min="36" max="38" width="8.28515625" style="18" customWidth="1"/>
    <col min="39" max="39" width="9.42578125" style="18" customWidth="1"/>
    <col min="40" max="40" width="13.85546875" style="18" customWidth="1"/>
    <col min="41" max="41" width="13.42578125" style="18" customWidth="1"/>
    <col min="42" max="42" width="13" style="18" customWidth="1"/>
    <col min="43" max="43" width="14.5703125" style="18" customWidth="1"/>
    <col min="44" max="44" width="12.85546875" style="18" customWidth="1"/>
    <col min="45" max="45" width="12.5703125" style="18" customWidth="1"/>
    <col min="46" max="46" width="18.42578125" style="18" customWidth="1"/>
    <col min="47" max="47" width="11.42578125" style="19"/>
    <col min="48" max="48" width="11.140625" style="20" customWidth="1"/>
    <col min="49" max="49" width="12.42578125" style="18" customWidth="1"/>
    <col min="50" max="50" width="12.5703125" style="18" customWidth="1"/>
    <col min="51" max="51" width="12.28515625" style="18" customWidth="1"/>
    <col min="52" max="52" width="11.42578125" style="18" customWidth="1"/>
    <col min="53" max="53" width="12.5703125" style="18" customWidth="1"/>
    <col min="54" max="56" width="11.42578125" style="18"/>
    <col min="57" max="57" width="14.5703125" style="19" bestFit="1" customWidth="1"/>
    <col min="58" max="58" width="15.140625" style="19" customWidth="1"/>
    <col min="59" max="59" width="14.7109375" style="19" customWidth="1"/>
    <col min="60" max="60" width="14" style="19" customWidth="1"/>
    <col min="61" max="61" width="16.28515625" style="19" customWidth="1"/>
    <col min="62" max="63" width="11.42578125" style="18"/>
    <col min="64" max="64" width="9.85546875" style="18" customWidth="1"/>
    <col min="65" max="65" width="13.28515625" style="18" customWidth="1"/>
    <col min="66" max="66" width="11.42578125" style="18"/>
    <col min="67" max="67" width="9.85546875" style="18" customWidth="1"/>
    <col min="68" max="70" width="11.42578125" style="18"/>
    <col min="71" max="71" width="22.28515625" style="18" customWidth="1"/>
    <col min="72" max="72" width="10.7109375" style="18" customWidth="1"/>
    <col min="73" max="73" width="9" style="18" customWidth="1"/>
    <col min="74" max="74" width="9.7109375" style="18" customWidth="1"/>
    <col min="75" max="75" width="11.85546875" style="18" customWidth="1"/>
    <col min="76" max="76" width="9.42578125" style="18" customWidth="1"/>
    <col min="77" max="77" width="9.7109375" style="18" customWidth="1"/>
    <col min="78" max="78" width="10.85546875" style="18" customWidth="1"/>
    <col min="79" max="79" width="13.42578125" style="18" customWidth="1"/>
    <col min="80" max="80" width="13.5703125" style="18" customWidth="1"/>
    <col min="81" max="81" width="16.85546875" style="18" customWidth="1"/>
    <col min="82" max="82" width="14" style="18" customWidth="1"/>
    <col min="83" max="83" width="11.42578125" style="18"/>
    <col min="84" max="85" width="13.5703125" style="18" customWidth="1"/>
    <col min="86" max="86" width="13.42578125" style="18" customWidth="1"/>
    <col min="87" max="87" width="13" style="18" customWidth="1"/>
    <col min="88" max="88" width="15.5703125" style="18" customWidth="1"/>
    <col min="89" max="89" width="16.42578125" style="18" customWidth="1"/>
    <col min="90" max="90" width="14.85546875" style="18" customWidth="1"/>
    <col min="91" max="91" width="14.42578125" style="18" customWidth="1"/>
    <col min="92" max="92" width="25.7109375" style="18" bestFit="1" customWidth="1"/>
    <col min="93" max="93" width="15.85546875" style="18" customWidth="1"/>
    <col min="94" max="94" width="35.7109375" style="18" bestFit="1" customWidth="1"/>
    <col min="95" max="95" width="25" style="18" customWidth="1"/>
    <col min="96" max="97" width="14.85546875" style="18" customWidth="1"/>
    <col min="98" max="98" width="15.7109375" style="18" customWidth="1"/>
    <col min="99" max="99" width="26.28515625" style="18" customWidth="1"/>
    <col min="100" max="100" width="14.42578125" style="18" customWidth="1"/>
    <col min="101" max="101" width="21.42578125" style="18" customWidth="1"/>
    <col min="102" max="102" width="13" style="18" customWidth="1"/>
    <col min="103" max="103" width="11.42578125" style="18"/>
    <col min="104" max="104" width="26.42578125" style="18" customWidth="1"/>
    <col min="105" max="105" width="51.140625" style="18" customWidth="1"/>
    <col min="106" max="107" width="11.42578125" style="21"/>
    <col min="108" max="109" width="11.42578125" style="18"/>
    <col min="110" max="16384" width="11.42578125" style="21"/>
  </cols>
  <sheetData>
    <row r="1" spans="1:109" ht="15.75" thickBot="1" x14ac:dyDescent="0.3"/>
    <row r="2" spans="1:109" ht="15.75" thickBot="1" x14ac:dyDescent="0.3">
      <c r="A2" s="22" t="s">
        <v>1177</v>
      </c>
      <c r="B2" s="22"/>
      <c r="C2" s="22"/>
      <c r="D2" s="149" t="s">
        <v>0</v>
      </c>
      <c r="E2" s="143" t="s">
        <v>166</v>
      </c>
      <c r="F2" s="144"/>
      <c r="G2" s="144"/>
      <c r="H2" s="145"/>
      <c r="I2" s="135">
        <v>1</v>
      </c>
      <c r="J2" s="136"/>
      <c r="K2" s="23">
        <v>2</v>
      </c>
      <c r="L2" s="23">
        <v>3</v>
      </c>
      <c r="M2" s="23"/>
      <c r="N2" s="23"/>
      <c r="O2" s="23">
        <v>4</v>
      </c>
      <c r="P2" s="135">
        <v>5</v>
      </c>
      <c r="Q2" s="155"/>
      <c r="R2" s="155"/>
      <c r="S2" s="155"/>
      <c r="T2" s="136"/>
      <c r="U2" s="135">
        <v>6</v>
      </c>
      <c r="V2" s="155"/>
      <c r="W2" s="155"/>
      <c r="X2" s="155"/>
      <c r="Y2" s="155"/>
      <c r="Z2" s="155"/>
      <c r="AA2" s="162"/>
      <c r="AB2" s="162"/>
      <c r="AC2" s="162"/>
      <c r="AD2" s="162"/>
      <c r="AE2" s="162"/>
      <c r="AF2" s="162"/>
      <c r="AG2" s="136"/>
      <c r="AH2" s="135">
        <v>7</v>
      </c>
      <c r="AI2" s="136"/>
      <c r="AJ2" s="135">
        <v>8</v>
      </c>
      <c r="AK2" s="155"/>
      <c r="AL2" s="155"/>
      <c r="AM2" s="155"/>
      <c r="AN2" s="136"/>
      <c r="AO2" s="135" t="s">
        <v>84</v>
      </c>
      <c r="AP2" s="155"/>
      <c r="AQ2" s="155"/>
      <c r="AR2" s="155"/>
      <c r="AS2" s="155"/>
      <c r="AT2" s="136"/>
      <c r="AU2" s="135">
        <v>10</v>
      </c>
      <c r="AV2" s="136"/>
      <c r="AW2" s="135">
        <v>11</v>
      </c>
      <c r="AX2" s="136"/>
      <c r="AY2" s="135">
        <v>12</v>
      </c>
      <c r="AZ2" s="136"/>
      <c r="BA2" s="23">
        <v>13</v>
      </c>
      <c r="BB2" s="135">
        <v>14</v>
      </c>
      <c r="BC2" s="155"/>
      <c r="BD2" s="136"/>
      <c r="BE2" s="177">
        <v>15</v>
      </c>
      <c r="BF2" s="178"/>
      <c r="BG2" s="178"/>
      <c r="BH2" s="178"/>
      <c r="BI2" s="179"/>
      <c r="BJ2" s="135">
        <v>16</v>
      </c>
      <c r="BK2" s="155"/>
      <c r="BL2" s="155"/>
      <c r="BM2" s="155"/>
      <c r="BN2" s="155"/>
      <c r="BO2" s="155"/>
      <c r="BP2" s="155"/>
      <c r="BQ2" s="155"/>
      <c r="BR2" s="155"/>
      <c r="BS2" s="136"/>
      <c r="BT2" s="135">
        <v>17</v>
      </c>
      <c r="BU2" s="155"/>
      <c r="BV2" s="155"/>
      <c r="BW2" s="136"/>
      <c r="BX2" s="135">
        <v>18</v>
      </c>
      <c r="BY2" s="155"/>
      <c r="BZ2" s="155"/>
      <c r="CA2" s="136"/>
      <c r="CB2" s="135">
        <v>19</v>
      </c>
      <c r="CC2" s="155"/>
      <c r="CD2" s="155"/>
      <c r="CE2" s="155"/>
      <c r="CF2" s="155"/>
      <c r="CG2" s="155"/>
      <c r="CH2" s="155"/>
      <c r="CI2" s="155"/>
      <c r="CJ2" s="136"/>
      <c r="CK2" s="135">
        <v>20</v>
      </c>
      <c r="CL2" s="155"/>
      <c r="CM2" s="155"/>
      <c r="CN2" s="155"/>
      <c r="CO2" s="155"/>
      <c r="CP2" s="155"/>
      <c r="CQ2" s="136"/>
      <c r="CR2" s="180">
        <v>21</v>
      </c>
      <c r="CS2" s="181"/>
      <c r="CT2" s="181"/>
      <c r="CU2" s="182"/>
      <c r="CV2" s="135">
        <v>22</v>
      </c>
      <c r="CW2" s="155"/>
      <c r="CX2" s="155"/>
      <c r="CY2" s="155"/>
      <c r="CZ2" s="136"/>
      <c r="DA2" s="24"/>
    </row>
    <row r="3" spans="1:109" ht="63.75" customHeight="1" thickBot="1" x14ac:dyDescent="0.3">
      <c r="D3" s="150"/>
      <c r="E3" s="146"/>
      <c r="F3" s="147"/>
      <c r="G3" s="147"/>
      <c r="H3" s="148"/>
      <c r="I3" s="137" t="s">
        <v>2</v>
      </c>
      <c r="J3" s="139" t="s">
        <v>1</v>
      </c>
      <c r="K3" s="141" t="s">
        <v>82</v>
      </c>
      <c r="L3" s="156" t="s">
        <v>83</v>
      </c>
      <c r="M3" s="120" t="s">
        <v>1004</v>
      </c>
      <c r="N3" s="120" t="s">
        <v>1164</v>
      </c>
      <c r="O3" s="156" t="s">
        <v>3</v>
      </c>
      <c r="P3" s="152" t="s">
        <v>9</v>
      </c>
      <c r="Q3" s="153"/>
      <c r="R3" s="153"/>
      <c r="S3" s="153"/>
      <c r="T3" s="154"/>
      <c r="U3" s="158" t="s">
        <v>17</v>
      </c>
      <c r="V3" s="159"/>
      <c r="W3" s="159"/>
      <c r="X3" s="159"/>
      <c r="Y3" s="159"/>
      <c r="Z3" s="159"/>
      <c r="AA3" s="160"/>
      <c r="AB3" s="160"/>
      <c r="AC3" s="160"/>
      <c r="AD3" s="160"/>
      <c r="AE3" s="160"/>
      <c r="AF3" s="160"/>
      <c r="AG3" s="161"/>
      <c r="AH3" s="158" t="s">
        <v>18</v>
      </c>
      <c r="AI3" s="161"/>
      <c r="AJ3" s="158" t="s">
        <v>25</v>
      </c>
      <c r="AK3" s="159"/>
      <c r="AL3" s="159"/>
      <c r="AM3" s="159"/>
      <c r="AN3" s="161"/>
      <c r="AO3" s="163" t="s">
        <v>26</v>
      </c>
      <c r="AP3" s="165" t="s">
        <v>27</v>
      </c>
      <c r="AQ3" s="169" t="s">
        <v>28</v>
      </c>
      <c r="AR3" s="170"/>
      <c r="AS3" s="171"/>
      <c r="AT3" s="167" t="s">
        <v>32</v>
      </c>
      <c r="AU3" s="172" t="s">
        <v>85</v>
      </c>
      <c r="AV3" s="173"/>
      <c r="AW3" s="163" t="s">
        <v>86</v>
      </c>
      <c r="AX3" s="167"/>
      <c r="AY3" s="163" t="s">
        <v>36</v>
      </c>
      <c r="AZ3" s="167" t="s">
        <v>37</v>
      </c>
      <c r="BA3" s="156" t="s">
        <v>38</v>
      </c>
      <c r="BB3" s="152" t="s">
        <v>42</v>
      </c>
      <c r="BC3" s="153"/>
      <c r="BD3" s="154"/>
      <c r="BE3" s="174" t="s">
        <v>47</v>
      </c>
      <c r="BF3" s="175"/>
      <c r="BG3" s="175"/>
      <c r="BH3" s="175"/>
      <c r="BI3" s="176"/>
      <c r="BJ3" s="152" t="s">
        <v>87</v>
      </c>
      <c r="BK3" s="153"/>
      <c r="BL3" s="153"/>
      <c r="BM3" s="153"/>
      <c r="BN3" s="153"/>
      <c r="BO3" s="153"/>
      <c r="BP3" s="153"/>
      <c r="BQ3" s="153"/>
      <c r="BR3" s="153"/>
      <c r="BS3" s="154"/>
      <c r="BT3" s="152" t="s">
        <v>62</v>
      </c>
      <c r="BU3" s="153"/>
      <c r="BV3" s="153"/>
      <c r="BW3" s="154"/>
      <c r="BX3" s="184" t="s">
        <v>88</v>
      </c>
      <c r="BY3" s="185"/>
      <c r="BZ3" s="185"/>
      <c r="CA3" s="186"/>
      <c r="CB3" s="152" t="s">
        <v>73</v>
      </c>
      <c r="CC3" s="153"/>
      <c r="CD3" s="153"/>
      <c r="CE3" s="153"/>
      <c r="CF3" s="153"/>
      <c r="CG3" s="153"/>
      <c r="CH3" s="153"/>
      <c r="CI3" s="153"/>
      <c r="CJ3" s="154"/>
      <c r="CK3" s="163" t="s">
        <v>75</v>
      </c>
      <c r="CL3" s="165"/>
      <c r="CM3" s="165" t="s">
        <v>74</v>
      </c>
      <c r="CN3" s="165"/>
      <c r="CO3" s="165"/>
      <c r="CP3" s="165" t="s">
        <v>76</v>
      </c>
      <c r="CQ3" s="167" t="s">
        <v>77</v>
      </c>
      <c r="CR3" s="172" t="s">
        <v>178</v>
      </c>
      <c r="CS3" s="183"/>
      <c r="CT3" s="183"/>
      <c r="CU3" s="173"/>
      <c r="CV3" s="152" t="s">
        <v>81</v>
      </c>
      <c r="CW3" s="153"/>
      <c r="CX3" s="153"/>
      <c r="CY3" s="153"/>
      <c r="CZ3" s="154"/>
      <c r="DA3" s="25"/>
    </row>
    <row r="4" spans="1:109" ht="54" customHeight="1" thickBot="1" x14ac:dyDescent="0.3">
      <c r="D4" s="151"/>
      <c r="E4" s="122" t="s">
        <v>167</v>
      </c>
      <c r="F4" s="123" t="s">
        <v>168</v>
      </c>
      <c r="G4" s="26" t="s">
        <v>169</v>
      </c>
      <c r="H4" s="124" t="s">
        <v>170</v>
      </c>
      <c r="I4" s="138"/>
      <c r="J4" s="140"/>
      <c r="K4" s="142"/>
      <c r="L4" s="157"/>
      <c r="M4" s="121"/>
      <c r="N4" s="121"/>
      <c r="O4" s="157"/>
      <c r="P4" s="27" t="s">
        <v>4</v>
      </c>
      <c r="Q4" s="28" t="s">
        <v>5</v>
      </c>
      <c r="R4" s="28" t="s">
        <v>6</v>
      </c>
      <c r="S4" s="28" t="s">
        <v>7</v>
      </c>
      <c r="T4" s="124" t="s">
        <v>8</v>
      </c>
      <c r="U4" s="27" t="s">
        <v>10</v>
      </c>
      <c r="V4" s="123" t="s">
        <v>11</v>
      </c>
      <c r="W4" s="28" t="s">
        <v>12</v>
      </c>
      <c r="X4" s="123" t="s">
        <v>13</v>
      </c>
      <c r="Y4" s="28" t="s">
        <v>14</v>
      </c>
      <c r="Z4" s="123" t="s">
        <v>15</v>
      </c>
      <c r="AA4" s="89" t="s">
        <v>1345</v>
      </c>
      <c r="AB4" s="89" t="s">
        <v>1346</v>
      </c>
      <c r="AC4" s="89" t="s">
        <v>1347</v>
      </c>
      <c r="AD4" s="89" t="s">
        <v>1348</v>
      </c>
      <c r="AE4" s="89" t="s">
        <v>1349</v>
      </c>
      <c r="AF4" s="89" t="s">
        <v>1350</v>
      </c>
      <c r="AG4" s="124" t="s">
        <v>16</v>
      </c>
      <c r="AH4" s="122" t="s">
        <v>19</v>
      </c>
      <c r="AI4" s="29" t="s">
        <v>20</v>
      </c>
      <c r="AJ4" s="122" t="s">
        <v>21</v>
      </c>
      <c r="AK4" s="123" t="s">
        <v>22</v>
      </c>
      <c r="AL4" s="123" t="s">
        <v>23</v>
      </c>
      <c r="AM4" s="123" t="s">
        <v>24</v>
      </c>
      <c r="AN4" s="124" t="s">
        <v>8</v>
      </c>
      <c r="AO4" s="164"/>
      <c r="AP4" s="166"/>
      <c r="AQ4" s="123" t="s">
        <v>29</v>
      </c>
      <c r="AR4" s="123" t="s">
        <v>30</v>
      </c>
      <c r="AS4" s="30" t="s">
        <v>31</v>
      </c>
      <c r="AT4" s="168"/>
      <c r="AU4" s="31" t="s">
        <v>171</v>
      </c>
      <c r="AV4" s="32" t="s">
        <v>33</v>
      </c>
      <c r="AW4" s="33" t="s">
        <v>34</v>
      </c>
      <c r="AX4" s="34" t="s">
        <v>35</v>
      </c>
      <c r="AY4" s="164"/>
      <c r="AZ4" s="168"/>
      <c r="BA4" s="157"/>
      <c r="BB4" s="122" t="s">
        <v>39</v>
      </c>
      <c r="BC4" s="123" t="s">
        <v>40</v>
      </c>
      <c r="BD4" s="124" t="s">
        <v>41</v>
      </c>
      <c r="BE4" s="35" t="s">
        <v>43</v>
      </c>
      <c r="BF4" s="36" t="s">
        <v>44</v>
      </c>
      <c r="BG4" s="36" t="s">
        <v>45</v>
      </c>
      <c r="BH4" s="36" t="s">
        <v>46</v>
      </c>
      <c r="BI4" s="29" t="s">
        <v>164</v>
      </c>
      <c r="BJ4" s="122" t="s">
        <v>48</v>
      </c>
      <c r="BK4" s="123" t="s">
        <v>49</v>
      </c>
      <c r="BL4" s="123" t="s">
        <v>50</v>
      </c>
      <c r="BM4" s="123" t="s">
        <v>51</v>
      </c>
      <c r="BN4" s="123" t="s">
        <v>52</v>
      </c>
      <c r="BO4" s="123" t="s">
        <v>53</v>
      </c>
      <c r="BP4" s="123" t="s">
        <v>54</v>
      </c>
      <c r="BQ4" s="123" t="s">
        <v>55</v>
      </c>
      <c r="BR4" s="123" t="s">
        <v>56</v>
      </c>
      <c r="BS4" s="124" t="s">
        <v>57</v>
      </c>
      <c r="BT4" s="122" t="s">
        <v>58</v>
      </c>
      <c r="BU4" s="123" t="s">
        <v>59</v>
      </c>
      <c r="BV4" s="123" t="s">
        <v>60</v>
      </c>
      <c r="BW4" s="124" t="s">
        <v>61</v>
      </c>
      <c r="BX4" s="122" t="s">
        <v>63</v>
      </c>
      <c r="BY4" s="123" t="s">
        <v>64</v>
      </c>
      <c r="BZ4" s="123" t="s">
        <v>65</v>
      </c>
      <c r="CA4" s="124" t="s">
        <v>8</v>
      </c>
      <c r="CB4" s="122" t="s">
        <v>66</v>
      </c>
      <c r="CC4" s="123" t="s">
        <v>28</v>
      </c>
      <c r="CD4" s="123" t="s">
        <v>67</v>
      </c>
      <c r="CE4" s="123" t="s">
        <v>68</v>
      </c>
      <c r="CF4" s="123" t="s">
        <v>69</v>
      </c>
      <c r="CG4" s="123" t="s">
        <v>70</v>
      </c>
      <c r="CH4" s="123" t="s">
        <v>71</v>
      </c>
      <c r="CI4" s="123" t="s">
        <v>72</v>
      </c>
      <c r="CJ4" s="124" t="s">
        <v>57</v>
      </c>
      <c r="CK4" s="122" t="s">
        <v>66</v>
      </c>
      <c r="CL4" s="123" t="s">
        <v>28</v>
      </c>
      <c r="CM4" s="123" t="s">
        <v>66</v>
      </c>
      <c r="CN4" s="123" t="s">
        <v>177</v>
      </c>
      <c r="CO4" s="123" t="s">
        <v>28</v>
      </c>
      <c r="CP4" s="166"/>
      <c r="CQ4" s="168"/>
      <c r="CR4" s="122" t="s">
        <v>179</v>
      </c>
      <c r="CS4" s="123" t="s">
        <v>181</v>
      </c>
      <c r="CT4" s="123" t="s">
        <v>182</v>
      </c>
      <c r="CU4" s="124" t="s">
        <v>57</v>
      </c>
      <c r="CV4" s="122" t="s">
        <v>78</v>
      </c>
      <c r="CW4" s="123" t="s">
        <v>79</v>
      </c>
      <c r="CX4" s="123" t="s">
        <v>89</v>
      </c>
      <c r="CY4" s="123" t="s">
        <v>80</v>
      </c>
      <c r="CZ4" s="124" t="s">
        <v>57</v>
      </c>
      <c r="DA4" s="119" t="s">
        <v>186</v>
      </c>
    </row>
    <row r="5" spans="1:109" ht="15.75" thickBot="1" x14ac:dyDescent="0.3"/>
    <row r="6" spans="1:109" s="43" customFormat="1" ht="51.75" thickBot="1" x14ac:dyDescent="0.3">
      <c r="A6" s="22" t="s">
        <v>1177</v>
      </c>
      <c r="B6" s="101" t="s">
        <v>1558</v>
      </c>
      <c r="C6" s="101" t="s">
        <v>1557</v>
      </c>
      <c r="D6" s="37" t="s">
        <v>0</v>
      </c>
      <c r="E6" s="38" t="s">
        <v>183</v>
      </c>
      <c r="F6" s="38" t="s">
        <v>168</v>
      </c>
      <c r="G6" s="38" t="s">
        <v>184</v>
      </c>
      <c r="H6" s="38" t="s">
        <v>185</v>
      </c>
      <c r="I6" s="38" t="s">
        <v>90</v>
      </c>
      <c r="J6" s="38" t="s">
        <v>1</v>
      </c>
      <c r="K6" s="38" t="s">
        <v>91</v>
      </c>
      <c r="L6" s="38" t="s">
        <v>92</v>
      </c>
      <c r="M6" s="39" t="s">
        <v>1004</v>
      </c>
      <c r="N6" s="39" t="s">
        <v>1164</v>
      </c>
      <c r="O6" s="38" t="s">
        <v>93</v>
      </c>
      <c r="P6" s="38" t="s">
        <v>94</v>
      </c>
      <c r="Q6" s="38" t="s">
        <v>95</v>
      </c>
      <c r="R6" s="38" t="s">
        <v>96</v>
      </c>
      <c r="S6" s="38" t="s">
        <v>97</v>
      </c>
      <c r="T6" s="38" t="s">
        <v>98</v>
      </c>
      <c r="U6" s="38" t="s">
        <v>99</v>
      </c>
      <c r="V6" s="38" t="s">
        <v>100</v>
      </c>
      <c r="W6" s="38" t="s">
        <v>101</v>
      </c>
      <c r="X6" s="38" t="s">
        <v>102</v>
      </c>
      <c r="Y6" s="38" t="s">
        <v>103</v>
      </c>
      <c r="Z6" s="38" t="s">
        <v>104</v>
      </c>
      <c r="AA6" s="89" t="s">
        <v>1345</v>
      </c>
      <c r="AB6" s="89" t="s">
        <v>1346</v>
      </c>
      <c r="AC6" s="89" t="s">
        <v>1347</v>
      </c>
      <c r="AD6" s="89" t="s">
        <v>1348</v>
      </c>
      <c r="AE6" s="89" t="s">
        <v>1349</v>
      </c>
      <c r="AF6" s="89" t="s">
        <v>1350</v>
      </c>
      <c r="AG6" s="38" t="s">
        <v>105</v>
      </c>
      <c r="AH6" s="38" t="s">
        <v>19</v>
      </c>
      <c r="AI6" s="40" t="s">
        <v>106</v>
      </c>
      <c r="AJ6" s="38" t="s">
        <v>107</v>
      </c>
      <c r="AK6" s="38" t="s">
        <v>108</v>
      </c>
      <c r="AL6" s="38" t="s">
        <v>109</v>
      </c>
      <c r="AM6" s="38" t="s">
        <v>110</v>
      </c>
      <c r="AN6" s="38" t="s">
        <v>111</v>
      </c>
      <c r="AO6" s="38" t="s">
        <v>112</v>
      </c>
      <c r="AP6" s="38" t="s">
        <v>113</v>
      </c>
      <c r="AQ6" s="38" t="s">
        <v>114</v>
      </c>
      <c r="AR6" s="38" t="s">
        <v>115</v>
      </c>
      <c r="AS6" s="38" t="s">
        <v>116</v>
      </c>
      <c r="AT6" s="38" t="s">
        <v>117</v>
      </c>
      <c r="AU6" s="40" t="s">
        <v>187</v>
      </c>
      <c r="AV6" s="41" t="s">
        <v>118</v>
      </c>
      <c r="AW6" s="38" t="s">
        <v>120</v>
      </c>
      <c r="AX6" s="38" t="s">
        <v>119</v>
      </c>
      <c r="AY6" s="38" t="s">
        <v>121</v>
      </c>
      <c r="AZ6" s="38" t="s">
        <v>1292</v>
      </c>
      <c r="BA6" s="38" t="s">
        <v>123</v>
      </c>
      <c r="BB6" s="38" t="s">
        <v>124</v>
      </c>
      <c r="BC6" s="38" t="s">
        <v>125</v>
      </c>
      <c r="BD6" s="38" t="s">
        <v>163</v>
      </c>
      <c r="BE6" s="40" t="s">
        <v>172</v>
      </c>
      <c r="BF6" s="40" t="s">
        <v>173</v>
      </c>
      <c r="BG6" s="40" t="s">
        <v>174</v>
      </c>
      <c r="BH6" s="40" t="s">
        <v>175</v>
      </c>
      <c r="BI6" s="40" t="s">
        <v>176</v>
      </c>
      <c r="BJ6" s="38" t="s">
        <v>126</v>
      </c>
      <c r="BK6" s="38" t="s">
        <v>127</v>
      </c>
      <c r="BL6" s="38" t="s">
        <v>128</v>
      </c>
      <c r="BM6" s="38" t="s">
        <v>129</v>
      </c>
      <c r="BN6" s="38" t="s">
        <v>130</v>
      </c>
      <c r="BO6" s="38" t="s">
        <v>131</v>
      </c>
      <c r="BP6" s="38" t="s">
        <v>132</v>
      </c>
      <c r="BQ6" s="38" t="s">
        <v>133</v>
      </c>
      <c r="BR6" s="38" t="s">
        <v>134</v>
      </c>
      <c r="BS6" s="38" t="s">
        <v>135</v>
      </c>
      <c r="BT6" s="38" t="s">
        <v>1293</v>
      </c>
      <c r="BU6" s="38" t="s">
        <v>137</v>
      </c>
      <c r="BV6" s="38" t="s">
        <v>138</v>
      </c>
      <c r="BW6" s="38" t="s">
        <v>1294</v>
      </c>
      <c r="BX6" s="38" t="s">
        <v>140</v>
      </c>
      <c r="BY6" s="38" t="s">
        <v>141</v>
      </c>
      <c r="BZ6" s="38" t="s">
        <v>142</v>
      </c>
      <c r="CA6" s="38" t="s">
        <v>143</v>
      </c>
      <c r="CB6" s="38" t="s">
        <v>144</v>
      </c>
      <c r="CC6" s="38" t="s">
        <v>145</v>
      </c>
      <c r="CD6" s="38" t="s">
        <v>147</v>
      </c>
      <c r="CE6" s="38" t="s">
        <v>146</v>
      </c>
      <c r="CF6" s="38" t="s">
        <v>148</v>
      </c>
      <c r="CG6" s="38" t="s">
        <v>149</v>
      </c>
      <c r="CH6" s="38" t="s">
        <v>150</v>
      </c>
      <c r="CI6" s="38" t="s">
        <v>151</v>
      </c>
      <c r="CJ6" s="38" t="s">
        <v>165</v>
      </c>
      <c r="CK6" s="38" t="s">
        <v>152</v>
      </c>
      <c r="CL6" s="38" t="s">
        <v>153</v>
      </c>
      <c r="CM6" s="38" t="s">
        <v>154</v>
      </c>
      <c r="CN6" s="38" t="s">
        <v>200</v>
      </c>
      <c r="CO6" s="38" t="s">
        <v>155</v>
      </c>
      <c r="CP6" s="38" t="s">
        <v>156</v>
      </c>
      <c r="CQ6" s="38" t="s">
        <v>157</v>
      </c>
      <c r="CR6" s="38" t="s">
        <v>180</v>
      </c>
      <c r="CS6" s="38" t="s">
        <v>224</v>
      </c>
      <c r="CT6" s="38" t="s">
        <v>225</v>
      </c>
      <c r="CU6" s="38" t="s">
        <v>226</v>
      </c>
      <c r="CV6" s="38" t="s">
        <v>159</v>
      </c>
      <c r="CW6" s="38" t="s">
        <v>158</v>
      </c>
      <c r="CX6" s="38" t="s">
        <v>160</v>
      </c>
      <c r="CY6" s="38" t="s">
        <v>161</v>
      </c>
      <c r="CZ6" s="42" t="s">
        <v>162</v>
      </c>
      <c r="DA6" s="39" t="s">
        <v>186</v>
      </c>
      <c r="DD6" s="43" t="s">
        <v>424</v>
      </c>
      <c r="DE6" s="43" t="s">
        <v>1431</v>
      </c>
    </row>
    <row r="7" spans="1:109" x14ac:dyDescent="0.25">
      <c r="A7" s="58" t="s">
        <v>1317</v>
      </c>
      <c r="B7" s="100">
        <v>41512</v>
      </c>
      <c r="C7" s="102" t="s">
        <v>1556</v>
      </c>
      <c r="D7" s="44" t="s">
        <v>194</v>
      </c>
      <c r="E7" s="6"/>
      <c r="F7" s="6" t="s">
        <v>188</v>
      </c>
      <c r="G7" s="6"/>
      <c r="H7" s="6"/>
      <c r="I7" s="6">
        <v>28</v>
      </c>
      <c r="J7" s="6" t="s">
        <v>189</v>
      </c>
      <c r="K7" s="6" t="s">
        <v>190</v>
      </c>
      <c r="L7" s="6" t="s">
        <v>191</v>
      </c>
      <c r="M7" s="6" t="s">
        <v>1005</v>
      </c>
      <c r="N7" s="6" t="s">
        <v>1005</v>
      </c>
      <c r="O7" s="6">
        <v>8</v>
      </c>
      <c r="P7" s="6"/>
      <c r="Q7" s="6" t="s">
        <v>188</v>
      </c>
      <c r="R7" s="6"/>
      <c r="S7" s="6"/>
      <c r="T7" s="6"/>
      <c r="U7" s="6" t="s">
        <v>188</v>
      </c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>
        <v>1978</v>
      </c>
      <c r="AI7" s="12">
        <v>2150000</v>
      </c>
      <c r="AJ7" s="6"/>
      <c r="AK7" s="6"/>
      <c r="AL7" s="6" t="s">
        <v>188</v>
      </c>
      <c r="AM7" s="6"/>
      <c r="AN7" s="6"/>
      <c r="AO7" s="6"/>
      <c r="AP7" s="6"/>
      <c r="AQ7" s="6" t="s">
        <v>188</v>
      </c>
      <c r="AR7" s="6"/>
      <c r="AS7" s="6">
        <v>1999</v>
      </c>
      <c r="AT7" s="6" t="s">
        <v>192</v>
      </c>
      <c r="AU7" s="12">
        <v>4300</v>
      </c>
      <c r="AV7" s="45">
        <v>0.5</v>
      </c>
      <c r="AW7" s="6">
        <v>2</v>
      </c>
      <c r="AX7" s="6">
        <v>1.7</v>
      </c>
      <c r="AY7" s="6">
        <v>1</v>
      </c>
      <c r="AZ7" s="6">
        <v>250</v>
      </c>
      <c r="BA7" s="6">
        <v>450</v>
      </c>
      <c r="BB7" s="6" t="s">
        <v>199</v>
      </c>
      <c r="BC7" s="6" t="s">
        <v>199</v>
      </c>
      <c r="BD7" s="6" t="s">
        <v>199</v>
      </c>
      <c r="BE7" s="12">
        <v>6000</v>
      </c>
      <c r="BF7" s="12">
        <v>7000</v>
      </c>
      <c r="BG7" s="12">
        <v>15000</v>
      </c>
      <c r="BH7" s="12">
        <v>80000</v>
      </c>
      <c r="BI7" s="12">
        <v>15000</v>
      </c>
      <c r="BJ7" s="6" t="s">
        <v>188</v>
      </c>
      <c r="BK7" s="6"/>
      <c r="BL7" s="6"/>
      <c r="BM7" s="6"/>
      <c r="BN7" s="6"/>
      <c r="BO7" s="6" t="s">
        <v>188</v>
      </c>
      <c r="BP7" s="6"/>
      <c r="BQ7" s="6"/>
      <c r="BR7" s="6"/>
      <c r="BS7" s="91"/>
      <c r="BT7" s="6"/>
      <c r="BU7" s="6" t="s">
        <v>188</v>
      </c>
      <c r="BV7" s="6"/>
      <c r="BW7" s="6"/>
      <c r="BX7" s="6">
        <v>1</v>
      </c>
      <c r="BY7" s="6">
        <v>3</v>
      </c>
      <c r="BZ7" s="6">
        <v>2</v>
      </c>
      <c r="CA7" s="6"/>
      <c r="CB7" s="6" t="s">
        <v>188</v>
      </c>
      <c r="CC7" s="6"/>
      <c r="CD7" s="6"/>
      <c r="CE7" s="6"/>
      <c r="CF7" s="6"/>
      <c r="CG7" s="6"/>
      <c r="CH7" s="6"/>
      <c r="CI7" s="6"/>
      <c r="CJ7" s="6"/>
      <c r="CK7" s="6" t="s">
        <v>188</v>
      </c>
      <c r="CL7" s="6"/>
      <c r="CM7" s="6"/>
      <c r="CN7" s="6"/>
      <c r="CO7" s="6"/>
      <c r="CP7" s="6" t="s">
        <v>193</v>
      </c>
      <c r="CQ7" s="6" t="s">
        <v>193</v>
      </c>
      <c r="CR7" s="6" t="s">
        <v>188</v>
      </c>
      <c r="CS7" s="6"/>
      <c r="CT7" s="6"/>
      <c r="CU7" s="6"/>
      <c r="CV7" s="6"/>
      <c r="CW7" s="6"/>
      <c r="CX7" s="6" t="s">
        <v>188</v>
      </c>
      <c r="CY7" s="6" t="s">
        <v>188</v>
      </c>
      <c r="CZ7" s="46"/>
      <c r="DA7" s="47"/>
      <c r="DC7" s="18">
        <f>IF(AX7&gt;AW7,1,0)</f>
        <v>0</v>
      </c>
      <c r="DD7" s="18">
        <f>IF(E7="X",1,(IF(F7="X",2,(IF(G7="X",3,7)))))</f>
        <v>2</v>
      </c>
      <c r="DE7" s="18">
        <f>IF(AS7&gt;AH7,AS7,AH7)</f>
        <v>1999</v>
      </c>
    </row>
    <row r="8" spans="1:109" x14ac:dyDescent="0.25">
      <c r="A8" s="59" t="s">
        <v>1317</v>
      </c>
      <c r="B8" s="103">
        <v>41512</v>
      </c>
      <c r="C8" s="104" t="s">
        <v>1556</v>
      </c>
      <c r="D8" s="14" t="s">
        <v>195</v>
      </c>
      <c r="E8" s="15"/>
      <c r="F8" s="15"/>
      <c r="G8" s="15" t="s">
        <v>188</v>
      </c>
      <c r="H8" s="15"/>
      <c r="I8" s="15">
        <v>42</v>
      </c>
      <c r="J8" s="15" t="s">
        <v>189</v>
      </c>
      <c r="K8" s="15" t="s">
        <v>196</v>
      </c>
      <c r="L8" s="15" t="s">
        <v>197</v>
      </c>
      <c r="M8" s="15" t="s">
        <v>1006</v>
      </c>
      <c r="N8" s="15" t="s">
        <v>1006</v>
      </c>
      <c r="O8" s="15">
        <v>22</v>
      </c>
      <c r="P8" s="15"/>
      <c r="Q8" s="15" t="s">
        <v>188</v>
      </c>
      <c r="R8" s="15"/>
      <c r="S8" s="15"/>
      <c r="T8" s="15"/>
      <c r="U8" s="15"/>
      <c r="V8" s="15"/>
      <c r="W8" s="15"/>
      <c r="X8" s="15"/>
      <c r="Y8" s="15" t="s">
        <v>188</v>
      </c>
      <c r="Z8" s="15"/>
      <c r="AA8" s="15"/>
      <c r="AB8" s="15"/>
      <c r="AC8" s="15"/>
      <c r="AD8" s="15"/>
      <c r="AE8" s="15"/>
      <c r="AF8" s="15"/>
      <c r="AG8" s="15"/>
      <c r="AH8" s="15">
        <v>1986</v>
      </c>
      <c r="AI8" s="1">
        <v>980000</v>
      </c>
      <c r="AJ8" s="15"/>
      <c r="AK8" s="15"/>
      <c r="AL8" s="15" t="s">
        <v>188</v>
      </c>
      <c r="AM8" s="15"/>
      <c r="AN8" s="15"/>
      <c r="AO8" s="15" t="s">
        <v>188</v>
      </c>
      <c r="AP8" s="15"/>
      <c r="AQ8" s="15"/>
      <c r="AR8" s="15"/>
      <c r="AS8" s="15"/>
      <c r="AT8" s="15" t="s">
        <v>198</v>
      </c>
      <c r="AU8" s="1">
        <v>3000</v>
      </c>
      <c r="AV8" s="48">
        <v>0.5</v>
      </c>
      <c r="AW8" s="15">
        <v>1.8</v>
      </c>
      <c r="AX8" s="15">
        <v>1.5</v>
      </c>
      <c r="AY8" s="15">
        <v>1</v>
      </c>
      <c r="AZ8" s="15">
        <v>380</v>
      </c>
      <c r="BA8" s="15">
        <v>650</v>
      </c>
      <c r="BB8" s="15" t="s">
        <v>199</v>
      </c>
      <c r="BC8" s="15" t="s">
        <v>199</v>
      </c>
      <c r="BD8" s="15" t="s">
        <v>199</v>
      </c>
      <c r="BE8" s="1">
        <v>8000</v>
      </c>
      <c r="BF8" s="1">
        <v>6000</v>
      </c>
      <c r="BG8" s="1">
        <v>10000</v>
      </c>
      <c r="BH8" s="1">
        <v>90000</v>
      </c>
      <c r="BI8" s="1">
        <v>10000</v>
      </c>
      <c r="BJ8" s="15"/>
      <c r="BK8" s="15"/>
      <c r="BL8" s="15"/>
      <c r="BM8" s="15"/>
      <c r="BN8" s="15"/>
      <c r="BO8" s="15"/>
      <c r="BP8" s="15"/>
      <c r="BQ8" s="15"/>
      <c r="BR8" s="15" t="s">
        <v>188</v>
      </c>
      <c r="BS8" s="2"/>
      <c r="BT8" s="15"/>
      <c r="BU8" s="15" t="s">
        <v>188</v>
      </c>
      <c r="BV8" s="15"/>
      <c r="BW8" s="15"/>
      <c r="BX8" s="15">
        <v>2</v>
      </c>
      <c r="BY8" s="15">
        <v>3</v>
      </c>
      <c r="BZ8" s="15">
        <v>1</v>
      </c>
      <c r="CA8" s="15"/>
      <c r="CB8" s="15" t="s">
        <v>188</v>
      </c>
      <c r="CC8" s="15"/>
      <c r="CD8" s="15"/>
      <c r="CE8" s="15"/>
      <c r="CF8" s="15"/>
      <c r="CG8" s="15"/>
      <c r="CH8" s="15"/>
      <c r="CI8" s="15"/>
      <c r="CJ8" s="15"/>
      <c r="CK8" s="15"/>
      <c r="CL8" s="15" t="s">
        <v>188</v>
      </c>
      <c r="CM8" s="15" t="s">
        <v>188</v>
      </c>
      <c r="CN8" s="15" t="s">
        <v>201</v>
      </c>
      <c r="CO8" s="15"/>
      <c r="CP8" s="15" t="s">
        <v>202</v>
      </c>
      <c r="CQ8" s="15" t="s">
        <v>203</v>
      </c>
      <c r="CR8" s="15"/>
      <c r="CS8" s="15"/>
      <c r="CT8" s="15" t="s">
        <v>188</v>
      </c>
      <c r="CU8" s="15"/>
      <c r="CV8" s="15" t="s">
        <v>188</v>
      </c>
      <c r="CW8" s="15" t="s">
        <v>204</v>
      </c>
      <c r="CX8" s="15"/>
      <c r="CY8" s="15"/>
      <c r="CZ8" s="3"/>
      <c r="DA8" s="49" t="s">
        <v>205</v>
      </c>
      <c r="DC8" s="18">
        <f t="shared" ref="DC8:DC71" si="0">IF(AX8&gt;AW8,1,0)</f>
        <v>0</v>
      </c>
      <c r="DD8" s="18">
        <f t="shared" ref="DD8:DD71" si="1">IF(E8="X",1,(IF(F8="X",2,(IF(G8="X",3,7)))))</f>
        <v>3</v>
      </c>
      <c r="DE8" s="18">
        <f t="shared" ref="DE8:DE71" si="2">IF(AS8&gt;AH8,AS8,AH8)</f>
        <v>1986</v>
      </c>
    </row>
    <row r="9" spans="1:109" x14ac:dyDescent="0.25">
      <c r="A9" s="59" t="s">
        <v>1317</v>
      </c>
      <c r="B9" s="103">
        <v>41512</v>
      </c>
      <c r="C9" s="104" t="s">
        <v>1556</v>
      </c>
      <c r="D9" s="14" t="s">
        <v>206</v>
      </c>
      <c r="E9" s="15"/>
      <c r="F9" s="15"/>
      <c r="G9" s="15" t="s">
        <v>188</v>
      </c>
      <c r="H9" s="15"/>
      <c r="I9" s="15">
        <v>53</v>
      </c>
      <c r="J9" s="15" t="s">
        <v>189</v>
      </c>
      <c r="K9" s="15" t="s">
        <v>196</v>
      </c>
      <c r="L9" s="15" t="s">
        <v>207</v>
      </c>
      <c r="M9" s="50" t="s">
        <v>1007</v>
      </c>
      <c r="N9" s="15" t="s">
        <v>1083</v>
      </c>
      <c r="O9" s="15">
        <v>30</v>
      </c>
      <c r="P9" s="15" t="s">
        <v>188</v>
      </c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 t="s">
        <v>188</v>
      </c>
      <c r="AG9" s="15"/>
      <c r="AH9" s="15">
        <v>2000</v>
      </c>
      <c r="AI9" s="1">
        <v>780000</v>
      </c>
      <c r="AJ9" s="15"/>
      <c r="AK9" s="15"/>
      <c r="AL9" s="15" t="s">
        <v>188</v>
      </c>
      <c r="AM9" s="15"/>
      <c r="AN9" s="15"/>
      <c r="AO9" s="15"/>
      <c r="AP9" s="15" t="s">
        <v>188</v>
      </c>
      <c r="AQ9" s="15"/>
      <c r="AR9" s="15"/>
      <c r="AS9" s="15"/>
      <c r="AT9" s="15" t="s">
        <v>1316</v>
      </c>
      <c r="AU9" s="1">
        <v>5000</v>
      </c>
      <c r="AV9" s="48">
        <v>0.4</v>
      </c>
      <c r="AW9" s="15">
        <v>2.2000000000000002</v>
      </c>
      <c r="AX9" s="15">
        <v>1.8</v>
      </c>
      <c r="AY9" s="15">
        <v>1</v>
      </c>
      <c r="AZ9" s="15">
        <v>350</v>
      </c>
      <c r="BA9" s="15">
        <v>650</v>
      </c>
      <c r="BB9" s="15" t="s">
        <v>188</v>
      </c>
      <c r="BC9" s="15" t="s">
        <v>188</v>
      </c>
      <c r="BD9" s="15" t="s">
        <v>199</v>
      </c>
      <c r="BE9" s="1">
        <v>7500</v>
      </c>
      <c r="BF9" s="1">
        <v>7000</v>
      </c>
      <c r="BG9" s="1">
        <v>15000</v>
      </c>
      <c r="BH9" s="1">
        <v>100000</v>
      </c>
      <c r="BI9" s="1">
        <v>15000</v>
      </c>
      <c r="BJ9" s="15" t="s">
        <v>188</v>
      </c>
      <c r="BK9" s="15"/>
      <c r="BL9" s="15"/>
      <c r="BM9" s="15"/>
      <c r="BN9" s="15"/>
      <c r="BO9" s="15" t="s">
        <v>188</v>
      </c>
      <c r="BP9" s="15"/>
      <c r="BQ9" s="15"/>
      <c r="BR9" s="15"/>
      <c r="BS9" s="2"/>
      <c r="BT9" s="15"/>
      <c r="BU9" s="15" t="s">
        <v>188</v>
      </c>
      <c r="BV9" s="15"/>
      <c r="BW9" s="15"/>
      <c r="BX9" s="15">
        <v>2</v>
      </c>
      <c r="BY9" s="15">
        <v>4</v>
      </c>
      <c r="BZ9" s="15">
        <v>3</v>
      </c>
      <c r="CA9" s="15" t="s">
        <v>208</v>
      </c>
      <c r="CB9" s="15"/>
      <c r="CC9" s="15" t="s">
        <v>188</v>
      </c>
      <c r="CD9" s="15"/>
      <c r="CE9" s="15"/>
      <c r="CF9" s="15"/>
      <c r="CG9" s="15" t="s">
        <v>188</v>
      </c>
      <c r="CH9" s="15"/>
      <c r="CI9" s="15"/>
      <c r="CJ9" s="15"/>
      <c r="CK9" s="15" t="s">
        <v>188</v>
      </c>
      <c r="CL9" s="15"/>
      <c r="CM9" s="15"/>
      <c r="CN9" s="15"/>
      <c r="CO9" s="15"/>
      <c r="CP9" s="15" t="s">
        <v>193</v>
      </c>
      <c r="CQ9" s="15" t="s">
        <v>209</v>
      </c>
      <c r="CR9" s="15"/>
      <c r="CS9" s="15"/>
      <c r="CT9" s="15" t="s">
        <v>188</v>
      </c>
      <c r="CU9" s="15"/>
      <c r="CV9" s="15"/>
      <c r="CW9" s="15"/>
      <c r="CX9" s="15" t="s">
        <v>188</v>
      </c>
      <c r="CY9" s="15"/>
      <c r="CZ9" s="3"/>
      <c r="DA9" s="49"/>
      <c r="DC9" s="18">
        <f t="shared" si="0"/>
        <v>0</v>
      </c>
      <c r="DD9" s="18">
        <f t="shared" si="1"/>
        <v>3</v>
      </c>
      <c r="DE9" s="18">
        <f t="shared" si="2"/>
        <v>2000</v>
      </c>
    </row>
    <row r="10" spans="1:109" x14ac:dyDescent="0.25">
      <c r="A10" s="59" t="s">
        <v>1317</v>
      </c>
      <c r="B10" s="103">
        <v>41512</v>
      </c>
      <c r="C10" s="104" t="s">
        <v>1556</v>
      </c>
      <c r="D10" s="14" t="s">
        <v>210</v>
      </c>
      <c r="E10" s="15" t="s">
        <v>188</v>
      </c>
      <c r="F10" s="15"/>
      <c r="G10" s="15"/>
      <c r="H10" s="15"/>
      <c r="I10" s="15">
        <v>37</v>
      </c>
      <c r="J10" s="15" t="s">
        <v>189</v>
      </c>
      <c r="K10" s="15" t="s">
        <v>190</v>
      </c>
      <c r="L10" s="15" t="s">
        <v>191</v>
      </c>
      <c r="M10" s="15" t="s">
        <v>1005</v>
      </c>
      <c r="N10" s="15" t="s">
        <v>1005</v>
      </c>
      <c r="O10" s="15">
        <v>18</v>
      </c>
      <c r="P10" s="15"/>
      <c r="Q10" s="15" t="s">
        <v>188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 t="s">
        <v>188</v>
      </c>
      <c r="AG10" s="15"/>
      <c r="AH10" s="15">
        <v>1982</v>
      </c>
      <c r="AI10" s="1">
        <v>520000</v>
      </c>
      <c r="AJ10" s="15"/>
      <c r="AK10" s="15"/>
      <c r="AL10" s="15" t="s">
        <v>188</v>
      </c>
      <c r="AM10" s="15"/>
      <c r="AN10" s="15"/>
      <c r="AO10" s="15"/>
      <c r="AP10" s="15" t="s">
        <v>188</v>
      </c>
      <c r="AQ10" s="15"/>
      <c r="AR10" s="15"/>
      <c r="AS10" s="15"/>
      <c r="AT10" s="15" t="s">
        <v>211</v>
      </c>
      <c r="AU10" s="1">
        <v>2500</v>
      </c>
      <c r="AV10" s="48">
        <v>0.5</v>
      </c>
      <c r="AW10" s="15">
        <v>2</v>
      </c>
      <c r="AX10" s="15">
        <v>1.5</v>
      </c>
      <c r="AY10" s="15">
        <v>1</v>
      </c>
      <c r="AZ10" s="15">
        <v>380</v>
      </c>
      <c r="BA10" s="15">
        <v>650</v>
      </c>
      <c r="BB10" s="15" t="s">
        <v>199</v>
      </c>
      <c r="BC10" s="15" t="s">
        <v>188</v>
      </c>
      <c r="BD10" s="15" t="s">
        <v>199</v>
      </c>
      <c r="BE10" s="1">
        <v>6000</v>
      </c>
      <c r="BF10" s="1">
        <v>5000</v>
      </c>
      <c r="BG10" s="1">
        <v>10000</v>
      </c>
      <c r="BH10" s="1">
        <v>70000</v>
      </c>
      <c r="BI10" s="1">
        <v>10000</v>
      </c>
      <c r="BJ10" s="15"/>
      <c r="BK10" s="15"/>
      <c r="BL10" s="15"/>
      <c r="BM10" s="15"/>
      <c r="BN10" s="15"/>
      <c r="BO10" s="15" t="s">
        <v>188</v>
      </c>
      <c r="BP10" s="15"/>
      <c r="BQ10" s="15"/>
      <c r="BR10" s="15"/>
      <c r="BS10" s="2"/>
      <c r="BT10" s="15"/>
      <c r="BU10" s="15" t="s">
        <v>188</v>
      </c>
      <c r="BV10" s="15"/>
      <c r="BW10" s="15"/>
      <c r="BX10" s="15">
        <v>1</v>
      </c>
      <c r="BY10" s="15">
        <v>3</v>
      </c>
      <c r="BZ10" s="15">
        <v>2</v>
      </c>
      <c r="CA10" s="15"/>
      <c r="CB10" s="15" t="s">
        <v>188</v>
      </c>
      <c r="CC10" s="15"/>
      <c r="CD10" s="15"/>
      <c r="CE10" s="15"/>
      <c r="CF10" s="15"/>
      <c r="CG10" s="15"/>
      <c r="CH10" s="15"/>
      <c r="CI10" s="15"/>
      <c r="CJ10" s="15"/>
      <c r="CK10" s="15" t="s">
        <v>188</v>
      </c>
      <c r="CL10" s="15"/>
      <c r="CM10" s="15"/>
      <c r="CN10" s="15"/>
      <c r="CO10" s="15"/>
      <c r="CP10" s="15" t="s">
        <v>193</v>
      </c>
      <c r="CQ10" s="15" t="s">
        <v>209</v>
      </c>
      <c r="CR10" s="15" t="s">
        <v>188</v>
      </c>
      <c r="CS10" s="15"/>
      <c r="CT10" s="15"/>
      <c r="CU10" s="15"/>
      <c r="CV10" s="15"/>
      <c r="CW10" s="15"/>
      <c r="CX10" s="15" t="s">
        <v>188</v>
      </c>
      <c r="CY10" s="15" t="s">
        <v>188</v>
      </c>
      <c r="CZ10" s="3"/>
      <c r="DA10" s="49" t="s">
        <v>212</v>
      </c>
      <c r="DC10" s="18">
        <f t="shared" si="0"/>
        <v>0</v>
      </c>
      <c r="DD10" s="18">
        <f t="shared" si="1"/>
        <v>1</v>
      </c>
      <c r="DE10" s="18">
        <f t="shared" si="2"/>
        <v>1982</v>
      </c>
    </row>
    <row r="11" spans="1:109" x14ac:dyDescent="0.25">
      <c r="A11" s="59" t="s">
        <v>1317</v>
      </c>
      <c r="B11" s="103">
        <v>41512</v>
      </c>
      <c r="C11" s="104" t="s">
        <v>1556</v>
      </c>
      <c r="D11" s="14" t="s">
        <v>213</v>
      </c>
      <c r="E11" s="15"/>
      <c r="F11" s="15"/>
      <c r="G11" s="15" t="s">
        <v>188</v>
      </c>
      <c r="H11" s="15"/>
      <c r="I11" s="15">
        <v>30</v>
      </c>
      <c r="J11" s="15" t="s">
        <v>189</v>
      </c>
      <c r="K11" s="15" t="s">
        <v>214</v>
      </c>
      <c r="L11" s="15" t="s">
        <v>215</v>
      </c>
      <c r="M11" s="50" t="s">
        <v>1008</v>
      </c>
      <c r="N11" s="15" t="s">
        <v>1009</v>
      </c>
      <c r="O11" s="15">
        <v>12</v>
      </c>
      <c r="P11" s="15"/>
      <c r="Q11" s="15" t="s">
        <v>188</v>
      </c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 t="s">
        <v>188</v>
      </c>
      <c r="AG11" s="15"/>
      <c r="AH11" s="15">
        <v>1987</v>
      </c>
      <c r="AI11" s="1">
        <v>1550000</v>
      </c>
      <c r="AJ11" s="15"/>
      <c r="AK11" s="15"/>
      <c r="AL11" s="15" t="s">
        <v>188</v>
      </c>
      <c r="AM11" s="15"/>
      <c r="AN11" s="15"/>
      <c r="AO11" s="15"/>
      <c r="AP11" s="15" t="s">
        <v>188</v>
      </c>
      <c r="AQ11" s="15"/>
      <c r="AR11" s="15"/>
      <c r="AS11" s="15"/>
      <c r="AT11" s="15" t="s">
        <v>198</v>
      </c>
      <c r="AU11" s="1">
        <v>3500</v>
      </c>
      <c r="AV11" s="48">
        <v>0.5</v>
      </c>
      <c r="AW11" s="15">
        <v>2.1</v>
      </c>
      <c r="AX11" s="15">
        <v>1.8</v>
      </c>
      <c r="AY11" s="15">
        <v>1</v>
      </c>
      <c r="AZ11" s="15">
        <v>350</v>
      </c>
      <c r="BA11" s="15">
        <v>700</v>
      </c>
      <c r="BB11" s="15" t="s">
        <v>199</v>
      </c>
      <c r="BC11" s="15" t="s">
        <v>199</v>
      </c>
      <c r="BD11" s="15" t="s">
        <v>199</v>
      </c>
      <c r="BE11" s="1">
        <v>7500</v>
      </c>
      <c r="BF11" s="1">
        <v>7000</v>
      </c>
      <c r="BG11" s="1">
        <v>10000</v>
      </c>
      <c r="BH11" s="1">
        <v>80000</v>
      </c>
      <c r="BI11" s="1">
        <v>10000</v>
      </c>
      <c r="BJ11" s="15"/>
      <c r="BK11" s="15"/>
      <c r="BL11" s="15"/>
      <c r="BM11" s="15"/>
      <c r="BN11" s="15"/>
      <c r="BO11" s="15" t="s">
        <v>188</v>
      </c>
      <c r="BP11" s="15"/>
      <c r="BQ11" s="15"/>
      <c r="BR11" s="15"/>
      <c r="BS11" s="2"/>
      <c r="BT11" s="15"/>
      <c r="BU11" s="15" t="s">
        <v>188</v>
      </c>
      <c r="BV11" s="15"/>
      <c r="BW11" s="15"/>
      <c r="BX11" s="15">
        <v>2</v>
      </c>
      <c r="BY11" s="15">
        <v>3</v>
      </c>
      <c r="BZ11" s="15">
        <v>1</v>
      </c>
      <c r="CA11" s="15"/>
      <c r="CB11" s="15" t="s">
        <v>188</v>
      </c>
      <c r="CC11" s="15"/>
      <c r="CD11" s="15"/>
      <c r="CE11" s="15"/>
      <c r="CF11" s="15"/>
      <c r="CG11" s="15"/>
      <c r="CH11" s="15"/>
      <c r="CI11" s="15"/>
      <c r="CJ11" s="15"/>
      <c r="CK11" s="15" t="s">
        <v>188</v>
      </c>
      <c r="CL11" s="15"/>
      <c r="CM11" s="15"/>
      <c r="CN11" s="15"/>
      <c r="CO11" s="15"/>
      <c r="CP11" s="15" t="s">
        <v>193</v>
      </c>
      <c r="CQ11" s="15" t="s">
        <v>209</v>
      </c>
      <c r="CR11" s="15" t="s">
        <v>188</v>
      </c>
      <c r="CS11" s="15"/>
      <c r="CT11" s="15"/>
      <c r="CU11" s="15"/>
      <c r="CV11" s="15"/>
      <c r="CW11" s="15"/>
      <c r="CX11" s="15"/>
      <c r="CY11" s="15" t="s">
        <v>188</v>
      </c>
      <c r="CZ11" s="3"/>
      <c r="DA11" s="49"/>
      <c r="DC11" s="18">
        <f t="shared" si="0"/>
        <v>0</v>
      </c>
      <c r="DD11" s="18">
        <f t="shared" si="1"/>
        <v>3</v>
      </c>
      <c r="DE11" s="18">
        <f t="shared" si="2"/>
        <v>1987</v>
      </c>
    </row>
    <row r="12" spans="1:109" x14ac:dyDescent="0.25">
      <c r="A12" s="59" t="s">
        <v>1317</v>
      </c>
      <c r="B12" s="103">
        <v>41512</v>
      </c>
      <c r="C12" s="104" t="s">
        <v>1556</v>
      </c>
      <c r="D12" s="14" t="s">
        <v>216</v>
      </c>
      <c r="E12" s="15"/>
      <c r="F12" s="15" t="s">
        <v>188</v>
      </c>
      <c r="G12" s="15"/>
      <c r="H12" s="15"/>
      <c r="I12" s="15">
        <v>35</v>
      </c>
      <c r="J12" s="15" t="s">
        <v>189</v>
      </c>
      <c r="K12" s="15" t="s">
        <v>190</v>
      </c>
      <c r="L12" s="15" t="s">
        <v>191</v>
      </c>
      <c r="M12" s="15" t="s">
        <v>1005</v>
      </c>
      <c r="N12" s="15" t="s">
        <v>1005</v>
      </c>
      <c r="O12" s="15">
        <v>15</v>
      </c>
      <c r="P12" s="15"/>
      <c r="Q12" s="15"/>
      <c r="R12" s="15"/>
      <c r="S12" s="15" t="s">
        <v>188</v>
      </c>
      <c r="T12" s="15"/>
      <c r="U12" s="15"/>
      <c r="V12" s="15"/>
      <c r="W12" s="15"/>
      <c r="X12" s="15"/>
      <c r="Y12" s="15" t="s">
        <v>188</v>
      </c>
      <c r="Z12" s="15"/>
      <c r="AA12" s="15"/>
      <c r="AB12" s="15"/>
      <c r="AC12" s="15"/>
      <c r="AD12" s="15"/>
      <c r="AE12" s="15"/>
      <c r="AF12" s="15"/>
      <c r="AG12" s="15"/>
      <c r="AH12" s="15">
        <v>1990</v>
      </c>
      <c r="AI12" s="1">
        <v>1000000</v>
      </c>
      <c r="AJ12" s="15"/>
      <c r="AK12" s="15"/>
      <c r="AL12" s="15" t="s">
        <v>188</v>
      </c>
      <c r="AM12" s="15"/>
      <c r="AN12" s="15"/>
      <c r="AO12" s="15" t="s">
        <v>188</v>
      </c>
      <c r="AP12" s="15"/>
      <c r="AQ12" s="15"/>
      <c r="AR12" s="15"/>
      <c r="AS12" s="15"/>
      <c r="AT12" s="15" t="s">
        <v>198</v>
      </c>
      <c r="AU12" s="1">
        <v>4000</v>
      </c>
      <c r="AV12" s="48">
        <v>0.5</v>
      </c>
      <c r="AW12" s="15">
        <v>2.1</v>
      </c>
      <c r="AX12" s="15">
        <v>1.6</v>
      </c>
      <c r="AY12" s="15">
        <v>1</v>
      </c>
      <c r="AZ12" s="15">
        <v>380</v>
      </c>
      <c r="BA12" s="15">
        <v>700</v>
      </c>
      <c r="BB12" s="15" t="s">
        <v>188</v>
      </c>
      <c r="BC12" s="15" t="s">
        <v>199</v>
      </c>
      <c r="BD12" s="15" t="s">
        <v>199</v>
      </c>
      <c r="BE12" s="1">
        <v>6000</v>
      </c>
      <c r="BF12" s="1">
        <v>8000</v>
      </c>
      <c r="BG12" s="1">
        <v>15000</v>
      </c>
      <c r="BH12" s="1">
        <v>100000</v>
      </c>
      <c r="BI12" s="1">
        <v>15000</v>
      </c>
      <c r="BJ12" s="15"/>
      <c r="BK12" s="15"/>
      <c r="BL12" s="15" t="s">
        <v>188</v>
      </c>
      <c r="BM12" s="15"/>
      <c r="BN12" s="15"/>
      <c r="BO12" s="15"/>
      <c r="BP12" s="15"/>
      <c r="BQ12" s="15"/>
      <c r="BR12" s="15"/>
      <c r="BS12" s="2"/>
      <c r="BT12" s="15"/>
      <c r="BU12" s="15"/>
      <c r="BV12" s="15" t="s">
        <v>188</v>
      </c>
      <c r="BW12" s="15"/>
      <c r="BX12" s="15">
        <v>1</v>
      </c>
      <c r="BY12" s="15">
        <v>3</v>
      </c>
      <c r="BZ12" s="15">
        <v>2</v>
      </c>
      <c r="CA12" s="15"/>
      <c r="CB12" s="15" t="s">
        <v>188</v>
      </c>
      <c r="CC12" s="15"/>
      <c r="CD12" s="15"/>
      <c r="CE12" s="15"/>
      <c r="CF12" s="15"/>
      <c r="CG12" s="15"/>
      <c r="CH12" s="15"/>
      <c r="CI12" s="15"/>
      <c r="CJ12" s="15"/>
      <c r="CK12" s="15" t="s">
        <v>188</v>
      </c>
      <c r="CL12" s="15"/>
      <c r="CM12" s="15"/>
      <c r="CN12" s="15"/>
      <c r="CO12" s="15"/>
      <c r="CP12" s="15" t="s">
        <v>193</v>
      </c>
      <c r="CQ12" s="15" t="s">
        <v>193</v>
      </c>
      <c r="CR12" s="15" t="s">
        <v>188</v>
      </c>
      <c r="CS12" s="15"/>
      <c r="CT12" s="15"/>
      <c r="CU12" s="15"/>
      <c r="CV12" s="15" t="s">
        <v>188</v>
      </c>
      <c r="CW12" s="15" t="s">
        <v>204</v>
      </c>
      <c r="CX12" s="15"/>
      <c r="CY12" s="15"/>
      <c r="CZ12" s="3"/>
      <c r="DA12" s="49"/>
      <c r="DC12" s="18">
        <f t="shared" si="0"/>
        <v>0</v>
      </c>
      <c r="DD12" s="18">
        <f t="shared" si="1"/>
        <v>2</v>
      </c>
      <c r="DE12" s="18">
        <f t="shared" si="2"/>
        <v>1990</v>
      </c>
    </row>
    <row r="13" spans="1:109" x14ac:dyDescent="0.25">
      <c r="A13" s="59" t="s">
        <v>1317</v>
      </c>
      <c r="B13" s="103">
        <v>41513</v>
      </c>
      <c r="C13" s="104" t="s">
        <v>1556</v>
      </c>
      <c r="D13" s="14" t="s">
        <v>217</v>
      </c>
      <c r="E13" s="15"/>
      <c r="F13" s="15"/>
      <c r="G13" s="15"/>
      <c r="H13" s="15" t="s">
        <v>188</v>
      </c>
      <c r="I13" s="15">
        <v>48</v>
      </c>
      <c r="J13" s="15" t="s">
        <v>189</v>
      </c>
      <c r="K13" s="15" t="s">
        <v>196</v>
      </c>
      <c r="L13" s="15" t="s">
        <v>218</v>
      </c>
      <c r="M13" s="15" t="s">
        <v>1009</v>
      </c>
      <c r="N13" s="15" t="s">
        <v>1009</v>
      </c>
      <c r="O13" s="15">
        <v>25</v>
      </c>
      <c r="P13" s="15"/>
      <c r="Q13" s="15"/>
      <c r="R13" s="15"/>
      <c r="S13" s="15" t="s">
        <v>188</v>
      </c>
      <c r="T13" s="15"/>
      <c r="U13" s="15"/>
      <c r="V13" s="15" t="s">
        <v>188</v>
      </c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>
        <v>1992</v>
      </c>
      <c r="AI13" s="1">
        <v>1100000</v>
      </c>
      <c r="AJ13" s="15"/>
      <c r="AK13" s="15"/>
      <c r="AL13" s="15" t="s">
        <v>188</v>
      </c>
      <c r="AM13" s="15"/>
      <c r="AN13" s="15"/>
      <c r="AO13" s="15"/>
      <c r="AP13" s="15" t="s">
        <v>188</v>
      </c>
      <c r="AQ13" s="15"/>
      <c r="AR13" s="15"/>
      <c r="AS13" s="15"/>
      <c r="AT13" s="15" t="s">
        <v>1316</v>
      </c>
      <c r="AU13" s="1">
        <v>5500</v>
      </c>
      <c r="AV13" s="48">
        <v>0.3</v>
      </c>
      <c r="AW13" s="15">
        <v>2</v>
      </c>
      <c r="AX13" s="15">
        <v>1.7</v>
      </c>
      <c r="AY13" s="15">
        <v>1</v>
      </c>
      <c r="AZ13" s="15">
        <v>350</v>
      </c>
      <c r="BA13" s="15">
        <v>650</v>
      </c>
      <c r="BB13" s="15" t="s">
        <v>199</v>
      </c>
      <c r="BC13" s="15" t="s">
        <v>199</v>
      </c>
      <c r="BD13" s="15" t="s">
        <v>199</v>
      </c>
      <c r="BE13" s="1">
        <v>7000</v>
      </c>
      <c r="BF13" s="1">
        <v>8500</v>
      </c>
      <c r="BG13" s="1">
        <v>15000</v>
      </c>
      <c r="BH13" s="1">
        <v>100000</v>
      </c>
      <c r="BI13" s="1">
        <v>15000</v>
      </c>
      <c r="BJ13" s="15" t="s">
        <v>188</v>
      </c>
      <c r="BK13" s="15"/>
      <c r="BL13" s="15"/>
      <c r="BM13" s="15"/>
      <c r="BN13" s="15"/>
      <c r="BO13" s="15"/>
      <c r="BP13" s="15"/>
      <c r="BQ13" s="15" t="s">
        <v>188</v>
      </c>
      <c r="BR13" s="15"/>
      <c r="BS13" s="2"/>
      <c r="BT13" s="15"/>
      <c r="BU13" s="15"/>
      <c r="BV13" s="15" t="s">
        <v>188</v>
      </c>
      <c r="BW13" s="15"/>
      <c r="BX13" s="15">
        <v>2</v>
      </c>
      <c r="BY13" s="15">
        <v>4</v>
      </c>
      <c r="BZ13" s="15">
        <v>3</v>
      </c>
      <c r="CA13" s="15" t="s">
        <v>208</v>
      </c>
      <c r="CB13" s="15" t="s">
        <v>188</v>
      </c>
      <c r="CC13" s="15"/>
      <c r="CD13" s="15"/>
      <c r="CE13" s="15"/>
      <c r="CF13" s="15"/>
      <c r="CG13" s="15"/>
      <c r="CH13" s="15"/>
      <c r="CI13" s="15"/>
      <c r="CJ13" s="15"/>
      <c r="CK13" s="15" t="s">
        <v>188</v>
      </c>
      <c r="CL13" s="15"/>
      <c r="CM13" s="15"/>
      <c r="CN13" s="15"/>
      <c r="CO13" s="15"/>
      <c r="CP13" s="15" t="s">
        <v>193</v>
      </c>
      <c r="CQ13" s="15" t="s">
        <v>209</v>
      </c>
      <c r="CR13" s="15"/>
      <c r="CS13" s="15"/>
      <c r="CT13" s="15" t="s">
        <v>188</v>
      </c>
      <c r="CU13" s="15"/>
      <c r="CV13" s="15"/>
      <c r="CW13" s="15"/>
      <c r="CX13" s="15" t="s">
        <v>188</v>
      </c>
      <c r="CY13" s="15"/>
      <c r="CZ13" s="3"/>
      <c r="DA13" s="49"/>
      <c r="DC13" s="18">
        <f t="shared" si="0"/>
        <v>0</v>
      </c>
      <c r="DD13" s="18">
        <f t="shared" si="1"/>
        <v>7</v>
      </c>
      <c r="DE13" s="18">
        <f t="shared" si="2"/>
        <v>1992</v>
      </c>
    </row>
    <row r="14" spans="1:109" x14ac:dyDescent="0.25">
      <c r="A14" s="59" t="s">
        <v>1317</v>
      </c>
      <c r="B14" s="103">
        <v>41513</v>
      </c>
      <c r="C14" s="104" t="s">
        <v>1556</v>
      </c>
      <c r="D14" s="14" t="s">
        <v>219</v>
      </c>
      <c r="E14" s="15"/>
      <c r="F14" s="15" t="s">
        <v>188</v>
      </c>
      <c r="G14" s="15"/>
      <c r="H14" s="15"/>
      <c r="I14" s="15">
        <v>43</v>
      </c>
      <c r="J14" s="15" t="s">
        <v>189</v>
      </c>
      <c r="K14" s="15" t="s">
        <v>220</v>
      </c>
      <c r="L14" s="15" t="s">
        <v>197</v>
      </c>
      <c r="M14" s="15" t="s">
        <v>1006</v>
      </c>
      <c r="N14" s="15" t="s">
        <v>1006</v>
      </c>
      <c r="O14" s="15">
        <v>22</v>
      </c>
      <c r="P14" s="15"/>
      <c r="Q14" s="15" t="s">
        <v>188</v>
      </c>
      <c r="R14" s="15"/>
      <c r="S14" s="15"/>
      <c r="T14" s="15"/>
      <c r="U14" s="15" t="s">
        <v>188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>
        <v>1976</v>
      </c>
      <c r="AI14" s="1">
        <v>2350000</v>
      </c>
      <c r="AJ14" s="15"/>
      <c r="AK14" s="15"/>
      <c r="AL14" s="15" t="s">
        <v>188</v>
      </c>
      <c r="AM14" s="15"/>
      <c r="AN14" s="15"/>
      <c r="AO14" s="15"/>
      <c r="AP14" s="15"/>
      <c r="AQ14" s="15"/>
      <c r="AR14" s="15" t="s">
        <v>188</v>
      </c>
      <c r="AS14" s="15">
        <v>1998</v>
      </c>
      <c r="AT14" s="15" t="s">
        <v>198</v>
      </c>
      <c r="AU14" s="1">
        <v>6000</v>
      </c>
      <c r="AV14" s="48">
        <v>0.5</v>
      </c>
      <c r="AW14" s="15">
        <v>1.9</v>
      </c>
      <c r="AX14" s="15">
        <v>1.7</v>
      </c>
      <c r="AY14" s="15">
        <v>1</v>
      </c>
      <c r="AZ14" s="15">
        <v>380</v>
      </c>
      <c r="BA14" s="15">
        <v>700</v>
      </c>
      <c r="BB14" s="15" t="s">
        <v>199</v>
      </c>
      <c r="BC14" s="15" t="s">
        <v>199</v>
      </c>
      <c r="BD14" s="15" t="s">
        <v>199</v>
      </c>
      <c r="BE14" s="1">
        <v>8000</v>
      </c>
      <c r="BF14" s="1">
        <v>10000</v>
      </c>
      <c r="BG14" s="1">
        <v>15000</v>
      </c>
      <c r="BH14" s="1">
        <v>90000</v>
      </c>
      <c r="BI14" s="1">
        <v>15000</v>
      </c>
      <c r="BJ14" s="15"/>
      <c r="BK14" s="15" t="s">
        <v>188</v>
      </c>
      <c r="BL14" s="15"/>
      <c r="BM14" s="15"/>
      <c r="BN14" s="15"/>
      <c r="BO14" s="15"/>
      <c r="BP14" s="15"/>
      <c r="BQ14" s="15"/>
      <c r="BR14" s="15"/>
      <c r="BS14" s="2"/>
      <c r="BT14" s="15"/>
      <c r="BU14" s="15" t="s">
        <v>188</v>
      </c>
      <c r="BV14" s="15"/>
      <c r="BW14" s="15"/>
      <c r="BX14" s="15">
        <v>1</v>
      </c>
      <c r="BY14" s="15">
        <v>3</v>
      </c>
      <c r="BZ14" s="15">
        <v>2</v>
      </c>
      <c r="CA14" s="15"/>
      <c r="CB14" s="15" t="s">
        <v>188</v>
      </c>
      <c r="CC14" s="15"/>
      <c r="CD14" s="15"/>
      <c r="CE14" s="15"/>
      <c r="CF14" s="15"/>
      <c r="CG14" s="15"/>
      <c r="CH14" s="15"/>
      <c r="CI14" s="15"/>
      <c r="CJ14" s="15"/>
      <c r="CK14" s="15" t="s">
        <v>188</v>
      </c>
      <c r="CL14" s="15"/>
      <c r="CM14" s="15"/>
      <c r="CN14" s="15"/>
      <c r="CO14" s="15"/>
      <c r="CP14" s="15" t="s">
        <v>193</v>
      </c>
      <c r="CQ14" s="15" t="s">
        <v>209</v>
      </c>
      <c r="CR14" s="15"/>
      <c r="CS14" s="15"/>
      <c r="CT14" s="15" t="s">
        <v>188</v>
      </c>
      <c r="CU14" s="15"/>
      <c r="CV14" s="15"/>
      <c r="CW14" s="15"/>
      <c r="CX14" s="15" t="s">
        <v>188</v>
      </c>
      <c r="CY14" s="15" t="s">
        <v>188</v>
      </c>
      <c r="CZ14" s="3"/>
      <c r="DA14" s="49"/>
      <c r="DC14" s="18">
        <f t="shared" si="0"/>
        <v>0</v>
      </c>
      <c r="DD14" s="18">
        <f t="shared" si="1"/>
        <v>2</v>
      </c>
      <c r="DE14" s="18">
        <f t="shared" si="2"/>
        <v>1998</v>
      </c>
    </row>
    <row r="15" spans="1:109" x14ac:dyDescent="0.25">
      <c r="A15" s="59" t="s">
        <v>1317</v>
      </c>
      <c r="B15" s="103">
        <v>41513</v>
      </c>
      <c r="C15" s="104" t="s">
        <v>1556</v>
      </c>
      <c r="D15" s="14" t="s">
        <v>221</v>
      </c>
      <c r="E15" s="15"/>
      <c r="F15" s="15"/>
      <c r="G15" s="15" t="s">
        <v>188</v>
      </c>
      <c r="H15" s="15"/>
      <c r="I15" s="15">
        <v>41</v>
      </c>
      <c r="J15" s="15" t="s">
        <v>189</v>
      </c>
      <c r="K15" s="15" t="s">
        <v>190</v>
      </c>
      <c r="L15" s="15" t="s">
        <v>197</v>
      </c>
      <c r="M15" s="15" t="s">
        <v>1006</v>
      </c>
      <c r="N15" s="15" t="s">
        <v>1006</v>
      </c>
      <c r="O15" s="15">
        <v>22</v>
      </c>
      <c r="P15" s="15"/>
      <c r="Q15" s="15"/>
      <c r="R15" s="15"/>
      <c r="S15" s="15" t="s">
        <v>188</v>
      </c>
      <c r="T15" s="15"/>
      <c r="U15" s="15" t="s">
        <v>188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>
        <v>1985</v>
      </c>
      <c r="AI15" s="1">
        <v>2850000</v>
      </c>
      <c r="AJ15" s="15"/>
      <c r="AK15" s="15"/>
      <c r="AL15" s="15" t="s">
        <v>188</v>
      </c>
      <c r="AM15" s="15"/>
      <c r="AN15" s="15"/>
      <c r="AO15" s="15" t="s">
        <v>188</v>
      </c>
      <c r="AP15" s="15"/>
      <c r="AQ15" s="15"/>
      <c r="AR15" s="15"/>
      <c r="AS15" s="15"/>
      <c r="AT15" s="15" t="s">
        <v>1316</v>
      </c>
      <c r="AU15" s="1">
        <v>10000</v>
      </c>
      <c r="AV15" s="48">
        <v>0.25</v>
      </c>
      <c r="AW15" s="15">
        <v>1.8</v>
      </c>
      <c r="AX15" s="15">
        <v>1.6</v>
      </c>
      <c r="AY15" s="15">
        <v>2</v>
      </c>
      <c r="AZ15" s="15">
        <v>670</v>
      </c>
      <c r="BA15" s="15">
        <v>1150</v>
      </c>
      <c r="BB15" s="15" t="s">
        <v>188</v>
      </c>
      <c r="BC15" s="15" t="s">
        <v>188</v>
      </c>
      <c r="BD15" s="15" t="s">
        <v>199</v>
      </c>
      <c r="BE15" s="1">
        <v>6000</v>
      </c>
      <c r="BF15" s="1">
        <v>10000</v>
      </c>
      <c r="BG15" s="1">
        <v>15000</v>
      </c>
      <c r="BH15" s="1">
        <v>110000</v>
      </c>
      <c r="BI15" s="1">
        <v>15000</v>
      </c>
      <c r="BJ15" s="15"/>
      <c r="BK15" s="15"/>
      <c r="BL15" s="15"/>
      <c r="BM15" s="15"/>
      <c r="BN15" s="15" t="s">
        <v>188</v>
      </c>
      <c r="BO15" s="15"/>
      <c r="BP15" s="15" t="s">
        <v>188</v>
      </c>
      <c r="BQ15" s="15"/>
      <c r="BR15" s="15"/>
      <c r="BS15" s="2"/>
      <c r="BT15" s="15"/>
      <c r="BU15" s="15" t="s">
        <v>188</v>
      </c>
      <c r="BV15" s="15"/>
      <c r="BW15" s="15"/>
      <c r="BX15" s="15">
        <v>3</v>
      </c>
      <c r="BY15" s="15">
        <v>4</v>
      </c>
      <c r="BZ15" s="15">
        <v>2</v>
      </c>
      <c r="CA15" s="15" t="s">
        <v>208</v>
      </c>
      <c r="CB15" s="15" t="s">
        <v>188</v>
      </c>
      <c r="CC15" s="15"/>
      <c r="CD15" s="15"/>
      <c r="CE15" s="15"/>
      <c r="CF15" s="15"/>
      <c r="CG15" s="15"/>
      <c r="CH15" s="15"/>
      <c r="CI15" s="15"/>
      <c r="CJ15" s="15"/>
      <c r="CK15" s="15"/>
      <c r="CL15" s="15" t="s">
        <v>188</v>
      </c>
      <c r="CM15" s="15" t="s">
        <v>188</v>
      </c>
      <c r="CN15" s="15" t="s">
        <v>222</v>
      </c>
      <c r="CO15" s="15"/>
      <c r="CP15" s="15" t="s">
        <v>222</v>
      </c>
      <c r="CQ15" s="15" t="s">
        <v>203</v>
      </c>
      <c r="CR15" s="15"/>
      <c r="CS15" s="15"/>
      <c r="CT15" s="15" t="s">
        <v>188</v>
      </c>
      <c r="CU15" s="15"/>
      <c r="CV15" s="15"/>
      <c r="CW15" s="15"/>
      <c r="CX15" s="15" t="s">
        <v>188</v>
      </c>
      <c r="CY15" s="15" t="s">
        <v>188</v>
      </c>
      <c r="CZ15" s="3"/>
      <c r="DA15" s="49"/>
      <c r="DC15" s="18">
        <f t="shared" si="0"/>
        <v>0</v>
      </c>
      <c r="DD15" s="18">
        <f t="shared" si="1"/>
        <v>3</v>
      </c>
      <c r="DE15" s="18">
        <f t="shared" si="2"/>
        <v>1985</v>
      </c>
    </row>
    <row r="16" spans="1:109" x14ac:dyDescent="0.25">
      <c r="A16" s="59" t="s">
        <v>1317</v>
      </c>
      <c r="B16" s="103">
        <v>41513</v>
      </c>
      <c r="C16" s="104" t="s">
        <v>1556</v>
      </c>
      <c r="D16" s="14" t="s">
        <v>223</v>
      </c>
      <c r="E16" s="15"/>
      <c r="F16" s="15" t="s">
        <v>188</v>
      </c>
      <c r="G16" s="15"/>
      <c r="H16" s="15"/>
      <c r="I16" s="15">
        <v>26</v>
      </c>
      <c r="J16" s="15" t="s">
        <v>189</v>
      </c>
      <c r="K16" s="15" t="s">
        <v>196</v>
      </c>
      <c r="L16" s="15" t="s">
        <v>191</v>
      </c>
      <c r="M16" s="15" t="s">
        <v>1005</v>
      </c>
      <c r="N16" s="15" t="s">
        <v>1005</v>
      </c>
      <c r="O16" s="15">
        <v>6</v>
      </c>
      <c r="P16" s="15" t="s">
        <v>188</v>
      </c>
      <c r="Q16" s="15"/>
      <c r="R16" s="15"/>
      <c r="S16" s="15"/>
      <c r="T16" s="15"/>
      <c r="U16" s="15" t="s">
        <v>188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>
        <v>1997</v>
      </c>
      <c r="AI16" s="1">
        <v>995000</v>
      </c>
      <c r="AJ16" s="15"/>
      <c r="AK16" s="15"/>
      <c r="AL16" s="15" t="s">
        <v>188</v>
      </c>
      <c r="AM16" s="15"/>
      <c r="AN16" s="15"/>
      <c r="AO16" s="15"/>
      <c r="AP16" s="15" t="s">
        <v>188</v>
      </c>
      <c r="AQ16" s="15"/>
      <c r="AR16" s="15"/>
      <c r="AS16" s="15"/>
      <c r="AT16" s="15" t="s">
        <v>1316</v>
      </c>
      <c r="AU16" s="1">
        <v>7000</v>
      </c>
      <c r="AV16" s="48">
        <v>0.5</v>
      </c>
      <c r="AW16" s="15">
        <v>2</v>
      </c>
      <c r="AX16" s="15">
        <v>1.8</v>
      </c>
      <c r="AY16" s="15">
        <v>1</v>
      </c>
      <c r="AZ16" s="15">
        <v>380</v>
      </c>
      <c r="BA16" s="15">
        <v>750</v>
      </c>
      <c r="BB16" s="15" t="s">
        <v>199</v>
      </c>
      <c r="BC16" s="15" t="s">
        <v>199</v>
      </c>
      <c r="BD16" s="15" t="s">
        <v>199</v>
      </c>
      <c r="BE16" s="1">
        <v>7000</v>
      </c>
      <c r="BF16" s="1">
        <v>8000</v>
      </c>
      <c r="BG16" s="1">
        <v>10000</v>
      </c>
      <c r="BH16" s="1">
        <v>90000</v>
      </c>
      <c r="BI16" s="1" t="s">
        <v>234</v>
      </c>
      <c r="BJ16" s="15"/>
      <c r="BK16" s="15"/>
      <c r="BL16" s="15"/>
      <c r="BM16" s="15" t="s">
        <v>188</v>
      </c>
      <c r="BN16" s="15"/>
      <c r="BO16" s="15"/>
      <c r="BP16" s="15"/>
      <c r="BQ16" s="15"/>
      <c r="BR16" s="15"/>
      <c r="BS16" s="2"/>
      <c r="BT16" s="15"/>
      <c r="BU16" s="15" t="s">
        <v>188</v>
      </c>
      <c r="BV16" s="15"/>
      <c r="BW16" s="15"/>
      <c r="BX16" s="15">
        <v>2</v>
      </c>
      <c r="BY16" s="15">
        <v>3</v>
      </c>
      <c r="BZ16" s="15">
        <v>1</v>
      </c>
      <c r="CA16" s="15"/>
      <c r="CB16" s="15" t="s">
        <v>188</v>
      </c>
      <c r="CC16" s="15"/>
      <c r="CD16" s="15"/>
      <c r="CE16" s="15"/>
      <c r="CF16" s="15"/>
      <c r="CG16" s="15"/>
      <c r="CH16" s="15"/>
      <c r="CI16" s="15"/>
      <c r="CJ16" s="15"/>
      <c r="CK16" s="15" t="s">
        <v>188</v>
      </c>
      <c r="CL16" s="15"/>
      <c r="CM16" s="15"/>
      <c r="CN16" s="15"/>
      <c r="CO16" s="15"/>
      <c r="CP16" s="15" t="s">
        <v>193</v>
      </c>
      <c r="CQ16" s="15" t="s">
        <v>193</v>
      </c>
      <c r="CR16" s="15" t="s">
        <v>188</v>
      </c>
      <c r="CS16" s="15"/>
      <c r="CT16" s="15"/>
      <c r="CU16" s="15"/>
      <c r="CV16" s="15"/>
      <c r="CW16" s="15"/>
      <c r="CX16" s="15"/>
      <c r="CY16" s="15" t="s">
        <v>188</v>
      </c>
      <c r="CZ16" s="3"/>
      <c r="DA16" s="49"/>
      <c r="DC16" s="18">
        <f t="shared" si="0"/>
        <v>0</v>
      </c>
      <c r="DD16" s="18">
        <f t="shared" si="1"/>
        <v>2</v>
      </c>
      <c r="DE16" s="18">
        <f t="shared" si="2"/>
        <v>1997</v>
      </c>
    </row>
    <row r="17" spans="1:109" x14ac:dyDescent="0.25">
      <c r="A17" s="59" t="s">
        <v>1317</v>
      </c>
      <c r="B17" s="103">
        <v>41513</v>
      </c>
      <c r="C17" s="104" t="s">
        <v>1556</v>
      </c>
      <c r="D17" s="14" t="s">
        <v>227</v>
      </c>
      <c r="E17" s="15"/>
      <c r="F17" s="15"/>
      <c r="G17" s="15" t="s">
        <v>188</v>
      </c>
      <c r="H17" s="15"/>
      <c r="I17" s="15">
        <v>33</v>
      </c>
      <c r="J17" s="15" t="s">
        <v>189</v>
      </c>
      <c r="K17" s="15" t="s">
        <v>214</v>
      </c>
      <c r="L17" s="15" t="s">
        <v>228</v>
      </c>
      <c r="M17" s="50" t="s">
        <v>1010</v>
      </c>
      <c r="N17" s="10" t="s">
        <v>1084</v>
      </c>
      <c r="O17" s="15">
        <v>14</v>
      </c>
      <c r="P17" s="15"/>
      <c r="Q17" s="15"/>
      <c r="R17" s="15"/>
      <c r="S17" s="15" t="s">
        <v>188</v>
      </c>
      <c r="T17" s="15"/>
      <c r="U17" s="15"/>
      <c r="V17" s="15" t="s">
        <v>188</v>
      </c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>
        <v>2004</v>
      </c>
      <c r="AI17" s="1">
        <v>1050000</v>
      </c>
      <c r="AJ17" s="15"/>
      <c r="AK17" s="15"/>
      <c r="AL17" s="15" t="s">
        <v>188</v>
      </c>
      <c r="AM17" s="15"/>
      <c r="AN17" s="15"/>
      <c r="AO17" s="15"/>
      <c r="AP17" s="15" t="s">
        <v>188</v>
      </c>
      <c r="AQ17" s="15"/>
      <c r="AR17" s="15"/>
      <c r="AS17" s="15"/>
      <c r="AT17" s="15" t="s">
        <v>229</v>
      </c>
      <c r="AU17" s="1">
        <v>9000</v>
      </c>
      <c r="AV17" s="48">
        <v>0.3</v>
      </c>
      <c r="AW17" s="15">
        <v>2.2000000000000002</v>
      </c>
      <c r="AX17" s="15">
        <v>1.9</v>
      </c>
      <c r="AY17" s="15">
        <v>2</v>
      </c>
      <c r="AZ17" s="15">
        <v>700</v>
      </c>
      <c r="BA17" s="15">
        <v>1500</v>
      </c>
      <c r="BB17" s="15" t="s">
        <v>188</v>
      </c>
      <c r="BC17" s="15" t="s">
        <v>188</v>
      </c>
      <c r="BD17" s="15" t="s">
        <v>199</v>
      </c>
      <c r="BE17" s="1">
        <v>10000</v>
      </c>
      <c r="BF17" s="1">
        <v>9000</v>
      </c>
      <c r="BG17" s="1">
        <v>10000</v>
      </c>
      <c r="BH17" s="1">
        <v>100000</v>
      </c>
      <c r="BI17" s="1">
        <v>10000</v>
      </c>
      <c r="BJ17" s="15"/>
      <c r="BK17" s="15"/>
      <c r="BL17" s="15"/>
      <c r="BM17" s="15"/>
      <c r="BN17" s="15"/>
      <c r="BO17" s="15"/>
      <c r="BP17" s="15"/>
      <c r="BQ17" s="15" t="s">
        <v>188</v>
      </c>
      <c r="BR17" s="15"/>
      <c r="BS17" s="2"/>
      <c r="BT17" s="15"/>
      <c r="BU17" s="15" t="s">
        <v>188</v>
      </c>
      <c r="BV17" s="15"/>
      <c r="BW17" s="15"/>
      <c r="BX17" s="15">
        <v>1</v>
      </c>
      <c r="BY17" s="15">
        <v>3</v>
      </c>
      <c r="BZ17" s="15">
        <v>2</v>
      </c>
      <c r="CA17" s="15"/>
      <c r="CB17" s="15"/>
      <c r="CC17" s="15" t="s">
        <v>188</v>
      </c>
      <c r="CD17" s="15"/>
      <c r="CE17" s="15"/>
      <c r="CF17" s="15"/>
      <c r="CG17" s="15" t="s">
        <v>188</v>
      </c>
      <c r="CH17" s="15" t="s">
        <v>188</v>
      </c>
      <c r="CI17" s="15"/>
      <c r="CJ17" s="15"/>
      <c r="CK17" s="15" t="s">
        <v>188</v>
      </c>
      <c r="CL17" s="15"/>
      <c r="CM17" s="15"/>
      <c r="CN17" s="15"/>
      <c r="CO17" s="15"/>
      <c r="CP17" s="15" t="s">
        <v>193</v>
      </c>
      <c r="CQ17" s="15" t="s">
        <v>193</v>
      </c>
      <c r="CR17" s="15" t="s">
        <v>188</v>
      </c>
      <c r="CS17" s="15"/>
      <c r="CT17" s="15"/>
      <c r="CU17" s="15"/>
      <c r="CV17" s="15"/>
      <c r="CW17" s="15"/>
      <c r="CX17" s="15" t="s">
        <v>188</v>
      </c>
      <c r="CY17" s="15" t="s">
        <v>188</v>
      </c>
      <c r="CZ17" s="3"/>
      <c r="DA17" s="49"/>
      <c r="DC17" s="18">
        <f t="shared" si="0"/>
        <v>0</v>
      </c>
      <c r="DD17" s="18">
        <f t="shared" si="1"/>
        <v>3</v>
      </c>
      <c r="DE17" s="18">
        <f t="shared" si="2"/>
        <v>2004</v>
      </c>
    </row>
    <row r="18" spans="1:109" x14ac:dyDescent="0.25">
      <c r="A18" s="59" t="s">
        <v>1317</v>
      </c>
      <c r="B18" s="103">
        <v>41513</v>
      </c>
      <c r="C18" s="104" t="s">
        <v>1556</v>
      </c>
      <c r="D18" s="14" t="s">
        <v>230</v>
      </c>
      <c r="E18" s="15"/>
      <c r="F18" s="15" t="s">
        <v>188</v>
      </c>
      <c r="G18" s="15"/>
      <c r="H18" s="15"/>
      <c r="I18" s="15">
        <v>44</v>
      </c>
      <c r="J18" s="15" t="s">
        <v>189</v>
      </c>
      <c r="K18" s="15" t="s">
        <v>190</v>
      </c>
      <c r="L18" s="15" t="s">
        <v>191</v>
      </c>
      <c r="M18" s="15" t="s">
        <v>1005</v>
      </c>
      <c r="N18" s="15" t="s">
        <v>1005</v>
      </c>
      <c r="O18" s="15">
        <v>20</v>
      </c>
      <c r="P18" s="15"/>
      <c r="Q18" s="15" t="s">
        <v>188</v>
      </c>
      <c r="R18" s="15"/>
      <c r="S18" s="15"/>
      <c r="T18" s="15"/>
      <c r="U18" s="15"/>
      <c r="V18" s="15"/>
      <c r="W18" s="15"/>
      <c r="X18" s="15"/>
      <c r="Y18" s="15" t="s">
        <v>188</v>
      </c>
      <c r="Z18" s="15"/>
      <c r="AA18" s="15"/>
      <c r="AB18" s="15"/>
      <c r="AC18" s="15"/>
      <c r="AD18" s="15"/>
      <c r="AE18" s="15"/>
      <c r="AF18" s="15"/>
      <c r="AG18" s="15"/>
      <c r="AH18" s="15">
        <v>2002</v>
      </c>
      <c r="AI18" s="1">
        <v>792000</v>
      </c>
      <c r="AJ18" s="15"/>
      <c r="AK18" s="15"/>
      <c r="AL18" s="15" t="s">
        <v>188</v>
      </c>
      <c r="AM18" s="15"/>
      <c r="AN18" s="15"/>
      <c r="AO18" s="15"/>
      <c r="AP18" s="15" t="s">
        <v>188</v>
      </c>
      <c r="AQ18" s="15"/>
      <c r="AR18" s="15"/>
      <c r="AS18" s="15"/>
      <c r="AT18" s="15" t="s">
        <v>198</v>
      </c>
      <c r="AU18" s="1">
        <v>6000</v>
      </c>
      <c r="AV18" s="48">
        <v>0.5</v>
      </c>
      <c r="AW18" s="15">
        <v>2.2000000000000002</v>
      </c>
      <c r="AX18" s="15">
        <v>1.8</v>
      </c>
      <c r="AY18" s="15">
        <v>2</v>
      </c>
      <c r="AZ18" s="15">
        <v>750</v>
      </c>
      <c r="BA18" s="15">
        <v>1500</v>
      </c>
      <c r="BB18" s="15" t="s">
        <v>188</v>
      </c>
      <c r="BC18" s="15" t="s">
        <v>188</v>
      </c>
      <c r="BD18" s="15" t="s">
        <v>199</v>
      </c>
      <c r="BE18" s="1">
        <v>8000</v>
      </c>
      <c r="BF18" s="1">
        <v>8000</v>
      </c>
      <c r="BG18" s="1">
        <v>12000</v>
      </c>
      <c r="BH18" s="1">
        <v>90000</v>
      </c>
      <c r="BI18" s="1">
        <v>12000</v>
      </c>
      <c r="BJ18" s="15"/>
      <c r="BK18" s="15"/>
      <c r="BL18" s="15"/>
      <c r="BM18" s="15"/>
      <c r="BN18" s="15"/>
      <c r="BO18" s="15"/>
      <c r="BP18" s="15"/>
      <c r="BQ18" s="15"/>
      <c r="BR18" s="15" t="s">
        <v>188</v>
      </c>
      <c r="BS18" s="2"/>
      <c r="BT18" s="15"/>
      <c r="BU18" s="15" t="s">
        <v>188</v>
      </c>
      <c r="BV18" s="15"/>
      <c r="BW18" s="15"/>
      <c r="BX18" s="15">
        <v>2</v>
      </c>
      <c r="BY18" s="15">
        <v>3</v>
      </c>
      <c r="BZ18" s="15">
        <v>1</v>
      </c>
      <c r="CA18" s="15"/>
      <c r="CB18" s="15"/>
      <c r="CC18" s="15" t="s">
        <v>188</v>
      </c>
      <c r="CD18" s="15"/>
      <c r="CE18" s="15"/>
      <c r="CF18" s="15"/>
      <c r="CG18" s="15" t="s">
        <v>188</v>
      </c>
      <c r="CH18" s="15"/>
      <c r="CI18" s="15"/>
      <c r="CJ18" s="15"/>
      <c r="CK18" s="15" t="s">
        <v>188</v>
      </c>
      <c r="CL18" s="15"/>
      <c r="CM18" s="15"/>
      <c r="CN18" s="15"/>
      <c r="CO18" s="15"/>
      <c r="CP18" s="15" t="s">
        <v>193</v>
      </c>
      <c r="CQ18" s="15" t="s">
        <v>193</v>
      </c>
      <c r="CR18" s="15"/>
      <c r="CS18" s="15"/>
      <c r="CT18" s="15" t="s">
        <v>188</v>
      </c>
      <c r="CU18" s="15"/>
      <c r="CV18" s="15"/>
      <c r="CW18" s="15"/>
      <c r="CX18" s="15" t="s">
        <v>188</v>
      </c>
      <c r="CY18" s="15" t="s">
        <v>188</v>
      </c>
      <c r="CZ18" s="3"/>
      <c r="DA18" s="49" t="s">
        <v>231</v>
      </c>
      <c r="DC18" s="18">
        <f t="shared" si="0"/>
        <v>0</v>
      </c>
      <c r="DD18" s="18">
        <f t="shared" si="1"/>
        <v>2</v>
      </c>
      <c r="DE18" s="18">
        <f t="shared" si="2"/>
        <v>2002</v>
      </c>
    </row>
    <row r="19" spans="1:109" x14ac:dyDescent="0.25">
      <c r="A19" s="59" t="s">
        <v>1317</v>
      </c>
      <c r="B19" s="103">
        <v>41513</v>
      </c>
      <c r="C19" s="104" t="s">
        <v>1556</v>
      </c>
      <c r="D19" s="14" t="s">
        <v>232</v>
      </c>
      <c r="E19" s="15" t="s">
        <v>188</v>
      </c>
      <c r="F19" s="15"/>
      <c r="G19" s="15"/>
      <c r="H19" s="15"/>
      <c r="I19" s="15">
        <v>27</v>
      </c>
      <c r="J19" s="15" t="s">
        <v>189</v>
      </c>
      <c r="K19" s="15" t="s">
        <v>196</v>
      </c>
      <c r="L19" s="15" t="s">
        <v>245</v>
      </c>
      <c r="M19" s="50" t="s">
        <v>1011</v>
      </c>
      <c r="N19" s="15" t="s">
        <v>1005</v>
      </c>
      <c r="O19" s="15">
        <v>6</v>
      </c>
      <c r="P19" s="15" t="s">
        <v>188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 t="s">
        <v>188</v>
      </c>
      <c r="AG19" s="15"/>
      <c r="AH19" s="15">
        <v>1998</v>
      </c>
      <c r="AI19" s="1">
        <v>545000</v>
      </c>
      <c r="AJ19" s="15" t="s">
        <v>188</v>
      </c>
      <c r="AK19" s="15"/>
      <c r="AL19" s="15"/>
      <c r="AM19" s="15"/>
      <c r="AN19" s="15"/>
      <c r="AO19" s="15"/>
      <c r="AP19" s="15" t="s">
        <v>188</v>
      </c>
      <c r="AQ19" s="15"/>
      <c r="AR19" s="15"/>
      <c r="AS19" s="15"/>
      <c r="AT19" s="15" t="s">
        <v>233</v>
      </c>
      <c r="AU19" s="1">
        <v>3000</v>
      </c>
      <c r="AV19" s="48">
        <v>0.5</v>
      </c>
      <c r="AW19" s="15">
        <v>3.5</v>
      </c>
      <c r="AX19" s="15">
        <v>2.2000000000000002</v>
      </c>
      <c r="AY19" s="15">
        <v>1</v>
      </c>
      <c r="AZ19" s="15">
        <v>250</v>
      </c>
      <c r="BA19" s="15">
        <v>650</v>
      </c>
      <c r="BB19" s="15" t="s">
        <v>199</v>
      </c>
      <c r="BC19" s="15" t="s">
        <v>199</v>
      </c>
      <c r="BD19" s="15" t="s">
        <v>199</v>
      </c>
      <c r="BE19" s="1">
        <v>5000</v>
      </c>
      <c r="BF19" s="1">
        <v>6000</v>
      </c>
      <c r="BG19" s="1">
        <v>10000</v>
      </c>
      <c r="BH19" s="1">
        <v>100000</v>
      </c>
      <c r="BI19" s="1" t="s">
        <v>234</v>
      </c>
      <c r="BJ19" s="15" t="s">
        <v>188</v>
      </c>
      <c r="BK19" s="15"/>
      <c r="BL19" s="15"/>
      <c r="BM19" s="15"/>
      <c r="BN19" s="15"/>
      <c r="BO19" s="15" t="s">
        <v>188</v>
      </c>
      <c r="BP19" s="15"/>
      <c r="BQ19" s="15"/>
      <c r="BR19" s="15"/>
      <c r="BS19" s="2"/>
      <c r="BT19" s="15"/>
      <c r="BU19" s="15" t="s">
        <v>188</v>
      </c>
      <c r="BV19" s="15"/>
      <c r="BW19" s="15"/>
      <c r="BX19" s="15">
        <v>1</v>
      </c>
      <c r="BY19" s="15">
        <v>3</v>
      </c>
      <c r="BZ19" s="15">
        <v>2</v>
      </c>
      <c r="CA19" s="15"/>
      <c r="CB19" s="15" t="s">
        <v>188</v>
      </c>
      <c r="CC19" s="15"/>
      <c r="CD19" s="15"/>
      <c r="CE19" s="15"/>
      <c r="CF19" s="15"/>
      <c r="CG19" s="15"/>
      <c r="CH19" s="15"/>
      <c r="CI19" s="15"/>
      <c r="CJ19" s="15"/>
      <c r="CK19" s="15" t="s">
        <v>188</v>
      </c>
      <c r="CL19" s="15"/>
      <c r="CM19" s="15"/>
      <c r="CN19" s="15"/>
      <c r="CO19" s="15"/>
      <c r="CP19" s="15" t="s">
        <v>193</v>
      </c>
      <c r="CQ19" s="15" t="s">
        <v>193</v>
      </c>
      <c r="CR19" s="15" t="s">
        <v>188</v>
      </c>
      <c r="CS19" s="15"/>
      <c r="CT19" s="15"/>
      <c r="CU19" s="15"/>
      <c r="CV19" s="15"/>
      <c r="CW19" s="15"/>
      <c r="CX19" s="15"/>
      <c r="CY19" s="15" t="s">
        <v>188</v>
      </c>
      <c r="CZ19" s="3"/>
      <c r="DA19" s="49"/>
      <c r="DC19" s="18">
        <f t="shared" si="0"/>
        <v>0</v>
      </c>
      <c r="DD19" s="18">
        <f t="shared" si="1"/>
        <v>1</v>
      </c>
      <c r="DE19" s="18">
        <f t="shared" si="2"/>
        <v>1998</v>
      </c>
    </row>
    <row r="20" spans="1:109" x14ac:dyDescent="0.25">
      <c r="A20" s="59" t="s">
        <v>1317</v>
      </c>
      <c r="B20" s="103">
        <v>41513</v>
      </c>
      <c r="C20" s="104" t="s">
        <v>1556</v>
      </c>
      <c r="D20" s="14" t="s">
        <v>235</v>
      </c>
      <c r="E20" s="15"/>
      <c r="F20" s="15"/>
      <c r="G20" s="15" t="s">
        <v>188</v>
      </c>
      <c r="H20" s="15"/>
      <c r="I20" s="15">
        <v>31</v>
      </c>
      <c r="J20" s="15" t="s">
        <v>189</v>
      </c>
      <c r="K20" s="15" t="s">
        <v>190</v>
      </c>
      <c r="L20" s="15" t="s">
        <v>236</v>
      </c>
      <c r="M20" s="50" t="s">
        <v>1012</v>
      </c>
      <c r="N20" s="15" t="s">
        <v>1009</v>
      </c>
      <c r="O20" s="15">
        <v>10</v>
      </c>
      <c r="P20" s="15"/>
      <c r="Q20" s="15"/>
      <c r="R20" s="15"/>
      <c r="S20" s="15" t="s">
        <v>188</v>
      </c>
      <c r="T20" s="15"/>
      <c r="U20" s="15" t="s">
        <v>188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>
        <v>2000</v>
      </c>
      <c r="AI20" s="1">
        <v>1050000</v>
      </c>
      <c r="AJ20" s="15"/>
      <c r="AK20" s="15"/>
      <c r="AL20" s="15" t="s">
        <v>188</v>
      </c>
      <c r="AM20" s="15"/>
      <c r="AN20" s="15"/>
      <c r="AO20" s="15"/>
      <c r="AP20" s="15" t="s">
        <v>188</v>
      </c>
      <c r="AQ20" s="15"/>
      <c r="AR20" s="15"/>
      <c r="AS20" s="15"/>
      <c r="AT20" s="15" t="s">
        <v>237</v>
      </c>
      <c r="AU20" s="1">
        <v>8000</v>
      </c>
      <c r="AV20" s="48">
        <v>0.5</v>
      </c>
      <c r="AW20" s="15">
        <v>2.1</v>
      </c>
      <c r="AX20" s="15">
        <v>1.8</v>
      </c>
      <c r="AY20" s="15">
        <v>2</v>
      </c>
      <c r="AZ20" s="15">
        <v>650</v>
      </c>
      <c r="BA20" s="15">
        <v>1250</v>
      </c>
      <c r="BB20" s="15" t="s">
        <v>188</v>
      </c>
      <c r="BC20" s="15" t="s">
        <v>199</v>
      </c>
      <c r="BD20" s="15" t="s">
        <v>199</v>
      </c>
      <c r="BE20" s="1">
        <v>7500</v>
      </c>
      <c r="BF20" s="1">
        <v>8000</v>
      </c>
      <c r="BG20" s="1">
        <v>11000</v>
      </c>
      <c r="BH20" s="1">
        <v>110000</v>
      </c>
      <c r="BI20" s="1">
        <v>11000</v>
      </c>
      <c r="BJ20" s="15"/>
      <c r="BK20" s="15"/>
      <c r="BL20" s="15"/>
      <c r="BM20" s="15" t="s">
        <v>188</v>
      </c>
      <c r="BN20" s="15"/>
      <c r="BO20" s="15"/>
      <c r="BP20" s="15"/>
      <c r="BQ20" s="15"/>
      <c r="BR20" s="15"/>
      <c r="BS20" s="2"/>
      <c r="BT20" s="15"/>
      <c r="BU20" s="15" t="s">
        <v>188</v>
      </c>
      <c r="BV20" s="15"/>
      <c r="BW20" s="15"/>
      <c r="BX20" s="15">
        <v>1</v>
      </c>
      <c r="BY20" s="15">
        <v>3</v>
      </c>
      <c r="BZ20" s="15">
        <v>2</v>
      </c>
      <c r="CA20" s="15"/>
      <c r="CB20" s="15"/>
      <c r="CC20" s="15" t="s">
        <v>188</v>
      </c>
      <c r="CD20" s="15"/>
      <c r="CE20" s="15"/>
      <c r="CF20" s="15"/>
      <c r="CG20" s="15" t="s">
        <v>188</v>
      </c>
      <c r="CH20" s="15"/>
      <c r="CI20" s="15"/>
      <c r="CJ20" s="15"/>
      <c r="CK20" s="15" t="s">
        <v>188</v>
      </c>
      <c r="CL20" s="15"/>
      <c r="CM20" s="15"/>
      <c r="CN20" s="15"/>
      <c r="CO20" s="15"/>
      <c r="CP20" s="15" t="s">
        <v>193</v>
      </c>
      <c r="CQ20" s="15" t="s">
        <v>193</v>
      </c>
      <c r="CR20" s="15"/>
      <c r="CS20" s="15"/>
      <c r="CT20" s="15" t="s">
        <v>188</v>
      </c>
      <c r="CU20" s="15"/>
      <c r="CV20" s="15"/>
      <c r="CW20" s="15"/>
      <c r="CX20" s="15" t="s">
        <v>188</v>
      </c>
      <c r="CY20" s="15" t="s">
        <v>188</v>
      </c>
      <c r="CZ20" s="3"/>
      <c r="DA20" s="49"/>
      <c r="DC20" s="18">
        <f t="shared" si="0"/>
        <v>0</v>
      </c>
      <c r="DD20" s="18">
        <f t="shared" si="1"/>
        <v>3</v>
      </c>
      <c r="DE20" s="18">
        <f t="shared" si="2"/>
        <v>2000</v>
      </c>
    </row>
    <row r="21" spans="1:109" x14ac:dyDescent="0.25">
      <c r="A21" s="59" t="s">
        <v>1317</v>
      </c>
      <c r="B21" s="103">
        <v>41513</v>
      </c>
      <c r="C21" s="104" t="s">
        <v>1556</v>
      </c>
      <c r="D21" s="14" t="s">
        <v>238</v>
      </c>
      <c r="E21" s="15"/>
      <c r="F21" s="15"/>
      <c r="G21" s="15" t="s">
        <v>188</v>
      </c>
      <c r="H21" s="15"/>
      <c r="I21" s="15">
        <v>38</v>
      </c>
      <c r="J21" s="15" t="s">
        <v>189</v>
      </c>
      <c r="K21" s="15" t="s">
        <v>190</v>
      </c>
      <c r="L21" s="15" t="s">
        <v>191</v>
      </c>
      <c r="M21" s="15" t="s">
        <v>1005</v>
      </c>
      <c r="N21" s="15" t="s">
        <v>1005</v>
      </c>
      <c r="O21" s="15">
        <v>19</v>
      </c>
      <c r="P21" s="15"/>
      <c r="Q21" s="15" t="s">
        <v>188</v>
      </c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 t="s">
        <v>188</v>
      </c>
      <c r="AG21" s="15"/>
      <c r="AH21" s="15">
        <v>2001</v>
      </c>
      <c r="AI21" s="1">
        <v>920000</v>
      </c>
      <c r="AJ21" s="15" t="s">
        <v>188</v>
      </c>
      <c r="AK21" s="15"/>
      <c r="AL21" s="15"/>
      <c r="AM21" s="15"/>
      <c r="AN21" s="15"/>
      <c r="AO21" s="15"/>
      <c r="AP21" s="15" t="s">
        <v>188</v>
      </c>
      <c r="AQ21" s="15"/>
      <c r="AR21" s="15"/>
      <c r="AS21" s="15"/>
      <c r="AT21" s="15" t="s">
        <v>192</v>
      </c>
      <c r="AU21" s="1">
        <v>6600</v>
      </c>
      <c r="AV21" s="48">
        <v>0.5</v>
      </c>
      <c r="AW21" s="15">
        <v>4</v>
      </c>
      <c r="AX21" s="15">
        <v>2.8</v>
      </c>
      <c r="AY21" s="15">
        <v>1</v>
      </c>
      <c r="AZ21" s="15">
        <v>250</v>
      </c>
      <c r="BA21" s="15" t="s">
        <v>193</v>
      </c>
      <c r="BB21" s="15" t="s">
        <v>199</v>
      </c>
      <c r="BC21" s="15" t="s">
        <v>188</v>
      </c>
      <c r="BD21" s="15" t="s">
        <v>199</v>
      </c>
      <c r="BE21" s="1">
        <v>6000</v>
      </c>
      <c r="BF21" s="1">
        <v>7000</v>
      </c>
      <c r="BG21" s="1">
        <v>10000</v>
      </c>
      <c r="BH21" s="1">
        <v>85000</v>
      </c>
      <c r="BI21" s="1">
        <v>10000</v>
      </c>
      <c r="BJ21" s="15"/>
      <c r="BK21" s="15"/>
      <c r="BL21" s="15"/>
      <c r="BM21" s="15"/>
      <c r="BN21" s="15"/>
      <c r="BO21" s="15" t="s">
        <v>188</v>
      </c>
      <c r="BP21" s="15"/>
      <c r="BQ21" s="15"/>
      <c r="BR21" s="15"/>
      <c r="BS21" s="2"/>
      <c r="BT21" s="15"/>
      <c r="BU21" s="15" t="s">
        <v>188</v>
      </c>
      <c r="BV21" s="15"/>
      <c r="BW21" s="15"/>
      <c r="BX21" s="15">
        <v>2</v>
      </c>
      <c r="BY21" s="15">
        <v>4</v>
      </c>
      <c r="BZ21" s="15">
        <v>3</v>
      </c>
      <c r="CA21" s="15" t="s">
        <v>208</v>
      </c>
      <c r="CB21" s="15" t="s">
        <v>188</v>
      </c>
      <c r="CC21" s="15"/>
      <c r="CD21" s="15"/>
      <c r="CE21" s="15"/>
      <c r="CF21" s="15"/>
      <c r="CG21" s="15"/>
      <c r="CH21" s="15"/>
      <c r="CI21" s="15"/>
      <c r="CJ21" s="15"/>
      <c r="CK21" s="15" t="s">
        <v>188</v>
      </c>
      <c r="CL21" s="15"/>
      <c r="CM21" s="15"/>
      <c r="CN21" s="15"/>
      <c r="CO21" s="15"/>
      <c r="CP21" s="15" t="s">
        <v>193</v>
      </c>
      <c r="CQ21" s="15" t="s">
        <v>193</v>
      </c>
      <c r="CR21" s="15" t="s">
        <v>188</v>
      </c>
      <c r="CS21" s="15"/>
      <c r="CT21" s="15"/>
      <c r="CU21" s="15"/>
      <c r="CV21" s="15"/>
      <c r="CW21" s="15"/>
      <c r="CX21" s="15"/>
      <c r="CY21" s="15" t="s">
        <v>188</v>
      </c>
      <c r="CZ21" s="3"/>
      <c r="DA21" s="49"/>
      <c r="DC21" s="18">
        <f t="shared" si="0"/>
        <v>0</v>
      </c>
      <c r="DD21" s="18">
        <f t="shared" si="1"/>
        <v>3</v>
      </c>
      <c r="DE21" s="18">
        <f t="shared" si="2"/>
        <v>2001</v>
      </c>
    </row>
    <row r="22" spans="1:109" x14ac:dyDescent="0.25">
      <c r="A22" s="59" t="s">
        <v>1317</v>
      </c>
      <c r="B22" s="103">
        <v>41513</v>
      </c>
      <c r="C22" s="104" t="s">
        <v>1556</v>
      </c>
      <c r="D22" s="14" t="s">
        <v>239</v>
      </c>
      <c r="E22" s="15"/>
      <c r="F22" s="15"/>
      <c r="G22" s="15"/>
      <c r="H22" s="15" t="s">
        <v>188</v>
      </c>
      <c r="I22" s="15">
        <v>38</v>
      </c>
      <c r="J22" s="15" t="s">
        <v>189</v>
      </c>
      <c r="K22" s="15" t="s">
        <v>240</v>
      </c>
      <c r="L22" s="15" t="s">
        <v>197</v>
      </c>
      <c r="M22" s="15" t="s">
        <v>1006</v>
      </c>
      <c r="N22" s="15" t="s">
        <v>1006</v>
      </c>
      <c r="O22" s="15">
        <v>12</v>
      </c>
      <c r="P22" s="15"/>
      <c r="Q22" s="15"/>
      <c r="R22" s="15"/>
      <c r="S22" s="15" t="s">
        <v>188</v>
      </c>
      <c r="T22" s="15"/>
      <c r="U22" s="15"/>
      <c r="V22" s="15" t="s">
        <v>188</v>
      </c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>
        <v>2003</v>
      </c>
      <c r="AI22" s="1">
        <v>932000</v>
      </c>
      <c r="AJ22" s="15"/>
      <c r="AK22" s="15"/>
      <c r="AL22" s="15" t="s">
        <v>188</v>
      </c>
      <c r="AM22" s="15"/>
      <c r="AN22" s="15"/>
      <c r="AO22" s="15"/>
      <c r="AP22" s="15" t="s">
        <v>188</v>
      </c>
      <c r="AQ22" s="15"/>
      <c r="AR22" s="15"/>
      <c r="AS22" s="15"/>
      <c r="AT22" s="15" t="s">
        <v>237</v>
      </c>
      <c r="AU22" s="1">
        <v>7600</v>
      </c>
      <c r="AV22" s="48">
        <v>0.5</v>
      </c>
      <c r="AW22" s="15">
        <v>2.2000000000000002</v>
      </c>
      <c r="AX22" s="15">
        <v>1.9</v>
      </c>
      <c r="AY22" s="15">
        <v>2</v>
      </c>
      <c r="AZ22" s="15">
        <v>700</v>
      </c>
      <c r="BA22" s="15">
        <v>1500</v>
      </c>
      <c r="BB22" s="15" t="s">
        <v>188</v>
      </c>
      <c r="BC22" s="15" t="s">
        <v>188</v>
      </c>
      <c r="BD22" s="15" t="s">
        <v>199</v>
      </c>
      <c r="BE22" s="1">
        <v>7500</v>
      </c>
      <c r="BF22" s="1">
        <v>6500</v>
      </c>
      <c r="BG22" s="1">
        <v>12000</v>
      </c>
      <c r="BH22" s="1">
        <v>95000</v>
      </c>
      <c r="BI22" s="1">
        <v>12000</v>
      </c>
      <c r="BJ22" s="15"/>
      <c r="BK22" s="15"/>
      <c r="BL22" s="15"/>
      <c r="BM22" s="15"/>
      <c r="BN22" s="15"/>
      <c r="BO22" s="15"/>
      <c r="BP22" s="15"/>
      <c r="BQ22" s="15" t="s">
        <v>188</v>
      </c>
      <c r="BR22" s="15"/>
      <c r="BS22" s="2"/>
      <c r="BT22" s="15"/>
      <c r="BU22" s="15" t="s">
        <v>188</v>
      </c>
      <c r="BV22" s="15"/>
      <c r="BW22" s="15"/>
      <c r="BX22" s="15">
        <v>2</v>
      </c>
      <c r="BY22" s="15">
        <v>4</v>
      </c>
      <c r="BZ22" s="15">
        <v>3</v>
      </c>
      <c r="CA22" s="15" t="s">
        <v>208</v>
      </c>
      <c r="CB22" s="15"/>
      <c r="CC22" s="15" t="s">
        <v>188</v>
      </c>
      <c r="CD22" s="15"/>
      <c r="CE22" s="15"/>
      <c r="CF22" s="15"/>
      <c r="CG22" s="15" t="s">
        <v>188</v>
      </c>
      <c r="CH22" s="15"/>
      <c r="CI22" s="15"/>
      <c r="CJ22" s="15"/>
      <c r="CK22" s="15"/>
      <c r="CL22" s="15" t="s">
        <v>188</v>
      </c>
      <c r="CM22" s="15"/>
      <c r="CN22" s="15" t="s">
        <v>201</v>
      </c>
      <c r="CO22" s="15"/>
      <c r="CP22" s="15" t="s">
        <v>202</v>
      </c>
      <c r="CQ22" s="15" t="s">
        <v>203</v>
      </c>
      <c r="CR22" s="15"/>
      <c r="CS22" s="15"/>
      <c r="CT22" s="15" t="s">
        <v>188</v>
      </c>
      <c r="CU22" s="15"/>
      <c r="CV22" s="15"/>
      <c r="CW22" s="15"/>
      <c r="CX22" s="15" t="s">
        <v>188</v>
      </c>
      <c r="CY22" s="15" t="s">
        <v>188</v>
      </c>
      <c r="CZ22" s="3"/>
      <c r="DA22" s="49" t="s">
        <v>241</v>
      </c>
      <c r="DC22" s="18">
        <f t="shared" si="0"/>
        <v>0</v>
      </c>
      <c r="DD22" s="18">
        <f t="shared" si="1"/>
        <v>7</v>
      </c>
      <c r="DE22" s="18">
        <f t="shared" si="2"/>
        <v>2003</v>
      </c>
    </row>
    <row r="23" spans="1:109" x14ac:dyDescent="0.25">
      <c r="A23" s="59" t="s">
        <v>1317</v>
      </c>
      <c r="B23" s="103">
        <v>41513</v>
      </c>
      <c r="C23" s="104" t="s">
        <v>1556</v>
      </c>
      <c r="D23" s="14" t="s">
        <v>242</v>
      </c>
      <c r="E23" s="15"/>
      <c r="F23" s="15" t="s">
        <v>188</v>
      </c>
      <c r="G23" s="15"/>
      <c r="H23" s="15"/>
      <c r="I23" s="15">
        <v>29</v>
      </c>
      <c r="J23" s="15" t="s">
        <v>189</v>
      </c>
      <c r="K23" s="15" t="s">
        <v>196</v>
      </c>
      <c r="L23" s="15" t="s">
        <v>244</v>
      </c>
      <c r="M23" s="50" t="s">
        <v>1013</v>
      </c>
      <c r="N23" s="15" t="s">
        <v>1005</v>
      </c>
      <c r="O23" s="15">
        <v>9</v>
      </c>
      <c r="P23" s="15"/>
      <c r="Q23" s="15" t="s">
        <v>188</v>
      </c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 t="s">
        <v>188</v>
      </c>
      <c r="AG23" s="15"/>
      <c r="AH23" s="15">
        <v>1979</v>
      </c>
      <c r="AI23" s="1">
        <v>2455000</v>
      </c>
      <c r="AJ23" s="15" t="s">
        <v>188</v>
      </c>
      <c r="AK23" s="15"/>
      <c r="AL23" s="15"/>
      <c r="AM23" s="15"/>
      <c r="AN23" s="15"/>
      <c r="AO23" s="15"/>
      <c r="AP23" s="15"/>
      <c r="AQ23" s="15" t="s">
        <v>188</v>
      </c>
      <c r="AR23" s="15"/>
      <c r="AS23" s="15">
        <v>1995</v>
      </c>
      <c r="AT23" s="15" t="s">
        <v>211</v>
      </c>
      <c r="AU23" s="1">
        <v>4100</v>
      </c>
      <c r="AV23" s="48">
        <v>0.5</v>
      </c>
      <c r="AW23" s="15">
        <v>3</v>
      </c>
      <c r="AX23" s="15">
        <v>2.1</v>
      </c>
      <c r="AY23" s="15">
        <v>1</v>
      </c>
      <c r="AZ23" s="15">
        <v>380</v>
      </c>
      <c r="BA23" s="15">
        <v>900</v>
      </c>
      <c r="BB23" s="15" t="s">
        <v>199</v>
      </c>
      <c r="BC23" s="15" t="s">
        <v>199</v>
      </c>
      <c r="BD23" s="15" t="s">
        <v>199</v>
      </c>
      <c r="BE23" s="1">
        <v>6000</v>
      </c>
      <c r="BF23" s="1">
        <v>8000</v>
      </c>
      <c r="BG23" s="1">
        <v>8000</v>
      </c>
      <c r="BH23" s="1">
        <v>80000</v>
      </c>
      <c r="BI23" s="1" t="s">
        <v>234</v>
      </c>
      <c r="BJ23" s="15" t="s">
        <v>188</v>
      </c>
      <c r="BK23" s="15"/>
      <c r="BL23" s="15"/>
      <c r="BM23" s="15"/>
      <c r="BN23" s="15"/>
      <c r="BO23" s="15" t="s">
        <v>188</v>
      </c>
      <c r="BP23" s="15"/>
      <c r="BQ23" s="15"/>
      <c r="BR23" s="15"/>
      <c r="BS23" s="2"/>
      <c r="BT23" s="15"/>
      <c r="BU23" s="15" t="s">
        <v>188</v>
      </c>
      <c r="BV23" s="15"/>
      <c r="BW23" s="15"/>
      <c r="BX23" s="15">
        <v>2</v>
      </c>
      <c r="BY23" s="15">
        <v>3</v>
      </c>
      <c r="BZ23" s="15">
        <v>1</v>
      </c>
      <c r="CA23" s="15"/>
      <c r="CB23" s="15" t="s">
        <v>188</v>
      </c>
      <c r="CC23" s="15"/>
      <c r="CD23" s="15"/>
      <c r="CE23" s="15"/>
      <c r="CF23" s="15"/>
      <c r="CG23" s="15"/>
      <c r="CH23" s="15"/>
      <c r="CI23" s="15"/>
      <c r="CJ23" s="15"/>
      <c r="CK23" s="15" t="s">
        <v>188</v>
      </c>
      <c r="CL23" s="15"/>
      <c r="CM23" s="15"/>
      <c r="CN23" s="15"/>
      <c r="CO23" s="15"/>
      <c r="CP23" s="15" t="s">
        <v>193</v>
      </c>
      <c r="CQ23" s="15" t="s">
        <v>209</v>
      </c>
      <c r="CR23" s="15" t="s">
        <v>188</v>
      </c>
      <c r="CS23" s="15"/>
      <c r="CT23" s="15"/>
      <c r="CU23" s="15"/>
      <c r="CV23" s="15"/>
      <c r="CW23" s="15"/>
      <c r="CX23" s="15"/>
      <c r="CY23" s="15" t="s">
        <v>188</v>
      </c>
      <c r="CZ23" s="3"/>
      <c r="DA23" s="49"/>
      <c r="DC23" s="18">
        <f t="shared" si="0"/>
        <v>0</v>
      </c>
      <c r="DD23" s="18">
        <f t="shared" si="1"/>
        <v>2</v>
      </c>
      <c r="DE23" s="18">
        <f t="shared" si="2"/>
        <v>1995</v>
      </c>
    </row>
    <row r="24" spans="1:109" x14ac:dyDescent="0.25">
      <c r="A24" s="59" t="s">
        <v>1317</v>
      </c>
      <c r="B24" s="103">
        <v>41513</v>
      </c>
      <c r="C24" s="104" t="s">
        <v>1556</v>
      </c>
      <c r="D24" s="14" t="s">
        <v>243</v>
      </c>
      <c r="E24" s="15"/>
      <c r="F24" s="15"/>
      <c r="G24" s="15" t="s">
        <v>188</v>
      </c>
      <c r="H24" s="15"/>
      <c r="I24" s="15">
        <v>34</v>
      </c>
      <c r="J24" s="15" t="s">
        <v>189</v>
      </c>
      <c r="K24" s="15" t="s">
        <v>196</v>
      </c>
      <c r="L24" s="15" t="s">
        <v>246</v>
      </c>
      <c r="M24" s="50" t="s">
        <v>1014</v>
      </c>
      <c r="N24" s="15" t="s">
        <v>1005</v>
      </c>
      <c r="O24" s="15">
        <v>15</v>
      </c>
      <c r="P24" s="15"/>
      <c r="Q24" s="15" t="s">
        <v>188</v>
      </c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 t="s">
        <v>188</v>
      </c>
      <c r="AG24" s="15"/>
      <c r="AH24" s="15">
        <v>1984</v>
      </c>
      <c r="AI24" s="1">
        <v>1975000</v>
      </c>
      <c r="AJ24" s="15"/>
      <c r="AK24" s="15"/>
      <c r="AL24" s="15" t="s">
        <v>188</v>
      </c>
      <c r="AM24" s="15"/>
      <c r="AN24" s="15"/>
      <c r="AO24" s="15" t="s">
        <v>188</v>
      </c>
      <c r="AP24" s="15"/>
      <c r="AQ24" s="15"/>
      <c r="AR24" s="15"/>
      <c r="AS24" s="15"/>
      <c r="AT24" s="15" t="s">
        <v>198</v>
      </c>
      <c r="AU24" s="1">
        <v>2800</v>
      </c>
      <c r="AV24" s="48">
        <v>0.5</v>
      </c>
      <c r="AW24" s="15">
        <v>1.9</v>
      </c>
      <c r="AX24" s="15">
        <v>1.6</v>
      </c>
      <c r="AY24" s="15">
        <v>1</v>
      </c>
      <c r="AZ24" s="15">
        <v>250</v>
      </c>
      <c r="BA24" s="15">
        <v>425</v>
      </c>
      <c r="BB24" s="15" t="s">
        <v>199</v>
      </c>
      <c r="BC24" s="15" t="s">
        <v>199</v>
      </c>
      <c r="BD24" s="15" t="s">
        <v>199</v>
      </c>
      <c r="BE24" s="1">
        <v>6000</v>
      </c>
      <c r="BF24" s="1">
        <v>6500</v>
      </c>
      <c r="BG24" s="1">
        <v>12000</v>
      </c>
      <c r="BH24" s="1">
        <v>85000</v>
      </c>
      <c r="BI24" s="1">
        <v>12000</v>
      </c>
      <c r="BJ24" s="15" t="s">
        <v>188</v>
      </c>
      <c r="BK24" s="15"/>
      <c r="BL24" s="15"/>
      <c r="BM24" s="15"/>
      <c r="BN24" s="15"/>
      <c r="BO24" s="15"/>
      <c r="BP24" s="15"/>
      <c r="BQ24" s="15"/>
      <c r="BR24" s="15"/>
      <c r="BS24" s="2"/>
      <c r="BT24" s="15"/>
      <c r="BU24" s="15" t="s">
        <v>188</v>
      </c>
      <c r="BV24" s="15"/>
      <c r="BW24" s="15"/>
      <c r="BX24" s="15">
        <v>1</v>
      </c>
      <c r="BY24" s="15">
        <v>3</v>
      </c>
      <c r="BZ24" s="15">
        <v>2</v>
      </c>
      <c r="CA24" s="15"/>
      <c r="CB24" s="15" t="s">
        <v>188</v>
      </c>
      <c r="CC24" s="15"/>
      <c r="CD24" s="15"/>
      <c r="CE24" s="15"/>
      <c r="CF24" s="15"/>
      <c r="CG24" s="15"/>
      <c r="CH24" s="15"/>
      <c r="CI24" s="15"/>
      <c r="CJ24" s="15"/>
      <c r="CK24" s="15" t="s">
        <v>188</v>
      </c>
      <c r="CL24" s="15"/>
      <c r="CM24" s="15"/>
      <c r="CN24" s="15"/>
      <c r="CO24" s="15"/>
      <c r="CP24" s="15" t="s">
        <v>193</v>
      </c>
      <c r="CQ24" s="15" t="s">
        <v>193</v>
      </c>
      <c r="CR24" s="15" t="s">
        <v>188</v>
      </c>
      <c r="CS24" s="15"/>
      <c r="CT24" s="15"/>
      <c r="CU24" s="15"/>
      <c r="CV24" s="15"/>
      <c r="CW24" s="15"/>
      <c r="CX24" s="15"/>
      <c r="CY24" s="15" t="s">
        <v>188</v>
      </c>
      <c r="CZ24" s="3"/>
      <c r="DA24" s="49"/>
      <c r="DC24" s="18">
        <f t="shared" si="0"/>
        <v>0</v>
      </c>
      <c r="DD24" s="18">
        <f t="shared" si="1"/>
        <v>3</v>
      </c>
      <c r="DE24" s="18">
        <f t="shared" si="2"/>
        <v>1984</v>
      </c>
    </row>
    <row r="25" spans="1:109" x14ac:dyDescent="0.25">
      <c r="A25" s="59" t="s">
        <v>1317</v>
      </c>
      <c r="B25" s="103">
        <v>41513</v>
      </c>
      <c r="C25" s="104" t="s">
        <v>1556</v>
      </c>
      <c r="D25" s="14" t="s">
        <v>247</v>
      </c>
      <c r="E25" s="15"/>
      <c r="F25" s="15" t="s">
        <v>188</v>
      </c>
      <c r="G25" s="15"/>
      <c r="H25" s="15"/>
      <c r="I25" s="15">
        <v>36</v>
      </c>
      <c r="J25" s="15" t="s">
        <v>189</v>
      </c>
      <c r="K25" s="15" t="s">
        <v>196</v>
      </c>
      <c r="L25" s="15" t="s">
        <v>248</v>
      </c>
      <c r="M25" s="50" t="s">
        <v>1015</v>
      </c>
      <c r="N25" s="15" t="s">
        <v>1005</v>
      </c>
      <c r="O25" s="15">
        <v>12</v>
      </c>
      <c r="P25" s="15" t="s">
        <v>188</v>
      </c>
      <c r="Q25" s="15"/>
      <c r="R25" s="15"/>
      <c r="S25" s="15"/>
      <c r="T25" s="15"/>
      <c r="U25" s="15" t="s">
        <v>188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>
        <v>1990</v>
      </c>
      <c r="AI25" s="1">
        <v>414000</v>
      </c>
      <c r="AJ25" s="15" t="s">
        <v>188</v>
      </c>
      <c r="AK25" s="15"/>
      <c r="AL25" s="15"/>
      <c r="AM25" s="15"/>
      <c r="AN25" s="15"/>
      <c r="AO25" s="15"/>
      <c r="AP25" s="15" t="s">
        <v>188</v>
      </c>
      <c r="AQ25" s="15"/>
      <c r="AR25" s="15"/>
      <c r="AS25" s="15"/>
      <c r="AT25" s="15" t="s">
        <v>249</v>
      </c>
      <c r="AU25" s="1">
        <v>1500</v>
      </c>
      <c r="AV25" s="48">
        <v>0.5</v>
      </c>
      <c r="AW25" s="15">
        <v>3.5</v>
      </c>
      <c r="AX25" s="15">
        <v>2.8</v>
      </c>
      <c r="AY25" s="15">
        <v>1</v>
      </c>
      <c r="AZ25" s="15">
        <v>60</v>
      </c>
      <c r="BA25" s="15">
        <v>200</v>
      </c>
      <c r="BB25" s="15" t="s">
        <v>199</v>
      </c>
      <c r="BC25" s="15" t="s">
        <v>199</v>
      </c>
      <c r="BD25" s="15" t="s">
        <v>199</v>
      </c>
      <c r="BE25" s="1">
        <v>5000</v>
      </c>
      <c r="BF25" s="1">
        <v>7500</v>
      </c>
      <c r="BG25" s="1">
        <v>5000</v>
      </c>
      <c r="BH25" s="1">
        <v>70000</v>
      </c>
      <c r="BI25" s="1" t="s">
        <v>234</v>
      </c>
      <c r="BJ25" s="15"/>
      <c r="BK25" s="15" t="s">
        <v>188</v>
      </c>
      <c r="BL25" s="15"/>
      <c r="BM25" s="15"/>
      <c r="BN25" s="15"/>
      <c r="BO25" s="15"/>
      <c r="BP25" s="15"/>
      <c r="BQ25" s="15"/>
      <c r="BR25" s="15"/>
      <c r="BS25" s="2"/>
      <c r="BT25" s="15"/>
      <c r="BU25" s="15" t="s">
        <v>188</v>
      </c>
      <c r="BV25" s="15"/>
      <c r="BW25" s="15"/>
      <c r="BX25" s="15">
        <v>1</v>
      </c>
      <c r="BY25" s="15">
        <v>3</v>
      </c>
      <c r="BZ25" s="15">
        <v>2</v>
      </c>
      <c r="CA25" s="15"/>
      <c r="CB25" s="15" t="s">
        <v>188</v>
      </c>
      <c r="CC25" s="15"/>
      <c r="CD25" s="15"/>
      <c r="CE25" s="15"/>
      <c r="CF25" s="15"/>
      <c r="CG25" s="15"/>
      <c r="CH25" s="15"/>
      <c r="CI25" s="15"/>
      <c r="CJ25" s="15"/>
      <c r="CK25" s="15" t="s">
        <v>188</v>
      </c>
      <c r="CL25" s="15"/>
      <c r="CM25" s="15"/>
      <c r="CN25" s="15"/>
      <c r="CO25" s="15"/>
      <c r="CP25" s="15" t="s">
        <v>193</v>
      </c>
      <c r="CQ25" s="15" t="s">
        <v>193</v>
      </c>
      <c r="CR25" s="15" t="s">
        <v>188</v>
      </c>
      <c r="CS25" s="15"/>
      <c r="CT25" s="15"/>
      <c r="CU25" s="15"/>
      <c r="CV25" s="15"/>
      <c r="CW25" s="15"/>
      <c r="CX25" s="15"/>
      <c r="CY25" s="15" t="s">
        <v>188</v>
      </c>
      <c r="CZ25" s="3"/>
      <c r="DA25" s="49"/>
      <c r="DC25" s="18">
        <f t="shared" si="0"/>
        <v>0</v>
      </c>
      <c r="DD25" s="18">
        <f t="shared" si="1"/>
        <v>2</v>
      </c>
      <c r="DE25" s="18">
        <f t="shared" si="2"/>
        <v>1990</v>
      </c>
    </row>
    <row r="26" spans="1:109" x14ac:dyDescent="0.25">
      <c r="A26" s="59" t="s">
        <v>1317</v>
      </c>
      <c r="B26" s="103">
        <v>41513</v>
      </c>
      <c r="C26" s="104" t="s">
        <v>1556</v>
      </c>
      <c r="D26" s="14" t="s">
        <v>250</v>
      </c>
      <c r="E26" s="15"/>
      <c r="F26" s="15"/>
      <c r="G26" s="15" t="s">
        <v>188</v>
      </c>
      <c r="H26" s="15"/>
      <c r="I26" s="15">
        <v>47</v>
      </c>
      <c r="J26" s="15" t="s">
        <v>189</v>
      </c>
      <c r="K26" s="15" t="s">
        <v>190</v>
      </c>
      <c r="L26" s="15" t="s">
        <v>191</v>
      </c>
      <c r="M26" s="15" t="s">
        <v>1005</v>
      </c>
      <c r="N26" s="15" t="s">
        <v>1005</v>
      </c>
      <c r="O26" s="15">
        <v>26</v>
      </c>
      <c r="P26" s="15"/>
      <c r="Q26" s="15" t="s">
        <v>188</v>
      </c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 t="s">
        <v>188</v>
      </c>
      <c r="AG26" s="15"/>
      <c r="AH26" s="15">
        <v>2006</v>
      </c>
      <c r="AI26" s="1">
        <v>334000</v>
      </c>
      <c r="AJ26" s="15"/>
      <c r="AK26" s="15"/>
      <c r="AL26" s="15" t="s">
        <v>188</v>
      </c>
      <c r="AM26" s="15"/>
      <c r="AN26" s="15"/>
      <c r="AO26" s="15"/>
      <c r="AP26" s="15" t="s">
        <v>188</v>
      </c>
      <c r="AQ26" s="15"/>
      <c r="AR26" s="15"/>
      <c r="AS26" s="15"/>
      <c r="AT26" s="15" t="s">
        <v>198</v>
      </c>
      <c r="AU26" s="1">
        <v>4000</v>
      </c>
      <c r="AV26" s="48">
        <v>0.5</v>
      </c>
      <c r="AW26" s="15">
        <v>2.2999999999999998</v>
      </c>
      <c r="AX26" s="15">
        <v>1.9</v>
      </c>
      <c r="AY26" s="15">
        <v>1</v>
      </c>
      <c r="AZ26" s="15">
        <v>380</v>
      </c>
      <c r="BA26" s="15">
        <v>800</v>
      </c>
      <c r="BB26" s="15" t="s">
        <v>188</v>
      </c>
      <c r="BC26" s="15" t="s">
        <v>188</v>
      </c>
      <c r="BD26" s="15" t="s">
        <v>199</v>
      </c>
      <c r="BE26" s="1">
        <v>7500</v>
      </c>
      <c r="BF26" s="1">
        <v>10000</v>
      </c>
      <c r="BG26" s="1">
        <v>12000</v>
      </c>
      <c r="BH26" s="1">
        <v>95000</v>
      </c>
      <c r="BI26" s="1">
        <v>12000</v>
      </c>
      <c r="BJ26" s="15" t="s">
        <v>188</v>
      </c>
      <c r="BK26" s="15"/>
      <c r="BL26" s="15"/>
      <c r="BM26" s="15"/>
      <c r="BN26" s="15"/>
      <c r="BO26" s="15" t="s">
        <v>188</v>
      </c>
      <c r="BP26" s="15"/>
      <c r="BQ26" s="15"/>
      <c r="BR26" s="15"/>
      <c r="BS26" s="2"/>
      <c r="BT26" s="15"/>
      <c r="BU26" s="15" t="s">
        <v>188</v>
      </c>
      <c r="BV26" s="15"/>
      <c r="BW26" s="15"/>
      <c r="BX26" s="15">
        <v>1</v>
      </c>
      <c r="BY26" s="15">
        <v>3</v>
      </c>
      <c r="BZ26" s="15">
        <v>2</v>
      </c>
      <c r="CA26" s="15"/>
      <c r="CB26" s="15"/>
      <c r="CC26" s="15" t="s">
        <v>188</v>
      </c>
      <c r="CD26" s="15"/>
      <c r="CE26" s="15"/>
      <c r="CF26" s="15"/>
      <c r="CG26" s="15" t="s">
        <v>188</v>
      </c>
      <c r="CH26" s="15"/>
      <c r="CI26" s="15"/>
      <c r="CJ26" s="15"/>
      <c r="CK26" s="15" t="s">
        <v>188</v>
      </c>
      <c r="CL26" s="15"/>
      <c r="CM26" s="15"/>
      <c r="CN26" s="15"/>
      <c r="CO26" s="15"/>
      <c r="CP26" s="15" t="s">
        <v>193</v>
      </c>
      <c r="CQ26" s="15" t="s">
        <v>193</v>
      </c>
      <c r="CR26" s="15"/>
      <c r="CS26" s="15"/>
      <c r="CT26" s="15" t="s">
        <v>188</v>
      </c>
      <c r="CU26" s="15"/>
      <c r="CV26" s="15"/>
      <c r="CW26" s="15"/>
      <c r="CX26" s="15" t="s">
        <v>188</v>
      </c>
      <c r="CY26" s="15"/>
      <c r="CZ26" s="3"/>
      <c r="DA26" s="49"/>
      <c r="DC26" s="18">
        <f t="shared" si="0"/>
        <v>0</v>
      </c>
      <c r="DD26" s="18">
        <f t="shared" si="1"/>
        <v>3</v>
      </c>
      <c r="DE26" s="18">
        <f t="shared" si="2"/>
        <v>2006</v>
      </c>
    </row>
    <row r="27" spans="1:109" x14ac:dyDescent="0.25">
      <c r="A27" s="59" t="s">
        <v>1317</v>
      </c>
      <c r="B27" s="103">
        <v>41513</v>
      </c>
      <c r="C27" s="104" t="s">
        <v>1556</v>
      </c>
      <c r="D27" s="14" t="s">
        <v>251</v>
      </c>
      <c r="E27" s="15"/>
      <c r="F27" s="15"/>
      <c r="G27" s="15" t="s">
        <v>188</v>
      </c>
      <c r="H27" s="15"/>
      <c r="I27" s="15">
        <v>60</v>
      </c>
      <c r="J27" s="15" t="s">
        <v>189</v>
      </c>
      <c r="K27" s="15" t="s">
        <v>190</v>
      </c>
      <c r="L27" s="15" t="s">
        <v>197</v>
      </c>
      <c r="M27" s="15" t="s">
        <v>1006</v>
      </c>
      <c r="N27" s="15" t="s">
        <v>1006</v>
      </c>
      <c r="O27" s="15">
        <v>35</v>
      </c>
      <c r="P27" s="15"/>
      <c r="Q27" s="15"/>
      <c r="R27" s="15"/>
      <c r="S27" s="15" t="s">
        <v>188</v>
      </c>
      <c r="T27" s="15"/>
      <c r="U27" s="15"/>
      <c r="V27" s="15"/>
      <c r="W27" s="15"/>
      <c r="X27" s="15"/>
      <c r="Y27" s="15" t="s">
        <v>188</v>
      </c>
      <c r="Z27" s="15"/>
      <c r="AA27" s="15"/>
      <c r="AB27" s="15"/>
      <c r="AC27" s="15"/>
      <c r="AD27" s="15"/>
      <c r="AE27" s="15"/>
      <c r="AF27" s="15"/>
      <c r="AG27" s="15"/>
      <c r="AH27" s="15">
        <v>1998</v>
      </c>
      <c r="AI27" s="1">
        <v>1125000</v>
      </c>
      <c r="AJ27" s="15"/>
      <c r="AK27" s="15"/>
      <c r="AL27" s="15" t="s">
        <v>188</v>
      </c>
      <c r="AM27" s="15"/>
      <c r="AN27" s="15"/>
      <c r="AO27" s="15"/>
      <c r="AP27" s="15" t="s">
        <v>188</v>
      </c>
      <c r="AQ27" s="15"/>
      <c r="AR27" s="15"/>
      <c r="AS27" s="15"/>
      <c r="AT27" s="15" t="s">
        <v>198</v>
      </c>
      <c r="AU27" s="1">
        <v>6250</v>
      </c>
      <c r="AV27" s="48">
        <v>0.5</v>
      </c>
      <c r="AW27" s="15">
        <v>2.1</v>
      </c>
      <c r="AX27" s="15">
        <v>1.7</v>
      </c>
      <c r="AY27" s="15">
        <v>2</v>
      </c>
      <c r="AZ27" s="15">
        <v>650</v>
      </c>
      <c r="BA27" s="15">
        <v>1250</v>
      </c>
      <c r="BB27" s="15" t="s">
        <v>188</v>
      </c>
      <c r="BC27" s="15" t="s">
        <v>188</v>
      </c>
      <c r="BD27" s="15" t="s">
        <v>199</v>
      </c>
      <c r="BE27" s="1">
        <v>8000</v>
      </c>
      <c r="BF27" s="1">
        <v>12000</v>
      </c>
      <c r="BG27" s="1">
        <v>15000</v>
      </c>
      <c r="BH27" s="1">
        <v>90000</v>
      </c>
      <c r="BI27" s="1">
        <v>12000</v>
      </c>
      <c r="BJ27" s="15"/>
      <c r="BK27" s="15"/>
      <c r="BL27" s="15"/>
      <c r="BM27" s="15" t="s">
        <v>188</v>
      </c>
      <c r="BN27" s="15"/>
      <c r="BO27" s="15"/>
      <c r="BP27" s="15"/>
      <c r="BQ27" s="15"/>
      <c r="BR27" s="15"/>
      <c r="BS27" s="2"/>
      <c r="BT27" s="15"/>
      <c r="BU27" s="15" t="s">
        <v>188</v>
      </c>
      <c r="BV27" s="15"/>
      <c r="BW27" s="15"/>
      <c r="BX27" s="15">
        <v>2</v>
      </c>
      <c r="BY27" s="15">
        <v>3</v>
      </c>
      <c r="BZ27" s="15">
        <v>1</v>
      </c>
      <c r="CA27" s="15"/>
      <c r="CB27" s="15" t="s">
        <v>188</v>
      </c>
      <c r="CC27" s="15"/>
      <c r="CD27" s="15"/>
      <c r="CE27" s="15"/>
      <c r="CF27" s="15"/>
      <c r="CG27" s="15"/>
      <c r="CH27" s="15"/>
      <c r="CI27" s="15"/>
      <c r="CJ27" s="15"/>
      <c r="CK27" s="15" t="s">
        <v>188</v>
      </c>
      <c r="CL27" s="15"/>
      <c r="CM27" s="15"/>
      <c r="CN27" s="15"/>
      <c r="CO27" s="15"/>
      <c r="CP27" s="15" t="s">
        <v>193</v>
      </c>
      <c r="CQ27" s="15" t="s">
        <v>209</v>
      </c>
      <c r="CR27" s="15"/>
      <c r="CS27" s="15"/>
      <c r="CT27" s="15" t="s">
        <v>188</v>
      </c>
      <c r="CU27" s="15"/>
      <c r="CV27" s="15"/>
      <c r="CW27" s="15"/>
      <c r="CX27" s="15" t="s">
        <v>188</v>
      </c>
      <c r="CY27" s="15" t="s">
        <v>188</v>
      </c>
      <c r="CZ27" s="3"/>
      <c r="DA27" s="49"/>
      <c r="DC27" s="18">
        <f t="shared" si="0"/>
        <v>0</v>
      </c>
      <c r="DD27" s="18">
        <f t="shared" si="1"/>
        <v>3</v>
      </c>
      <c r="DE27" s="18">
        <f t="shared" si="2"/>
        <v>1998</v>
      </c>
    </row>
    <row r="28" spans="1:109" x14ac:dyDescent="0.25">
      <c r="A28" s="59" t="s">
        <v>1317</v>
      </c>
      <c r="B28" s="103">
        <v>41513</v>
      </c>
      <c r="C28" s="104" t="s">
        <v>1556</v>
      </c>
      <c r="D28" s="14" t="s">
        <v>252</v>
      </c>
      <c r="E28" s="15"/>
      <c r="F28" s="15"/>
      <c r="G28" s="15" t="s">
        <v>188</v>
      </c>
      <c r="H28" s="15"/>
      <c r="I28" s="15">
        <v>48</v>
      </c>
      <c r="J28" s="15" t="s">
        <v>189</v>
      </c>
      <c r="K28" s="15" t="s">
        <v>214</v>
      </c>
      <c r="L28" s="15" t="s">
        <v>244</v>
      </c>
      <c r="M28" s="15" t="s">
        <v>1013</v>
      </c>
      <c r="N28" s="15" t="s">
        <v>1005</v>
      </c>
      <c r="O28" s="15">
        <v>23</v>
      </c>
      <c r="P28" s="15"/>
      <c r="Q28" s="15"/>
      <c r="R28" s="15"/>
      <c r="S28" s="15" t="s">
        <v>188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 t="s">
        <v>188</v>
      </c>
      <c r="AG28" s="15"/>
      <c r="AH28" s="15">
        <v>1986</v>
      </c>
      <c r="AI28" s="1">
        <v>985000</v>
      </c>
      <c r="AJ28" s="15"/>
      <c r="AK28" s="15"/>
      <c r="AL28" s="15" t="s">
        <v>188</v>
      </c>
      <c r="AM28" s="15"/>
      <c r="AN28" s="15"/>
      <c r="AO28" s="15"/>
      <c r="AP28" s="15" t="s">
        <v>188</v>
      </c>
      <c r="AQ28" s="15"/>
      <c r="AR28" s="15"/>
      <c r="AS28" s="15"/>
      <c r="AT28" s="15" t="s">
        <v>1316</v>
      </c>
      <c r="AU28" s="1">
        <v>3200</v>
      </c>
      <c r="AV28" s="48">
        <v>0.5</v>
      </c>
      <c r="AW28" s="15">
        <v>1.9</v>
      </c>
      <c r="AX28" s="15">
        <v>1.6</v>
      </c>
      <c r="AY28" s="15">
        <v>1</v>
      </c>
      <c r="AZ28" s="15">
        <v>380</v>
      </c>
      <c r="BA28" s="15">
        <v>650</v>
      </c>
      <c r="BB28" s="15" t="s">
        <v>199</v>
      </c>
      <c r="BC28" s="15" t="s">
        <v>199</v>
      </c>
      <c r="BD28" s="15" t="s">
        <v>199</v>
      </c>
      <c r="BE28" s="1">
        <v>6000</v>
      </c>
      <c r="BF28" s="1">
        <v>10000</v>
      </c>
      <c r="BG28" s="1">
        <v>12000</v>
      </c>
      <c r="BH28" s="1">
        <v>100000</v>
      </c>
      <c r="BI28" s="1">
        <v>12000</v>
      </c>
      <c r="BJ28" s="15" t="s">
        <v>188</v>
      </c>
      <c r="BK28" s="15"/>
      <c r="BL28" s="15"/>
      <c r="BM28" s="15"/>
      <c r="BN28" s="15"/>
      <c r="BO28" s="15"/>
      <c r="BP28" s="15"/>
      <c r="BQ28" s="15"/>
      <c r="BR28" s="15"/>
      <c r="BS28" s="2"/>
      <c r="BT28" s="15"/>
      <c r="BU28" s="15" t="s">
        <v>188</v>
      </c>
      <c r="BV28" s="15"/>
      <c r="BW28" s="15"/>
      <c r="BX28" s="15">
        <v>1</v>
      </c>
      <c r="BY28" s="15">
        <v>3</v>
      </c>
      <c r="BZ28" s="15">
        <v>2</v>
      </c>
      <c r="CA28" s="15"/>
      <c r="CB28" s="15" t="s">
        <v>188</v>
      </c>
      <c r="CC28" s="15"/>
      <c r="CD28" s="15"/>
      <c r="CE28" s="15"/>
      <c r="CF28" s="15"/>
      <c r="CG28" s="15"/>
      <c r="CH28" s="15"/>
      <c r="CI28" s="15"/>
      <c r="CJ28" s="15"/>
      <c r="CK28" s="15" t="s">
        <v>188</v>
      </c>
      <c r="CL28" s="15"/>
      <c r="CM28" s="15"/>
      <c r="CN28" s="15"/>
      <c r="CO28" s="15"/>
      <c r="CP28" s="15" t="s">
        <v>193</v>
      </c>
      <c r="CQ28" s="15" t="s">
        <v>209</v>
      </c>
      <c r="CR28" s="15" t="s">
        <v>188</v>
      </c>
      <c r="CS28" s="15"/>
      <c r="CT28" s="15"/>
      <c r="CU28" s="15"/>
      <c r="CV28" s="15"/>
      <c r="CW28" s="15"/>
      <c r="CX28" s="15" t="s">
        <v>188</v>
      </c>
      <c r="CY28" s="15" t="s">
        <v>188</v>
      </c>
      <c r="CZ28" s="3"/>
      <c r="DA28" s="49"/>
      <c r="DC28" s="18">
        <f t="shared" si="0"/>
        <v>0</v>
      </c>
      <c r="DD28" s="18">
        <f t="shared" si="1"/>
        <v>3</v>
      </c>
      <c r="DE28" s="18">
        <f t="shared" si="2"/>
        <v>1986</v>
      </c>
    </row>
    <row r="29" spans="1:109" x14ac:dyDescent="0.25">
      <c r="A29" s="59" t="s">
        <v>1317</v>
      </c>
      <c r="B29" s="103">
        <v>41513</v>
      </c>
      <c r="C29" s="104" t="s">
        <v>1556</v>
      </c>
      <c r="D29" s="14" t="s">
        <v>253</v>
      </c>
      <c r="E29" s="15"/>
      <c r="F29" s="15"/>
      <c r="G29" s="15" t="s">
        <v>188</v>
      </c>
      <c r="H29" s="15"/>
      <c r="I29" s="15">
        <v>50</v>
      </c>
      <c r="J29" s="15" t="s">
        <v>189</v>
      </c>
      <c r="K29" s="15" t="s">
        <v>190</v>
      </c>
      <c r="L29" s="15" t="s">
        <v>191</v>
      </c>
      <c r="M29" s="15" t="s">
        <v>1005</v>
      </c>
      <c r="N29" s="15" t="s">
        <v>1005</v>
      </c>
      <c r="O29" s="15">
        <v>16</v>
      </c>
      <c r="P29" s="15"/>
      <c r="Q29" s="15" t="s">
        <v>188</v>
      </c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 t="s">
        <v>188</v>
      </c>
      <c r="AG29" s="15"/>
      <c r="AH29" s="15">
        <v>1976</v>
      </c>
      <c r="AI29" s="1">
        <v>2325000</v>
      </c>
      <c r="AJ29" s="15"/>
      <c r="AK29" s="15"/>
      <c r="AL29" s="15" t="s">
        <v>188</v>
      </c>
      <c r="AM29" s="15"/>
      <c r="AN29" s="15"/>
      <c r="AO29" s="15"/>
      <c r="AP29" s="15"/>
      <c r="AQ29" s="15" t="s">
        <v>188</v>
      </c>
      <c r="AR29" s="15"/>
      <c r="AS29" s="15">
        <v>2000</v>
      </c>
      <c r="AT29" s="15" t="s">
        <v>211</v>
      </c>
      <c r="AU29" s="1">
        <v>4000</v>
      </c>
      <c r="AV29" s="48">
        <v>0.5</v>
      </c>
      <c r="AW29" s="15">
        <v>2</v>
      </c>
      <c r="AX29" s="15">
        <v>1.7</v>
      </c>
      <c r="AY29" s="15">
        <v>1</v>
      </c>
      <c r="AZ29" s="15">
        <v>350</v>
      </c>
      <c r="BA29" s="15">
        <v>650</v>
      </c>
      <c r="BB29" s="15" t="s">
        <v>199</v>
      </c>
      <c r="BC29" s="15" t="s">
        <v>199</v>
      </c>
      <c r="BD29" s="15" t="s">
        <v>199</v>
      </c>
      <c r="BE29" s="1">
        <v>7000</v>
      </c>
      <c r="BF29" s="1">
        <v>10000</v>
      </c>
      <c r="BG29" s="1">
        <v>10000</v>
      </c>
      <c r="BH29" s="1">
        <v>95000</v>
      </c>
      <c r="BI29" s="1">
        <v>10000</v>
      </c>
      <c r="BJ29" s="15" t="s">
        <v>188</v>
      </c>
      <c r="BK29" s="15"/>
      <c r="BL29" s="15"/>
      <c r="BM29" s="15"/>
      <c r="BN29" s="15"/>
      <c r="BO29" s="15" t="s">
        <v>188</v>
      </c>
      <c r="BP29" s="15"/>
      <c r="BQ29" s="15"/>
      <c r="BR29" s="15"/>
      <c r="BS29" s="2"/>
      <c r="BT29" s="15"/>
      <c r="BU29" s="15" t="s">
        <v>188</v>
      </c>
      <c r="BV29" s="15"/>
      <c r="BW29" s="15"/>
      <c r="BX29" s="15">
        <v>2</v>
      </c>
      <c r="BY29" s="15">
        <v>3</v>
      </c>
      <c r="BZ29" s="15">
        <v>1</v>
      </c>
      <c r="CA29" s="15"/>
      <c r="CB29" s="15" t="s">
        <v>188</v>
      </c>
      <c r="CC29" s="15"/>
      <c r="CD29" s="15"/>
      <c r="CE29" s="15"/>
      <c r="CF29" s="15"/>
      <c r="CG29" s="15"/>
      <c r="CH29" s="15"/>
      <c r="CI29" s="15"/>
      <c r="CJ29" s="15"/>
      <c r="CK29" s="15" t="s">
        <v>188</v>
      </c>
      <c r="CL29" s="15"/>
      <c r="CM29" s="15"/>
      <c r="CN29" s="15"/>
      <c r="CO29" s="15"/>
      <c r="CP29" s="15" t="s">
        <v>193</v>
      </c>
      <c r="CQ29" s="15" t="s">
        <v>193</v>
      </c>
      <c r="CR29" s="15"/>
      <c r="CS29" s="15"/>
      <c r="CT29" s="15" t="s">
        <v>188</v>
      </c>
      <c r="CU29" s="15"/>
      <c r="CV29" s="15"/>
      <c r="CW29" s="15"/>
      <c r="CX29" s="15" t="s">
        <v>188</v>
      </c>
      <c r="CY29" s="15" t="s">
        <v>188</v>
      </c>
      <c r="CZ29" s="3"/>
      <c r="DA29" s="49"/>
      <c r="DC29" s="18">
        <f t="shared" si="0"/>
        <v>0</v>
      </c>
      <c r="DD29" s="18">
        <f t="shared" si="1"/>
        <v>3</v>
      </c>
      <c r="DE29" s="18">
        <f t="shared" si="2"/>
        <v>2000</v>
      </c>
    </row>
    <row r="30" spans="1:109" x14ac:dyDescent="0.25">
      <c r="A30" s="59" t="s">
        <v>1317</v>
      </c>
      <c r="B30" s="103">
        <v>41514</v>
      </c>
      <c r="C30" s="104" t="s">
        <v>1556</v>
      </c>
      <c r="D30" s="14" t="s">
        <v>254</v>
      </c>
      <c r="E30" s="15"/>
      <c r="F30" s="15" t="s">
        <v>188</v>
      </c>
      <c r="G30" s="15"/>
      <c r="H30" s="15"/>
      <c r="I30" s="15">
        <v>39</v>
      </c>
      <c r="J30" s="15" t="s">
        <v>189</v>
      </c>
      <c r="K30" s="15" t="s">
        <v>196</v>
      </c>
      <c r="L30" s="15" t="s">
        <v>244</v>
      </c>
      <c r="M30" s="15" t="s">
        <v>1013</v>
      </c>
      <c r="N30" s="15" t="s">
        <v>1005</v>
      </c>
      <c r="O30" s="15">
        <v>19</v>
      </c>
      <c r="P30" s="15" t="s">
        <v>188</v>
      </c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 t="s">
        <v>188</v>
      </c>
      <c r="AG30" s="15"/>
      <c r="AH30" s="15">
        <v>1995</v>
      </c>
      <c r="AI30" s="1">
        <v>1525000</v>
      </c>
      <c r="AJ30" s="15" t="s">
        <v>188</v>
      </c>
      <c r="AK30" s="15"/>
      <c r="AL30" s="15"/>
      <c r="AM30" s="15"/>
      <c r="AN30" s="15"/>
      <c r="AO30" s="15"/>
      <c r="AP30" s="15"/>
      <c r="AQ30" s="15" t="s">
        <v>188</v>
      </c>
      <c r="AR30" s="15"/>
      <c r="AS30" s="15">
        <v>2005</v>
      </c>
      <c r="AT30" s="15" t="s">
        <v>249</v>
      </c>
      <c r="AU30" s="1">
        <v>4500</v>
      </c>
      <c r="AV30" s="48">
        <v>0.5</v>
      </c>
      <c r="AW30" s="15">
        <v>4</v>
      </c>
      <c r="AX30" s="15">
        <v>2.9</v>
      </c>
      <c r="AY30" s="15">
        <v>1</v>
      </c>
      <c r="AZ30" s="15">
        <v>60</v>
      </c>
      <c r="BA30" s="15">
        <v>200</v>
      </c>
      <c r="BB30" s="15" t="s">
        <v>199</v>
      </c>
      <c r="BC30" s="15" t="s">
        <v>199</v>
      </c>
      <c r="BD30" s="15" t="s">
        <v>199</v>
      </c>
      <c r="BE30" s="1">
        <v>5000</v>
      </c>
      <c r="BF30" s="1">
        <v>10000</v>
      </c>
      <c r="BG30" s="1">
        <v>10000</v>
      </c>
      <c r="BH30" s="1">
        <v>70000</v>
      </c>
      <c r="BI30" s="1" t="s">
        <v>234</v>
      </c>
      <c r="BJ30" s="15"/>
      <c r="BK30" s="15" t="s">
        <v>188</v>
      </c>
      <c r="BL30" s="15"/>
      <c r="BM30" s="15"/>
      <c r="BN30" s="15"/>
      <c r="BO30" s="15"/>
      <c r="BP30" s="15"/>
      <c r="BQ30" s="15"/>
      <c r="BR30" s="15"/>
      <c r="BS30" s="2"/>
      <c r="BT30" s="15"/>
      <c r="BU30" s="15" t="s">
        <v>188</v>
      </c>
      <c r="BV30" s="15"/>
      <c r="BW30" s="15"/>
      <c r="BX30" s="15">
        <v>1</v>
      </c>
      <c r="BY30" s="15">
        <v>3</v>
      </c>
      <c r="BZ30" s="15">
        <v>2</v>
      </c>
      <c r="CA30" s="15"/>
      <c r="CB30" s="15" t="s">
        <v>188</v>
      </c>
      <c r="CC30" s="15"/>
      <c r="CD30" s="15"/>
      <c r="CE30" s="15"/>
      <c r="CF30" s="15"/>
      <c r="CG30" s="15"/>
      <c r="CH30" s="15"/>
      <c r="CI30" s="15"/>
      <c r="CJ30" s="15"/>
      <c r="CK30" s="15" t="s">
        <v>188</v>
      </c>
      <c r="CL30" s="15"/>
      <c r="CM30" s="15"/>
      <c r="CN30" s="15"/>
      <c r="CO30" s="15"/>
      <c r="CP30" s="15" t="s">
        <v>193</v>
      </c>
      <c r="CQ30" s="15" t="s">
        <v>193</v>
      </c>
      <c r="CR30" s="15" t="s">
        <v>188</v>
      </c>
      <c r="CS30" s="15"/>
      <c r="CT30" s="15"/>
      <c r="CU30" s="15"/>
      <c r="CV30" s="15"/>
      <c r="CW30" s="15"/>
      <c r="CX30" s="15"/>
      <c r="CY30" s="15" t="s">
        <v>188</v>
      </c>
      <c r="CZ30" s="3"/>
      <c r="DA30" s="49"/>
      <c r="DC30" s="18">
        <f t="shared" si="0"/>
        <v>0</v>
      </c>
      <c r="DD30" s="18">
        <f t="shared" si="1"/>
        <v>2</v>
      </c>
      <c r="DE30" s="18">
        <f t="shared" si="2"/>
        <v>2005</v>
      </c>
    </row>
    <row r="31" spans="1:109" x14ac:dyDescent="0.25">
      <c r="A31" s="59" t="s">
        <v>1317</v>
      </c>
      <c r="B31" s="103">
        <v>41514</v>
      </c>
      <c r="C31" s="104" t="s">
        <v>1556</v>
      </c>
      <c r="D31" s="14" t="s">
        <v>255</v>
      </c>
      <c r="E31" s="15"/>
      <c r="F31" s="15"/>
      <c r="G31" s="15" t="s">
        <v>188</v>
      </c>
      <c r="H31" s="15"/>
      <c r="I31" s="15">
        <v>55</v>
      </c>
      <c r="J31" s="15" t="s">
        <v>189</v>
      </c>
      <c r="K31" s="15" t="s">
        <v>196</v>
      </c>
      <c r="L31" s="15" t="s">
        <v>191</v>
      </c>
      <c r="M31" s="15" t="s">
        <v>1005</v>
      </c>
      <c r="N31" s="15" t="s">
        <v>1005</v>
      </c>
      <c r="O31" s="15">
        <v>35</v>
      </c>
      <c r="P31" s="15"/>
      <c r="Q31" s="15" t="s">
        <v>188</v>
      </c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 t="s">
        <v>188</v>
      </c>
      <c r="AG31" s="15"/>
      <c r="AH31" s="15">
        <v>1981</v>
      </c>
      <c r="AI31" s="1">
        <v>2050000</v>
      </c>
      <c r="AJ31" s="15"/>
      <c r="AK31" s="15"/>
      <c r="AL31" s="15" t="s">
        <v>188</v>
      </c>
      <c r="AM31" s="15"/>
      <c r="AN31" s="15"/>
      <c r="AO31" s="15" t="s">
        <v>188</v>
      </c>
      <c r="AP31" s="15"/>
      <c r="AQ31" s="15"/>
      <c r="AR31" s="15"/>
      <c r="AS31" s="15"/>
      <c r="AT31" s="15" t="s">
        <v>198</v>
      </c>
      <c r="AU31" s="1">
        <v>5500</v>
      </c>
      <c r="AV31" s="48">
        <v>0.5</v>
      </c>
      <c r="AW31" s="15">
        <v>1.8</v>
      </c>
      <c r="AX31" s="15">
        <v>1.5</v>
      </c>
      <c r="AY31" s="15">
        <v>1</v>
      </c>
      <c r="AZ31" s="15">
        <v>380</v>
      </c>
      <c r="BA31" s="15" t="s">
        <v>193</v>
      </c>
      <c r="BB31" s="15" t="s">
        <v>199</v>
      </c>
      <c r="BC31" s="15" t="s">
        <v>199</v>
      </c>
      <c r="BD31" s="15" t="s">
        <v>199</v>
      </c>
      <c r="BE31" s="1">
        <v>7000</v>
      </c>
      <c r="BF31" s="1">
        <v>12000</v>
      </c>
      <c r="BG31" s="1">
        <v>10000</v>
      </c>
      <c r="BH31" s="1">
        <v>85000</v>
      </c>
      <c r="BI31" s="1">
        <v>10000</v>
      </c>
      <c r="BJ31" s="15" t="s">
        <v>188</v>
      </c>
      <c r="BK31" s="15"/>
      <c r="BL31" s="15"/>
      <c r="BM31" s="15"/>
      <c r="BN31" s="15"/>
      <c r="BO31" s="15" t="s">
        <v>188</v>
      </c>
      <c r="BP31" s="15"/>
      <c r="BQ31" s="15"/>
      <c r="BR31" s="15"/>
      <c r="BS31" s="2"/>
      <c r="BT31" s="15"/>
      <c r="BU31" s="15" t="s">
        <v>188</v>
      </c>
      <c r="BV31" s="15"/>
      <c r="BW31" s="15"/>
      <c r="BX31" s="15">
        <v>1</v>
      </c>
      <c r="BY31" s="15">
        <v>3</v>
      </c>
      <c r="BZ31" s="15">
        <v>2</v>
      </c>
      <c r="CA31" s="15"/>
      <c r="CB31" s="15" t="s">
        <v>188</v>
      </c>
      <c r="CC31" s="15"/>
      <c r="CD31" s="15"/>
      <c r="CE31" s="15"/>
      <c r="CF31" s="15"/>
      <c r="CG31" s="15"/>
      <c r="CH31" s="15"/>
      <c r="CI31" s="15"/>
      <c r="CJ31" s="15"/>
      <c r="CK31" s="15" t="s">
        <v>188</v>
      </c>
      <c r="CL31" s="15"/>
      <c r="CM31" s="15"/>
      <c r="CN31" s="15"/>
      <c r="CO31" s="15"/>
      <c r="CP31" s="15" t="s">
        <v>193</v>
      </c>
      <c r="CQ31" s="15" t="s">
        <v>193</v>
      </c>
      <c r="CR31" s="15"/>
      <c r="CS31" s="15"/>
      <c r="CT31" s="15" t="s">
        <v>188</v>
      </c>
      <c r="CU31" s="15"/>
      <c r="CV31" s="15"/>
      <c r="CW31" s="15"/>
      <c r="CX31" s="15" t="s">
        <v>188</v>
      </c>
      <c r="CY31" s="15"/>
      <c r="CZ31" s="3"/>
      <c r="DA31" s="49" t="s">
        <v>256</v>
      </c>
      <c r="DC31" s="18">
        <f t="shared" si="0"/>
        <v>0</v>
      </c>
      <c r="DD31" s="18">
        <f t="shared" si="1"/>
        <v>3</v>
      </c>
      <c r="DE31" s="18">
        <f t="shared" si="2"/>
        <v>1981</v>
      </c>
    </row>
    <row r="32" spans="1:109" x14ac:dyDescent="0.25">
      <c r="A32" s="59" t="s">
        <v>1317</v>
      </c>
      <c r="B32" s="103">
        <v>41514</v>
      </c>
      <c r="C32" s="104" t="s">
        <v>1556</v>
      </c>
      <c r="D32" s="14" t="s">
        <v>257</v>
      </c>
      <c r="E32" s="15"/>
      <c r="F32" s="15"/>
      <c r="G32" s="15"/>
      <c r="H32" s="15" t="s">
        <v>188</v>
      </c>
      <c r="I32" s="15">
        <v>44</v>
      </c>
      <c r="J32" s="15" t="s">
        <v>189</v>
      </c>
      <c r="K32" s="15" t="s">
        <v>214</v>
      </c>
      <c r="L32" s="15" t="s">
        <v>197</v>
      </c>
      <c r="M32" s="15" t="s">
        <v>1006</v>
      </c>
      <c r="N32" s="15" t="s">
        <v>1006</v>
      </c>
      <c r="O32" s="15">
        <v>16</v>
      </c>
      <c r="P32" s="15"/>
      <c r="Q32" s="15"/>
      <c r="R32" s="15"/>
      <c r="S32" s="15" t="s">
        <v>188</v>
      </c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 t="s">
        <v>188</v>
      </c>
      <c r="AG32" s="15"/>
      <c r="AH32" s="15">
        <v>1998</v>
      </c>
      <c r="AI32" s="1">
        <v>1750000</v>
      </c>
      <c r="AJ32" s="15"/>
      <c r="AK32" s="15"/>
      <c r="AL32" s="15" t="s">
        <v>188</v>
      </c>
      <c r="AM32" s="15"/>
      <c r="AN32" s="15"/>
      <c r="AO32" s="15"/>
      <c r="AP32" s="15" t="s">
        <v>188</v>
      </c>
      <c r="AQ32" s="15"/>
      <c r="AR32" s="15"/>
      <c r="AS32" s="15"/>
      <c r="AT32" s="15" t="s">
        <v>198</v>
      </c>
      <c r="AU32" s="1">
        <v>5800</v>
      </c>
      <c r="AV32" s="48">
        <v>0.5</v>
      </c>
      <c r="AW32" s="15">
        <v>1.9</v>
      </c>
      <c r="AX32" s="15">
        <v>1.6</v>
      </c>
      <c r="AY32" s="15">
        <v>1</v>
      </c>
      <c r="AZ32" s="15">
        <v>380</v>
      </c>
      <c r="BA32" s="15" t="s">
        <v>193</v>
      </c>
      <c r="BB32" s="15" t="s">
        <v>199</v>
      </c>
      <c r="BC32" s="15" t="s">
        <v>199</v>
      </c>
      <c r="BD32" s="15" t="s">
        <v>199</v>
      </c>
      <c r="BE32" s="1">
        <v>7500</v>
      </c>
      <c r="BF32" s="1">
        <v>10000</v>
      </c>
      <c r="BG32" s="1">
        <v>10000</v>
      </c>
      <c r="BH32" s="1">
        <v>90000</v>
      </c>
      <c r="BI32" s="1">
        <v>10000</v>
      </c>
      <c r="BJ32" s="15"/>
      <c r="BK32" s="15" t="s">
        <v>188</v>
      </c>
      <c r="BL32" s="15"/>
      <c r="BM32" s="15"/>
      <c r="BN32" s="15"/>
      <c r="BO32" s="15"/>
      <c r="BP32" s="15"/>
      <c r="BQ32" s="15"/>
      <c r="BR32" s="15"/>
      <c r="BS32" s="2"/>
      <c r="BT32" s="15"/>
      <c r="BU32" s="15" t="s">
        <v>188</v>
      </c>
      <c r="BV32" s="15"/>
      <c r="BW32" s="15"/>
      <c r="BX32" s="15">
        <v>2</v>
      </c>
      <c r="BY32" s="15">
        <v>3</v>
      </c>
      <c r="BZ32" s="15">
        <v>1</v>
      </c>
      <c r="CA32" s="15"/>
      <c r="CB32" s="15" t="s">
        <v>188</v>
      </c>
      <c r="CC32" s="15"/>
      <c r="CD32" s="15"/>
      <c r="CE32" s="15"/>
      <c r="CF32" s="15"/>
      <c r="CG32" s="15"/>
      <c r="CH32" s="15"/>
      <c r="CI32" s="15"/>
      <c r="CJ32" s="15"/>
      <c r="CK32" s="15"/>
      <c r="CL32" s="15" t="s">
        <v>188</v>
      </c>
      <c r="CM32" s="15" t="s">
        <v>188</v>
      </c>
      <c r="CN32" s="15" t="s">
        <v>201</v>
      </c>
      <c r="CO32" s="15"/>
      <c r="CP32" s="15" t="s">
        <v>222</v>
      </c>
      <c r="CQ32" s="15" t="s">
        <v>203</v>
      </c>
      <c r="CR32" s="15" t="s">
        <v>188</v>
      </c>
      <c r="CS32" s="15"/>
      <c r="CT32" s="15"/>
      <c r="CU32" s="15"/>
      <c r="CV32" s="15"/>
      <c r="CW32" s="15"/>
      <c r="CX32" s="15"/>
      <c r="CY32" s="15" t="s">
        <v>188</v>
      </c>
      <c r="CZ32" s="3"/>
      <c r="DA32" s="49"/>
      <c r="DC32" s="18">
        <f t="shared" si="0"/>
        <v>0</v>
      </c>
      <c r="DD32" s="18">
        <f t="shared" si="1"/>
        <v>7</v>
      </c>
      <c r="DE32" s="18">
        <f t="shared" si="2"/>
        <v>1998</v>
      </c>
    </row>
    <row r="33" spans="1:109" x14ac:dyDescent="0.25">
      <c r="A33" s="59" t="s">
        <v>1317</v>
      </c>
      <c r="B33" s="103">
        <v>41514</v>
      </c>
      <c r="C33" s="104" t="s">
        <v>1556</v>
      </c>
      <c r="D33" s="14" t="s">
        <v>258</v>
      </c>
      <c r="E33" s="15"/>
      <c r="F33" s="15"/>
      <c r="G33" s="15" t="s">
        <v>188</v>
      </c>
      <c r="H33" s="15"/>
      <c r="I33" s="15">
        <v>35</v>
      </c>
      <c r="J33" s="15" t="s">
        <v>189</v>
      </c>
      <c r="K33" s="15" t="s">
        <v>196</v>
      </c>
      <c r="L33" s="15" t="s">
        <v>191</v>
      </c>
      <c r="M33" s="15" t="s">
        <v>1005</v>
      </c>
      <c r="N33" s="15" t="s">
        <v>1005</v>
      </c>
      <c r="O33" s="15">
        <v>15</v>
      </c>
      <c r="P33" s="15"/>
      <c r="Q33" s="15" t="s">
        <v>188</v>
      </c>
      <c r="R33" s="15"/>
      <c r="S33" s="15"/>
      <c r="T33" s="15"/>
      <c r="U33" s="15" t="s">
        <v>188</v>
      </c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>
        <v>1977</v>
      </c>
      <c r="AI33" s="1" t="s">
        <v>193</v>
      </c>
      <c r="AJ33" s="15"/>
      <c r="AK33" s="15"/>
      <c r="AL33" s="15" t="s">
        <v>188</v>
      </c>
      <c r="AM33" s="15"/>
      <c r="AN33" s="15"/>
      <c r="AO33" s="15"/>
      <c r="AP33" s="15"/>
      <c r="AQ33" s="15" t="s">
        <v>188</v>
      </c>
      <c r="AR33" s="15"/>
      <c r="AS33" s="15">
        <v>1997</v>
      </c>
      <c r="AT33" s="15" t="s">
        <v>198</v>
      </c>
      <c r="AU33" s="1">
        <v>7500</v>
      </c>
      <c r="AV33" s="48">
        <v>0.5</v>
      </c>
      <c r="AW33" s="15">
        <v>1.7</v>
      </c>
      <c r="AX33" s="15">
        <v>1.4</v>
      </c>
      <c r="AY33" s="15">
        <v>1</v>
      </c>
      <c r="AZ33" s="15">
        <v>350</v>
      </c>
      <c r="BA33" s="15" t="s">
        <v>193</v>
      </c>
      <c r="BB33" s="15" t="s">
        <v>199</v>
      </c>
      <c r="BC33" s="15" t="s">
        <v>199</v>
      </c>
      <c r="BD33" s="15" t="s">
        <v>199</v>
      </c>
      <c r="BE33" s="1">
        <v>5000</v>
      </c>
      <c r="BF33" s="1">
        <v>10000</v>
      </c>
      <c r="BG33" s="1">
        <v>12000</v>
      </c>
      <c r="BH33" s="1">
        <v>90000</v>
      </c>
      <c r="BI33" s="1">
        <v>12000</v>
      </c>
      <c r="BJ33" s="15"/>
      <c r="BK33" s="15" t="s">
        <v>188</v>
      </c>
      <c r="BL33" s="15"/>
      <c r="BM33" s="15"/>
      <c r="BN33" s="15"/>
      <c r="BO33" s="15"/>
      <c r="BP33" s="15"/>
      <c r="BQ33" s="15"/>
      <c r="BR33" s="15"/>
      <c r="BS33" s="2"/>
      <c r="BT33" s="15"/>
      <c r="BU33" s="15" t="s">
        <v>188</v>
      </c>
      <c r="BV33" s="15"/>
      <c r="BW33" s="15"/>
      <c r="BX33" s="15">
        <v>2</v>
      </c>
      <c r="BY33" s="15">
        <v>3</v>
      </c>
      <c r="BZ33" s="15">
        <v>1</v>
      </c>
      <c r="CA33" s="15"/>
      <c r="CB33" s="15" t="s">
        <v>188</v>
      </c>
      <c r="CC33" s="15"/>
      <c r="CD33" s="15"/>
      <c r="CE33" s="15"/>
      <c r="CF33" s="15"/>
      <c r="CG33" s="15"/>
      <c r="CH33" s="15"/>
      <c r="CI33" s="15"/>
      <c r="CJ33" s="15"/>
      <c r="CK33" s="15" t="s">
        <v>188</v>
      </c>
      <c r="CL33" s="15"/>
      <c r="CM33" s="15"/>
      <c r="CN33" s="15"/>
      <c r="CO33" s="15"/>
      <c r="CP33" s="15" t="s">
        <v>193</v>
      </c>
      <c r="CQ33" s="15" t="s">
        <v>193</v>
      </c>
      <c r="CR33" s="15" t="s">
        <v>188</v>
      </c>
      <c r="CS33" s="15"/>
      <c r="CT33" s="15"/>
      <c r="CU33" s="15"/>
      <c r="CV33" s="15"/>
      <c r="CW33" s="15"/>
      <c r="CX33" s="15" t="s">
        <v>188</v>
      </c>
      <c r="CY33" s="15" t="s">
        <v>188</v>
      </c>
      <c r="CZ33" s="3"/>
      <c r="DA33" s="49" t="s">
        <v>260</v>
      </c>
      <c r="DC33" s="18">
        <f t="shared" si="0"/>
        <v>0</v>
      </c>
      <c r="DD33" s="18">
        <f t="shared" si="1"/>
        <v>3</v>
      </c>
      <c r="DE33" s="18">
        <f t="shared" si="2"/>
        <v>1997</v>
      </c>
    </row>
    <row r="34" spans="1:109" x14ac:dyDescent="0.25">
      <c r="A34" s="59" t="s">
        <v>1317</v>
      </c>
      <c r="B34" s="103">
        <v>41514</v>
      </c>
      <c r="C34" s="104" t="s">
        <v>1556</v>
      </c>
      <c r="D34" s="14" t="s">
        <v>259</v>
      </c>
      <c r="E34" s="15"/>
      <c r="F34" s="15"/>
      <c r="G34" s="15" t="s">
        <v>188</v>
      </c>
      <c r="H34" s="15"/>
      <c r="I34" s="15">
        <v>29</v>
      </c>
      <c r="J34" s="15" t="s">
        <v>189</v>
      </c>
      <c r="K34" s="15" t="s">
        <v>196</v>
      </c>
      <c r="L34" s="15" t="s">
        <v>244</v>
      </c>
      <c r="M34" s="15" t="s">
        <v>1013</v>
      </c>
      <c r="N34" s="15" t="s">
        <v>1005</v>
      </c>
      <c r="O34" s="15">
        <v>9</v>
      </c>
      <c r="P34" s="15"/>
      <c r="Q34" s="15" t="s">
        <v>188</v>
      </c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 t="s">
        <v>188</v>
      </c>
      <c r="AG34" s="15"/>
      <c r="AH34" s="15">
        <v>1984</v>
      </c>
      <c r="AI34" s="1">
        <v>1795000</v>
      </c>
      <c r="AJ34" s="15"/>
      <c r="AK34" s="15"/>
      <c r="AL34" s="15" t="s">
        <v>188</v>
      </c>
      <c r="AM34" s="15"/>
      <c r="AN34" s="15"/>
      <c r="AO34" s="15" t="s">
        <v>188</v>
      </c>
      <c r="AP34" s="15"/>
      <c r="AQ34" s="15"/>
      <c r="AR34" s="15"/>
      <c r="AS34" s="15"/>
      <c r="AT34" s="15" t="s">
        <v>198</v>
      </c>
      <c r="AU34" s="1">
        <v>4000</v>
      </c>
      <c r="AV34" s="48">
        <v>0.5</v>
      </c>
      <c r="AW34" s="15">
        <v>1.8</v>
      </c>
      <c r="AX34" s="15">
        <v>1.6</v>
      </c>
      <c r="AY34" s="15">
        <v>1</v>
      </c>
      <c r="AZ34" s="15">
        <v>250</v>
      </c>
      <c r="BA34" s="15">
        <v>450</v>
      </c>
      <c r="BB34" s="15" t="s">
        <v>188</v>
      </c>
      <c r="BC34" s="15" t="s">
        <v>199</v>
      </c>
      <c r="BD34" s="15" t="s">
        <v>199</v>
      </c>
      <c r="BE34" s="1">
        <v>6000</v>
      </c>
      <c r="BF34" s="1">
        <v>9000</v>
      </c>
      <c r="BG34" s="1">
        <v>12000</v>
      </c>
      <c r="BH34" s="1">
        <v>80000</v>
      </c>
      <c r="BI34" s="1">
        <v>12000</v>
      </c>
      <c r="BJ34" s="15" t="s">
        <v>188</v>
      </c>
      <c r="BK34" s="15"/>
      <c r="BL34" s="15"/>
      <c r="BM34" s="15"/>
      <c r="BN34" s="15"/>
      <c r="BO34" s="15" t="s">
        <v>188</v>
      </c>
      <c r="BP34" s="15"/>
      <c r="BQ34" s="15"/>
      <c r="BR34" s="15"/>
      <c r="BS34" s="2"/>
      <c r="BT34" s="15"/>
      <c r="BU34" s="15" t="s">
        <v>188</v>
      </c>
      <c r="BV34" s="15"/>
      <c r="BW34" s="15"/>
      <c r="BX34" s="15">
        <v>1</v>
      </c>
      <c r="BY34" s="15">
        <v>3</v>
      </c>
      <c r="BZ34" s="15">
        <v>2</v>
      </c>
      <c r="CA34" s="15"/>
      <c r="CB34" s="15" t="s">
        <v>188</v>
      </c>
      <c r="CC34" s="15"/>
      <c r="CD34" s="15"/>
      <c r="CE34" s="15"/>
      <c r="CF34" s="15"/>
      <c r="CG34" s="15"/>
      <c r="CH34" s="15"/>
      <c r="CI34" s="15"/>
      <c r="CJ34" s="15"/>
      <c r="CK34" s="15" t="s">
        <v>188</v>
      </c>
      <c r="CL34" s="15"/>
      <c r="CM34" s="15"/>
      <c r="CN34" s="15"/>
      <c r="CO34" s="15"/>
      <c r="CP34" s="15" t="s">
        <v>193</v>
      </c>
      <c r="CQ34" s="15" t="s">
        <v>193</v>
      </c>
      <c r="CR34" s="15" t="s">
        <v>188</v>
      </c>
      <c r="CS34" s="15"/>
      <c r="CT34" s="15"/>
      <c r="CU34" s="15"/>
      <c r="CV34" s="15"/>
      <c r="CW34" s="15"/>
      <c r="CX34" s="15" t="s">
        <v>188</v>
      </c>
      <c r="CY34" s="15" t="s">
        <v>188</v>
      </c>
      <c r="CZ34" s="3"/>
      <c r="DA34" s="49"/>
      <c r="DC34" s="18">
        <f t="shared" si="0"/>
        <v>0</v>
      </c>
      <c r="DD34" s="18">
        <f t="shared" si="1"/>
        <v>3</v>
      </c>
      <c r="DE34" s="18">
        <f t="shared" si="2"/>
        <v>1984</v>
      </c>
    </row>
    <row r="35" spans="1:109" x14ac:dyDescent="0.25">
      <c r="A35" s="59" t="s">
        <v>1318</v>
      </c>
      <c r="B35" s="103">
        <v>41540</v>
      </c>
      <c r="C35" s="105" t="s">
        <v>1576</v>
      </c>
      <c r="D35" s="14" t="s">
        <v>262</v>
      </c>
      <c r="E35" s="15" t="s">
        <v>188</v>
      </c>
      <c r="F35" s="15"/>
      <c r="G35" s="15"/>
      <c r="H35" s="15"/>
      <c r="I35" s="15">
        <v>35</v>
      </c>
      <c r="J35" s="15" t="s">
        <v>189</v>
      </c>
      <c r="K35" s="15" t="s">
        <v>190</v>
      </c>
      <c r="L35" s="15" t="s">
        <v>385</v>
      </c>
      <c r="M35" s="50" t="s">
        <v>1016</v>
      </c>
      <c r="N35" s="15" t="s">
        <v>1084</v>
      </c>
      <c r="O35" s="15">
        <v>13</v>
      </c>
      <c r="P35" s="15"/>
      <c r="Q35" s="15"/>
      <c r="R35" s="15"/>
      <c r="S35" s="15" t="s">
        <v>188</v>
      </c>
      <c r="T35" s="15"/>
      <c r="U35" s="15" t="s">
        <v>188</v>
      </c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>
        <v>2013</v>
      </c>
      <c r="AI35" s="1">
        <v>20700</v>
      </c>
      <c r="AJ35" s="15"/>
      <c r="AK35" s="15"/>
      <c r="AL35" s="15" t="s">
        <v>188</v>
      </c>
      <c r="AM35" s="15"/>
      <c r="AN35" s="15"/>
      <c r="AO35" s="15"/>
      <c r="AP35" s="15" t="s">
        <v>188</v>
      </c>
      <c r="AQ35" s="15"/>
      <c r="AR35" s="15"/>
      <c r="AS35" s="15"/>
      <c r="AT35" s="15" t="s">
        <v>1316</v>
      </c>
      <c r="AU35" s="1">
        <v>2400</v>
      </c>
      <c r="AV35" s="48">
        <v>0.1</v>
      </c>
      <c r="AW35" s="15">
        <v>2.8</v>
      </c>
      <c r="AX35" s="15">
        <v>2.2000000000000002</v>
      </c>
      <c r="AY35" s="15">
        <v>2</v>
      </c>
      <c r="AZ35" s="15">
        <v>690</v>
      </c>
      <c r="BA35" s="15">
        <v>1450</v>
      </c>
      <c r="BB35" s="15" t="s">
        <v>188</v>
      </c>
      <c r="BC35" s="15" t="s">
        <v>188</v>
      </c>
      <c r="BD35" s="15" t="s">
        <v>188</v>
      </c>
      <c r="BE35" s="1">
        <v>10000</v>
      </c>
      <c r="BF35" s="1">
        <v>20000</v>
      </c>
      <c r="BG35" s="1">
        <v>10000</v>
      </c>
      <c r="BH35" s="1" t="s">
        <v>193</v>
      </c>
      <c r="BI35" s="1">
        <v>10000</v>
      </c>
      <c r="BJ35" s="15"/>
      <c r="BK35" s="15"/>
      <c r="BL35" s="15" t="s">
        <v>188</v>
      </c>
      <c r="BM35" s="15"/>
      <c r="BN35" s="15"/>
      <c r="BO35" s="15"/>
      <c r="BP35" s="15"/>
      <c r="BQ35" s="15"/>
      <c r="BR35" s="15"/>
      <c r="BS35" s="2"/>
      <c r="BT35" s="15"/>
      <c r="BU35" s="15" t="s">
        <v>188</v>
      </c>
      <c r="BV35" s="15"/>
      <c r="BW35" s="15"/>
      <c r="BX35" s="15">
        <v>2</v>
      </c>
      <c r="BY35" s="15">
        <v>1</v>
      </c>
      <c r="BZ35" s="15">
        <v>3</v>
      </c>
      <c r="CA35" s="15"/>
      <c r="CB35" s="15"/>
      <c r="CC35" s="15" t="s">
        <v>188</v>
      </c>
      <c r="CD35" s="15" t="s">
        <v>188</v>
      </c>
      <c r="CE35" s="15" t="s">
        <v>188</v>
      </c>
      <c r="CF35" s="15"/>
      <c r="CG35" s="15" t="s">
        <v>188</v>
      </c>
      <c r="CH35" s="15"/>
      <c r="CI35" s="15"/>
      <c r="CJ35" s="15"/>
      <c r="CK35" s="15"/>
      <c r="CL35" s="15" t="s">
        <v>188</v>
      </c>
      <c r="CM35" s="15" t="s">
        <v>188</v>
      </c>
      <c r="CN35" s="15" t="s">
        <v>201</v>
      </c>
      <c r="CO35" s="15"/>
      <c r="CP35" s="15" t="s">
        <v>261</v>
      </c>
      <c r="CQ35" s="15" t="s">
        <v>209</v>
      </c>
      <c r="CR35" s="15"/>
      <c r="CS35" s="15" t="s">
        <v>188</v>
      </c>
      <c r="CT35" s="15"/>
      <c r="CU35" s="15"/>
      <c r="CV35" s="15"/>
      <c r="CW35" s="15"/>
      <c r="CX35" s="15" t="s">
        <v>188</v>
      </c>
      <c r="CY35" s="15" t="s">
        <v>188</v>
      </c>
      <c r="CZ35" s="3" t="s">
        <v>324</v>
      </c>
      <c r="DA35" s="49"/>
      <c r="DC35" s="18">
        <f t="shared" si="0"/>
        <v>0</v>
      </c>
      <c r="DD35" s="18">
        <f t="shared" si="1"/>
        <v>1</v>
      </c>
      <c r="DE35" s="18">
        <f t="shared" si="2"/>
        <v>2013</v>
      </c>
    </row>
    <row r="36" spans="1:109" x14ac:dyDescent="0.25">
      <c r="A36" s="59" t="s">
        <v>1318</v>
      </c>
      <c r="B36" s="103">
        <v>41540</v>
      </c>
      <c r="C36" s="105" t="s">
        <v>1576</v>
      </c>
      <c r="D36" s="14" t="s">
        <v>263</v>
      </c>
      <c r="E36" s="15"/>
      <c r="F36" s="15"/>
      <c r="G36" s="15"/>
      <c r="H36" s="15" t="s">
        <v>188</v>
      </c>
      <c r="I36" s="15">
        <v>33</v>
      </c>
      <c r="J36" s="15" t="s">
        <v>189</v>
      </c>
      <c r="K36" s="15" t="s">
        <v>190</v>
      </c>
      <c r="L36" s="15" t="s">
        <v>386</v>
      </c>
      <c r="M36" s="15" t="s">
        <v>1017</v>
      </c>
      <c r="N36" s="10" t="s">
        <v>1085</v>
      </c>
      <c r="O36" s="15">
        <v>10</v>
      </c>
      <c r="P36" s="15" t="s">
        <v>188</v>
      </c>
      <c r="Q36" s="15"/>
      <c r="R36" s="15"/>
      <c r="S36" s="15"/>
      <c r="T36" s="15"/>
      <c r="U36" s="15" t="s">
        <v>188</v>
      </c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>
        <v>2000</v>
      </c>
      <c r="AI36" s="1">
        <v>2000000</v>
      </c>
      <c r="AJ36" s="15"/>
      <c r="AK36" s="15"/>
      <c r="AL36" s="15" t="s">
        <v>188</v>
      </c>
      <c r="AM36" s="15"/>
      <c r="AN36" s="15"/>
      <c r="AO36" s="15"/>
      <c r="AP36" s="15" t="s">
        <v>188</v>
      </c>
      <c r="AQ36" s="15"/>
      <c r="AR36" s="15"/>
      <c r="AS36" s="15"/>
      <c r="AT36" s="15" t="s">
        <v>198</v>
      </c>
      <c r="AU36" s="1">
        <v>5000</v>
      </c>
      <c r="AV36" s="48">
        <v>0.1</v>
      </c>
      <c r="AW36" s="15">
        <v>2.8</v>
      </c>
      <c r="AX36" s="15">
        <v>2</v>
      </c>
      <c r="AY36" s="15">
        <v>1</v>
      </c>
      <c r="AZ36" s="15">
        <v>350</v>
      </c>
      <c r="BA36" s="15">
        <v>600</v>
      </c>
      <c r="BB36" s="15" t="s">
        <v>199</v>
      </c>
      <c r="BC36" s="15" t="s">
        <v>199</v>
      </c>
      <c r="BD36" s="15" t="s">
        <v>199</v>
      </c>
      <c r="BE36" s="1">
        <v>3000</v>
      </c>
      <c r="BF36" s="1">
        <v>15000</v>
      </c>
      <c r="BG36" s="1">
        <v>15000</v>
      </c>
      <c r="BH36" s="1">
        <v>80000</v>
      </c>
      <c r="BI36" s="1">
        <v>15000</v>
      </c>
      <c r="BJ36" s="15"/>
      <c r="BK36" s="15" t="s">
        <v>188</v>
      </c>
      <c r="BL36" s="15"/>
      <c r="BM36" s="15"/>
      <c r="BN36" s="15"/>
      <c r="BO36" s="15"/>
      <c r="BP36" s="15"/>
      <c r="BQ36" s="15"/>
      <c r="BR36" s="15"/>
      <c r="BS36" s="2"/>
      <c r="BT36" s="15"/>
      <c r="BU36" s="15" t="s">
        <v>188</v>
      </c>
      <c r="BV36" s="15"/>
      <c r="BW36" s="15"/>
      <c r="BX36" s="15">
        <v>1</v>
      </c>
      <c r="BY36" s="15">
        <v>2</v>
      </c>
      <c r="BZ36" s="15">
        <v>3</v>
      </c>
      <c r="CA36" s="15"/>
      <c r="CB36" s="15" t="s">
        <v>188</v>
      </c>
      <c r="CC36" s="15"/>
      <c r="CD36" s="15"/>
      <c r="CE36" s="15"/>
      <c r="CF36" s="15"/>
      <c r="CG36" s="15"/>
      <c r="CH36" s="15"/>
      <c r="CI36" s="15"/>
      <c r="CJ36" s="15"/>
      <c r="CK36" s="15" t="s">
        <v>188</v>
      </c>
      <c r="CL36" s="15"/>
      <c r="CM36" s="15"/>
      <c r="CN36" s="15"/>
      <c r="CO36" s="15"/>
      <c r="CP36" s="15" t="s">
        <v>193</v>
      </c>
      <c r="CQ36" s="15" t="s">
        <v>209</v>
      </c>
      <c r="CR36" s="15"/>
      <c r="CS36" s="15" t="s">
        <v>188</v>
      </c>
      <c r="CT36" s="15"/>
      <c r="CU36" s="15"/>
      <c r="CV36" s="15"/>
      <c r="CW36" s="15"/>
      <c r="CX36" s="15"/>
      <c r="CY36" s="15" t="s">
        <v>188</v>
      </c>
      <c r="CZ36" s="3"/>
      <c r="DA36" s="49"/>
      <c r="DC36" s="18">
        <f t="shared" si="0"/>
        <v>0</v>
      </c>
      <c r="DD36" s="18">
        <f t="shared" si="1"/>
        <v>7</v>
      </c>
      <c r="DE36" s="18">
        <f t="shared" si="2"/>
        <v>2000</v>
      </c>
    </row>
    <row r="37" spans="1:109" x14ac:dyDescent="0.25">
      <c r="A37" s="59" t="s">
        <v>1318</v>
      </c>
      <c r="B37" s="103">
        <v>41540</v>
      </c>
      <c r="C37" s="105" t="s">
        <v>1576</v>
      </c>
      <c r="D37" s="14" t="s">
        <v>265</v>
      </c>
      <c r="E37" s="15" t="s">
        <v>188</v>
      </c>
      <c r="F37" s="15"/>
      <c r="G37" s="15"/>
      <c r="H37" s="15"/>
      <c r="I37" s="15">
        <v>47</v>
      </c>
      <c r="J37" s="15" t="s">
        <v>189</v>
      </c>
      <c r="K37" s="15" t="s">
        <v>196</v>
      </c>
      <c r="L37" s="15" t="s">
        <v>228</v>
      </c>
      <c r="M37" s="15" t="s">
        <v>1010</v>
      </c>
      <c r="N37" s="15" t="s">
        <v>1084</v>
      </c>
      <c r="O37" s="15">
        <v>16</v>
      </c>
      <c r="P37" s="15"/>
      <c r="Q37" s="15"/>
      <c r="R37" s="15"/>
      <c r="S37" s="15" t="s">
        <v>188</v>
      </c>
      <c r="T37" s="15"/>
      <c r="U37" s="15"/>
      <c r="V37" s="15" t="s">
        <v>188</v>
      </c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>
        <v>2001</v>
      </c>
      <c r="AI37" s="1">
        <v>1800000</v>
      </c>
      <c r="AJ37" s="15"/>
      <c r="AK37" s="15"/>
      <c r="AL37" s="15" t="s">
        <v>188</v>
      </c>
      <c r="AM37" s="15"/>
      <c r="AN37" s="15"/>
      <c r="AO37" s="15"/>
      <c r="AP37" s="15" t="s">
        <v>188</v>
      </c>
      <c r="AQ37" s="15"/>
      <c r="AR37" s="15"/>
      <c r="AS37" s="15"/>
      <c r="AT37" s="15" t="s">
        <v>266</v>
      </c>
      <c r="AU37" s="1">
        <v>12000</v>
      </c>
      <c r="AV37" s="48">
        <v>0.1</v>
      </c>
      <c r="AW37" s="15">
        <v>5</v>
      </c>
      <c r="AX37" s="15">
        <v>3</v>
      </c>
      <c r="AY37" s="15">
        <v>1</v>
      </c>
      <c r="AZ37" s="15">
        <v>380</v>
      </c>
      <c r="BA37" s="15">
        <v>800</v>
      </c>
      <c r="BB37" s="15" t="s">
        <v>188</v>
      </c>
      <c r="BC37" s="15" t="s">
        <v>188</v>
      </c>
      <c r="BD37" s="15" t="s">
        <v>188</v>
      </c>
      <c r="BE37" s="1">
        <v>5000</v>
      </c>
      <c r="BF37" s="1">
        <v>12000</v>
      </c>
      <c r="BG37" s="1">
        <v>12000</v>
      </c>
      <c r="BH37" s="1">
        <v>120000</v>
      </c>
      <c r="BI37" s="1">
        <v>12000</v>
      </c>
      <c r="BJ37" s="15" t="s">
        <v>188</v>
      </c>
      <c r="BK37" s="15"/>
      <c r="BL37" s="15"/>
      <c r="BM37" s="15"/>
      <c r="BN37" s="15"/>
      <c r="BO37" s="15"/>
      <c r="BP37" s="15"/>
      <c r="BQ37" s="15"/>
      <c r="BR37" s="15"/>
      <c r="BS37" s="2"/>
      <c r="BT37" s="15"/>
      <c r="BU37" s="15" t="s">
        <v>188</v>
      </c>
      <c r="BV37" s="15"/>
      <c r="BW37" s="15"/>
      <c r="BX37" s="15">
        <v>1</v>
      </c>
      <c r="BY37" s="15">
        <v>3</v>
      </c>
      <c r="BZ37" s="15">
        <v>2</v>
      </c>
      <c r="CA37" s="15"/>
      <c r="CB37" s="15"/>
      <c r="CC37" s="15" t="s">
        <v>188</v>
      </c>
      <c r="CD37" s="15" t="s">
        <v>188</v>
      </c>
      <c r="CE37" s="15" t="s">
        <v>188</v>
      </c>
      <c r="CF37" s="15"/>
      <c r="CG37" s="15"/>
      <c r="CH37" s="15" t="s">
        <v>188</v>
      </c>
      <c r="CI37" s="15"/>
      <c r="CJ37" s="15"/>
      <c r="CK37" s="15" t="s">
        <v>188</v>
      </c>
      <c r="CL37" s="15"/>
      <c r="CM37" s="15"/>
      <c r="CN37" s="15"/>
      <c r="CO37" s="15"/>
      <c r="CP37" s="15" t="s">
        <v>193</v>
      </c>
      <c r="CQ37" s="15" t="s">
        <v>267</v>
      </c>
      <c r="CR37" s="15"/>
      <c r="CS37" s="15"/>
      <c r="CT37" s="15" t="s">
        <v>188</v>
      </c>
      <c r="CU37" s="15"/>
      <c r="CV37" s="15"/>
      <c r="CW37" s="15"/>
      <c r="CX37" s="15" t="s">
        <v>188</v>
      </c>
      <c r="CY37" s="15" t="s">
        <v>188</v>
      </c>
      <c r="CZ37" s="3"/>
      <c r="DA37" s="49"/>
      <c r="DC37" s="18">
        <f t="shared" si="0"/>
        <v>0</v>
      </c>
      <c r="DD37" s="18">
        <f t="shared" si="1"/>
        <v>1</v>
      </c>
      <c r="DE37" s="18">
        <f t="shared" si="2"/>
        <v>2001</v>
      </c>
    </row>
    <row r="38" spans="1:109" x14ac:dyDescent="0.25">
      <c r="A38" s="59" t="s">
        <v>1318</v>
      </c>
      <c r="B38" s="103">
        <v>41540</v>
      </c>
      <c r="C38" s="105" t="s">
        <v>1576</v>
      </c>
      <c r="D38" s="14" t="s">
        <v>268</v>
      </c>
      <c r="E38" s="15"/>
      <c r="F38" s="15"/>
      <c r="G38" s="15"/>
      <c r="H38" s="15" t="s">
        <v>188</v>
      </c>
      <c r="I38" s="15">
        <v>21</v>
      </c>
      <c r="J38" s="15" t="s">
        <v>189</v>
      </c>
      <c r="K38" s="15" t="s">
        <v>196</v>
      </c>
      <c r="L38" s="15" t="s">
        <v>594</v>
      </c>
      <c r="M38" s="15" t="s">
        <v>1018</v>
      </c>
      <c r="N38" s="15" t="s">
        <v>1085</v>
      </c>
      <c r="O38" s="15">
        <v>2</v>
      </c>
      <c r="P38" s="15"/>
      <c r="Q38" s="15"/>
      <c r="R38" s="15"/>
      <c r="S38" s="15" t="s">
        <v>188</v>
      </c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 t="s">
        <v>188</v>
      </c>
      <c r="AG38" s="15"/>
      <c r="AH38" s="15">
        <v>1982</v>
      </c>
      <c r="AI38" s="1" t="s">
        <v>269</v>
      </c>
      <c r="AJ38" s="15"/>
      <c r="AK38" s="15"/>
      <c r="AL38" s="15" t="s">
        <v>188</v>
      </c>
      <c r="AM38" s="15"/>
      <c r="AN38" s="15"/>
      <c r="AO38" s="15" t="s">
        <v>188</v>
      </c>
      <c r="AP38" s="15"/>
      <c r="AQ38" s="15"/>
      <c r="AR38" s="15"/>
      <c r="AS38" s="15"/>
      <c r="AT38" s="15" t="s">
        <v>198</v>
      </c>
      <c r="AU38" s="1">
        <v>6000</v>
      </c>
      <c r="AV38" s="48">
        <v>0.5</v>
      </c>
      <c r="AW38" s="15">
        <v>2</v>
      </c>
      <c r="AX38" s="15">
        <v>1.3</v>
      </c>
      <c r="AY38" s="15">
        <v>2</v>
      </c>
      <c r="AZ38" s="15">
        <v>880</v>
      </c>
      <c r="BA38" s="15">
        <v>1500</v>
      </c>
      <c r="BB38" s="15" t="s">
        <v>199</v>
      </c>
      <c r="BC38" s="15" t="s">
        <v>188</v>
      </c>
      <c r="BD38" s="15" t="s">
        <v>199</v>
      </c>
      <c r="BE38" s="1">
        <v>5000</v>
      </c>
      <c r="BF38" s="1">
        <v>8000</v>
      </c>
      <c r="BG38" s="1">
        <v>10000</v>
      </c>
      <c r="BH38" s="1" t="s">
        <v>193</v>
      </c>
      <c r="BI38" s="1">
        <v>10000</v>
      </c>
      <c r="BJ38" s="15"/>
      <c r="BK38" s="15"/>
      <c r="BL38" s="15"/>
      <c r="BM38" s="15" t="s">
        <v>188</v>
      </c>
      <c r="BN38" s="15"/>
      <c r="BO38" s="15"/>
      <c r="BP38" s="15"/>
      <c r="BQ38" s="15"/>
      <c r="BR38" s="15"/>
      <c r="BS38" s="2"/>
      <c r="BT38" s="15"/>
      <c r="BU38" s="15"/>
      <c r="BV38" s="15" t="s">
        <v>188</v>
      </c>
      <c r="BW38" s="15"/>
      <c r="BX38" s="15">
        <v>2</v>
      </c>
      <c r="BY38" s="15">
        <v>1</v>
      </c>
      <c r="BZ38" s="15">
        <v>3</v>
      </c>
      <c r="CA38" s="15"/>
      <c r="CB38" s="15" t="s">
        <v>188</v>
      </c>
      <c r="CC38" s="15"/>
      <c r="CD38" s="15"/>
      <c r="CE38" s="15"/>
      <c r="CF38" s="15"/>
      <c r="CG38" s="15"/>
      <c r="CH38" s="15"/>
      <c r="CI38" s="15"/>
      <c r="CJ38" s="15"/>
      <c r="CK38" s="15" t="s">
        <v>188</v>
      </c>
      <c r="CL38" s="15"/>
      <c r="CM38" s="15"/>
      <c r="CN38" s="15"/>
      <c r="CO38" s="15"/>
      <c r="CP38" s="15" t="s">
        <v>193</v>
      </c>
      <c r="CQ38" s="15" t="s">
        <v>209</v>
      </c>
      <c r="CR38" s="15" t="s">
        <v>188</v>
      </c>
      <c r="CS38" s="15"/>
      <c r="CT38" s="15"/>
      <c r="CU38" s="15"/>
      <c r="CV38" s="15" t="s">
        <v>188</v>
      </c>
      <c r="CW38" s="15" t="s">
        <v>270</v>
      </c>
      <c r="CX38" s="15"/>
      <c r="CY38" s="15"/>
      <c r="CZ38" s="3"/>
      <c r="DA38" s="49"/>
      <c r="DC38" s="18">
        <f t="shared" si="0"/>
        <v>0</v>
      </c>
      <c r="DD38" s="18">
        <f t="shared" si="1"/>
        <v>7</v>
      </c>
      <c r="DE38" s="18">
        <f t="shared" si="2"/>
        <v>1982</v>
      </c>
    </row>
    <row r="39" spans="1:109" x14ac:dyDescent="0.25">
      <c r="A39" s="59" t="s">
        <v>1318</v>
      </c>
      <c r="B39" s="103">
        <v>41540</v>
      </c>
      <c r="C39" s="105" t="s">
        <v>1576</v>
      </c>
      <c r="D39" s="14" t="s">
        <v>271</v>
      </c>
      <c r="E39" s="15"/>
      <c r="F39" s="15"/>
      <c r="G39" s="15"/>
      <c r="H39" s="15" t="s">
        <v>188</v>
      </c>
      <c r="I39" s="15">
        <v>33</v>
      </c>
      <c r="J39" s="15" t="s">
        <v>189</v>
      </c>
      <c r="K39" s="15" t="s">
        <v>190</v>
      </c>
      <c r="L39" s="15" t="s">
        <v>387</v>
      </c>
      <c r="M39" s="50" t="s">
        <v>1019</v>
      </c>
      <c r="N39" s="15" t="s">
        <v>1085</v>
      </c>
      <c r="O39" s="15">
        <v>11</v>
      </c>
      <c r="P39" s="15"/>
      <c r="Q39" s="15" t="s">
        <v>188</v>
      </c>
      <c r="R39" s="15"/>
      <c r="S39" s="15"/>
      <c r="T39" s="15"/>
      <c r="U39" s="15"/>
      <c r="V39" s="15"/>
      <c r="W39" s="15"/>
      <c r="X39" s="15"/>
      <c r="Y39" s="15" t="s">
        <v>188</v>
      </c>
      <c r="Z39" s="15"/>
      <c r="AA39" s="15"/>
      <c r="AB39" s="15"/>
      <c r="AC39" s="15"/>
      <c r="AD39" s="15"/>
      <c r="AE39" s="15"/>
      <c r="AF39" s="15"/>
      <c r="AG39" s="15"/>
      <c r="AH39" s="15">
        <v>2008</v>
      </c>
      <c r="AI39" s="1">
        <v>450000</v>
      </c>
      <c r="AJ39" s="15"/>
      <c r="AK39" s="15"/>
      <c r="AL39" s="15" t="s">
        <v>188</v>
      </c>
      <c r="AM39" s="15"/>
      <c r="AN39" s="15"/>
      <c r="AO39" s="15"/>
      <c r="AP39" s="15"/>
      <c r="AQ39" s="15" t="s">
        <v>188</v>
      </c>
      <c r="AR39" s="15"/>
      <c r="AS39" s="15">
        <v>2010</v>
      </c>
      <c r="AT39" s="15" t="s">
        <v>193</v>
      </c>
      <c r="AU39" s="1">
        <v>5000</v>
      </c>
      <c r="AV39" s="48">
        <v>0.5</v>
      </c>
      <c r="AW39" s="15">
        <v>4</v>
      </c>
      <c r="AX39" s="15">
        <v>3.8</v>
      </c>
      <c r="AY39" s="15">
        <v>1</v>
      </c>
      <c r="AZ39" s="15">
        <v>260</v>
      </c>
      <c r="BA39" s="15">
        <v>650</v>
      </c>
      <c r="BB39" s="15" t="s">
        <v>199</v>
      </c>
      <c r="BC39" s="15" t="s">
        <v>188</v>
      </c>
      <c r="BD39" s="15" t="s">
        <v>199</v>
      </c>
      <c r="BE39" s="1">
        <v>10000</v>
      </c>
      <c r="BF39" s="1">
        <v>12000</v>
      </c>
      <c r="BG39" s="1">
        <v>10000</v>
      </c>
      <c r="BH39" s="1">
        <v>60000</v>
      </c>
      <c r="BI39" s="1">
        <v>10000</v>
      </c>
      <c r="BJ39" s="15"/>
      <c r="BK39" s="15"/>
      <c r="BL39" s="15" t="s">
        <v>188</v>
      </c>
      <c r="BM39" s="15"/>
      <c r="BN39" s="15"/>
      <c r="BO39" s="15"/>
      <c r="BP39" s="15"/>
      <c r="BQ39" s="15"/>
      <c r="BR39" s="15"/>
      <c r="BS39" s="2"/>
      <c r="BT39" s="15"/>
      <c r="BU39" s="15" t="s">
        <v>188</v>
      </c>
      <c r="BV39" s="15"/>
      <c r="BW39" s="15"/>
      <c r="BX39" s="15">
        <v>3</v>
      </c>
      <c r="BY39" s="15">
        <v>1</v>
      </c>
      <c r="BZ39" s="15">
        <v>2</v>
      </c>
      <c r="CA39" s="15"/>
      <c r="CB39" s="15"/>
      <c r="CC39" s="15" t="s">
        <v>188</v>
      </c>
      <c r="CD39" s="15" t="s">
        <v>188</v>
      </c>
      <c r="CE39" s="15"/>
      <c r="CF39" s="15"/>
      <c r="CG39" s="15"/>
      <c r="CH39" s="15"/>
      <c r="CI39" s="15"/>
      <c r="CJ39" s="15"/>
      <c r="CK39" s="15"/>
      <c r="CL39" s="15" t="s">
        <v>188</v>
      </c>
      <c r="CM39" s="15"/>
      <c r="CN39" s="15"/>
      <c r="CO39" s="15" t="s">
        <v>188</v>
      </c>
      <c r="CP39" s="15" t="s">
        <v>273</v>
      </c>
      <c r="CQ39" s="15" t="s">
        <v>300</v>
      </c>
      <c r="CR39" s="15"/>
      <c r="CS39" s="15" t="s">
        <v>188</v>
      </c>
      <c r="CT39" s="15" t="s">
        <v>188</v>
      </c>
      <c r="CU39" s="15"/>
      <c r="CV39" s="15"/>
      <c r="CW39" s="15"/>
      <c r="CX39" s="15"/>
      <c r="CY39" s="15" t="s">
        <v>188</v>
      </c>
      <c r="CZ39" s="3" t="s">
        <v>324</v>
      </c>
      <c r="DA39" s="49"/>
      <c r="DC39" s="18">
        <f t="shared" si="0"/>
        <v>0</v>
      </c>
      <c r="DD39" s="18">
        <f t="shared" si="1"/>
        <v>7</v>
      </c>
      <c r="DE39" s="18">
        <f t="shared" si="2"/>
        <v>2010</v>
      </c>
    </row>
    <row r="40" spans="1:109" x14ac:dyDescent="0.25">
      <c r="A40" s="59" t="s">
        <v>1318</v>
      </c>
      <c r="B40" s="103">
        <v>41540</v>
      </c>
      <c r="C40" s="105" t="s">
        <v>1576</v>
      </c>
      <c r="D40" s="14" t="s">
        <v>274</v>
      </c>
      <c r="E40" s="15"/>
      <c r="F40" s="15"/>
      <c r="G40" s="15"/>
      <c r="H40" s="15" t="s">
        <v>188</v>
      </c>
      <c r="I40" s="15">
        <v>29</v>
      </c>
      <c r="J40" s="15" t="s">
        <v>189</v>
      </c>
      <c r="K40" s="15" t="s">
        <v>214</v>
      </c>
      <c r="L40" s="15" t="s">
        <v>388</v>
      </c>
      <c r="M40" s="50" t="s">
        <v>1020</v>
      </c>
      <c r="N40" s="15" t="s">
        <v>1085</v>
      </c>
      <c r="O40" s="15">
        <v>4</v>
      </c>
      <c r="P40" s="15" t="s">
        <v>188</v>
      </c>
      <c r="Q40" s="15"/>
      <c r="R40" s="15"/>
      <c r="S40" s="15"/>
      <c r="T40" s="15"/>
      <c r="U40" s="15" t="s">
        <v>188</v>
      </c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>
        <v>2002</v>
      </c>
      <c r="AI40" s="1">
        <v>1830000</v>
      </c>
      <c r="AJ40" s="15"/>
      <c r="AK40" s="15"/>
      <c r="AL40" s="15" t="s">
        <v>188</v>
      </c>
      <c r="AM40" s="15"/>
      <c r="AN40" s="15"/>
      <c r="AO40" s="15"/>
      <c r="AP40" s="15" t="s">
        <v>188</v>
      </c>
      <c r="AQ40" s="15"/>
      <c r="AR40" s="15"/>
      <c r="AS40" s="15"/>
      <c r="AT40" s="15" t="s">
        <v>322</v>
      </c>
      <c r="AU40" s="1">
        <v>7500</v>
      </c>
      <c r="AV40" s="48">
        <v>0.5</v>
      </c>
      <c r="AW40" s="15">
        <v>3.5</v>
      </c>
      <c r="AX40" s="15">
        <v>2.8</v>
      </c>
      <c r="AY40" s="15">
        <v>1</v>
      </c>
      <c r="AZ40" s="15">
        <v>360</v>
      </c>
      <c r="BA40" s="15">
        <v>850</v>
      </c>
      <c r="BB40" s="15" t="s">
        <v>199</v>
      </c>
      <c r="BC40" s="15" t="s">
        <v>188</v>
      </c>
      <c r="BD40" s="15" t="s">
        <v>199</v>
      </c>
      <c r="BE40" s="1">
        <v>6000</v>
      </c>
      <c r="BF40" s="1">
        <v>6000</v>
      </c>
      <c r="BG40" s="1">
        <v>10000</v>
      </c>
      <c r="BH40" s="1">
        <v>60000</v>
      </c>
      <c r="BI40" s="1">
        <v>6000</v>
      </c>
      <c r="BJ40" s="15"/>
      <c r="BK40" s="15"/>
      <c r="BL40" s="15"/>
      <c r="BM40" s="15"/>
      <c r="BN40" s="15"/>
      <c r="BO40" s="15"/>
      <c r="BP40" s="15"/>
      <c r="BQ40" s="15"/>
      <c r="BR40" s="15" t="s">
        <v>188</v>
      </c>
      <c r="BS40" s="2"/>
      <c r="BT40" s="15"/>
      <c r="BU40" s="15" t="s">
        <v>188</v>
      </c>
      <c r="BV40" s="15"/>
      <c r="BW40" s="15"/>
      <c r="BX40" s="15">
        <v>1</v>
      </c>
      <c r="BY40" s="15">
        <v>2</v>
      </c>
      <c r="BZ40" s="15">
        <v>3</v>
      </c>
      <c r="CA40" s="15"/>
      <c r="CB40" s="15" t="s">
        <v>188</v>
      </c>
      <c r="CC40" s="15"/>
      <c r="CD40" s="15"/>
      <c r="CE40" s="15"/>
      <c r="CF40" s="15"/>
      <c r="CG40" s="15"/>
      <c r="CH40" s="15"/>
      <c r="CI40" s="15"/>
      <c r="CJ40" s="15"/>
      <c r="CK40" s="15" t="s">
        <v>188</v>
      </c>
      <c r="CL40" s="15"/>
      <c r="CM40" s="15"/>
      <c r="CN40" s="15"/>
      <c r="CO40" s="15"/>
      <c r="CP40" s="15" t="s">
        <v>193</v>
      </c>
      <c r="CQ40" s="15" t="s">
        <v>209</v>
      </c>
      <c r="CR40" s="15"/>
      <c r="CS40" s="15"/>
      <c r="CT40" s="15" t="s">
        <v>188</v>
      </c>
      <c r="CU40" s="15"/>
      <c r="CV40" s="15" t="s">
        <v>188</v>
      </c>
      <c r="CW40" s="15"/>
      <c r="CX40" s="15"/>
      <c r="CY40" s="15"/>
      <c r="CZ40" s="3"/>
      <c r="DA40" s="49" t="s">
        <v>275</v>
      </c>
      <c r="DC40" s="18">
        <f t="shared" si="0"/>
        <v>0</v>
      </c>
      <c r="DD40" s="18">
        <f t="shared" si="1"/>
        <v>7</v>
      </c>
      <c r="DE40" s="18">
        <f t="shared" si="2"/>
        <v>2002</v>
      </c>
    </row>
    <row r="41" spans="1:109" x14ac:dyDescent="0.25">
      <c r="A41" s="59" t="s">
        <v>1318</v>
      </c>
      <c r="B41" s="103">
        <v>41540</v>
      </c>
      <c r="C41" s="105" t="s">
        <v>1576</v>
      </c>
      <c r="D41" s="14" t="s">
        <v>277</v>
      </c>
      <c r="E41" s="15"/>
      <c r="F41" s="15"/>
      <c r="G41" s="15"/>
      <c r="H41" s="15" t="s">
        <v>188</v>
      </c>
      <c r="I41" s="15">
        <v>22</v>
      </c>
      <c r="J41" s="15" t="s">
        <v>189</v>
      </c>
      <c r="K41" s="15" t="s">
        <v>214</v>
      </c>
      <c r="L41" s="15" t="s">
        <v>389</v>
      </c>
      <c r="M41" s="50" t="s">
        <v>1021</v>
      </c>
      <c r="N41" s="15" t="s">
        <v>1085</v>
      </c>
      <c r="O41" s="15">
        <v>5</v>
      </c>
      <c r="P41" s="15" t="s">
        <v>188</v>
      </c>
      <c r="Q41" s="15"/>
      <c r="R41" s="15"/>
      <c r="S41" s="15"/>
      <c r="T41" s="15"/>
      <c r="U41" s="15"/>
      <c r="V41" s="15"/>
      <c r="W41" s="15"/>
      <c r="X41" s="15"/>
      <c r="Y41" s="15" t="s">
        <v>188</v>
      </c>
      <c r="Z41" s="15"/>
      <c r="AA41" s="15"/>
      <c r="AB41" s="15"/>
      <c r="AC41" s="15"/>
      <c r="AD41" s="15"/>
      <c r="AE41" s="15"/>
      <c r="AF41" s="15"/>
      <c r="AG41" s="15"/>
      <c r="AH41" s="15">
        <v>2005</v>
      </c>
      <c r="AI41" s="1">
        <v>1800000</v>
      </c>
      <c r="AJ41" s="15"/>
      <c r="AK41" s="15"/>
      <c r="AL41" s="15" t="s">
        <v>188</v>
      </c>
      <c r="AM41" s="15"/>
      <c r="AN41" s="15"/>
      <c r="AO41" s="15"/>
      <c r="AP41" s="15"/>
      <c r="AQ41" s="15" t="s">
        <v>188</v>
      </c>
      <c r="AR41" s="15"/>
      <c r="AS41" s="15">
        <v>2011</v>
      </c>
      <c r="AT41" s="15" t="s">
        <v>322</v>
      </c>
      <c r="AU41" s="1">
        <v>8200</v>
      </c>
      <c r="AV41" s="48">
        <v>0.5</v>
      </c>
      <c r="AW41" s="15">
        <v>2.8</v>
      </c>
      <c r="AX41" s="15">
        <v>2.2999999999999998</v>
      </c>
      <c r="AY41" s="15">
        <v>2</v>
      </c>
      <c r="AZ41" s="15">
        <v>1000</v>
      </c>
      <c r="BA41" s="15">
        <v>2800</v>
      </c>
      <c r="BB41" s="15" t="s">
        <v>199</v>
      </c>
      <c r="BC41" s="15" t="s">
        <v>188</v>
      </c>
      <c r="BD41" s="15" t="s">
        <v>199</v>
      </c>
      <c r="BE41" s="1">
        <v>12000</v>
      </c>
      <c r="BF41" s="1">
        <v>10000</v>
      </c>
      <c r="BG41" s="1">
        <v>12000</v>
      </c>
      <c r="BH41" s="1">
        <v>95000</v>
      </c>
      <c r="BI41" s="1">
        <v>12000</v>
      </c>
      <c r="BJ41" s="15"/>
      <c r="BK41" s="15"/>
      <c r="BL41" s="15"/>
      <c r="BM41" s="15"/>
      <c r="BN41" s="15"/>
      <c r="BO41" s="15"/>
      <c r="BP41" s="15"/>
      <c r="BQ41" s="15"/>
      <c r="BR41" s="15" t="s">
        <v>188</v>
      </c>
      <c r="BS41" s="2"/>
      <c r="BT41" s="15"/>
      <c r="BU41" s="15"/>
      <c r="BV41" s="15" t="s">
        <v>188</v>
      </c>
      <c r="BW41" s="15"/>
      <c r="BX41" s="15">
        <v>3</v>
      </c>
      <c r="BY41" s="15">
        <v>2</v>
      </c>
      <c r="BZ41" s="15">
        <v>1</v>
      </c>
      <c r="CA41" s="15"/>
      <c r="CB41" s="15"/>
      <c r="CC41" s="15" t="s">
        <v>188</v>
      </c>
      <c r="CD41" s="15"/>
      <c r="CE41" s="15" t="s">
        <v>188</v>
      </c>
      <c r="CF41" s="15"/>
      <c r="CG41" s="15"/>
      <c r="CH41" s="15"/>
      <c r="CI41" s="15"/>
      <c r="CJ41" s="15"/>
      <c r="CK41" s="15" t="s">
        <v>188</v>
      </c>
      <c r="CL41" s="15"/>
      <c r="CM41" s="15"/>
      <c r="CN41" s="15"/>
      <c r="CO41" s="15"/>
      <c r="CP41" s="15" t="s">
        <v>193</v>
      </c>
      <c r="CQ41" s="15" t="s">
        <v>209</v>
      </c>
      <c r="CR41" s="15"/>
      <c r="CS41" s="15"/>
      <c r="CT41" s="15"/>
      <c r="CU41" s="2" t="s">
        <v>276</v>
      </c>
      <c r="CV41" s="15"/>
      <c r="CW41" s="15"/>
      <c r="CX41" s="15" t="s">
        <v>188</v>
      </c>
      <c r="CY41" s="15" t="s">
        <v>188</v>
      </c>
      <c r="CZ41" s="3"/>
      <c r="DA41" s="49"/>
      <c r="DC41" s="18">
        <f t="shared" si="0"/>
        <v>0</v>
      </c>
      <c r="DD41" s="18">
        <f t="shared" si="1"/>
        <v>7</v>
      </c>
      <c r="DE41" s="18">
        <f t="shared" si="2"/>
        <v>2011</v>
      </c>
    </row>
    <row r="42" spans="1:109" x14ac:dyDescent="0.25">
      <c r="A42" s="59" t="s">
        <v>1318</v>
      </c>
      <c r="B42" s="103">
        <v>41540</v>
      </c>
      <c r="C42" s="105" t="s">
        <v>1576</v>
      </c>
      <c r="D42" s="14" t="s">
        <v>278</v>
      </c>
      <c r="E42" s="15"/>
      <c r="F42" s="15"/>
      <c r="G42" s="15"/>
      <c r="H42" s="15" t="s">
        <v>188</v>
      </c>
      <c r="I42" s="15">
        <v>29</v>
      </c>
      <c r="J42" s="15" t="s">
        <v>189</v>
      </c>
      <c r="K42" s="15" t="s">
        <v>190</v>
      </c>
      <c r="L42" s="15" t="s">
        <v>387</v>
      </c>
      <c r="M42" s="15" t="s">
        <v>1017</v>
      </c>
      <c r="N42" s="15" t="s">
        <v>1085</v>
      </c>
      <c r="O42" s="15">
        <v>8</v>
      </c>
      <c r="P42" s="15" t="s">
        <v>188</v>
      </c>
      <c r="Q42" s="15"/>
      <c r="R42" s="15"/>
      <c r="S42" s="15"/>
      <c r="T42" s="15"/>
      <c r="U42" s="15" t="s">
        <v>188</v>
      </c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>
        <v>2012</v>
      </c>
      <c r="AI42" s="1">
        <v>240000</v>
      </c>
      <c r="AJ42" s="15"/>
      <c r="AK42" s="15"/>
      <c r="AL42" s="15" t="s">
        <v>188</v>
      </c>
      <c r="AM42" s="15"/>
      <c r="AN42" s="15"/>
      <c r="AO42" s="15"/>
      <c r="AP42" s="15" t="s">
        <v>188</v>
      </c>
      <c r="AQ42" s="15"/>
      <c r="AR42" s="15"/>
      <c r="AS42" s="15"/>
      <c r="AT42" s="15" t="s">
        <v>322</v>
      </c>
      <c r="AU42" s="1">
        <v>7500</v>
      </c>
      <c r="AV42" s="48">
        <v>0.5</v>
      </c>
      <c r="AW42" s="15">
        <v>1.5</v>
      </c>
      <c r="AX42" s="15">
        <v>1.1000000000000001</v>
      </c>
      <c r="AY42" s="15">
        <v>2</v>
      </c>
      <c r="AZ42" s="15">
        <v>690</v>
      </c>
      <c r="BA42" s="15">
        <v>900</v>
      </c>
      <c r="BB42" s="15" t="s">
        <v>199</v>
      </c>
      <c r="BC42" s="15" t="s">
        <v>199</v>
      </c>
      <c r="BD42" s="15" t="s">
        <v>199</v>
      </c>
      <c r="BE42" s="1">
        <v>10000</v>
      </c>
      <c r="BF42" s="1">
        <v>10000</v>
      </c>
      <c r="BG42" s="1">
        <v>10000</v>
      </c>
      <c r="BH42" s="1" t="s">
        <v>193</v>
      </c>
      <c r="BI42" s="1">
        <v>10000</v>
      </c>
      <c r="BJ42" s="15"/>
      <c r="BK42" s="15"/>
      <c r="BL42" s="15"/>
      <c r="BM42" s="15"/>
      <c r="BN42" s="15" t="s">
        <v>188</v>
      </c>
      <c r="BO42" s="15"/>
      <c r="BP42" s="15"/>
      <c r="BQ42" s="15"/>
      <c r="BR42" s="15"/>
      <c r="BS42" s="2"/>
      <c r="BT42" s="15"/>
      <c r="BU42" s="15" t="s">
        <v>188</v>
      </c>
      <c r="BV42" s="15"/>
      <c r="BW42" s="15"/>
      <c r="BX42" s="15">
        <v>2</v>
      </c>
      <c r="BY42" s="15">
        <v>4</v>
      </c>
      <c r="BZ42" s="15">
        <v>3</v>
      </c>
      <c r="CA42" s="15" t="s">
        <v>208</v>
      </c>
      <c r="CB42" s="15"/>
      <c r="CC42" s="15" t="s">
        <v>188</v>
      </c>
      <c r="CD42" s="15" t="s">
        <v>188</v>
      </c>
      <c r="CE42" s="15"/>
      <c r="CF42" s="15"/>
      <c r="CG42" s="15"/>
      <c r="CH42" s="15" t="s">
        <v>188</v>
      </c>
      <c r="CI42" s="15" t="s">
        <v>188</v>
      </c>
      <c r="CJ42" s="15"/>
      <c r="CK42" s="15" t="s">
        <v>188</v>
      </c>
      <c r="CL42" s="15"/>
      <c r="CM42" s="15"/>
      <c r="CN42" s="15"/>
      <c r="CO42" s="15"/>
      <c r="CP42" s="15" t="s">
        <v>193</v>
      </c>
      <c r="CQ42" s="15" t="s">
        <v>209</v>
      </c>
      <c r="CR42" s="15"/>
      <c r="CS42" s="15" t="s">
        <v>188</v>
      </c>
      <c r="CT42" s="15"/>
      <c r="CU42" s="2"/>
      <c r="CV42" s="15"/>
      <c r="CW42" s="15"/>
      <c r="CX42" s="15"/>
      <c r="CY42" s="15" t="s">
        <v>188</v>
      </c>
      <c r="CZ42" s="3"/>
      <c r="DA42" s="49"/>
      <c r="DC42" s="18">
        <f t="shared" si="0"/>
        <v>0</v>
      </c>
      <c r="DD42" s="18">
        <f t="shared" si="1"/>
        <v>7</v>
      </c>
      <c r="DE42" s="18">
        <f t="shared" si="2"/>
        <v>2012</v>
      </c>
    </row>
    <row r="43" spans="1:109" x14ac:dyDescent="0.25">
      <c r="A43" s="59" t="s">
        <v>1318</v>
      </c>
      <c r="B43" s="103">
        <v>41540</v>
      </c>
      <c r="C43" s="105" t="s">
        <v>1576</v>
      </c>
      <c r="D43" s="51" t="s">
        <v>279</v>
      </c>
      <c r="E43" s="7"/>
      <c r="F43" s="7"/>
      <c r="G43" s="7"/>
      <c r="H43" s="7" t="s">
        <v>188</v>
      </c>
      <c r="I43" s="7">
        <v>25</v>
      </c>
      <c r="J43" s="7" t="s">
        <v>189</v>
      </c>
      <c r="K43" s="7" t="s">
        <v>190</v>
      </c>
      <c r="L43" s="7" t="s">
        <v>395</v>
      </c>
      <c r="M43" s="52" t="s">
        <v>1022</v>
      </c>
      <c r="N43" s="7" t="s">
        <v>1085</v>
      </c>
      <c r="O43" s="7">
        <v>1</v>
      </c>
      <c r="P43" s="7"/>
      <c r="Q43" s="7"/>
      <c r="R43" s="7" t="s">
        <v>188</v>
      </c>
      <c r="S43" s="7"/>
      <c r="T43" s="7"/>
      <c r="U43" s="7" t="s">
        <v>188</v>
      </c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>
        <v>2000</v>
      </c>
      <c r="AI43" s="13">
        <v>1500000</v>
      </c>
      <c r="AJ43" s="7"/>
      <c r="AK43" s="7"/>
      <c r="AL43" s="7" t="s">
        <v>188</v>
      </c>
      <c r="AM43" s="7"/>
      <c r="AN43" s="7"/>
      <c r="AO43" s="7" t="s">
        <v>188</v>
      </c>
      <c r="AP43" s="7"/>
      <c r="AQ43" s="7"/>
      <c r="AR43" s="7"/>
      <c r="AS43" s="7"/>
      <c r="AT43" s="7" t="s">
        <v>390</v>
      </c>
      <c r="AU43" s="13">
        <v>3000</v>
      </c>
      <c r="AV43" s="53">
        <v>0.1</v>
      </c>
      <c r="AW43" s="7">
        <v>3</v>
      </c>
      <c r="AX43" s="7">
        <v>2.7</v>
      </c>
      <c r="AY43" s="7">
        <v>2</v>
      </c>
      <c r="AZ43" s="7">
        <v>500</v>
      </c>
      <c r="BA43" s="7">
        <v>1500</v>
      </c>
      <c r="BB43" s="7" t="s">
        <v>188</v>
      </c>
      <c r="BC43" s="7" t="s">
        <v>199</v>
      </c>
      <c r="BD43" s="7" t="s">
        <v>199</v>
      </c>
      <c r="BE43" s="13">
        <v>3000</v>
      </c>
      <c r="BF43" s="13">
        <v>7500</v>
      </c>
      <c r="BG43" s="13">
        <v>10000</v>
      </c>
      <c r="BH43" s="13">
        <v>120000</v>
      </c>
      <c r="BI43" s="13">
        <v>10000</v>
      </c>
      <c r="BJ43" s="7"/>
      <c r="BK43" s="7"/>
      <c r="BL43" s="7"/>
      <c r="BM43" s="7" t="s">
        <v>188</v>
      </c>
      <c r="BN43" s="7"/>
      <c r="BO43" s="7"/>
      <c r="BP43" s="7"/>
      <c r="BQ43" s="7"/>
      <c r="BR43" s="7"/>
      <c r="BS43" s="92"/>
      <c r="BT43" s="7"/>
      <c r="BU43" s="7"/>
      <c r="BV43" s="7" t="s">
        <v>188</v>
      </c>
      <c r="BW43" s="7"/>
      <c r="BX43" s="7">
        <v>2</v>
      </c>
      <c r="BY43" s="7">
        <v>1</v>
      </c>
      <c r="BZ43" s="7">
        <v>3</v>
      </c>
      <c r="CA43" s="7"/>
      <c r="CB43" s="7" t="s">
        <v>188</v>
      </c>
      <c r="CC43" s="7"/>
      <c r="CD43" s="7"/>
      <c r="CE43" s="7"/>
      <c r="CF43" s="7"/>
      <c r="CG43" s="7"/>
      <c r="CH43" s="7"/>
      <c r="CI43" s="7"/>
      <c r="CJ43" s="7"/>
      <c r="CK43" s="7" t="s">
        <v>188</v>
      </c>
      <c r="CL43" s="7"/>
      <c r="CM43" s="7"/>
      <c r="CN43" s="7"/>
      <c r="CO43" s="7"/>
      <c r="CP43" s="7" t="s">
        <v>193</v>
      </c>
      <c r="CQ43" s="7" t="s">
        <v>209</v>
      </c>
      <c r="CR43" s="7" t="s">
        <v>188</v>
      </c>
      <c r="CS43" s="7"/>
      <c r="CT43" s="7"/>
      <c r="CU43" s="7"/>
      <c r="CV43" s="7" t="s">
        <v>188</v>
      </c>
      <c r="CW43" s="7" t="s">
        <v>270</v>
      </c>
      <c r="CX43" s="7"/>
      <c r="CY43" s="7"/>
      <c r="CZ43" s="54"/>
      <c r="DA43" s="49"/>
      <c r="DC43" s="18">
        <f t="shared" si="0"/>
        <v>0</v>
      </c>
      <c r="DD43" s="18">
        <f t="shared" si="1"/>
        <v>7</v>
      </c>
      <c r="DE43" s="18">
        <f t="shared" si="2"/>
        <v>2000</v>
      </c>
    </row>
    <row r="44" spans="1:109" x14ac:dyDescent="0.25">
      <c r="A44" s="59" t="s">
        <v>1318</v>
      </c>
      <c r="B44" s="103">
        <v>41540</v>
      </c>
      <c r="C44" s="105" t="s">
        <v>1576</v>
      </c>
      <c r="D44" s="14" t="s">
        <v>280</v>
      </c>
      <c r="E44" s="15"/>
      <c r="F44" s="15"/>
      <c r="G44" s="15" t="s">
        <v>188</v>
      </c>
      <c r="H44" s="15"/>
      <c r="I44" s="15">
        <v>56</v>
      </c>
      <c r="J44" s="15" t="s">
        <v>189</v>
      </c>
      <c r="K44" s="15" t="s">
        <v>190</v>
      </c>
      <c r="L44" s="15" t="s">
        <v>391</v>
      </c>
      <c r="M44" s="15" t="s">
        <v>1023</v>
      </c>
      <c r="N44" s="15" t="s">
        <v>1084</v>
      </c>
      <c r="O44" s="15">
        <v>37</v>
      </c>
      <c r="P44" s="15"/>
      <c r="Q44" s="15"/>
      <c r="R44" s="15"/>
      <c r="S44" s="15" t="s">
        <v>188</v>
      </c>
      <c r="T44" s="15"/>
      <c r="U44" s="15"/>
      <c r="V44" s="15" t="s">
        <v>188</v>
      </c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>
        <v>2005</v>
      </c>
      <c r="AI44" s="1">
        <v>1100000</v>
      </c>
      <c r="AJ44" s="15"/>
      <c r="AK44" s="15"/>
      <c r="AL44" s="15" t="s">
        <v>188</v>
      </c>
      <c r="AM44" s="15"/>
      <c r="AN44" s="15"/>
      <c r="AO44" s="15"/>
      <c r="AP44" s="15" t="s">
        <v>188</v>
      </c>
      <c r="AQ44" s="15"/>
      <c r="AR44" s="15"/>
      <c r="AS44" s="15"/>
      <c r="AT44" s="15" t="s">
        <v>322</v>
      </c>
      <c r="AU44" s="1">
        <v>10000</v>
      </c>
      <c r="AV44" s="48">
        <v>0.5</v>
      </c>
      <c r="AW44" s="15">
        <v>2.8</v>
      </c>
      <c r="AX44" s="15">
        <v>2.2000000000000002</v>
      </c>
      <c r="AY44" s="15">
        <v>2</v>
      </c>
      <c r="AZ44" s="15">
        <v>640</v>
      </c>
      <c r="BA44" s="15">
        <v>1600</v>
      </c>
      <c r="BB44" s="15" t="s">
        <v>188</v>
      </c>
      <c r="BC44" s="15" t="s">
        <v>188</v>
      </c>
      <c r="BD44" s="15" t="s">
        <v>199</v>
      </c>
      <c r="BE44" s="1">
        <v>4000</v>
      </c>
      <c r="BF44" s="1">
        <v>20000</v>
      </c>
      <c r="BG44" s="1">
        <v>30000</v>
      </c>
      <c r="BH44" s="1">
        <v>120000</v>
      </c>
      <c r="BI44" s="1">
        <v>20000</v>
      </c>
      <c r="BJ44" s="15"/>
      <c r="BK44" s="15"/>
      <c r="BL44" s="15"/>
      <c r="BM44" s="15"/>
      <c r="BN44" s="15"/>
      <c r="BO44" s="15"/>
      <c r="BP44" s="15"/>
      <c r="BQ44" s="15" t="s">
        <v>188</v>
      </c>
      <c r="BR44" s="15"/>
      <c r="BS44" s="2"/>
      <c r="BT44" s="15"/>
      <c r="BU44" s="15"/>
      <c r="BV44" s="15" t="s">
        <v>188</v>
      </c>
      <c r="BW44" s="15"/>
      <c r="BX44" s="15">
        <v>3</v>
      </c>
      <c r="BY44" s="15">
        <v>2</v>
      </c>
      <c r="BZ44" s="15">
        <v>1</v>
      </c>
      <c r="CA44" s="15"/>
      <c r="CB44" s="15"/>
      <c r="CC44" s="15" t="s">
        <v>188</v>
      </c>
      <c r="CD44" s="15" t="s">
        <v>188</v>
      </c>
      <c r="CE44" s="15" t="s">
        <v>188</v>
      </c>
      <c r="CF44" s="15"/>
      <c r="CG44" s="15"/>
      <c r="CH44" s="15"/>
      <c r="CI44" s="15"/>
      <c r="CJ44" s="15"/>
      <c r="CK44" s="15" t="s">
        <v>188</v>
      </c>
      <c r="CL44" s="15"/>
      <c r="CM44" s="15"/>
      <c r="CN44" s="15"/>
      <c r="CO44" s="15"/>
      <c r="CP44" s="15" t="s">
        <v>306</v>
      </c>
      <c r="CQ44" s="15" t="s">
        <v>281</v>
      </c>
      <c r="CR44" s="15" t="s">
        <v>188</v>
      </c>
      <c r="CS44" s="15"/>
      <c r="CT44" s="15"/>
      <c r="CU44" s="15"/>
      <c r="CV44" s="15"/>
      <c r="CW44" s="15"/>
      <c r="CX44" s="15" t="s">
        <v>188</v>
      </c>
      <c r="CY44" s="15" t="s">
        <v>188</v>
      </c>
      <c r="CZ44" s="3"/>
      <c r="DA44" s="49"/>
      <c r="DC44" s="18">
        <f t="shared" si="0"/>
        <v>0</v>
      </c>
      <c r="DD44" s="18">
        <f t="shared" si="1"/>
        <v>3</v>
      </c>
      <c r="DE44" s="18">
        <f t="shared" si="2"/>
        <v>2005</v>
      </c>
    </row>
    <row r="45" spans="1:109" x14ac:dyDescent="0.25">
      <c r="A45" s="59" t="s">
        <v>1318</v>
      </c>
      <c r="B45" s="103">
        <v>41540</v>
      </c>
      <c r="C45" s="105" t="s">
        <v>1576</v>
      </c>
      <c r="D45" s="14" t="s">
        <v>283</v>
      </c>
      <c r="E45" s="15" t="s">
        <v>188</v>
      </c>
      <c r="F45" s="15"/>
      <c r="G45" s="15"/>
      <c r="H45" s="15"/>
      <c r="I45" s="15">
        <v>26</v>
      </c>
      <c r="J45" s="15" t="s">
        <v>189</v>
      </c>
      <c r="K45" s="15" t="s">
        <v>190</v>
      </c>
      <c r="L45" s="15" t="s">
        <v>392</v>
      </c>
      <c r="M45" s="50" t="s">
        <v>1024</v>
      </c>
      <c r="N45" s="15" t="s">
        <v>1142</v>
      </c>
      <c r="O45" s="15">
        <v>8</v>
      </c>
      <c r="P45" s="15"/>
      <c r="Q45" s="15"/>
      <c r="R45" s="15"/>
      <c r="S45" s="15" t="s">
        <v>188</v>
      </c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 t="s">
        <v>188</v>
      </c>
      <c r="AG45" s="15"/>
      <c r="AH45" s="15">
        <v>1999</v>
      </c>
      <c r="AI45" s="1">
        <v>1560000</v>
      </c>
      <c r="AJ45" s="15"/>
      <c r="AK45" s="15"/>
      <c r="AL45" s="15" t="s">
        <v>188</v>
      </c>
      <c r="AM45" s="15"/>
      <c r="AN45" s="15"/>
      <c r="AO45" s="15"/>
      <c r="AP45" s="15" t="s">
        <v>188</v>
      </c>
      <c r="AQ45" s="15"/>
      <c r="AR45" s="15"/>
      <c r="AS45" s="15"/>
      <c r="AT45" s="15" t="s">
        <v>322</v>
      </c>
      <c r="AU45" s="1">
        <v>8500</v>
      </c>
      <c r="AV45" s="48">
        <v>0.2</v>
      </c>
      <c r="AW45" s="15">
        <v>2.7</v>
      </c>
      <c r="AX45" s="15">
        <v>2.2000000000000002</v>
      </c>
      <c r="AY45" s="15">
        <v>2</v>
      </c>
      <c r="AZ45" s="15">
        <v>560</v>
      </c>
      <c r="BA45" s="15">
        <v>1400</v>
      </c>
      <c r="BB45" s="15" t="s">
        <v>188</v>
      </c>
      <c r="BC45" s="15" t="s">
        <v>199</v>
      </c>
      <c r="BD45" s="15" t="s">
        <v>199</v>
      </c>
      <c r="BE45" s="1">
        <v>15000</v>
      </c>
      <c r="BF45" s="1">
        <v>30000</v>
      </c>
      <c r="BG45" s="1">
        <v>30000</v>
      </c>
      <c r="BH45" s="1">
        <v>100000</v>
      </c>
      <c r="BI45" s="1">
        <v>30000</v>
      </c>
      <c r="BJ45" s="15"/>
      <c r="BK45" s="15"/>
      <c r="BL45" s="15"/>
      <c r="BM45" s="15"/>
      <c r="BN45" s="15"/>
      <c r="BO45" s="15" t="s">
        <v>188</v>
      </c>
      <c r="BP45" s="15"/>
      <c r="BQ45" s="15"/>
      <c r="BR45" s="15"/>
      <c r="BS45" s="2"/>
      <c r="BT45" s="15"/>
      <c r="BU45" s="15" t="s">
        <v>188</v>
      </c>
      <c r="BV45" s="15"/>
      <c r="BW45" s="15"/>
      <c r="BX45" s="15">
        <v>2</v>
      </c>
      <c r="BY45" s="15">
        <v>1</v>
      </c>
      <c r="BZ45" s="15">
        <v>3</v>
      </c>
      <c r="CA45" s="15"/>
      <c r="CB45" s="15" t="s">
        <v>188</v>
      </c>
      <c r="CC45" s="15"/>
      <c r="CD45" s="15"/>
      <c r="CE45" s="15"/>
      <c r="CF45" s="15"/>
      <c r="CG45" s="15"/>
      <c r="CH45" s="15"/>
      <c r="CI45" s="15"/>
      <c r="CJ45" s="15"/>
      <c r="CK45" s="15" t="s">
        <v>188</v>
      </c>
      <c r="CL45" s="15"/>
      <c r="CM45" s="15"/>
      <c r="CN45" s="15"/>
      <c r="CO45" s="15"/>
      <c r="CP45" s="15" t="s">
        <v>193</v>
      </c>
      <c r="CQ45" s="15" t="s">
        <v>209</v>
      </c>
      <c r="CR45" s="15"/>
      <c r="CS45" s="15"/>
      <c r="CT45" s="15" t="s">
        <v>188</v>
      </c>
      <c r="CU45" s="15"/>
      <c r="CV45" s="15"/>
      <c r="CW45" s="15"/>
      <c r="CX45" s="15" t="s">
        <v>188</v>
      </c>
      <c r="CY45" s="15" t="s">
        <v>188</v>
      </c>
      <c r="CZ45" s="3"/>
      <c r="DA45" s="49"/>
      <c r="DC45" s="18">
        <f t="shared" si="0"/>
        <v>0</v>
      </c>
      <c r="DD45" s="18">
        <f t="shared" si="1"/>
        <v>1</v>
      </c>
      <c r="DE45" s="18">
        <f t="shared" si="2"/>
        <v>1999</v>
      </c>
    </row>
    <row r="46" spans="1:109" x14ac:dyDescent="0.25">
      <c r="A46" s="59" t="s">
        <v>1318</v>
      </c>
      <c r="B46" s="103">
        <v>41540</v>
      </c>
      <c r="C46" s="105" t="s">
        <v>1576</v>
      </c>
      <c r="D46" s="14" t="s">
        <v>284</v>
      </c>
      <c r="E46" s="15" t="s">
        <v>188</v>
      </c>
      <c r="F46" s="15"/>
      <c r="G46" s="15"/>
      <c r="H46" s="15"/>
      <c r="I46" s="15">
        <v>60</v>
      </c>
      <c r="J46" s="15" t="s">
        <v>189</v>
      </c>
      <c r="K46" s="15" t="s">
        <v>190</v>
      </c>
      <c r="L46" s="15" t="s">
        <v>393</v>
      </c>
      <c r="M46" s="50" t="s">
        <v>1025</v>
      </c>
      <c r="N46" s="15" t="s">
        <v>1084</v>
      </c>
      <c r="O46" s="15">
        <v>30</v>
      </c>
      <c r="P46" s="15"/>
      <c r="Q46" s="15"/>
      <c r="R46" s="15"/>
      <c r="S46" s="15" t="s">
        <v>188</v>
      </c>
      <c r="T46" s="15"/>
      <c r="U46" s="15" t="s">
        <v>188</v>
      </c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>
        <v>1982</v>
      </c>
      <c r="AI46" s="1">
        <v>2000000</v>
      </c>
      <c r="AJ46" s="15"/>
      <c r="AK46" s="15"/>
      <c r="AL46" s="15" t="s">
        <v>188</v>
      </c>
      <c r="AM46" s="15"/>
      <c r="AN46" s="15"/>
      <c r="AO46" s="15"/>
      <c r="AP46" s="15"/>
      <c r="AQ46" s="15" t="s">
        <v>188</v>
      </c>
      <c r="AR46" s="15"/>
      <c r="AS46" s="15">
        <v>1995</v>
      </c>
      <c r="AT46" s="15" t="s">
        <v>285</v>
      </c>
      <c r="AU46" s="1">
        <v>7500</v>
      </c>
      <c r="AV46" s="48">
        <v>0.5</v>
      </c>
      <c r="AW46" s="15">
        <v>2.2000000000000002</v>
      </c>
      <c r="AX46" s="15">
        <v>1.8</v>
      </c>
      <c r="AY46" s="15">
        <v>2</v>
      </c>
      <c r="AZ46" s="15">
        <v>600</v>
      </c>
      <c r="BA46" s="15">
        <v>1200</v>
      </c>
      <c r="BB46" s="15" t="s">
        <v>188</v>
      </c>
      <c r="BC46" s="15" t="s">
        <v>199</v>
      </c>
      <c r="BD46" s="15" t="s">
        <v>199</v>
      </c>
      <c r="BE46" s="1">
        <v>8000</v>
      </c>
      <c r="BF46" s="1">
        <v>6000</v>
      </c>
      <c r="BG46" s="1">
        <v>15000</v>
      </c>
      <c r="BH46" s="1">
        <v>100000</v>
      </c>
      <c r="BI46" s="1">
        <v>15000</v>
      </c>
      <c r="BJ46" s="15"/>
      <c r="BK46" s="15" t="s">
        <v>188</v>
      </c>
      <c r="BL46" s="15"/>
      <c r="BM46" s="15"/>
      <c r="BN46" s="15"/>
      <c r="BO46" s="15"/>
      <c r="BP46" s="15"/>
      <c r="BQ46" s="15"/>
      <c r="BR46" s="15"/>
      <c r="BS46" s="2"/>
      <c r="BT46" s="15"/>
      <c r="BU46" s="15"/>
      <c r="BV46" s="15"/>
      <c r="BW46" s="15" t="s">
        <v>188</v>
      </c>
      <c r="BX46" s="15">
        <v>1</v>
      </c>
      <c r="BY46" s="15">
        <v>2</v>
      </c>
      <c r="BZ46" s="15">
        <v>3</v>
      </c>
      <c r="CA46" s="15"/>
      <c r="CB46" s="15" t="s">
        <v>188</v>
      </c>
      <c r="CC46" s="15"/>
      <c r="CD46" s="15"/>
      <c r="CE46" s="15"/>
      <c r="CF46" s="15"/>
      <c r="CG46" s="15"/>
      <c r="CH46" s="15"/>
      <c r="CI46" s="15"/>
      <c r="CJ46" s="15"/>
      <c r="CK46" s="15" t="s">
        <v>188</v>
      </c>
      <c r="CL46" s="15"/>
      <c r="CM46" s="15"/>
      <c r="CN46" s="15"/>
      <c r="CO46" s="15"/>
      <c r="CP46" s="15" t="s">
        <v>193</v>
      </c>
      <c r="CQ46" s="15" t="s">
        <v>286</v>
      </c>
      <c r="CR46" s="15"/>
      <c r="CS46" s="15"/>
      <c r="CT46" s="15" t="s">
        <v>188</v>
      </c>
      <c r="CU46" s="15"/>
      <c r="CV46" s="15"/>
      <c r="CW46" s="15"/>
      <c r="CX46" s="15"/>
      <c r="CY46" s="15" t="s">
        <v>188</v>
      </c>
      <c r="CZ46" s="3"/>
      <c r="DA46" s="49"/>
      <c r="DC46" s="18">
        <f t="shared" si="0"/>
        <v>0</v>
      </c>
      <c r="DD46" s="18">
        <f t="shared" si="1"/>
        <v>1</v>
      </c>
      <c r="DE46" s="18">
        <f t="shared" si="2"/>
        <v>1995</v>
      </c>
    </row>
    <row r="47" spans="1:109" x14ac:dyDescent="0.25">
      <c r="A47" s="59" t="s">
        <v>1318</v>
      </c>
      <c r="B47" s="103">
        <v>41540</v>
      </c>
      <c r="C47" s="105" t="s">
        <v>1576</v>
      </c>
      <c r="D47" s="14" t="s">
        <v>287</v>
      </c>
      <c r="E47" s="15"/>
      <c r="F47" s="15"/>
      <c r="G47" s="15" t="s">
        <v>188</v>
      </c>
      <c r="H47" s="15"/>
      <c r="I47" s="15">
        <v>39</v>
      </c>
      <c r="J47" s="15" t="s">
        <v>189</v>
      </c>
      <c r="K47" s="15" t="s">
        <v>190</v>
      </c>
      <c r="L47" s="15" t="s">
        <v>387</v>
      </c>
      <c r="M47" s="15" t="s">
        <v>1017</v>
      </c>
      <c r="N47" s="15" t="s">
        <v>1085</v>
      </c>
      <c r="O47" s="15">
        <v>22</v>
      </c>
      <c r="P47" s="15"/>
      <c r="Q47" s="15"/>
      <c r="R47" s="15"/>
      <c r="S47" s="15" t="s">
        <v>188</v>
      </c>
      <c r="T47" s="15"/>
      <c r="U47" s="15" t="s">
        <v>188</v>
      </c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>
        <v>2001</v>
      </c>
      <c r="AI47" s="1">
        <v>1750000</v>
      </c>
      <c r="AJ47" s="15"/>
      <c r="AK47" s="15"/>
      <c r="AL47" s="15" t="s">
        <v>188</v>
      </c>
      <c r="AM47" s="15"/>
      <c r="AN47" s="15"/>
      <c r="AO47" s="15"/>
      <c r="AP47" s="15" t="s">
        <v>188</v>
      </c>
      <c r="AQ47" s="15"/>
      <c r="AR47" s="15"/>
      <c r="AS47" s="15"/>
      <c r="AT47" s="15" t="s">
        <v>322</v>
      </c>
      <c r="AU47" s="1">
        <v>10000</v>
      </c>
      <c r="AV47" s="48">
        <v>0.3</v>
      </c>
      <c r="AW47" s="15">
        <v>2.7</v>
      </c>
      <c r="AX47" s="15">
        <v>1.7</v>
      </c>
      <c r="AY47" s="15">
        <v>2</v>
      </c>
      <c r="AZ47" s="15">
        <v>780</v>
      </c>
      <c r="BA47" s="15">
        <v>1800</v>
      </c>
      <c r="BB47" s="15" t="s">
        <v>199</v>
      </c>
      <c r="BC47" s="15" t="s">
        <v>188</v>
      </c>
      <c r="BD47" s="15" t="s">
        <v>199</v>
      </c>
      <c r="BE47" s="1">
        <v>10000</v>
      </c>
      <c r="BF47" s="1">
        <v>12000</v>
      </c>
      <c r="BG47" s="1">
        <v>10000</v>
      </c>
      <c r="BH47" s="1">
        <v>160000</v>
      </c>
      <c r="BI47" s="1">
        <v>10000</v>
      </c>
      <c r="BJ47" s="15"/>
      <c r="BK47" s="15"/>
      <c r="BL47" s="15"/>
      <c r="BM47" s="15"/>
      <c r="BN47" s="15"/>
      <c r="BO47" s="15"/>
      <c r="BP47" s="15"/>
      <c r="BQ47" s="15"/>
      <c r="BR47" s="15"/>
      <c r="BS47" s="2" t="s">
        <v>1359</v>
      </c>
      <c r="BT47" s="15"/>
      <c r="BU47" s="15"/>
      <c r="BV47" s="15" t="s">
        <v>188</v>
      </c>
      <c r="BW47" s="15"/>
      <c r="BX47" s="15">
        <v>2</v>
      </c>
      <c r="BY47" s="15">
        <v>3</v>
      </c>
      <c r="BZ47" s="15">
        <v>1</v>
      </c>
      <c r="CA47" s="15"/>
      <c r="CB47" s="15"/>
      <c r="CC47" s="15" t="s">
        <v>188</v>
      </c>
      <c r="CD47" s="15"/>
      <c r="CE47" s="15" t="s">
        <v>188</v>
      </c>
      <c r="CF47" s="15"/>
      <c r="CG47" s="15"/>
      <c r="CH47" s="15"/>
      <c r="CI47" s="15"/>
      <c r="CJ47" s="15"/>
      <c r="CK47" s="15" t="s">
        <v>188</v>
      </c>
      <c r="CL47" s="15"/>
      <c r="CM47" s="15"/>
      <c r="CN47" s="15"/>
      <c r="CO47" s="15"/>
      <c r="CP47" s="15" t="s">
        <v>193</v>
      </c>
      <c r="CQ47" s="15" t="s">
        <v>286</v>
      </c>
      <c r="CR47" s="15"/>
      <c r="CS47" s="15" t="s">
        <v>188</v>
      </c>
      <c r="CT47" s="15" t="s">
        <v>188</v>
      </c>
      <c r="CU47" s="15"/>
      <c r="CV47" s="15"/>
      <c r="CW47" s="15"/>
      <c r="CX47" s="15"/>
      <c r="CY47" s="15" t="s">
        <v>188</v>
      </c>
      <c r="CZ47" s="3"/>
      <c r="DA47" s="49"/>
      <c r="DC47" s="18">
        <f t="shared" si="0"/>
        <v>0</v>
      </c>
      <c r="DD47" s="18">
        <f t="shared" si="1"/>
        <v>3</v>
      </c>
      <c r="DE47" s="18">
        <f t="shared" si="2"/>
        <v>2001</v>
      </c>
    </row>
    <row r="48" spans="1:109" x14ac:dyDescent="0.25">
      <c r="A48" s="59" t="s">
        <v>1318</v>
      </c>
      <c r="B48" s="103">
        <v>41540</v>
      </c>
      <c r="C48" s="105" t="s">
        <v>1576</v>
      </c>
      <c r="D48" s="14" t="s">
        <v>288</v>
      </c>
      <c r="E48" s="15"/>
      <c r="F48" s="15"/>
      <c r="G48" s="15" t="s">
        <v>188</v>
      </c>
      <c r="H48" s="15"/>
      <c r="I48" s="15">
        <v>30</v>
      </c>
      <c r="J48" s="15" t="s">
        <v>189</v>
      </c>
      <c r="K48" s="15" t="s">
        <v>214</v>
      </c>
      <c r="L48" s="15" t="s">
        <v>395</v>
      </c>
      <c r="M48" s="15" t="s">
        <v>1022</v>
      </c>
      <c r="N48" s="15" t="s">
        <v>1085</v>
      </c>
      <c r="O48" s="15">
        <v>8</v>
      </c>
      <c r="P48" s="15"/>
      <c r="Q48" s="15"/>
      <c r="R48" s="15"/>
      <c r="S48" s="15" t="s">
        <v>188</v>
      </c>
      <c r="T48" s="15"/>
      <c r="U48" s="15"/>
      <c r="V48" s="15"/>
      <c r="W48" s="15"/>
      <c r="X48" s="15"/>
      <c r="Y48" s="15" t="s">
        <v>188</v>
      </c>
      <c r="Z48" s="15"/>
      <c r="AA48" s="15"/>
      <c r="AB48" s="15"/>
      <c r="AC48" s="15"/>
      <c r="AD48" s="15"/>
      <c r="AE48" s="15"/>
      <c r="AF48" s="15"/>
      <c r="AG48" s="15"/>
      <c r="AH48" s="15">
        <v>2011</v>
      </c>
      <c r="AI48" s="1">
        <v>300000</v>
      </c>
      <c r="AJ48" s="15"/>
      <c r="AK48" s="15"/>
      <c r="AL48" s="15" t="s">
        <v>188</v>
      </c>
      <c r="AM48" s="15"/>
      <c r="AN48" s="15"/>
      <c r="AO48" s="15"/>
      <c r="AP48" s="15" t="s">
        <v>188</v>
      </c>
      <c r="AQ48" s="15"/>
      <c r="AR48" s="15"/>
      <c r="AS48" s="15"/>
      <c r="AT48" s="15" t="s">
        <v>289</v>
      </c>
      <c r="AU48" s="1">
        <v>8000</v>
      </c>
      <c r="AV48" s="48">
        <v>0.5</v>
      </c>
      <c r="AW48" s="15">
        <v>3.2</v>
      </c>
      <c r="AX48" s="15">
        <v>3</v>
      </c>
      <c r="AY48" s="15">
        <v>1</v>
      </c>
      <c r="AZ48" s="15">
        <v>380</v>
      </c>
      <c r="BA48" s="15">
        <v>1000</v>
      </c>
      <c r="BB48" s="15" t="s">
        <v>199</v>
      </c>
      <c r="BC48" s="15" t="s">
        <v>199</v>
      </c>
      <c r="BD48" s="15" t="s">
        <v>199</v>
      </c>
      <c r="BE48" s="1">
        <v>10000</v>
      </c>
      <c r="BF48" s="1">
        <v>10000</v>
      </c>
      <c r="BG48" s="1">
        <v>10000</v>
      </c>
      <c r="BH48" s="1">
        <v>190000</v>
      </c>
      <c r="BI48" s="1">
        <v>10000</v>
      </c>
      <c r="BJ48" s="15"/>
      <c r="BK48" s="15"/>
      <c r="BL48" s="15"/>
      <c r="BM48" s="15"/>
      <c r="BN48" s="15"/>
      <c r="BO48" s="15"/>
      <c r="BP48" s="15"/>
      <c r="BQ48" s="15"/>
      <c r="BR48" s="15" t="s">
        <v>188</v>
      </c>
      <c r="BS48" s="2"/>
      <c r="BT48" s="15"/>
      <c r="BU48" s="15" t="s">
        <v>188</v>
      </c>
      <c r="BV48" s="15"/>
      <c r="BW48" s="15"/>
      <c r="BX48" s="15">
        <v>2</v>
      </c>
      <c r="BY48" s="15">
        <v>3</v>
      </c>
      <c r="BZ48" s="15">
        <v>1</v>
      </c>
      <c r="CA48" s="15"/>
      <c r="CB48" s="15" t="s">
        <v>188</v>
      </c>
      <c r="CC48" s="15"/>
      <c r="CD48" s="15"/>
      <c r="CE48" s="15"/>
      <c r="CF48" s="15"/>
      <c r="CG48" s="15"/>
      <c r="CH48" s="15"/>
      <c r="CI48" s="15"/>
      <c r="CJ48" s="15"/>
      <c r="CK48" s="15" t="s">
        <v>188</v>
      </c>
      <c r="CL48" s="15"/>
      <c r="CM48" s="15"/>
      <c r="CN48" s="15"/>
      <c r="CO48" s="15"/>
      <c r="CP48" s="15" t="s">
        <v>193</v>
      </c>
      <c r="CQ48" s="15" t="s">
        <v>290</v>
      </c>
      <c r="CR48" s="15"/>
      <c r="CS48" s="15"/>
      <c r="CT48" s="15" t="s">
        <v>188</v>
      </c>
      <c r="CU48" s="2" t="s">
        <v>291</v>
      </c>
      <c r="CV48" s="15"/>
      <c r="CW48" s="15"/>
      <c r="CX48" s="15" t="s">
        <v>188</v>
      </c>
      <c r="CY48" s="15" t="s">
        <v>188</v>
      </c>
      <c r="CZ48" s="3"/>
      <c r="DA48" s="49"/>
      <c r="DC48" s="18">
        <f t="shared" si="0"/>
        <v>0</v>
      </c>
      <c r="DD48" s="18">
        <f t="shared" si="1"/>
        <v>3</v>
      </c>
      <c r="DE48" s="18">
        <f t="shared" si="2"/>
        <v>2011</v>
      </c>
    </row>
    <row r="49" spans="1:109" x14ac:dyDescent="0.25">
      <c r="A49" s="59" t="s">
        <v>1318</v>
      </c>
      <c r="B49" s="103">
        <v>41540</v>
      </c>
      <c r="C49" s="105" t="s">
        <v>1576</v>
      </c>
      <c r="D49" s="14" t="s">
        <v>292</v>
      </c>
      <c r="E49" s="15"/>
      <c r="F49" s="15"/>
      <c r="G49" s="15" t="s">
        <v>188</v>
      </c>
      <c r="H49" s="15"/>
      <c r="I49" s="15">
        <v>28</v>
      </c>
      <c r="J49" s="15" t="s">
        <v>189</v>
      </c>
      <c r="K49" s="15" t="s">
        <v>214</v>
      </c>
      <c r="L49" s="15" t="s">
        <v>996</v>
      </c>
      <c r="M49" s="15" t="s">
        <v>1020</v>
      </c>
      <c r="N49" s="15" t="s">
        <v>1085</v>
      </c>
      <c r="O49" s="15">
        <v>4</v>
      </c>
      <c r="P49" s="15"/>
      <c r="Q49" s="15"/>
      <c r="R49" s="15"/>
      <c r="S49" s="15" t="s">
        <v>188</v>
      </c>
      <c r="T49" s="15"/>
      <c r="U49" s="15"/>
      <c r="V49" s="15"/>
      <c r="W49" s="15"/>
      <c r="X49" s="15"/>
      <c r="Y49" s="15"/>
      <c r="Z49" s="15"/>
      <c r="AA49" s="15"/>
      <c r="AB49" s="15" t="s">
        <v>188</v>
      </c>
      <c r="AC49" s="15"/>
      <c r="AD49" s="15"/>
      <c r="AE49" s="15"/>
      <c r="AF49" s="15"/>
      <c r="AG49" s="15"/>
      <c r="AH49" s="15">
        <v>1975</v>
      </c>
      <c r="AI49" s="1" t="s">
        <v>193</v>
      </c>
      <c r="AJ49" s="15"/>
      <c r="AK49" s="15"/>
      <c r="AL49" s="15" t="s">
        <v>188</v>
      </c>
      <c r="AM49" s="15"/>
      <c r="AN49" s="15"/>
      <c r="AO49" s="15"/>
      <c r="AP49" s="15"/>
      <c r="AQ49" s="15" t="s">
        <v>188</v>
      </c>
      <c r="AR49" s="15"/>
      <c r="AS49" s="15">
        <v>2000</v>
      </c>
      <c r="AT49" s="15" t="s">
        <v>322</v>
      </c>
      <c r="AU49" s="1">
        <v>6000</v>
      </c>
      <c r="AV49" s="48">
        <v>0.2</v>
      </c>
      <c r="AW49" s="15">
        <v>3.5</v>
      </c>
      <c r="AX49" s="15">
        <v>2.7</v>
      </c>
      <c r="AY49" s="15">
        <v>2</v>
      </c>
      <c r="AZ49" s="15">
        <v>360</v>
      </c>
      <c r="BA49" s="15">
        <v>900</v>
      </c>
      <c r="BB49" s="15" t="s">
        <v>199</v>
      </c>
      <c r="BC49" s="15" t="s">
        <v>188</v>
      </c>
      <c r="BD49" s="15" t="s">
        <v>199</v>
      </c>
      <c r="BE49" s="1">
        <v>16000</v>
      </c>
      <c r="BF49" s="1">
        <v>32000</v>
      </c>
      <c r="BG49" s="1">
        <v>36000</v>
      </c>
      <c r="BH49" s="1">
        <v>80000</v>
      </c>
      <c r="BI49" s="1">
        <v>36000</v>
      </c>
      <c r="BJ49" s="15"/>
      <c r="BK49" s="15"/>
      <c r="BL49" s="15"/>
      <c r="BM49" s="15"/>
      <c r="BN49" s="15"/>
      <c r="BO49" s="15"/>
      <c r="BP49" s="15"/>
      <c r="BQ49" s="15"/>
      <c r="BR49" s="15" t="s">
        <v>188</v>
      </c>
      <c r="BS49" s="2"/>
      <c r="BT49" s="15"/>
      <c r="BU49" s="15"/>
      <c r="BV49" s="15" t="s">
        <v>188</v>
      </c>
      <c r="BW49" s="15"/>
      <c r="BX49" s="15">
        <v>2</v>
      </c>
      <c r="BY49" s="15">
        <v>3</v>
      </c>
      <c r="BZ49" s="15">
        <v>1</v>
      </c>
      <c r="CA49" s="15"/>
      <c r="CB49" s="15" t="s">
        <v>188</v>
      </c>
      <c r="CC49" s="15"/>
      <c r="CD49" s="15"/>
      <c r="CE49" s="15"/>
      <c r="CF49" s="15"/>
      <c r="CG49" s="15"/>
      <c r="CH49" s="15"/>
      <c r="CI49" s="15"/>
      <c r="CJ49" s="15"/>
      <c r="CK49" s="15" t="s">
        <v>188</v>
      </c>
      <c r="CL49" s="15"/>
      <c r="CM49" s="15"/>
      <c r="CN49" s="15"/>
      <c r="CO49" s="15"/>
      <c r="CP49" s="15" t="s">
        <v>193</v>
      </c>
      <c r="CQ49" s="15" t="s">
        <v>209</v>
      </c>
      <c r="CR49" s="15"/>
      <c r="CS49" s="15" t="s">
        <v>188</v>
      </c>
      <c r="CT49" s="15" t="s">
        <v>188</v>
      </c>
      <c r="CU49" s="15"/>
      <c r="CV49" s="15"/>
      <c r="CW49" s="15"/>
      <c r="CX49" s="15"/>
      <c r="CY49" s="15" t="s">
        <v>188</v>
      </c>
      <c r="CZ49" s="3"/>
      <c r="DA49" s="49"/>
      <c r="DC49" s="18">
        <f t="shared" si="0"/>
        <v>0</v>
      </c>
      <c r="DD49" s="18">
        <f t="shared" si="1"/>
        <v>3</v>
      </c>
      <c r="DE49" s="18">
        <f t="shared" si="2"/>
        <v>2000</v>
      </c>
    </row>
    <row r="50" spans="1:109" x14ac:dyDescent="0.25">
      <c r="A50" s="59" t="s">
        <v>1318</v>
      </c>
      <c r="B50" s="103">
        <v>41540</v>
      </c>
      <c r="C50" s="105" t="s">
        <v>1576</v>
      </c>
      <c r="D50" s="14" t="s">
        <v>293</v>
      </c>
      <c r="E50" s="15"/>
      <c r="F50" s="15"/>
      <c r="G50" s="15" t="s">
        <v>188</v>
      </c>
      <c r="H50" s="15"/>
      <c r="I50" s="15">
        <v>34</v>
      </c>
      <c r="J50" s="15" t="s">
        <v>189</v>
      </c>
      <c r="K50" s="15" t="s">
        <v>196</v>
      </c>
      <c r="L50" s="15" t="s">
        <v>386</v>
      </c>
      <c r="M50" s="15" t="s">
        <v>1017</v>
      </c>
      <c r="N50" s="15" t="s">
        <v>1085</v>
      </c>
      <c r="O50" s="15">
        <v>19</v>
      </c>
      <c r="P50" s="15"/>
      <c r="Q50" s="15"/>
      <c r="R50" s="15"/>
      <c r="S50" s="15" t="s">
        <v>188</v>
      </c>
      <c r="T50" s="15"/>
      <c r="U50" s="15" t="s">
        <v>188</v>
      </c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>
        <v>2000</v>
      </c>
      <c r="AI50" s="1">
        <v>1700000</v>
      </c>
      <c r="AJ50" s="15"/>
      <c r="AK50" s="15"/>
      <c r="AL50" s="15" t="s">
        <v>188</v>
      </c>
      <c r="AM50" s="15"/>
      <c r="AN50" s="15"/>
      <c r="AO50" s="15"/>
      <c r="AP50" s="15" t="s">
        <v>188</v>
      </c>
      <c r="AQ50" s="15"/>
      <c r="AR50" s="15"/>
      <c r="AS50" s="15"/>
      <c r="AT50" s="15" t="s">
        <v>266</v>
      </c>
      <c r="AU50" s="1">
        <v>10000</v>
      </c>
      <c r="AV50" s="48">
        <v>0.2</v>
      </c>
      <c r="AW50" s="15">
        <v>2.8</v>
      </c>
      <c r="AX50" s="15">
        <v>2</v>
      </c>
      <c r="AY50" s="15">
        <v>2</v>
      </c>
      <c r="AZ50" s="15">
        <v>800</v>
      </c>
      <c r="BA50" s="15">
        <v>2000</v>
      </c>
      <c r="BB50" s="15" t="s">
        <v>199</v>
      </c>
      <c r="BC50" s="15" t="s">
        <v>188</v>
      </c>
      <c r="BD50" s="15" t="s">
        <v>199</v>
      </c>
      <c r="BE50" s="1">
        <v>12000</v>
      </c>
      <c r="BF50" s="1">
        <v>60000</v>
      </c>
      <c r="BG50" s="1">
        <v>25000</v>
      </c>
      <c r="BH50" s="1">
        <v>190000</v>
      </c>
      <c r="BI50" s="1">
        <v>25000</v>
      </c>
      <c r="BJ50" s="15"/>
      <c r="BK50" s="15"/>
      <c r="BL50" s="15"/>
      <c r="BM50" s="15"/>
      <c r="BN50" s="15"/>
      <c r="BO50" s="15"/>
      <c r="BP50" s="15" t="s">
        <v>188</v>
      </c>
      <c r="BQ50" s="15"/>
      <c r="BR50" s="15"/>
      <c r="BS50" s="2"/>
      <c r="BT50" s="15"/>
      <c r="BU50" s="15" t="s">
        <v>188</v>
      </c>
      <c r="BV50" s="15"/>
      <c r="BW50" s="15"/>
      <c r="BX50" s="15">
        <v>2</v>
      </c>
      <c r="BY50" s="15">
        <v>3</v>
      </c>
      <c r="BZ50" s="15">
        <v>1</v>
      </c>
      <c r="CA50" s="15"/>
      <c r="CB50" s="15" t="s">
        <v>188</v>
      </c>
      <c r="CC50" s="15"/>
      <c r="CD50" s="15"/>
      <c r="CE50" s="15"/>
      <c r="CF50" s="15"/>
      <c r="CG50" s="15"/>
      <c r="CH50" s="15"/>
      <c r="CI50" s="15"/>
      <c r="CJ50" s="15"/>
      <c r="CK50" s="15"/>
      <c r="CL50" s="15" t="s">
        <v>188</v>
      </c>
      <c r="CM50" s="15" t="s">
        <v>188</v>
      </c>
      <c r="CN50" s="15" t="s">
        <v>201</v>
      </c>
      <c r="CO50" s="15"/>
      <c r="CP50" s="15" t="s">
        <v>193</v>
      </c>
      <c r="CQ50" s="15" t="s">
        <v>264</v>
      </c>
      <c r="CR50" s="15"/>
      <c r="CS50" s="15"/>
      <c r="CT50" s="15" t="s">
        <v>188</v>
      </c>
      <c r="CU50" s="15"/>
      <c r="CV50" s="15"/>
      <c r="CW50" s="15"/>
      <c r="CX50" s="15" t="s">
        <v>188</v>
      </c>
      <c r="CY50" s="15"/>
      <c r="CZ50" s="4" t="s">
        <v>324</v>
      </c>
      <c r="DA50" s="49"/>
      <c r="DC50" s="18">
        <f t="shared" si="0"/>
        <v>0</v>
      </c>
      <c r="DD50" s="18">
        <f t="shared" si="1"/>
        <v>3</v>
      </c>
      <c r="DE50" s="18">
        <f t="shared" si="2"/>
        <v>2000</v>
      </c>
    </row>
    <row r="51" spans="1:109" x14ac:dyDescent="0.25">
      <c r="A51" s="59" t="s">
        <v>1318</v>
      </c>
      <c r="B51" s="103">
        <v>41540</v>
      </c>
      <c r="C51" s="105" t="s">
        <v>1576</v>
      </c>
      <c r="D51" s="14" t="s">
        <v>294</v>
      </c>
      <c r="E51" s="15"/>
      <c r="F51" s="15"/>
      <c r="G51" s="15" t="s">
        <v>188</v>
      </c>
      <c r="H51" s="15"/>
      <c r="I51" s="15">
        <v>61</v>
      </c>
      <c r="J51" s="15" t="s">
        <v>189</v>
      </c>
      <c r="K51" s="15" t="s">
        <v>190</v>
      </c>
      <c r="L51" s="15" t="s">
        <v>228</v>
      </c>
      <c r="M51" s="15" t="s">
        <v>1010</v>
      </c>
      <c r="N51" s="15" t="s">
        <v>1084</v>
      </c>
      <c r="O51" s="15">
        <v>33</v>
      </c>
      <c r="P51" s="15" t="s">
        <v>188</v>
      </c>
      <c r="Q51" s="15"/>
      <c r="R51" s="15"/>
      <c r="S51" s="15"/>
      <c r="T51" s="15"/>
      <c r="U51" s="15"/>
      <c r="V51" s="15"/>
      <c r="W51" s="15"/>
      <c r="X51" s="15" t="s">
        <v>188</v>
      </c>
      <c r="Y51" s="15"/>
      <c r="Z51" s="15"/>
      <c r="AA51" s="15"/>
      <c r="AB51" s="15"/>
      <c r="AC51" s="15"/>
      <c r="AD51" s="15"/>
      <c r="AE51" s="15"/>
      <c r="AF51" s="15"/>
      <c r="AG51" s="15"/>
      <c r="AH51" s="15">
        <v>2005</v>
      </c>
      <c r="AI51" s="1">
        <v>1500000</v>
      </c>
      <c r="AJ51" s="15"/>
      <c r="AK51" s="15"/>
      <c r="AL51" s="15" t="s">
        <v>188</v>
      </c>
      <c r="AM51" s="15"/>
      <c r="AN51" s="15"/>
      <c r="AO51" s="15"/>
      <c r="AP51" s="15" t="s">
        <v>188</v>
      </c>
      <c r="AQ51" s="15"/>
      <c r="AR51" s="15"/>
      <c r="AS51" s="15"/>
      <c r="AT51" s="15" t="s">
        <v>193</v>
      </c>
      <c r="AU51" s="1">
        <v>16000</v>
      </c>
      <c r="AV51" s="48">
        <v>0.5</v>
      </c>
      <c r="AW51" s="15">
        <v>3.1</v>
      </c>
      <c r="AX51" s="15">
        <v>2.8</v>
      </c>
      <c r="AY51" s="15">
        <v>2</v>
      </c>
      <c r="AZ51" s="15">
        <v>400</v>
      </c>
      <c r="BA51" s="15">
        <v>1200</v>
      </c>
      <c r="BB51" s="15" t="s">
        <v>199</v>
      </c>
      <c r="BC51" s="15" t="s">
        <v>188</v>
      </c>
      <c r="BD51" s="15" t="s">
        <v>188</v>
      </c>
      <c r="BE51" s="1">
        <v>10000</v>
      </c>
      <c r="BF51" s="1">
        <v>30000</v>
      </c>
      <c r="BG51" s="1">
        <v>30000</v>
      </c>
      <c r="BH51" s="1">
        <v>125000</v>
      </c>
      <c r="BI51" s="1">
        <v>30000</v>
      </c>
      <c r="BJ51" s="15"/>
      <c r="BK51" s="15"/>
      <c r="BL51" s="15"/>
      <c r="BM51" s="15"/>
      <c r="BN51" s="15"/>
      <c r="BO51" s="15"/>
      <c r="BP51" s="15"/>
      <c r="BQ51" s="15"/>
      <c r="BR51" s="15" t="s">
        <v>188</v>
      </c>
      <c r="BS51" s="2"/>
      <c r="BT51" s="15"/>
      <c r="BU51" s="15" t="s">
        <v>188</v>
      </c>
      <c r="BV51" s="15"/>
      <c r="BW51" s="15"/>
      <c r="BX51" s="15">
        <v>3</v>
      </c>
      <c r="BY51" s="15">
        <v>1</v>
      </c>
      <c r="BZ51" s="15">
        <v>2</v>
      </c>
      <c r="CA51" s="15"/>
      <c r="CB51" s="15" t="s">
        <v>188</v>
      </c>
      <c r="CC51" s="15"/>
      <c r="CD51" s="15"/>
      <c r="CE51" s="15"/>
      <c r="CF51" s="15"/>
      <c r="CG51" s="15"/>
      <c r="CH51" s="15"/>
      <c r="CI51" s="15"/>
      <c r="CJ51" s="15"/>
      <c r="CK51" s="15" t="s">
        <v>188</v>
      </c>
      <c r="CL51" s="15"/>
      <c r="CM51" s="15"/>
      <c r="CN51" s="15"/>
      <c r="CO51" s="15"/>
      <c r="CP51" s="15" t="s">
        <v>193</v>
      </c>
      <c r="CQ51" s="15" t="s">
        <v>193</v>
      </c>
      <c r="CR51" s="15"/>
      <c r="CS51" s="15"/>
      <c r="CT51" s="15" t="s">
        <v>188</v>
      </c>
      <c r="CU51" s="2"/>
      <c r="CV51" s="15"/>
      <c r="CW51" s="15"/>
      <c r="CX51" s="15"/>
      <c r="CY51" s="15" t="s">
        <v>188</v>
      </c>
      <c r="CZ51" s="3"/>
      <c r="DA51" s="49"/>
      <c r="DC51" s="18">
        <f t="shared" si="0"/>
        <v>0</v>
      </c>
      <c r="DD51" s="18">
        <f t="shared" si="1"/>
        <v>3</v>
      </c>
      <c r="DE51" s="18">
        <f t="shared" si="2"/>
        <v>2005</v>
      </c>
    </row>
    <row r="52" spans="1:109" x14ac:dyDescent="0.25">
      <c r="A52" s="59" t="s">
        <v>1318</v>
      </c>
      <c r="B52" s="103">
        <v>41540</v>
      </c>
      <c r="C52" s="105" t="s">
        <v>1576</v>
      </c>
      <c r="D52" s="14" t="s">
        <v>295</v>
      </c>
      <c r="E52" s="15" t="s">
        <v>188</v>
      </c>
      <c r="F52" s="15"/>
      <c r="G52" s="15"/>
      <c r="H52" s="15"/>
      <c r="I52" s="15">
        <v>63</v>
      </c>
      <c r="J52" s="15" t="s">
        <v>189</v>
      </c>
      <c r="K52" s="15" t="s">
        <v>196</v>
      </c>
      <c r="L52" s="15" t="s">
        <v>410</v>
      </c>
      <c r="M52" s="15" t="s">
        <v>1026</v>
      </c>
      <c r="N52" s="15" t="s">
        <v>1084</v>
      </c>
      <c r="O52" s="15">
        <v>35</v>
      </c>
      <c r="P52" s="15"/>
      <c r="Q52" s="15"/>
      <c r="R52" s="15"/>
      <c r="S52" s="15" t="s">
        <v>188</v>
      </c>
      <c r="T52" s="15"/>
      <c r="U52" s="15"/>
      <c r="V52" s="15"/>
      <c r="W52" s="15" t="s">
        <v>188</v>
      </c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>
        <v>1983</v>
      </c>
      <c r="AI52" s="1">
        <v>1600000</v>
      </c>
      <c r="AJ52" s="15"/>
      <c r="AK52" s="15"/>
      <c r="AL52" s="15" t="s">
        <v>188</v>
      </c>
      <c r="AM52" s="15"/>
      <c r="AN52" s="15"/>
      <c r="AO52" s="15"/>
      <c r="AP52" s="15" t="s">
        <v>188</v>
      </c>
      <c r="AQ52" s="15"/>
      <c r="AR52" s="15"/>
      <c r="AS52" s="15"/>
      <c r="AT52" s="15" t="s">
        <v>322</v>
      </c>
      <c r="AU52" s="1">
        <v>6500</v>
      </c>
      <c r="AV52" s="48">
        <v>0.5</v>
      </c>
      <c r="AW52" s="15">
        <v>2.2999999999999998</v>
      </c>
      <c r="AX52" s="15">
        <v>1.3</v>
      </c>
      <c r="AY52" s="15">
        <v>2</v>
      </c>
      <c r="AZ52" s="15">
        <v>550</v>
      </c>
      <c r="BA52" s="15">
        <v>1500</v>
      </c>
      <c r="BB52" s="15" t="s">
        <v>199</v>
      </c>
      <c r="BC52" s="15" t="s">
        <v>199</v>
      </c>
      <c r="BD52" s="15" t="s">
        <v>199</v>
      </c>
      <c r="BE52" s="1">
        <v>15000</v>
      </c>
      <c r="BF52" s="1">
        <v>60000</v>
      </c>
      <c r="BG52" s="1">
        <v>60000</v>
      </c>
      <c r="BH52" s="1">
        <v>120000</v>
      </c>
      <c r="BI52" s="1">
        <v>60000</v>
      </c>
      <c r="BJ52" s="15"/>
      <c r="BK52" s="15"/>
      <c r="BL52" s="15"/>
      <c r="BM52" s="15"/>
      <c r="BN52" s="15"/>
      <c r="BO52" s="15" t="s">
        <v>188</v>
      </c>
      <c r="BP52" s="15"/>
      <c r="BQ52" s="15"/>
      <c r="BR52" s="15"/>
      <c r="BS52" s="2"/>
      <c r="BT52" s="15"/>
      <c r="BU52" s="15"/>
      <c r="BV52" s="15" t="s">
        <v>188</v>
      </c>
      <c r="BW52" s="15"/>
      <c r="BX52" s="15">
        <v>2</v>
      </c>
      <c r="BY52" s="15">
        <v>3</v>
      </c>
      <c r="BZ52" s="15">
        <v>1</v>
      </c>
      <c r="CA52" s="15"/>
      <c r="CB52" s="15" t="s">
        <v>188</v>
      </c>
      <c r="CC52" s="15"/>
      <c r="CD52" s="15"/>
      <c r="CE52" s="15"/>
      <c r="CF52" s="15"/>
      <c r="CG52" s="15"/>
      <c r="CH52" s="15"/>
      <c r="CI52" s="15"/>
      <c r="CJ52" s="15"/>
      <c r="CK52" s="15" t="s">
        <v>188</v>
      </c>
      <c r="CL52" s="15"/>
      <c r="CM52" s="15"/>
      <c r="CN52" s="15"/>
      <c r="CO52" s="15"/>
      <c r="CP52" s="15" t="s">
        <v>193</v>
      </c>
      <c r="CQ52" s="15" t="s">
        <v>290</v>
      </c>
      <c r="CR52" s="15"/>
      <c r="CS52" s="15" t="s">
        <v>188</v>
      </c>
      <c r="CT52" s="15"/>
      <c r="CU52" s="15"/>
      <c r="CV52" s="15" t="s">
        <v>188</v>
      </c>
      <c r="CW52" s="15" t="s">
        <v>270</v>
      </c>
      <c r="CX52" s="15"/>
      <c r="CY52" s="15"/>
      <c r="CZ52" s="3"/>
      <c r="DA52" s="49"/>
      <c r="DC52" s="18">
        <f t="shared" si="0"/>
        <v>0</v>
      </c>
      <c r="DD52" s="18">
        <f t="shared" si="1"/>
        <v>1</v>
      </c>
      <c r="DE52" s="18">
        <f t="shared" si="2"/>
        <v>1983</v>
      </c>
    </row>
    <row r="53" spans="1:109" x14ac:dyDescent="0.25">
      <c r="A53" s="59" t="s">
        <v>1318</v>
      </c>
      <c r="B53" s="103">
        <v>41540</v>
      </c>
      <c r="C53" s="105" t="s">
        <v>1576</v>
      </c>
      <c r="D53" s="14" t="s">
        <v>296</v>
      </c>
      <c r="E53" s="15"/>
      <c r="F53" s="15"/>
      <c r="G53" s="15"/>
      <c r="H53" s="15" t="s">
        <v>188</v>
      </c>
      <c r="I53" s="15">
        <v>38</v>
      </c>
      <c r="J53" s="15" t="s">
        <v>189</v>
      </c>
      <c r="K53" s="15" t="s">
        <v>190</v>
      </c>
      <c r="L53" s="15" t="s">
        <v>394</v>
      </c>
      <c r="M53" s="15" t="s">
        <v>1027</v>
      </c>
      <c r="N53" s="15" t="s">
        <v>1085</v>
      </c>
      <c r="O53" s="15">
        <v>4</v>
      </c>
      <c r="P53" s="15"/>
      <c r="Q53" s="15"/>
      <c r="R53" s="15"/>
      <c r="S53" s="15" t="s">
        <v>188</v>
      </c>
      <c r="T53" s="15"/>
      <c r="U53" s="15"/>
      <c r="V53" s="15"/>
      <c r="W53" s="15"/>
      <c r="X53" s="15" t="s">
        <v>188</v>
      </c>
      <c r="Y53" s="15"/>
      <c r="Z53" s="15"/>
      <c r="AA53" s="15"/>
      <c r="AB53" s="15"/>
      <c r="AC53" s="15"/>
      <c r="AD53" s="15"/>
      <c r="AE53" s="15"/>
      <c r="AF53" s="15"/>
      <c r="AG53" s="15"/>
      <c r="AH53" s="15">
        <v>2006</v>
      </c>
      <c r="AI53" s="1">
        <v>1150000</v>
      </c>
      <c r="AJ53" s="15"/>
      <c r="AK53" s="15"/>
      <c r="AL53" s="15" t="s">
        <v>188</v>
      </c>
      <c r="AM53" s="15"/>
      <c r="AN53" s="15"/>
      <c r="AO53" s="15"/>
      <c r="AP53" s="15" t="s">
        <v>188</v>
      </c>
      <c r="AQ53" s="15"/>
      <c r="AR53" s="15"/>
      <c r="AS53" s="15"/>
      <c r="AT53" s="15" t="s">
        <v>322</v>
      </c>
      <c r="AU53" s="1">
        <v>14000</v>
      </c>
      <c r="AV53" s="48">
        <v>0.2</v>
      </c>
      <c r="AW53" s="15">
        <v>3.2</v>
      </c>
      <c r="AX53" s="15">
        <v>2.8</v>
      </c>
      <c r="AY53" s="15">
        <v>3</v>
      </c>
      <c r="AZ53" s="15">
        <v>1300</v>
      </c>
      <c r="BA53" s="15">
        <v>3900</v>
      </c>
      <c r="BB53" s="15" t="s">
        <v>188</v>
      </c>
      <c r="BC53" s="15" t="s">
        <v>188</v>
      </c>
      <c r="BD53" s="15" t="s">
        <v>188</v>
      </c>
      <c r="BE53" s="1">
        <v>30000</v>
      </c>
      <c r="BF53" s="1">
        <v>30000</v>
      </c>
      <c r="BG53" s="1">
        <v>30000</v>
      </c>
      <c r="BH53" s="1">
        <v>160000</v>
      </c>
      <c r="BI53" s="1">
        <v>30000</v>
      </c>
      <c r="BJ53" s="15"/>
      <c r="BK53" s="15"/>
      <c r="BL53" s="15"/>
      <c r="BM53" s="15"/>
      <c r="BN53" s="15"/>
      <c r="BO53" s="15"/>
      <c r="BP53" s="15"/>
      <c r="BQ53" s="15" t="s">
        <v>188</v>
      </c>
      <c r="BR53" s="15"/>
      <c r="BS53" s="2"/>
      <c r="BT53" s="15"/>
      <c r="BU53" s="15" t="s">
        <v>188</v>
      </c>
      <c r="BV53" s="15"/>
      <c r="BW53" s="15"/>
      <c r="BX53" s="15">
        <v>1</v>
      </c>
      <c r="BY53" s="15">
        <v>2</v>
      </c>
      <c r="BZ53" s="15">
        <v>3</v>
      </c>
      <c r="CA53" s="15"/>
      <c r="CB53" s="15"/>
      <c r="CC53" s="15" t="s">
        <v>188</v>
      </c>
      <c r="CD53" s="15"/>
      <c r="CE53" s="15" t="s">
        <v>188</v>
      </c>
      <c r="CF53" s="15"/>
      <c r="CG53" s="15"/>
      <c r="CH53" s="15" t="s">
        <v>188</v>
      </c>
      <c r="CI53" s="15" t="s">
        <v>188</v>
      </c>
      <c r="CJ53" s="15"/>
      <c r="CK53" s="15" t="s">
        <v>188</v>
      </c>
      <c r="CL53" s="15"/>
      <c r="CM53" s="15"/>
      <c r="CN53" s="15"/>
      <c r="CO53" s="15"/>
      <c r="CP53" s="15" t="s">
        <v>193</v>
      </c>
      <c r="CQ53" s="15" t="s">
        <v>300</v>
      </c>
      <c r="CR53" s="15" t="s">
        <v>188</v>
      </c>
      <c r="CS53" s="15"/>
      <c r="CT53" s="15"/>
      <c r="CU53" s="2"/>
      <c r="CV53" s="15"/>
      <c r="CW53" s="15"/>
      <c r="CX53" s="15"/>
      <c r="CY53" s="15" t="s">
        <v>188</v>
      </c>
      <c r="CZ53" s="3"/>
      <c r="DA53" s="49"/>
      <c r="DC53" s="18">
        <f t="shared" si="0"/>
        <v>0</v>
      </c>
      <c r="DD53" s="18">
        <f t="shared" si="1"/>
        <v>7</v>
      </c>
      <c r="DE53" s="18">
        <f t="shared" si="2"/>
        <v>2006</v>
      </c>
    </row>
    <row r="54" spans="1:109" x14ac:dyDescent="0.25">
      <c r="A54" s="59" t="s">
        <v>1318</v>
      </c>
      <c r="B54" s="103">
        <v>41540</v>
      </c>
      <c r="C54" s="105" t="s">
        <v>1576</v>
      </c>
      <c r="D54" s="14" t="s">
        <v>297</v>
      </c>
      <c r="E54" s="15"/>
      <c r="F54" s="15"/>
      <c r="G54" s="15"/>
      <c r="H54" s="15" t="s">
        <v>188</v>
      </c>
      <c r="I54" s="15">
        <v>43</v>
      </c>
      <c r="J54" s="15" t="s">
        <v>189</v>
      </c>
      <c r="K54" s="15" t="s">
        <v>190</v>
      </c>
      <c r="L54" s="15" t="s">
        <v>785</v>
      </c>
      <c r="M54" s="15" t="s">
        <v>1028</v>
      </c>
      <c r="N54" s="15" t="s">
        <v>1084</v>
      </c>
      <c r="O54" s="15">
        <v>23</v>
      </c>
      <c r="P54" s="15" t="s">
        <v>188</v>
      </c>
      <c r="Q54" s="15"/>
      <c r="R54" s="15"/>
      <c r="S54" s="15"/>
      <c r="T54" s="15"/>
      <c r="U54" s="15" t="s">
        <v>188</v>
      </c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>
        <v>1995</v>
      </c>
      <c r="AI54" s="1">
        <v>1450000</v>
      </c>
      <c r="AJ54" s="15"/>
      <c r="AK54" s="15"/>
      <c r="AL54" s="15" t="s">
        <v>188</v>
      </c>
      <c r="AM54" s="15"/>
      <c r="AN54" s="15"/>
      <c r="AO54" s="15" t="s">
        <v>188</v>
      </c>
      <c r="AP54" s="15"/>
      <c r="AQ54" s="15"/>
      <c r="AR54" s="15"/>
      <c r="AS54" s="15"/>
      <c r="AT54" s="15" t="s">
        <v>237</v>
      </c>
      <c r="AU54" s="1">
        <v>6500</v>
      </c>
      <c r="AV54" s="48">
        <v>0.5</v>
      </c>
      <c r="AW54" s="15">
        <v>3.5</v>
      </c>
      <c r="AX54" s="15">
        <v>3</v>
      </c>
      <c r="AY54" s="15">
        <v>1</v>
      </c>
      <c r="AZ54" s="15">
        <v>380</v>
      </c>
      <c r="BA54" s="15">
        <v>900</v>
      </c>
      <c r="BB54" s="15" t="s">
        <v>188</v>
      </c>
      <c r="BC54" s="15" t="s">
        <v>199</v>
      </c>
      <c r="BD54" s="15" t="s">
        <v>199</v>
      </c>
      <c r="BE54" s="1">
        <v>10000</v>
      </c>
      <c r="BF54" s="1">
        <v>25000</v>
      </c>
      <c r="BG54" s="1">
        <v>10000</v>
      </c>
      <c r="BH54" s="1">
        <v>80000</v>
      </c>
      <c r="BI54" s="1">
        <v>10000</v>
      </c>
      <c r="BJ54" s="15"/>
      <c r="BK54" s="15"/>
      <c r="BL54" s="15" t="s">
        <v>188</v>
      </c>
      <c r="BM54" s="15"/>
      <c r="BN54" s="15"/>
      <c r="BO54" s="15"/>
      <c r="BP54" s="15"/>
      <c r="BQ54" s="15"/>
      <c r="BR54" s="15"/>
      <c r="BS54" s="2"/>
      <c r="BT54" s="15"/>
      <c r="BU54" s="15" t="s">
        <v>188</v>
      </c>
      <c r="BV54" s="15"/>
      <c r="BW54" s="15"/>
      <c r="BX54" s="15">
        <v>2</v>
      </c>
      <c r="BY54" s="15">
        <v>3</v>
      </c>
      <c r="BZ54" s="15">
        <v>1</v>
      </c>
      <c r="CA54" s="15"/>
      <c r="CB54" s="15" t="s">
        <v>188</v>
      </c>
      <c r="CC54" s="15"/>
      <c r="CD54" s="15"/>
      <c r="CE54" s="15"/>
      <c r="CF54" s="15"/>
      <c r="CG54" s="15"/>
      <c r="CH54" s="15"/>
      <c r="CI54" s="15"/>
      <c r="CJ54" s="15"/>
      <c r="CK54" s="15" t="s">
        <v>188</v>
      </c>
      <c r="CL54" s="15"/>
      <c r="CM54" s="15"/>
      <c r="CN54" s="15"/>
      <c r="CO54" s="15"/>
      <c r="CP54" s="15" t="s">
        <v>193</v>
      </c>
      <c r="CQ54" s="15" t="s">
        <v>209</v>
      </c>
      <c r="CR54" s="15"/>
      <c r="CS54" s="15"/>
      <c r="CT54" s="15" t="s">
        <v>188</v>
      </c>
      <c r="CU54" s="15" t="s">
        <v>997</v>
      </c>
      <c r="CV54" s="15"/>
      <c r="CW54" s="15"/>
      <c r="CX54" s="15"/>
      <c r="CY54" s="15" t="s">
        <v>188</v>
      </c>
      <c r="CZ54" s="3" t="s">
        <v>359</v>
      </c>
      <c r="DA54" s="49"/>
      <c r="DC54" s="18">
        <f t="shared" si="0"/>
        <v>0</v>
      </c>
      <c r="DD54" s="18">
        <f t="shared" si="1"/>
        <v>7</v>
      </c>
      <c r="DE54" s="18">
        <f t="shared" si="2"/>
        <v>1995</v>
      </c>
    </row>
    <row r="55" spans="1:109" x14ac:dyDescent="0.25">
      <c r="A55" s="59" t="s">
        <v>1318</v>
      </c>
      <c r="B55" s="103">
        <v>41540</v>
      </c>
      <c r="C55" s="105" t="s">
        <v>1576</v>
      </c>
      <c r="D55" s="14" t="s">
        <v>298</v>
      </c>
      <c r="E55" s="15"/>
      <c r="F55" s="15"/>
      <c r="G55" s="15" t="s">
        <v>188</v>
      </c>
      <c r="H55" s="15"/>
      <c r="I55" s="15">
        <v>24</v>
      </c>
      <c r="J55" s="15" t="s">
        <v>189</v>
      </c>
      <c r="K55" s="15" t="s">
        <v>190</v>
      </c>
      <c r="L55" s="15" t="s">
        <v>396</v>
      </c>
      <c r="M55" s="50" t="s">
        <v>1029</v>
      </c>
      <c r="N55" s="15" t="s">
        <v>1085</v>
      </c>
      <c r="O55" s="15">
        <v>7</v>
      </c>
      <c r="P55" s="15"/>
      <c r="Q55" s="15"/>
      <c r="R55" s="15"/>
      <c r="S55" s="15" t="s">
        <v>188</v>
      </c>
      <c r="T55" s="15"/>
      <c r="U55" s="15"/>
      <c r="V55" s="15"/>
      <c r="W55" s="15"/>
      <c r="X55" s="15"/>
      <c r="Y55" s="15"/>
      <c r="Z55" s="15"/>
      <c r="AA55" s="15"/>
      <c r="AB55" s="15"/>
      <c r="AC55" s="15" t="s">
        <v>188</v>
      </c>
      <c r="AD55" s="15"/>
      <c r="AE55" s="15"/>
      <c r="AF55" s="15"/>
      <c r="AG55" s="15"/>
      <c r="AH55" s="15">
        <v>2000</v>
      </c>
      <c r="AI55" s="1" t="s">
        <v>269</v>
      </c>
      <c r="AJ55" s="15"/>
      <c r="AK55" s="15"/>
      <c r="AL55" s="15" t="s">
        <v>188</v>
      </c>
      <c r="AM55" s="15"/>
      <c r="AN55" s="15"/>
      <c r="AO55" s="15"/>
      <c r="AP55" s="15" t="s">
        <v>188</v>
      </c>
      <c r="AQ55" s="15"/>
      <c r="AR55" s="15"/>
      <c r="AS55" s="15"/>
      <c r="AT55" s="15" t="s">
        <v>266</v>
      </c>
      <c r="AU55" s="1">
        <v>20000</v>
      </c>
      <c r="AV55" s="48">
        <v>0.5</v>
      </c>
      <c r="AW55" s="15">
        <v>2.5</v>
      </c>
      <c r="AX55" s="15">
        <v>2</v>
      </c>
      <c r="AY55" s="15">
        <v>2</v>
      </c>
      <c r="AZ55" s="15">
        <v>690</v>
      </c>
      <c r="BA55" s="15">
        <v>1600</v>
      </c>
      <c r="BB55" s="15" t="s">
        <v>188</v>
      </c>
      <c r="BC55" s="15" t="s">
        <v>199</v>
      </c>
      <c r="BD55" s="15" t="s">
        <v>199</v>
      </c>
      <c r="BE55" s="1">
        <v>20000</v>
      </c>
      <c r="BF55" s="1">
        <v>120000</v>
      </c>
      <c r="BG55" s="1">
        <v>20000</v>
      </c>
      <c r="BH55" s="1">
        <v>180000</v>
      </c>
      <c r="BI55" s="1">
        <v>20000</v>
      </c>
      <c r="BJ55" s="15"/>
      <c r="BK55" s="15"/>
      <c r="BL55" s="15"/>
      <c r="BM55" s="15" t="s">
        <v>188</v>
      </c>
      <c r="BN55" s="15"/>
      <c r="BO55" s="15"/>
      <c r="BP55" s="15"/>
      <c r="BQ55" s="15"/>
      <c r="BR55" s="15"/>
      <c r="BS55" s="2"/>
      <c r="BT55" s="15"/>
      <c r="BU55" s="15" t="s">
        <v>188</v>
      </c>
      <c r="BV55" s="15"/>
      <c r="BW55" s="15"/>
      <c r="BX55" s="15">
        <v>1</v>
      </c>
      <c r="BY55" s="15">
        <v>3</v>
      </c>
      <c r="BZ55" s="15">
        <v>2</v>
      </c>
      <c r="CA55" s="15"/>
      <c r="CB55" s="15" t="s">
        <v>188</v>
      </c>
      <c r="CC55" s="15"/>
      <c r="CD55" s="15"/>
      <c r="CE55" s="15"/>
      <c r="CF55" s="15"/>
      <c r="CG55" s="15"/>
      <c r="CH55" s="15"/>
      <c r="CI55" s="15"/>
      <c r="CJ55" s="15"/>
      <c r="CK55" s="15"/>
      <c r="CL55" s="15" t="s">
        <v>188</v>
      </c>
      <c r="CM55" s="15" t="s">
        <v>188</v>
      </c>
      <c r="CN55" s="15" t="s">
        <v>299</v>
      </c>
      <c r="CO55" s="15"/>
      <c r="CP55" s="15" t="s">
        <v>193</v>
      </c>
      <c r="CQ55" s="15" t="s">
        <v>300</v>
      </c>
      <c r="CR55" s="15" t="s">
        <v>188</v>
      </c>
      <c r="CS55" s="15"/>
      <c r="CT55" s="15"/>
      <c r="CU55" s="15"/>
      <c r="CV55" s="15"/>
      <c r="CW55" s="15"/>
      <c r="CX55" s="15" t="s">
        <v>188</v>
      </c>
      <c r="CY55" s="15" t="s">
        <v>188</v>
      </c>
      <c r="CZ55" s="3"/>
      <c r="DA55" s="49"/>
      <c r="DC55" s="18">
        <f t="shared" si="0"/>
        <v>0</v>
      </c>
      <c r="DD55" s="18">
        <f t="shared" si="1"/>
        <v>3</v>
      </c>
      <c r="DE55" s="18">
        <f t="shared" si="2"/>
        <v>2000</v>
      </c>
    </row>
    <row r="56" spans="1:109" x14ac:dyDescent="0.25">
      <c r="A56" s="59" t="s">
        <v>1318</v>
      </c>
      <c r="B56" s="103">
        <v>41540</v>
      </c>
      <c r="C56" s="105" t="s">
        <v>1576</v>
      </c>
      <c r="D56" s="14" t="s">
        <v>302</v>
      </c>
      <c r="E56" s="15"/>
      <c r="F56" s="15"/>
      <c r="G56" s="15"/>
      <c r="H56" s="15" t="s">
        <v>188</v>
      </c>
      <c r="I56" s="15">
        <v>62</v>
      </c>
      <c r="J56" s="15" t="s">
        <v>189</v>
      </c>
      <c r="K56" s="15" t="s">
        <v>214</v>
      </c>
      <c r="L56" s="15" t="s">
        <v>397</v>
      </c>
      <c r="M56" s="15" t="s">
        <v>1030</v>
      </c>
      <c r="N56" s="15" t="s">
        <v>1085</v>
      </c>
      <c r="O56" s="15">
        <v>44</v>
      </c>
      <c r="P56" s="15"/>
      <c r="Q56" s="15"/>
      <c r="R56" s="15"/>
      <c r="S56" s="15" t="s">
        <v>188</v>
      </c>
      <c r="T56" s="15"/>
      <c r="U56" s="15" t="s">
        <v>188</v>
      </c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>
        <v>2007</v>
      </c>
      <c r="AI56" s="1">
        <v>1700000</v>
      </c>
      <c r="AJ56" s="15"/>
      <c r="AK56" s="15"/>
      <c r="AL56" s="15" t="s">
        <v>188</v>
      </c>
      <c r="AM56" s="15"/>
      <c r="AN56" s="15"/>
      <c r="AO56" s="15"/>
      <c r="AP56" s="15" t="s">
        <v>188</v>
      </c>
      <c r="AQ56" s="15"/>
      <c r="AR56" s="15"/>
      <c r="AS56" s="15"/>
      <c r="AT56" s="15" t="s">
        <v>322</v>
      </c>
      <c r="AU56" s="1">
        <v>20000</v>
      </c>
      <c r="AV56" s="48">
        <v>0.1</v>
      </c>
      <c r="AW56" s="15">
        <v>3</v>
      </c>
      <c r="AX56" s="15">
        <v>2.5</v>
      </c>
      <c r="AY56" s="15">
        <v>2</v>
      </c>
      <c r="AZ56" s="15">
        <v>910</v>
      </c>
      <c r="BA56" s="15">
        <v>2100</v>
      </c>
      <c r="BB56" s="15" t="s">
        <v>199</v>
      </c>
      <c r="BC56" s="15" t="s">
        <v>188</v>
      </c>
      <c r="BD56" s="15" t="s">
        <v>199</v>
      </c>
      <c r="BE56" s="1">
        <v>60000</v>
      </c>
      <c r="BF56" s="1">
        <v>120000</v>
      </c>
      <c r="BG56" s="1">
        <v>60000</v>
      </c>
      <c r="BH56" s="1">
        <v>200000</v>
      </c>
      <c r="BI56" s="1">
        <v>60000</v>
      </c>
      <c r="BJ56" s="15"/>
      <c r="BK56" s="15"/>
      <c r="BL56" s="15"/>
      <c r="BM56" s="15"/>
      <c r="BN56" s="15"/>
      <c r="BO56" s="15"/>
      <c r="BP56" s="15"/>
      <c r="BQ56" s="15"/>
      <c r="BR56" s="15"/>
      <c r="BS56" s="2" t="s">
        <v>301</v>
      </c>
      <c r="BT56" s="15"/>
      <c r="BU56" s="15" t="s">
        <v>188</v>
      </c>
      <c r="BV56" s="15"/>
      <c r="BW56" s="15"/>
      <c r="BX56" s="15">
        <v>1</v>
      </c>
      <c r="BY56" s="15">
        <v>2</v>
      </c>
      <c r="BZ56" s="15">
        <v>3</v>
      </c>
      <c r="CA56" s="15"/>
      <c r="CB56" s="15" t="s">
        <v>188</v>
      </c>
      <c r="CC56" s="15"/>
      <c r="CD56" s="15"/>
      <c r="CE56" s="15"/>
      <c r="CF56" s="15"/>
      <c r="CG56" s="15"/>
      <c r="CH56" s="15"/>
      <c r="CI56" s="15"/>
      <c r="CJ56" s="15"/>
      <c r="CK56" s="15" t="s">
        <v>188</v>
      </c>
      <c r="CL56" s="15"/>
      <c r="CM56" s="15"/>
      <c r="CN56" s="15"/>
      <c r="CO56" s="15"/>
      <c r="CP56" s="15" t="s">
        <v>193</v>
      </c>
      <c r="CQ56" s="15" t="s">
        <v>193</v>
      </c>
      <c r="CR56" s="15"/>
      <c r="CS56" s="15"/>
      <c r="CT56" s="15"/>
      <c r="CU56" s="2" t="s">
        <v>276</v>
      </c>
      <c r="CV56" s="15" t="s">
        <v>188</v>
      </c>
      <c r="CW56" s="15" t="s">
        <v>270</v>
      </c>
      <c r="CX56" s="15"/>
      <c r="CY56" s="15"/>
      <c r="CZ56" s="3"/>
      <c r="DA56" s="49"/>
      <c r="DC56" s="18">
        <f t="shared" si="0"/>
        <v>0</v>
      </c>
      <c r="DD56" s="18">
        <f t="shared" si="1"/>
        <v>7</v>
      </c>
      <c r="DE56" s="18">
        <f t="shared" si="2"/>
        <v>2007</v>
      </c>
    </row>
    <row r="57" spans="1:109" x14ac:dyDescent="0.25">
      <c r="A57" s="59" t="s">
        <v>1318</v>
      </c>
      <c r="B57" s="103">
        <v>41540</v>
      </c>
      <c r="C57" s="105" t="s">
        <v>1576</v>
      </c>
      <c r="D57" s="14" t="s">
        <v>303</v>
      </c>
      <c r="E57" s="15"/>
      <c r="F57" s="15" t="s">
        <v>188</v>
      </c>
      <c r="G57" s="15"/>
      <c r="H57" s="15"/>
      <c r="I57" s="15">
        <v>38</v>
      </c>
      <c r="J57" s="15" t="s">
        <v>189</v>
      </c>
      <c r="K57" s="15" t="s">
        <v>214</v>
      </c>
      <c r="L57" s="15" t="s">
        <v>385</v>
      </c>
      <c r="M57" s="15" t="s">
        <v>1016</v>
      </c>
      <c r="N57" s="15" t="s">
        <v>1084</v>
      </c>
      <c r="O57" s="15">
        <v>8</v>
      </c>
      <c r="P57" s="15" t="s">
        <v>188</v>
      </c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 t="s">
        <v>188</v>
      </c>
      <c r="AG57" s="15"/>
      <c r="AH57" s="15">
        <v>1989</v>
      </c>
      <c r="AI57" s="1" t="s">
        <v>269</v>
      </c>
      <c r="AJ57" s="15" t="s">
        <v>188</v>
      </c>
      <c r="AK57" s="15"/>
      <c r="AL57" s="15"/>
      <c r="AM57" s="15"/>
      <c r="AN57" s="15"/>
      <c r="AO57" s="15"/>
      <c r="AP57" s="15" t="s">
        <v>188</v>
      </c>
      <c r="AQ57" s="15"/>
      <c r="AR57" s="15"/>
      <c r="AS57" s="15"/>
      <c r="AT57" s="15" t="s">
        <v>233</v>
      </c>
      <c r="AU57" s="1">
        <v>10000</v>
      </c>
      <c r="AV57" s="48">
        <v>0.5</v>
      </c>
      <c r="AW57" s="15">
        <v>2.8</v>
      </c>
      <c r="AX57" s="15">
        <v>2.5</v>
      </c>
      <c r="AY57" s="15">
        <v>1</v>
      </c>
      <c r="AZ57" s="15">
        <v>80</v>
      </c>
      <c r="BA57" s="15">
        <v>200</v>
      </c>
      <c r="BB57" s="15" t="s">
        <v>199</v>
      </c>
      <c r="BC57" s="15" t="s">
        <v>199</v>
      </c>
      <c r="BD57" s="15" t="s">
        <v>199</v>
      </c>
      <c r="BE57" s="1">
        <v>10000</v>
      </c>
      <c r="BF57" s="1">
        <v>50000</v>
      </c>
      <c r="BG57" s="1">
        <v>10000</v>
      </c>
      <c r="BH57" s="1">
        <v>100000</v>
      </c>
      <c r="BI57" s="1" t="s">
        <v>234</v>
      </c>
      <c r="BJ57" s="15"/>
      <c r="BK57" s="15"/>
      <c r="BL57" s="15"/>
      <c r="BM57" s="15"/>
      <c r="BN57" s="15" t="s">
        <v>188</v>
      </c>
      <c r="BO57" s="15"/>
      <c r="BP57" s="15"/>
      <c r="BQ57" s="15"/>
      <c r="BR57" s="15"/>
      <c r="BS57" s="2"/>
      <c r="BT57" s="15"/>
      <c r="BU57" s="15" t="s">
        <v>188</v>
      </c>
      <c r="BV57" s="15"/>
      <c r="BW57" s="15"/>
      <c r="BX57" s="15">
        <v>2</v>
      </c>
      <c r="BY57" s="15">
        <v>1</v>
      </c>
      <c r="BZ57" s="15">
        <v>3</v>
      </c>
      <c r="CA57" s="15"/>
      <c r="CB57" s="15" t="s">
        <v>188</v>
      </c>
      <c r="CC57" s="15"/>
      <c r="CD57" s="15"/>
      <c r="CE57" s="15"/>
      <c r="CF57" s="15"/>
      <c r="CG57" s="15"/>
      <c r="CH57" s="15"/>
      <c r="CI57" s="15"/>
      <c r="CJ57" s="15"/>
      <c r="CK57" s="15" t="s">
        <v>188</v>
      </c>
      <c r="CL57" s="15"/>
      <c r="CM57" s="15"/>
      <c r="CN57" s="15"/>
      <c r="CO57" s="15"/>
      <c r="CP57" s="15" t="s">
        <v>193</v>
      </c>
      <c r="CQ57" s="15" t="s">
        <v>209</v>
      </c>
      <c r="CR57" s="15" t="s">
        <v>188</v>
      </c>
      <c r="CS57" s="15"/>
      <c r="CT57" s="15"/>
      <c r="CU57" s="15"/>
      <c r="CV57" s="15"/>
      <c r="CW57" s="15"/>
      <c r="CX57" s="15" t="s">
        <v>188</v>
      </c>
      <c r="CY57" s="15" t="s">
        <v>188</v>
      </c>
      <c r="CZ57" s="3"/>
      <c r="DA57" s="49"/>
      <c r="DC57" s="18">
        <f t="shared" si="0"/>
        <v>0</v>
      </c>
      <c r="DD57" s="18">
        <f t="shared" si="1"/>
        <v>2</v>
      </c>
      <c r="DE57" s="18">
        <f t="shared" si="2"/>
        <v>1989</v>
      </c>
    </row>
    <row r="58" spans="1:109" x14ac:dyDescent="0.25">
      <c r="A58" s="59" t="s">
        <v>1318</v>
      </c>
      <c r="B58" s="103">
        <v>41540</v>
      </c>
      <c r="C58" s="105" t="s">
        <v>1576</v>
      </c>
      <c r="D58" s="14" t="s">
        <v>304</v>
      </c>
      <c r="E58" s="15"/>
      <c r="F58" s="15"/>
      <c r="G58" s="15" t="s">
        <v>188</v>
      </c>
      <c r="H58" s="15"/>
      <c r="I58" s="15">
        <v>50</v>
      </c>
      <c r="J58" s="15" t="s">
        <v>189</v>
      </c>
      <c r="K58" s="15" t="s">
        <v>214</v>
      </c>
      <c r="L58" s="15" t="s">
        <v>552</v>
      </c>
      <c r="M58" s="50" t="s">
        <v>1031</v>
      </c>
      <c r="N58" s="15" t="s">
        <v>1084</v>
      </c>
      <c r="O58" s="15">
        <v>30</v>
      </c>
      <c r="P58" s="15" t="s">
        <v>188</v>
      </c>
      <c r="Q58" s="15"/>
      <c r="R58" s="15"/>
      <c r="S58" s="15"/>
      <c r="T58" s="15"/>
      <c r="U58" s="15" t="s">
        <v>188</v>
      </c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>
        <v>1995</v>
      </c>
      <c r="AI58" s="1">
        <v>900000</v>
      </c>
      <c r="AJ58" s="15"/>
      <c r="AK58" s="15" t="s">
        <v>188</v>
      </c>
      <c r="AL58" s="15"/>
      <c r="AM58" s="15"/>
      <c r="AN58" s="15"/>
      <c r="AO58" s="15" t="s">
        <v>188</v>
      </c>
      <c r="AP58" s="15"/>
      <c r="AQ58" s="15"/>
      <c r="AR58" s="15"/>
      <c r="AS58" s="15"/>
      <c r="AT58" s="15" t="s">
        <v>233</v>
      </c>
      <c r="AU58" s="1">
        <v>4000</v>
      </c>
      <c r="AV58" s="48">
        <v>0.5</v>
      </c>
      <c r="AW58" s="15">
        <v>2.5</v>
      </c>
      <c r="AX58" s="15">
        <v>2</v>
      </c>
      <c r="AY58" s="15">
        <v>1</v>
      </c>
      <c r="AZ58" s="15">
        <v>120</v>
      </c>
      <c r="BA58" s="15">
        <v>250</v>
      </c>
      <c r="BB58" s="15" t="s">
        <v>199</v>
      </c>
      <c r="BC58" s="15" t="s">
        <v>188</v>
      </c>
      <c r="BD58" s="15" t="s">
        <v>199</v>
      </c>
      <c r="BE58" s="1">
        <v>6000</v>
      </c>
      <c r="BF58" s="1">
        <v>10000</v>
      </c>
      <c r="BG58" s="1">
        <v>15000</v>
      </c>
      <c r="BH58" s="1">
        <v>90000</v>
      </c>
      <c r="BI58" s="1" t="s">
        <v>234</v>
      </c>
      <c r="BJ58" s="15"/>
      <c r="BK58" s="15"/>
      <c r="BL58" s="15"/>
      <c r="BM58" s="15"/>
      <c r="BN58" s="15"/>
      <c r="BO58" s="15"/>
      <c r="BP58" s="15"/>
      <c r="BQ58" s="15"/>
      <c r="BR58" s="15"/>
      <c r="BS58" s="2" t="s">
        <v>305</v>
      </c>
      <c r="BT58" s="15"/>
      <c r="BU58" s="15" t="s">
        <v>188</v>
      </c>
      <c r="BV58" s="15"/>
      <c r="BW58" s="15"/>
      <c r="BX58" s="15">
        <v>2</v>
      </c>
      <c r="BY58" s="15">
        <v>1</v>
      </c>
      <c r="BZ58" s="15">
        <v>3</v>
      </c>
      <c r="CA58" s="15"/>
      <c r="CB58" s="15" t="s">
        <v>188</v>
      </c>
      <c r="CC58" s="15"/>
      <c r="CD58" s="15"/>
      <c r="CE58" s="15"/>
      <c r="CF58" s="15"/>
      <c r="CG58" s="15"/>
      <c r="CH58" s="15"/>
      <c r="CI58" s="15"/>
      <c r="CJ58" s="15"/>
      <c r="CK58" s="15" t="s">
        <v>188</v>
      </c>
      <c r="CL58" s="15"/>
      <c r="CM58" s="15"/>
      <c r="CN58" s="15" t="s">
        <v>201</v>
      </c>
      <c r="CO58" s="15"/>
      <c r="CP58" s="15" t="s">
        <v>306</v>
      </c>
      <c r="CQ58" s="15" t="s">
        <v>193</v>
      </c>
      <c r="CR58" s="15"/>
      <c r="CS58" s="15" t="s">
        <v>188</v>
      </c>
      <c r="CT58" s="15"/>
      <c r="CU58" s="15"/>
      <c r="CV58" s="15" t="s">
        <v>188</v>
      </c>
      <c r="CW58" s="15" t="s">
        <v>270</v>
      </c>
      <c r="CX58" s="15"/>
      <c r="CY58" s="15"/>
      <c r="CZ58" s="3"/>
      <c r="DA58" s="49"/>
      <c r="DC58" s="18">
        <f t="shared" si="0"/>
        <v>0</v>
      </c>
      <c r="DD58" s="18">
        <f t="shared" si="1"/>
        <v>3</v>
      </c>
      <c r="DE58" s="18">
        <f t="shared" si="2"/>
        <v>1995</v>
      </c>
    </row>
    <row r="59" spans="1:109" x14ac:dyDescent="0.25">
      <c r="A59" s="59" t="s">
        <v>1318</v>
      </c>
      <c r="B59" s="103">
        <v>41540</v>
      </c>
      <c r="C59" s="105" t="s">
        <v>1576</v>
      </c>
      <c r="D59" s="14" t="s">
        <v>307</v>
      </c>
      <c r="E59" s="15"/>
      <c r="F59" s="15"/>
      <c r="G59" s="15"/>
      <c r="H59" s="15" t="s">
        <v>188</v>
      </c>
      <c r="I59" s="15">
        <v>51</v>
      </c>
      <c r="J59" s="15" t="s">
        <v>189</v>
      </c>
      <c r="K59" s="15" t="s">
        <v>190</v>
      </c>
      <c r="L59" s="15" t="s">
        <v>398</v>
      </c>
      <c r="M59" s="50" t="s">
        <v>1032</v>
      </c>
      <c r="N59" s="15" t="s">
        <v>1086</v>
      </c>
      <c r="O59" s="15">
        <v>30</v>
      </c>
      <c r="P59" s="15"/>
      <c r="Q59" s="15"/>
      <c r="R59" s="15" t="s">
        <v>188</v>
      </c>
      <c r="S59" s="15"/>
      <c r="T59" s="15"/>
      <c r="U59" s="15"/>
      <c r="V59" s="15"/>
      <c r="W59" s="15"/>
      <c r="X59" s="15" t="s">
        <v>188</v>
      </c>
      <c r="Y59" s="15"/>
      <c r="Z59" s="15"/>
      <c r="AA59" s="15"/>
      <c r="AB59" s="15"/>
      <c r="AC59" s="15"/>
      <c r="AD59" s="15"/>
      <c r="AE59" s="15"/>
      <c r="AF59" s="15"/>
      <c r="AG59" s="15"/>
      <c r="AH59" s="15">
        <v>2009</v>
      </c>
      <c r="AI59" s="1">
        <v>300000</v>
      </c>
      <c r="AJ59" s="15"/>
      <c r="AK59" s="15"/>
      <c r="AL59" s="15" t="s">
        <v>188</v>
      </c>
      <c r="AM59" s="15"/>
      <c r="AN59" s="15"/>
      <c r="AO59" s="15"/>
      <c r="AP59" s="15" t="s">
        <v>188</v>
      </c>
      <c r="AQ59" s="15"/>
      <c r="AR59" s="15"/>
      <c r="AS59" s="15"/>
      <c r="AT59" s="15" t="s">
        <v>322</v>
      </c>
      <c r="AU59" s="1">
        <v>6000</v>
      </c>
      <c r="AV59" s="48">
        <v>0.5</v>
      </c>
      <c r="AW59" s="15">
        <v>3</v>
      </c>
      <c r="AX59" s="15">
        <v>2.8</v>
      </c>
      <c r="AY59" s="15">
        <v>3</v>
      </c>
      <c r="AZ59" s="15">
        <v>1200</v>
      </c>
      <c r="BA59" s="15">
        <v>3500</v>
      </c>
      <c r="BB59" s="15" t="s">
        <v>188</v>
      </c>
      <c r="BC59" s="15" t="s">
        <v>188</v>
      </c>
      <c r="BD59" s="15" t="s">
        <v>188</v>
      </c>
      <c r="BE59" s="1">
        <v>12000</v>
      </c>
      <c r="BF59" s="1">
        <v>12000</v>
      </c>
      <c r="BG59" s="1">
        <v>12000</v>
      </c>
      <c r="BH59" s="1">
        <v>100000</v>
      </c>
      <c r="BI59" s="1">
        <v>12000</v>
      </c>
      <c r="BJ59" s="15" t="s">
        <v>188</v>
      </c>
      <c r="BK59" s="15"/>
      <c r="BL59" s="15"/>
      <c r="BM59" s="15"/>
      <c r="BN59" s="15"/>
      <c r="BO59" s="15"/>
      <c r="BP59" s="15"/>
      <c r="BQ59" s="15"/>
      <c r="BR59" s="15"/>
      <c r="BS59" s="2"/>
      <c r="BT59" s="15"/>
      <c r="BU59" s="15" t="s">
        <v>188</v>
      </c>
      <c r="BV59" s="15"/>
      <c r="BW59" s="15"/>
      <c r="BX59" s="15">
        <v>1</v>
      </c>
      <c r="BY59" s="15">
        <v>2</v>
      </c>
      <c r="BZ59" s="15">
        <v>3</v>
      </c>
      <c r="CA59" s="15"/>
      <c r="CB59" s="15"/>
      <c r="CC59" s="15" t="s">
        <v>188</v>
      </c>
      <c r="CD59" s="15"/>
      <c r="CE59" s="15" t="s">
        <v>188</v>
      </c>
      <c r="CF59" s="15"/>
      <c r="CG59" s="15"/>
      <c r="CH59" s="15" t="s">
        <v>188</v>
      </c>
      <c r="CI59" s="15" t="s">
        <v>188</v>
      </c>
      <c r="CJ59" s="15"/>
      <c r="CK59" s="15"/>
      <c r="CL59" s="15" t="s">
        <v>188</v>
      </c>
      <c r="CM59" s="15" t="s">
        <v>188</v>
      </c>
      <c r="CN59" s="15" t="s">
        <v>201</v>
      </c>
      <c r="CO59" s="15"/>
      <c r="CP59" s="15" t="s">
        <v>308</v>
      </c>
      <c r="CQ59" s="15" t="s">
        <v>309</v>
      </c>
      <c r="CR59" s="15"/>
      <c r="CS59" s="15"/>
      <c r="CT59" s="15" t="s">
        <v>188</v>
      </c>
      <c r="CU59" s="15"/>
      <c r="CV59" s="15"/>
      <c r="CW59" s="15"/>
      <c r="CX59" s="15" t="s">
        <v>188</v>
      </c>
      <c r="CY59" s="15"/>
      <c r="CZ59" s="4" t="s">
        <v>310</v>
      </c>
      <c r="DA59" s="49"/>
      <c r="DC59" s="18">
        <f t="shared" si="0"/>
        <v>0</v>
      </c>
      <c r="DD59" s="18">
        <f t="shared" si="1"/>
        <v>7</v>
      </c>
      <c r="DE59" s="18">
        <f t="shared" si="2"/>
        <v>2009</v>
      </c>
    </row>
    <row r="60" spans="1:109" x14ac:dyDescent="0.25">
      <c r="A60" s="59" t="s">
        <v>1318</v>
      </c>
      <c r="B60" s="103">
        <v>41540</v>
      </c>
      <c r="C60" s="105" t="s">
        <v>1576</v>
      </c>
      <c r="D60" s="14" t="s">
        <v>311</v>
      </c>
      <c r="E60" s="15"/>
      <c r="F60" s="15"/>
      <c r="G60" s="15" t="s">
        <v>188</v>
      </c>
      <c r="H60" s="15"/>
      <c r="I60" s="15">
        <v>34</v>
      </c>
      <c r="J60" s="15" t="s">
        <v>189</v>
      </c>
      <c r="K60" s="15" t="s">
        <v>190</v>
      </c>
      <c r="L60" s="15" t="s">
        <v>399</v>
      </c>
      <c r="M60" s="15" t="s">
        <v>1033</v>
      </c>
      <c r="N60" s="15" t="s">
        <v>1085</v>
      </c>
      <c r="O60" s="15">
        <v>8</v>
      </c>
      <c r="P60" s="15"/>
      <c r="Q60" s="15"/>
      <c r="R60" s="15"/>
      <c r="S60" s="15" t="s">
        <v>188</v>
      </c>
      <c r="T60" s="15"/>
      <c r="U60" s="15"/>
      <c r="V60" s="15"/>
      <c r="W60" s="15"/>
      <c r="X60" s="15"/>
      <c r="Y60" s="15"/>
      <c r="Z60" s="15"/>
      <c r="AA60" s="15"/>
      <c r="AB60" s="15" t="s">
        <v>188</v>
      </c>
      <c r="AC60" s="15"/>
      <c r="AD60" s="15"/>
      <c r="AE60" s="15"/>
      <c r="AF60" s="15"/>
      <c r="AG60" s="15"/>
      <c r="AH60" s="15">
        <v>2007</v>
      </c>
      <c r="AI60" s="1">
        <v>600000</v>
      </c>
      <c r="AJ60" s="15"/>
      <c r="AK60" s="15"/>
      <c r="AL60" s="15" t="s">
        <v>188</v>
      </c>
      <c r="AM60" s="15"/>
      <c r="AN60" s="15"/>
      <c r="AO60" s="15"/>
      <c r="AP60" s="15" t="s">
        <v>188</v>
      </c>
      <c r="AQ60" s="15"/>
      <c r="AR60" s="15"/>
      <c r="AS60" s="15"/>
      <c r="AT60" s="15" t="s">
        <v>390</v>
      </c>
      <c r="AU60" s="1">
        <v>8000</v>
      </c>
      <c r="AV60" s="48">
        <v>0.5</v>
      </c>
      <c r="AW60" s="15">
        <v>2.5</v>
      </c>
      <c r="AX60" s="15">
        <v>2</v>
      </c>
      <c r="AY60" s="15">
        <v>2</v>
      </c>
      <c r="AZ60" s="15">
        <v>1100</v>
      </c>
      <c r="BA60" s="15">
        <v>2500</v>
      </c>
      <c r="BB60" s="15" t="s">
        <v>188</v>
      </c>
      <c r="BC60" s="15" t="s">
        <v>188</v>
      </c>
      <c r="BD60" s="15" t="s">
        <v>188</v>
      </c>
      <c r="BE60" s="1">
        <v>24000</v>
      </c>
      <c r="BF60" s="1">
        <v>30000</v>
      </c>
      <c r="BG60" s="1">
        <v>24000</v>
      </c>
      <c r="BH60" s="1">
        <v>90000</v>
      </c>
      <c r="BI60" s="1">
        <v>24000</v>
      </c>
      <c r="BJ60" s="15"/>
      <c r="BK60" s="15"/>
      <c r="BL60" s="15"/>
      <c r="BM60" s="15" t="s">
        <v>188</v>
      </c>
      <c r="BN60" s="15"/>
      <c r="BO60" s="15"/>
      <c r="BP60" s="15"/>
      <c r="BQ60" s="15"/>
      <c r="BR60" s="15"/>
      <c r="BS60" s="2"/>
      <c r="BT60" s="15"/>
      <c r="BU60" s="15" t="s">
        <v>188</v>
      </c>
      <c r="BV60" s="15"/>
      <c r="BW60" s="15"/>
      <c r="BX60" s="15">
        <v>1</v>
      </c>
      <c r="BY60" s="15">
        <v>2</v>
      </c>
      <c r="BZ60" s="15">
        <v>3</v>
      </c>
      <c r="CA60" s="15"/>
      <c r="CB60" s="15"/>
      <c r="CC60" s="15" t="s">
        <v>188</v>
      </c>
      <c r="CD60" s="15"/>
      <c r="CE60" s="15"/>
      <c r="CF60" s="15"/>
      <c r="CG60" s="15" t="s">
        <v>188</v>
      </c>
      <c r="CH60" s="15" t="s">
        <v>188</v>
      </c>
      <c r="CI60" s="15"/>
      <c r="CJ60" s="15"/>
      <c r="CK60" s="15" t="s">
        <v>188</v>
      </c>
      <c r="CL60" s="15"/>
      <c r="CM60" s="15"/>
      <c r="CN60" s="15"/>
      <c r="CO60" s="15"/>
      <c r="CP60" s="15" t="s">
        <v>193</v>
      </c>
      <c r="CQ60" s="15" t="s">
        <v>209</v>
      </c>
      <c r="CR60" s="15" t="s">
        <v>188</v>
      </c>
      <c r="CS60" s="15"/>
      <c r="CT60" s="15"/>
      <c r="CU60" s="15"/>
      <c r="CV60" s="15"/>
      <c r="CW60" s="15"/>
      <c r="CX60" s="15"/>
      <c r="CY60" s="15" t="s">
        <v>188</v>
      </c>
      <c r="CZ60" s="3"/>
      <c r="DA60" s="49"/>
      <c r="DC60" s="18">
        <f t="shared" si="0"/>
        <v>0</v>
      </c>
      <c r="DD60" s="18">
        <f t="shared" si="1"/>
        <v>3</v>
      </c>
      <c r="DE60" s="18">
        <f t="shared" si="2"/>
        <v>2007</v>
      </c>
    </row>
    <row r="61" spans="1:109" x14ac:dyDescent="0.25">
      <c r="A61" s="59" t="s">
        <v>1318</v>
      </c>
      <c r="B61" s="103">
        <v>41541</v>
      </c>
      <c r="C61" s="105" t="s">
        <v>1576</v>
      </c>
      <c r="D61" s="14" t="s">
        <v>312</v>
      </c>
      <c r="E61" s="15"/>
      <c r="F61" s="15"/>
      <c r="G61" s="15"/>
      <c r="H61" s="15" t="s">
        <v>188</v>
      </c>
      <c r="I61" s="15">
        <v>29</v>
      </c>
      <c r="J61" s="15" t="s">
        <v>189</v>
      </c>
      <c r="K61" s="15" t="s">
        <v>190</v>
      </c>
      <c r="L61" s="15" t="s">
        <v>388</v>
      </c>
      <c r="M61" s="15" t="s">
        <v>1020</v>
      </c>
      <c r="N61" s="15" t="s">
        <v>1085</v>
      </c>
      <c r="O61" s="15">
        <v>7</v>
      </c>
      <c r="P61" s="15"/>
      <c r="Q61" s="15" t="s">
        <v>188</v>
      </c>
      <c r="R61" s="15"/>
      <c r="S61" s="15"/>
      <c r="T61" s="15"/>
      <c r="U61" s="15" t="s">
        <v>188</v>
      </c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>
        <v>2013</v>
      </c>
      <c r="AI61" s="1">
        <v>300000</v>
      </c>
      <c r="AJ61" s="15"/>
      <c r="AK61" s="15"/>
      <c r="AL61" s="15" t="s">
        <v>188</v>
      </c>
      <c r="AM61" s="15"/>
      <c r="AN61" s="15"/>
      <c r="AO61" s="15"/>
      <c r="AP61" s="15" t="s">
        <v>188</v>
      </c>
      <c r="AQ61" s="15"/>
      <c r="AR61" s="15"/>
      <c r="AS61" s="15"/>
      <c r="AT61" s="15" t="s">
        <v>328</v>
      </c>
      <c r="AU61" s="1">
        <v>25000</v>
      </c>
      <c r="AV61" s="48">
        <v>0.1</v>
      </c>
      <c r="AW61" s="15">
        <v>3</v>
      </c>
      <c r="AX61" s="15">
        <v>2.8</v>
      </c>
      <c r="AY61" s="15">
        <v>2</v>
      </c>
      <c r="AZ61" s="15">
        <v>1000</v>
      </c>
      <c r="BA61" s="15">
        <v>3000</v>
      </c>
      <c r="BB61" s="15" t="s">
        <v>188</v>
      </c>
      <c r="BC61" s="15" t="s">
        <v>188</v>
      </c>
      <c r="BD61" s="15" t="s">
        <v>188</v>
      </c>
      <c r="BE61" s="1">
        <v>20000</v>
      </c>
      <c r="BF61" s="1">
        <v>25000</v>
      </c>
      <c r="BG61" s="1">
        <v>20000</v>
      </c>
      <c r="BH61" s="1">
        <v>200000</v>
      </c>
      <c r="BI61" s="1">
        <v>20000</v>
      </c>
      <c r="BJ61" s="15"/>
      <c r="BK61" s="15"/>
      <c r="BL61" s="15"/>
      <c r="BM61" s="15"/>
      <c r="BN61" s="15"/>
      <c r="BO61" s="15"/>
      <c r="BP61" s="15"/>
      <c r="BQ61" s="15"/>
      <c r="BR61" s="15"/>
      <c r="BS61" s="2" t="s">
        <v>314</v>
      </c>
      <c r="BT61" s="15"/>
      <c r="BU61" s="15" t="s">
        <v>188</v>
      </c>
      <c r="BV61" s="15"/>
      <c r="BW61" s="15"/>
      <c r="BX61" s="15">
        <v>2</v>
      </c>
      <c r="BY61" s="15">
        <v>1</v>
      </c>
      <c r="BZ61" s="15">
        <v>3</v>
      </c>
      <c r="CA61" s="15"/>
      <c r="CB61" s="15"/>
      <c r="CC61" s="15" t="s">
        <v>188</v>
      </c>
      <c r="CD61" s="15"/>
      <c r="CE61" s="15"/>
      <c r="CF61" s="15"/>
      <c r="CG61" s="15" t="s">
        <v>188</v>
      </c>
      <c r="CH61" s="15"/>
      <c r="CI61" s="15" t="s">
        <v>188</v>
      </c>
      <c r="CJ61" s="15"/>
      <c r="CK61" s="15" t="s">
        <v>188</v>
      </c>
      <c r="CL61" s="15"/>
      <c r="CM61" s="15"/>
      <c r="CN61" s="15"/>
      <c r="CO61" s="15"/>
      <c r="CP61" s="15" t="s">
        <v>193</v>
      </c>
      <c r="CQ61" s="15" t="s">
        <v>209</v>
      </c>
      <c r="CR61" s="15"/>
      <c r="CS61" s="15"/>
      <c r="CT61" s="15" t="s">
        <v>188</v>
      </c>
      <c r="CU61" s="15" t="s">
        <v>276</v>
      </c>
      <c r="CV61" s="15"/>
      <c r="CW61" s="2"/>
      <c r="CX61" s="15" t="s">
        <v>188</v>
      </c>
      <c r="CY61" s="15" t="s">
        <v>188</v>
      </c>
      <c r="CZ61" s="3"/>
      <c r="DA61" s="49"/>
      <c r="DC61" s="18">
        <f t="shared" si="0"/>
        <v>0</v>
      </c>
      <c r="DD61" s="18">
        <f t="shared" si="1"/>
        <v>7</v>
      </c>
      <c r="DE61" s="18">
        <f t="shared" si="2"/>
        <v>2013</v>
      </c>
    </row>
    <row r="62" spans="1:109" x14ac:dyDescent="0.25">
      <c r="A62" s="59" t="s">
        <v>1318</v>
      </c>
      <c r="B62" s="103">
        <v>41541</v>
      </c>
      <c r="C62" s="105" t="s">
        <v>1576</v>
      </c>
      <c r="D62" s="14" t="s">
        <v>313</v>
      </c>
      <c r="E62" s="15"/>
      <c r="F62" s="15"/>
      <c r="G62" s="15"/>
      <c r="H62" s="15" t="s">
        <v>188</v>
      </c>
      <c r="I62" s="15">
        <v>31</v>
      </c>
      <c r="J62" s="15" t="s">
        <v>189</v>
      </c>
      <c r="K62" s="15" t="s">
        <v>190</v>
      </c>
      <c r="L62" s="15" t="s">
        <v>394</v>
      </c>
      <c r="M62" s="15" t="s">
        <v>1027</v>
      </c>
      <c r="N62" s="15" t="s">
        <v>1085</v>
      </c>
      <c r="O62" s="15">
        <v>8</v>
      </c>
      <c r="P62" s="15" t="s">
        <v>188</v>
      </c>
      <c r="Q62" s="15"/>
      <c r="R62" s="15"/>
      <c r="S62" s="15"/>
      <c r="T62" s="15"/>
      <c r="U62" s="15" t="s">
        <v>188</v>
      </c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>
        <v>2007</v>
      </c>
      <c r="AI62" s="1">
        <v>800000</v>
      </c>
      <c r="AJ62" s="15"/>
      <c r="AK62" s="15"/>
      <c r="AL62" s="15" t="s">
        <v>188</v>
      </c>
      <c r="AM62" s="15"/>
      <c r="AN62" s="15"/>
      <c r="AO62" s="15"/>
      <c r="AP62" s="15" t="s">
        <v>188</v>
      </c>
      <c r="AQ62" s="15"/>
      <c r="AR62" s="15"/>
      <c r="AS62" s="15"/>
      <c r="AT62" s="15" t="s">
        <v>390</v>
      </c>
      <c r="AU62" s="1">
        <v>10000</v>
      </c>
      <c r="AV62" s="48">
        <v>0.5</v>
      </c>
      <c r="AW62" s="15">
        <v>3</v>
      </c>
      <c r="AX62" s="15">
        <v>2.5</v>
      </c>
      <c r="AY62" s="15">
        <v>1</v>
      </c>
      <c r="AZ62" s="15">
        <v>450</v>
      </c>
      <c r="BA62" s="15">
        <v>1100</v>
      </c>
      <c r="BB62" s="15" t="s">
        <v>188</v>
      </c>
      <c r="BC62" s="15" t="s">
        <v>188</v>
      </c>
      <c r="BD62" s="15" t="s">
        <v>188</v>
      </c>
      <c r="BE62" s="1">
        <v>12000</v>
      </c>
      <c r="BF62" s="1">
        <v>25000</v>
      </c>
      <c r="BG62" s="1">
        <v>10000</v>
      </c>
      <c r="BH62" s="1">
        <v>100000</v>
      </c>
      <c r="BI62" s="1">
        <v>10000</v>
      </c>
      <c r="BJ62" s="15"/>
      <c r="BK62" s="15"/>
      <c r="BL62" s="15"/>
      <c r="BM62" s="15"/>
      <c r="BN62" s="15"/>
      <c r="BO62" s="15"/>
      <c r="BP62" s="15"/>
      <c r="BQ62" s="15"/>
      <c r="BR62" s="15"/>
      <c r="BS62" s="2" t="s">
        <v>314</v>
      </c>
      <c r="BT62" s="15"/>
      <c r="BU62" s="15" t="s">
        <v>188</v>
      </c>
      <c r="BV62" s="15"/>
      <c r="BW62" s="15"/>
      <c r="BX62" s="15">
        <v>2</v>
      </c>
      <c r="BY62" s="15">
        <v>3</v>
      </c>
      <c r="BZ62" s="15">
        <v>1</v>
      </c>
      <c r="CA62" s="15"/>
      <c r="CB62" s="15"/>
      <c r="CC62" s="15" t="s">
        <v>188</v>
      </c>
      <c r="CD62" s="15"/>
      <c r="CE62" s="15" t="s">
        <v>188</v>
      </c>
      <c r="CF62" s="15"/>
      <c r="CG62" s="15"/>
      <c r="CH62" s="15" t="s">
        <v>188</v>
      </c>
      <c r="CI62" s="15" t="s">
        <v>188</v>
      </c>
      <c r="CJ62" s="15"/>
      <c r="CK62" s="15" t="s">
        <v>188</v>
      </c>
      <c r="CL62" s="15"/>
      <c r="CM62" s="15"/>
      <c r="CN62" s="15"/>
      <c r="CO62" s="15"/>
      <c r="CP62" s="15" t="s">
        <v>193</v>
      </c>
      <c r="CQ62" s="15" t="s">
        <v>309</v>
      </c>
      <c r="CR62" s="15"/>
      <c r="CS62" s="15"/>
      <c r="CT62" s="15" t="s">
        <v>188</v>
      </c>
      <c r="CU62" s="15"/>
      <c r="CV62" s="15"/>
      <c r="CW62" s="15"/>
      <c r="CX62" s="15" t="s">
        <v>188</v>
      </c>
      <c r="CY62" s="15" t="s">
        <v>188</v>
      </c>
      <c r="CZ62" s="3"/>
      <c r="DA62" s="49"/>
      <c r="DC62" s="18">
        <f t="shared" si="0"/>
        <v>0</v>
      </c>
      <c r="DD62" s="18">
        <f t="shared" si="1"/>
        <v>7</v>
      </c>
      <c r="DE62" s="18">
        <f t="shared" si="2"/>
        <v>2007</v>
      </c>
    </row>
    <row r="63" spans="1:109" x14ac:dyDescent="0.25">
      <c r="A63" s="59" t="s">
        <v>1318</v>
      </c>
      <c r="B63" s="103">
        <v>41541</v>
      </c>
      <c r="C63" s="105" t="s">
        <v>1576</v>
      </c>
      <c r="D63" s="14" t="s">
        <v>315</v>
      </c>
      <c r="E63" s="15"/>
      <c r="F63" s="15"/>
      <c r="G63" s="15" t="s">
        <v>188</v>
      </c>
      <c r="H63" s="15"/>
      <c r="I63" s="15">
        <v>37</v>
      </c>
      <c r="J63" s="15" t="s">
        <v>189</v>
      </c>
      <c r="K63" s="15" t="s">
        <v>190</v>
      </c>
      <c r="L63" s="15" t="s">
        <v>400</v>
      </c>
      <c r="M63" s="15" t="s">
        <v>1034</v>
      </c>
      <c r="N63" s="15" t="s">
        <v>1084</v>
      </c>
      <c r="O63" s="15">
        <v>18</v>
      </c>
      <c r="P63" s="15"/>
      <c r="Q63" s="15"/>
      <c r="R63" s="15"/>
      <c r="S63" s="15" t="s">
        <v>188</v>
      </c>
      <c r="T63" s="15"/>
      <c r="U63" s="15" t="s">
        <v>188</v>
      </c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>
        <v>2012</v>
      </c>
      <c r="AI63" s="1">
        <v>350000</v>
      </c>
      <c r="AJ63" s="15"/>
      <c r="AK63" s="15"/>
      <c r="AL63" s="15" t="s">
        <v>188</v>
      </c>
      <c r="AM63" s="15"/>
      <c r="AN63" s="15"/>
      <c r="AO63" s="15"/>
      <c r="AP63" s="15" t="s">
        <v>188</v>
      </c>
      <c r="AQ63" s="15"/>
      <c r="AR63" s="15"/>
      <c r="AS63" s="15"/>
      <c r="AT63" s="15" t="s">
        <v>289</v>
      </c>
      <c r="AU63" s="1">
        <v>15000</v>
      </c>
      <c r="AV63" s="48">
        <v>0.1</v>
      </c>
      <c r="AW63" s="15">
        <v>2.9</v>
      </c>
      <c r="AX63" s="15">
        <v>2</v>
      </c>
      <c r="AY63" s="15">
        <v>2</v>
      </c>
      <c r="AZ63" s="15">
        <v>880</v>
      </c>
      <c r="BA63" s="15">
        <v>2200</v>
      </c>
      <c r="BB63" s="15" t="s">
        <v>188</v>
      </c>
      <c r="BC63" s="15" t="s">
        <v>188</v>
      </c>
      <c r="BD63" s="15" t="s">
        <v>199</v>
      </c>
      <c r="BE63" s="1">
        <v>25000</v>
      </c>
      <c r="BF63" s="1">
        <v>90000</v>
      </c>
      <c r="BG63" s="1">
        <v>25000</v>
      </c>
      <c r="BH63" s="1">
        <v>180000</v>
      </c>
      <c r="BI63" s="1">
        <v>25000</v>
      </c>
      <c r="BJ63" s="15"/>
      <c r="BK63" s="15"/>
      <c r="BL63" s="15"/>
      <c r="BM63" s="15"/>
      <c r="BN63" s="15"/>
      <c r="BO63" s="15" t="s">
        <v>188</v>
      </c>
      <c r="BP63" s="15"/>
      <c r="BQ63" s="15"/>
      <c r="BR63" s="15"/>
      <c r="BS63" s="2"/>
      <c r="BT63" s="15"/>
      <c r="BU63" s="15"/>
      <c r="BV63" s="15" t="s">
        <v>188</v>
      </c>
      <c r="BW63" s="15"/>
      <c r="BX63" s="15">
        <v>2</v>
      </c>
      <c r="BY63" s="15">
        <v>1</v>
      </c>
      <c r="BZ63" s="15">
        <v>3</v>
      </c>
      <c r="CA63" s="15"/>
      <c r="CB63" s="15" t="s">
        <v>188</v>
      </c>
      <c r="CC63" s="15"/>
      <c r="CD63" s="15"/>
      <c r="CE63" s="15"/>
      <c r="CF63" s="15"/>
      <c r="CG63" s="15"/>
      <c r="CH63" s="15"/>
      <c r="CI63" s="15"/>
      <c r="CJ63" s="15"/>
      <c r="CK63" s="15" t="s">
        <v>188</v>
      </c>
      <c r="CL63" s="15"/>
      <c r="CM63" s="15"/>
      <c r="CN63" s="15"/>
      <c r="CO63" s="15"/>
      <c r="CP63" s="15" t="s">
        <v>193</v>
      </c>
      <c r="CQ63" s="15" t="s">
        <v>309</v>
      </c>
      <c r="CR63" s="15"/>
      <c r="CS63" s="15"/>
      <c r="CT63" s="15" t="s">
        <v>188</v>
      </c>
      <c r="CU63" s="15"/>
      <c r="CV63" s="15"/>
      <c r="CW63" s="15"/>
      <c r="CX63" s="15"/>
      <c r="CY63" s="15" t="s">
        <v>188</v>
      </c>
      <c r="CZ63" s="3"/>
      <c r="DA63" s="49"/>
      <c r="DC63" s="18">
        <f t="shared" si="0"/>
        <v>0</v>
      </c>
      <c r="DD63" s="18">
        <f t="shared" si="1"/>
        <v>3</v>
      </c>
      <c r="DE63" s="18">
        <f t="shared" si="2"/>
        <v>2012</v>
      </c>
    </row>
    <row r="64" spans="1:109" x14ac:dyDescent="0.25">
      <c r="A64" s="59" t="s">
        <v>1318</v>
      </c>
      <c r="B64" s="103">
        <v>41541</v>
      </c>
      <c r="C64" s="105" t="s">
        <v>1576</v>
      </c>
      <c r="D64" s="14" t="s">
        <v>316</v>
      </c>
      <c r="E64" s="15"/>
      <c r="F64" s="15"/>
      <c r="G64" s="15"/>
      <c r="H64" s="15" t="s">
        <v>188</v>
      </c>
      <c r="I64" s="15">
        <v>23</v>
      </c>
      <c r="J64" s="15" t="s">
        <v>189</v>
      </c>
      <c r="K64" s="15" t="s">
        <v>190</v>
      </c>
      <c r="L64" s="15" t="s">
        <v>386</v>
      </c>
      <c r="M64" s="15" t="s">
        <v>1017</v>
      </c>
      <c r="N64" s="15" t="s">
        <v>1085</v>
      </c>
      <c r="O64" s="15">
        <v>5</v>
      </c>
      <c r="P64" s="15"/>
      <c r="Q64" s="15" t="s">
        <v>188</v>
      </c>
      <c r="R64" s="15"/>
      <c r="S64" s="15"/>
      <c r="T64" s="15"/>
      <c r="U64" s="15" t="s">
        <v>188</v>
      </c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>
        <v>2013</v>
      </c>
      <c r="AI64" s="1">
        <v>150000</v>
      </c>
      <c r="AJ64" s="15"/>
      <c r="AK64" s="15"/>
      <c r="AL64" s="15" t="s">
        <v>188</v>
      </c>
      <c r="AM64" s="15"/>
      <c r="AN64" s="15"/>
      <c r="AO64" s="15"/>
      <c r="AP64" s="15" t="s">
        <v>188</v>
      </c>
      <c r="AQ64" s="15"/>
      <c r="AR64" s="15"/>
      <c r="AS64" s="15"/>
      <c r="AT64" s="15" t="s">
        <v>401</v>
      </c>
      <c r="AU64" s="1">
        <v>15000</v>
      </c>
      <c r="AV64" s="48">
        <v>0.2</v>
      </c>
      <c r="AW64" s="15">
        <v>2.8</v>
      </c>
      <c r="AX64" s="15">
        <v>2</v>
      </c>
      <c r="AY64" s="15">
        <v>1</v>
      </c>
      <c r="AZ64" s="15">
        <v>350</v>
      </c>
      <c r="BA64" s="15">
        <v>800</v>
      </c>
      <c r="BB64" s="15" t="s">
        <v>199</v>
      </c>
      <c r="BC64" s="15" t="s">
        <v>199</v>
      </c>
      <c r="BD64" s="15" t="s">
        <v>188</v>
      </c>
      <c r="BE64" s="1">
        <v>10000</v>
      </c>
      <c r="BF64" s="1">
        <v>90000</v>
      </c>
      <c r="BG64" s="1">
        <v>10000</v>
      </c>
      <c r="BH64" s="1">
        <v>180000</v>
      </c>
      <c r="BI64" s="1">
        <v>10000</v>
      </c>
      <c r="BJ64" s="15"/>
      <c r="BK64" s="15"/>
      <c r="BL64" s="15"/>
      <c r="BM64" s="15"/>
      <c r="BN64" s="15" t="s">
        <v>188</v>
      </c>
      <c r="BO64" s="15"/>
      <c r="BP64" s="15"/>
      <c r="BQ64" s="15"/>
      <c r="BR64" s="15"/>
      <c r="BS64" s="2"/>
      <c r="BT64" s="15"/>
      <c r="BU64" s="15" t="s">
        <v>188</v>
      </c>
      <c r="BV64" s="15"/>
      <c r="BW64" s="15"/>
      <c r="BX64" s="15">
        <v>1</v>
      </c>
      <c r="BY64" s="15">
        <v>2</v>
      </c>
      <c r="BZ64" s="15">
        <v>3</v>
      </c>
      <c r="CA64" s="15"/>
      <c r="CB64" s="15" t="s">
        <v>188</v>
      </c>
      <c r="CC64" s="15"/>
      <c r="CD64" s="15"/>
      <c r="CE64" s="15"/>
      <c r="CF64" s="15"/>
      <c r="CG64" s="15"/>
      <c r="CH64" s="15"/>
      <c r="CI64" s="15"/>
      <c r="CJ64" s="15"/>
      <c r="CK64" s="15"/>
      <c r="CL64" s="15" t="s">
        <v>188</v>
      </c>
      <c r="CM64" s="15" t="s">
        <v>188</v>
      </c>
      <c r="CN64" s="15" t="s">
        <v>317</v>
      </c>
      <c r="CO64" s="15"/>
      <c r="CP64" s="15" t="s">
        <v>318</v>
      </c>
      <c r="CQ64" s="15" t="s">
        <v>193</v>
      </c>
      <c r="CR64" s="15" t="s">
        <v>188</v>
      </c>
      <c r="CS64" s="15"/>
      <c r="CT64" s="15"/>
      <c r="CU64" s="15"/>
      <c r="CV64" s="15"/>
      <c r="CW64" s="15"/>
      <c r="CX64" s="15"/>
      <c r="CY64" s="15" t="s">
        <v>188</v>
      </c>
      <c r="CZ64" s="3"/>
      <c r="DA64" s="49"/>
      <c r="DC64" s="18">
        <f t="shared" si="0"/>
        <v>0</v>
      </c>
      <c r="DD64" s="18">
        <f t="shared" si="1"/>
        <v>7</v>
      </c>
      <c r="DE64" s="18">
        <f t="shared" si="2"/>
        <v>2013</v>
      </c>
    </row>
    <row r="65" spans="1:109" x14ac:dyDescent="0.25">
      <c r="A65" s="59" t="s">
        <v>1318</v>
      </c>
      <c r="B65" s="103">
        <v>41541</v>
      </c>
      <c r="C65" s="105" t="s">
        <v>1576</v>
      </c>
      <c r="D65" s="14" t="s">
        <v>319</v>
      </c>
      <c r="E65" s="15"/>
      <c r="F65" s="15" t="s">
        <v>188</v>
      </c>
      <c r="G65" s="15"/>
      <c r="H65" s="15"/>
      <c r="I65" s="15">
        <v>30</v>
      </c>
      <c r="J65" s="15" t="s">
        <v>189</v>
      </c>
      <c r="K65" s="15" t="s">
        <v>190</v>
      </c>
      <c r="L65" s="15" t="s">
        <v>228</v>
      </c>
      <c r="M65" s="15" t="s">
        <v>1010</v>
      </c>
      <c r="N65" s="15" t="s">
        <v>1084</v>
      </c>
      <c r="O65" s="15">
        <v>10</v>
      </c>
      <c r="P65" s="15"/>
      <c r="Q65" s="15"/>
      <c r="R65" s="15"/>
      <c r="S65" s="15" t="s">
        <v>188</v>
      </c>
      <c r="T65" s="15"/>
      <c r="U65" s="15" t="s">
        <v>188</v>
      </c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>
        <v>2002</v>
      </c>
      <c r="AI65" s="1">
        <v>1000000</v>
      </c>
      <c r="AJ65" s="15"/>
      <c r="AK65" s="15"/>
      <c r="AL65" s="15" t="s">
        <v>188</v>
      </c>
      <c r="AM65" s="15"/>
      <c r="AN65" s="15"/>
      <c r="AO65" s="15"/>
      <c r="AP65" s="15" t="s">
        <v>188</v>
      </c>
      <c r="AQ65" s="15"/>
      <c r="AR65" s="15"/>
      <c r="AS65" s="15"/>
      <c r="AT65" s="15" t="s">
        <v>322</v>
      </c>
      <c r="AU65" s="1">
        <v>5000</v>
      </c>
      <c r="AV65" s="48">
        <v>0.5</v>
      </c>
      <c r="AW65" s="15">
        <v>1.8</v>
      </c>
      <c r="AX65" s="15">
        <v>1.5</v>
      </c>
      <c r="AY65" s="15">
        <v>3</v>
      </c>
      <c r="AZ65" s="15">
        <v>1100</v>
      </c>
      <c r="BA65" s="15">
        <v>2000</v>
      </c>
      <c r="BB65" s="15" t="s">
        <v>188</v>
      </c>
      <c r="BC65" s="15" t="s">
        <v>188</v>
      </c>
      <c r="BD65" s="15" t="s">
        <v>199</v>
      </c>
      <c r="BE65" s="1">
        <v>15000</v>
      </c>
      <c r="BF65" s="1">
        <v>30000</v>
      </c>
      <c r="BG65" s="1">
        <v>15000</v>
      </c>
      <c r="BH65" s="1">
        <v>120000</v>
      </c>
      <c r="BI65" s="1">
        <v>15000</v>
      </c>
      <c r="BJ65" s="15"/>
      <c r="BK65" s="15"/>
      <c r="BL65" s="15" t="s">
        <v>188</v>
      </c>
      <c r="BM65" s="15"/>
      <c r="BN65" s="15"/>
      <c r="BO65" s="15"/>
      <c r="BP65" s="15"/>
      <c r="BQ65" s="15"/>
      <c r="BR65" s="15"/>
      <c r="BS65" s="2"/>
      <c r="BT65" s="15"/>
      <c r="BU65" s="15" t="s">
        <v>188</v>
      </c>
      <c r="BV65" s="15"/>
      <c r="BW65" s="15"/>
      <c r="BX65" s="15">
        <v>1</v>
      </c>
      <c r="BY65" s="15">
        <v>2</v>
      </c>
      <c r="BZ65" s="15">
        <v>3</v>
      </c>
      <c r="CA65" s="15"/>
      <c r="CB65" s="15" t="s">
        <v>188</v>
      </c>
      <c r="CC65" s="15"/>
      <c r="CD65" s="15"/>
      <c r="CE65" s="15"/>
      <c r="CF65" s="15"/>
      <c r="CG65" s="15"/>
      <c r="CH65" s="15"/>
      <c r="CI65" s="15"/>
      <c r="CJ65" s="15"/>
      <c r="CK65" s="15" t="s">
        <v>188</v>
      </c>
      <c r="CL65" s="15"/>
      <c r="CM65" s="15"/>
      <c r="CN65" s="15"/>
      <c r="CO65" s="15"/>
      <c r="CP65" s="15" t="s">
        <v>193</v>
      </c>
      <c r="CQ65" s="15" t="s">
        <v>309</v>
      </c>
      <c r="CR65" s="15"/>
      <c r="CS65" s="15"/>
      <c r="CT65" s="15" t="s">
        <v>188</v>
      </c>
      <c r="CU65" s="15"/>
      <c r="CV65" s="15"/>
      <c r="CW65" s="15"/>
      <c r="CX65" s="15" t="s">
        <v>188</v>
      </c>
      <c r="CY65" s="15"/>
      <c r="CZ65" s="3"/>
      <c r="DA65" s="49" t="s">
        <v>320</v>
      </c>
      <c r="DC65" s="18">
        <f t="shared" si="0"/>
        <v>0</v>
      </c>
      <c r="DD65" s="18">
        <f t="shared" si="1"/>
        <v>2</v>
      </c>
      <c r="DE65" s="18">
        <f t="shared" si="2"/>
        <v>2002</v>
      </c>
    </row>
    <row r="66" spans="1:109" x14ac:dyDescent="0.25">
      <c r="A66" s="59" t="s">
        <v>1318</v>
      </c>
      <c r="B66" s="103">
        <v>41541</v>
      </c>
      <c r="C66" s="105" t="s">
        <v>1576</v>
      </c>
      <c r="D66" s="14" t="s">
        <v>321</v>
      </c>
      <c r="E66" s="15"/>
      <c r="F66" s="15"/>
      <c r="G66" s="15"/>
      <c r="H66" s="15" t="s">
        <v>188</v>
      </c>
      <c r="I66" s="15">
        <v>70</v>
      </c>
      <c r="J66" s="15" t="s">
        <v>189</v>
      </c>
      <c r="K66" s="15" t="s">
        <v>196</v>
      </c>
      <c r="L66" s="15" t="s">
        <v>402</v>
      </c>
      <c r="M66" s="15" t="s">
        <v>1035</v>
      </c>
      <c r="N66" s="15" t="s">
        <v>1087</v>
      </c>
      <c r="O66" s="15">
        <v>52</v>
      </c>
      <c r="P66" s="15"/>
      <c r="Q66" s="15"/>
      <c r="R66" s="15"/>
      <c r="S66" s="15" t="s">
        <v>188</v>
      </c>
      <c r="T66" s="15"/>
      <c r="U66" s="15"/>
      <c r="V66" s="15"/>
      <c r="W66" s="15"/>
      <c r="X66" s="15"/>
      <c r="Y66" s="15"/>
      <c r="Z66" s="15"/>
      <c r="AA66" s="15"/>
      <c r="AB66" s="15" t="s">
        <v>188</v>
      </c>
      <c r="AC66" s="15"/>
      <c r="AD66" s="15"/>
      <c r="AE66" s="15"/>
      <c r="AF66" s="15"/>
      <c r="AG66" s="15"/>
      <c r="AH66" s="15">
        <v>2004</v>
      </c>
      <c r="AI66" s="1">
        <v>500000</v>
      </c>
      <c r="AJ66" s="15"/>
      <c r="AK66" s="15"/>
      <c r="AL66" s="15" t="s">
        <v>188</v>
      </c>
      <c r="AM66" s="15"/>
      <c r="AN66" s="15"/>
      <c r="AO66" s="15"/>
      <c r="AP66" s="15" t="s">
        <v>188</v>
      </c>
      <c r="AQ66" s="15"/>
      <c r="AR66" s="15"/>
      <c r="AS66" s="15"/>
      <c r="AT66" s="15" t="s">
        <v>322</v>
      </c>
      <c r="AU66" s="1">
        <v>4000</v>
      </c>
      <c r="AV66" s="48">
        <v>0.5</v>
      </c>
      <c r="AW66" s="15">
        <v>3</v>
      </c>
      <c r="AX66" s="15">
        <v>2.8</v>
      </c>
      <c r="AY66" s="15">
        <v>2</v>
      </c>
      <c r="AZ66" s="15">
        <v>340</v>
      </c>
      <c r="BA66" s="15">
        <v>1000</v>
      </c>
      <c r="BB66" s="15" t="s">
        <v>188</v>
      </c>
      <c r="BC66" s="15" t="s">
        <v>199</v>
      </c>
      <c r="BD66" s="15" t="s">
        <v>199</v>
      </c>
      <c r="BE66" s="1">
        <v>60000</v>
      </c>
      <c r="BF66" s="1">
        <v>40000</v>
      </c>
      <c r="BG66" s="1">
        <v>20000</v>
      </c>
      <c r="BH66" s="1">
        <v>80000</v>
      </c>
      <c r="BI66" s="1">
        <v>20000</v>
      </c>
      <c r="BJ66" s="15"/>
      <c r="BK66" s="15"/>
      <c r="BL66" s="15"/>
      <c r="BM66" s="15"/>
      <c r="BN66" s="15"/>
      <c r="BO66" s="15"/>
      <c r="BP66" s="15"/>
      <c r="BQ66" s="15"/>
      <c r="BR66" s="15"/>
      <c r="BS66" s="2" t="s">
        <v>323</v>
      </c>
      <c r="BT66" s="15"/>
      <c r="BU66" s="15" t="s">
        <v>188</v>
      </c>
      <c r="BV66" s="15"/>
      <c r="BW66" s="15"/>
      <c r="BX66" s="15">
        <v>2</v>
      </c>
      <c r="BY66" s="15">
        <v>3</v>
      </c>
      <c r="BZ66" s="15">
        <v>1</v>
      </c>
      <c r="CA66" s="15"/>
      <c r="CB66" s="15"/>
      <c r="CC66" s="15" t="s">
        <v>188</v>
      </c>
      <c r="CD66" s="15" t="s">
        <v>188</v>
      </c>
      <c r="CE66" s="15" t="s">
        <v>188</v>
      </c>
      <c r="CF66" s="15" t="s">
        <v>188</v>
      </c>
      <c r="CG66" s="15"/>
      <c r="CH66" s="15"/>
      <c r="CI66" s="15" t="s">
        <v>188</v>
      </c>
      <c r="CJ66" s="15"/>
      <c r="CK66" s="15"/>
      <c r="CL66" s="15" t="s">
        <v>188</v>
      </c>
      <c r="CM66" s="15"/>
      <c r="CN66" s="15"/>
      <c r="CO66" s="15" t="s">
        <v>188</v>
      </c>
      <c r="CP66" s="15" t="s">
        <v>261</v>
      </c>
      <c r="CQ66" s="15" t="s">
        <v>209</v>
      </c>
      <c r="CR66" s="15"/>
      <c r="CS66" s="15" t="s">
        <v>188</v>
      </c>
      <c r="CT66" s="2"/>
      <c r="CU66" s="2" t="s">
        <v>324</v>
      </c>
      <c r="CV66" s="15"/>
      <c r="CW66" s="15"/>
      <c r="CX66" s="15"/>
      <c r="CY66" s="15" t="s">
        <v>188</v>
      </c>
      <c r="CZ66" s="3"/>
      <c r="DA66" s="49"/>
      <c r="DC66" s="18">
        <f t="shared" si="0"/>
        <v>0</v>
      </c>
      <c r="DD66" s="18">
        <f t="shared" si="1"/>
        <v>7</v>
      </c>
      <c r="DE66" s="18">
        <f t="shared" si="2"/>
        <v>2004</v>
      </c>
    </row>
    <row r="67" spans="1:109" x14ac:dyDescent="0.25">
      <c r="A67" s="59" t="s">
        <v>1318</v>
      </c>
      <c r="B67" s="103">
        <v>41541</v>
      </c>
      <c r="C67" s="105" t="s">
        <v>1576</v>
      </c>
      <c r="D67" s="14" t="s">
        <v>403</v>
      </c>
      <c r="E67" s="15"/>
      <c r="F67" s="15"/>
      <c r="G67" s="15"/>
      <c r="H67" s="15" t="s">
        <v>188</v>
      </c>
      <c r="I67" s="15">
        <v>33</v>
      </c>
      <c r="J67" s="15" t="s">
        <v>189</v>
      </c>
      <c r="K67" s="15" t="s">
        <v>190</v>
      </c>
      <c r="L67" s="15" t="s">
        <v>399</v>
      </c>
      <c r="M67" s="15" t="s">
        <v>1033</v>
      </c>
      <c r="N67" s="15" t="s">
        <v>1085</v>
      </c>
      <c r="O67" s="15">
        <v>12</v>
      </c>
      <c r="P67" s="15"/>
      <c r="Q67" s="15"/>
      <c r="R67" s="15"/>
      <c r="S67" s="15" t="s">
        <v>188</v>
      </c>
      <c r="T67" s="15"/>
      <c r="U67" s="15" t="s">
        <v>188</v>
      </c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>
        <v>2001</v>
      </c>
      <c r="AI67" s="1">
        <v>1750000</v>
      </c>
      <c r="AJ67" s="15"/>
      <c r="AK67" s="15"/>
      <c r="AL67" s="15" t="s">
        <v>188</v>
      </c>
      <c r="AM67" s="15"/>
      <c r="AN67" s="15"/>
      <c r="AO67" s="15"/>
      <c r="AP67" s="15"/>
      <c r="AQ67" s="15" t="s">
        <v>188</v>
      </c>
      <c r="AR67" s="15"/>
      <c r="AS67" s="15">
        <v>2004</v>
      </c>
      <c r="AT67" s="15" t="s">
        <v>322</v>
      </c>
      <c r="AU67" s="1">
        <v>12000</v>
      </c>
      <c r="AV67" s="48">
        <v>0.2</v>
      </c>
      <c r="AW67" s="15">
        <v>3.1</v>
      </c>
      <c r="AX67" s="15">
        <v>2.2000000000000002</v>
      </c>
      <c r="AY67" s="15">
        <v>2</v>
      </c>
      <c r="AZ67" s="15">
        <v>650</v>
      </c>
      <c r="BA67" s="15">
        <v>1800</v>
      </c>
      <c r="BB67" s="15" t="s">
        <v>188</v>
      </c>
      <c r="BC67" s="15" t="s">
        <v>188</v>
      </c>
      <c r="BD67" s="15" t="s">
        <v>199</v>
      </c>
      <c r="BE67" s="1">
        <v>15000</v>
      </c>
      <c r="BF67" s="1">
        <v>72000</v>
      </c>
      <c r="BG67" s="1">
        <v>15000</v>
      </c>
      <c r="BH67" s="1">
        <v>72000</v>
      </c>
      <c r="BI67" s="1">
        <v>15000</v>
      </c>
      <c r="BJ67" s="15"/>
      <c r="BK67" s="15"/>
      <c r="BL67" s="15"/>
      <c r="BM67" s="15"/>
      <c r="BN67" s="15"/>
      <c r="BO67" s="15"/>
      <c r="BP67" s="15"/>
      <c r="BQ67" s="15"/>
      <c r="BR67" s="15" t="s">
        <v>188</v>
      </c>
      <c r="BS67" s="2"/>
      <c r="BT67" s="15"/>
      <c r="BU67" s="15" t="s">
        <v>188</v>
      </c>
      <c r="BV67" s="15"/>
      <c r="BW67" s="15"/>
      <c r="BX67" s="15">
        <v>2</v>
      </c>
      <c r="BY67" s="15">
        <v>1</v>
      </c>
      <c r="BZ67" s="15">
        <v>3</v>
      </c>
      <c r="CA67" s="15"/>
      <c r="CB67" s="15"/>
      <c r="CC67" s="15" t="s">
        <v>188</v>
      </c>
      <c r="CD67" s="15"/>
      <c r="CE67" s="15"/>
      <c r="CF67" s="15"/>
      <c r="CG67" s="15" t="s">
        <v>188</v>
      </c>
      <c r="CH67" s="15"/>
      <c r="CI67" s="15"/>
      <c r="CJ67" s="15"/>
      <c r="CK67" s="15" t="s">
        <v>188</v>
      </c>
      <c r="CL67" s="15"/>
      <c r="CM67" s="15"/>
      <c r="CN67" s="15"/>
      <c r="CO67" s="15"/>
      <c r="CP67" s="15" t="s">
        <v>193</v>
      </c>
      <c r="CQ67" s="15" t="s">
        <v>300</v>
      </c>
      <c r="CR67" s="15"/>
      <c r="CS67" s="15"/>
      <c r="CT67" s="2"/>
      <c r="CU67" s="2" t="s">
        <v>324</v>
      </c>
      <c r="CV67" s="15"/>
      <c r="CW67" s="15"/>
      <c r="CX67" s="15" t="s">
        <v>188</v>
      </c>
      <c r="CY67" s="15" t="s">
        <v>188</v>
      </c>
      <c r="CZ67" s="3"/>
      <c r="DA67" s="49"/>
      <c r="DC67" s="18">
        <f t="shared" si="0"/>
        <v>0</v>
      </c>
      <c r="DD67" s="18">
        <f t="shared" si="1"/>
        <v>7</v>
      </c>
      <c r="DE67" s="18">
        <f t="shared" si="2"/>
        <v>2004</v>
      </c>
    </row>
    <row r="68" spans="1:109" x14ac:dyDescent="0.25">
      <c r="A68" s="59" t="s">
        <v>1318</v>
      </c>
      <c r="B68" s="103">
        <v>41541</v>
      </c>
      <c r="C68" s="105" t="s">
        <v>1576</v>
      </c>
      <c r="D68" s="14" t="s">
        <v>325</v>
      </c>
      <c r="E68" s="15"/>
      <c r="F68" s="15"/>
      <c r="G68" s="15" t="s">
        <v>188</v>
      </c>
      <c r="H68" s="15"/>
      <c r="I68" s="15">
        <v>38</v>
      </c>
      <c r="J68" s="15" t="s">
        <v>189</v>
      </c>
      <c r="K68" s="15" t="s">
        <v>190</v>
      </c>
      <c r="L68" s="15" t="s">
        <v>404</v>
      </c>
      <c r="M68" s="15" t="s">
        <v>1036</v>
      </c>
      <c r="N68" s="15" t="s">
        <v>1085</v>
      </c>
      <c r="O68" s="15">
        <v>13</v>
      </c>
      <c r="P68" s="15"/>
      <c r="Q68" s="15"/>
      <c r="R68" s="15" t="s">
        <v>188</v>
      </c>
      <c r="S68" s="15"/>
      <c r="T68" s="15"/>
      <c r="U68" s="15" t="s">
        <v>188</v>
      </c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>
        <v>1994</v>
      </c>
      <c r="AI68" s="1">
        <v>1800000</v>
      </c>
      <c r="AJ68" s="15"/>
      <c r="AK68" s="15"/>
      <c r="AL68" s="15" t="s">
        <v>188</v>
      </c>
      <c r="AM68" s="15"/>
      <c r="AN68" s="15"/>
      <c r="AO68" s="15" t="s">
        <v>188</v>
      </c>
      <c r="AP68" s="15"/>
      <c r="AQ68" s="15"/>
      <c r="AR68" s="15"/>
      <c r="AS68" s="15"/>
      <c r="AT68" s="15" t="s">
        <v>322</v>
      </c>
      <c r="AU68" s="1">
        <v>10000</v>
      </c>
      <c r="AV68" s="48">
        <v>0.5</v>
      </c>
      <c r="AW68" s="15">
        <v>3.2</v>
      </c>
      <c r="AX68" s="15">
        <v>2.9</v>
      </c>
      <c r="AY68" s="15">
        <v>1</v>
      </c>
      <c r="AZ68" s="15">
        <v>500</v>
      </c>
      <c r="BA68" s="15">
        <v>1500</v>
      </c>
      <c r="BB68" s="15" t="s">
        <v>188</v>
      </c>
      <c r="BC68" s="15" t="s">
        <v>188</v>
      </c>
      <c r="BD68" s="15" t="s">
        <v>199</v>
      </c>
      <c r="BE68" s="1">
        <v>12000</v>
      </c>
      <c r="BF68" s="1">
        <v>15000</v>
      </c>
      <c r="BG68" s="1">
        <v>12000</v>
      </c>
      <c r="BH68" s="1">
        <v>100000</v>
      </c>
      <c r="BI68" s="1">
        <v>12000</v>
      </c>
      <c r="BJ68" s="15"/>
      <c r="BK68" s="15"/>
      <c r="BL68" s="15"/>
      <c r="BM68" s="15"/>
      <c r="BN68" s="15"/>
      <c r="BO68" s="15"/>
      <c r="BP68" s="15"/>
      <c r="BQ68" s="15"/>
      <c r="BR68" s="15"/>
      <c r="BS68" s="2" t="s">
        <v>326</v>
      </c>
      <c r="BT68" s="15"/>
      <c r="BU68" s="15"/>
      <c r="BV68" s="15" t="s">
        <v>188</v>
      </c>
      <c r="BW68" s="15"/>
      <c r="BX68" s="15">
        <v>1</v>
      </c>
      <c r="BY68" s="15">
        <v>3</v>
      </c>
      <c r="BZ68" s="15">
        <v>2</v>
      </c>
      <c r="CA68" s="15"/>
      <c r="CB68" s="15" t="s">
        <v>188</v>
      </c>
      <c r="CC68" s="15"/>
      <c r="CD68" s="15"/>
      <c r="CE68" s="15"/>
      <c r="CF68" s="15"/>
      <c r="CG68" s="15"/>
      <c r="CH68" s="15"/>
      <c r="CI68" s="15"/>
      <c r="CJ68" s="15"/>
      <c r="CK68" s="15" t="s">
        <v>188</v>
      </c>
      <c r="CL68" s="15"/>
      <c r="CM68" s="15"/>
      <c r="CN68" s="15"/>
      <c r="CO68" s="15"/>
      <c r="CP68" s="15" t="s">
        <v>193</v>
      </c>
      <c r="CQ68" s="15" t="s">
        <v>209</v>
      </c>
      <c r="CR68" s="15" t="s">
        <v>188</v>
      </c>
      <c r="CS68" s="15"/>
      <c r="CT68" s="15"/>
      <c r="CU68" s="15"/>
      <c r="CV68" s="15"/>
      <c r="CW68" s="15"/>
      <c r="CX68" s="15" t="s">
        <v>188</v>
      </c>
      <c r="CY68" s="15" t="s">
        <v>188</v>
      </c>
      <c r="CZ68" s="3"/>
      <c r="DA68" s="49"/>
      <c r="DC68" s="18">
        <f t="shared" si="0"/>
        <v>0</v>
      </c>
      <c r="DD68" s="18">
        <f t="shared" si="1"/>
        <v>3</v>
      </c>
      <c r="DE68" s="18">
        <f t="shared" si="2"/>
        <v>1994</v>
      </c>
    </row>
    <row r="69" spans="1:109" x14ac:dyDescent="0.25">
      <c r="A69" s="59" t="s">
        <v>1318</v>
      </c>
      <c r="B69" s="103">
        <v>41541</v>
      </c>
      <c r="C69" s="105" t="s">
        <v>1576</v>
      </c>
      <c r="D69" s="14" t="s">
        <v>327</v>
      </c>
      <c r="E69" s="15"/>
      <c r="F69" s="15"/>
      <c r="G69" s="15" t="s">
        <v>188</v>
      </c>
      <c r="H69" s="15"/>
      <c r="I69" s="15">
        <v>33</v>
      </c>
      <c r="J69" s="15" t="s">
        <v>189</v>
      </c>
      <c r="K69" s="15" t="s">
        <v>196</v>
      </c>
      <c r="L69" s="15" t="s">
        <v>395</v>
      </c>
      <c r="M69" s="15" t="s">
        <v>1022</v>
      </c>
      <c r="N69" s="15" t="s">
        <v>1085</v>
      </c>
      <c r="O69" s="15">
        <v>9</v>
      </c>
      <c r="P69" s="15" t="s">
        <v>188</v>
      </c>
      <c r="Q69" s="15"/>
      <c r="R69" s="15"/>
      <c r="S69" s="15"/>
      <c r="T69" s="15"/>
      <c r="U69" s="15" t="s">
        <v>188</v>
      </c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>
        <v>2005</v>
      </c>
      <c r="AI69" s="1">
        <v>1000000</v>
      </c>
      <c r="AJ69" s="15"/>
      <c r="AK69" s="15"/>
      <c r="AL69" s="15" t="s">
        <v>188</v>
      </c>
      <c r="AM69" s="15"/>
      <c r="AN69" s="15"/>
      <c r="AO69" s="15"/>
      <c r="AP69" s="15" t="s">
        <v>188</v>
      </c>
      <c r="AQ69" s="15"/>
      <c r="AR69" s="15"/>
      <c r="AS69" s="15"/>
      <c r="AT69" s="15" t="s">
        <v>322</v>
      </c>
      <c r="AU69" s="1">
        <v>10000</v>
      </c>
      <c r="AV69" s="48">
        <v>0.5</v>
      </c>
      <c r="AW69" s="15">
        <v>2.8</v>
      </c>
      <c r="AX69" s="15">
        <v>2.2999999999999998</v>
      </c>
      <c r="AY69" s="15">
        <v>1</v>
      </c>
      <c r="AZ69" s="15">
        <v>380</v>
      </c>
      <c r="BA69" s="15">
        <v>1000</v>
      </c>
      <c r="BB69" s="15" t="s">
        <v>199</v>
      </c>
      <c r="BC69" s="15" t="s">
        <v>188</v>
      </c>
      <c r="BD69" s="15" t="s">
        <v>199</v>
      </c>
      <c r="BE69" s="1">
        <v>12000</v>
      </c>
      <c r="BF69" s="1">
        <v>60000</v>
      </c>
      <c r="BG69" s="1">
        <v>12000</v>
      </c>
      <c r="BH69" s="1">
        <v>120000</v>
      </c>
      <c r="BI69" s="1">
        <v>12000</v>
      </c>
      <c r="BJ69" s="15"/>
      <c r="BK69" s="15"/>
      <c r="BL69" s="15"/>
      <c r="BM69" s="15"/>
      <c r="BN69" s="15" t="s">
        <v>188</v>
      </c>
      <c r="BO69" s="15"/>
      <c r="BP69" s="15"/>
      <c r="BQ69" s="15"/>
      <c r="BR69" s="15"/>
      <c r="BS69" s="2"/>
      <c r="BT69" s="15"/>
      <c r="BU69" s="15"/>
      <c r="BV69" s="15" t="s">
        <v>188</v>
      </c>
      <c r="BW69" s="15"/>
      <c r="BX69" s="15">
        <v>2</v>
      </c>
      <c r="BY69" s="15">
        <v>3</v>
      </c>
      <c r="BZ69" s="15">
        <v>1</v>
      </c>
      <c r="CA69" s="15"/>
      <c r="CB69" s="15" t="s">
        <v>188</v>
      </c>
      <c r="CC69" s="15"/>
      <c r="CD69" s="15"/>
      <c r="CE69" s="15"/>
      <c r="CF69" s="15"/>
      <c r="CG69" s="15"/>
      <c r="CH69" s="15"/>
      <c r="CI69" s="15"/>
      <c r="CJ69" s="15"/>
      <c r="CK69" s="15" t="s">
        <v>188</v>
      </c>
      <c r="CL69" s="15"/>
      <c r="CM69" s="15"/>
      <c r="CN69" s="15"/>
      <c r="CO69" s="15"/>
      <c r="CP69" s="15" t="s">
        <v>193</v>
      </c>
      <c r="CQ69" s="15" t="s">
        <v>300</v>
      </c>
      <c r="CR69" s="15"/>
      <c r="CS69" s="15"/>
      <c r="CT69" s="15" t="s">
        <v>188</v>
      </c>
      <c r="CU69" s="15"/>
      <c r="CV69" s="15"/>
      <c r="CW69" s="15"/>
      <c r="CX69" s="15"/>
      <c r="CY69" s="15" t="s">
        <v>188</v>
      </c>
      <c r="CZ69" s="3"/>
      <c r="DA69" s="49"/>
      <c r="DC69" s="18">
        <f t="shared" si="0"/>
        <v>0</v>
      </c>
      <c r="DD69" s="18">
        <f t="shared" si="1"/>
        <v>3</v>
      </c>
      <c r="DE69" s="18">
        <f t="shared" si="2"/>
        <v>2005</v>
      </c>
    </row>
    <row r="70" spans="1:109" x14ac:dyDescent="0.25">
      <c r="A70" s="59" t="s">
        <v>1318</v>
      </c>
      <c r="B70" s="103">
        <v>41541</v>
      </c>
      <c r="C70" s="105" t="s">
        <v>1576</v>
      </c>
      <c r="D70" s="14" t="s">
        <v>329</v>
      </c>
      <c r="E70" s="15"/>
      <c r="F70" s="15"/>
      <c r="G70" s="15" t="s">
        <v>188</v>
      </c>
      <c r="H70" s="15"/>
      <c r="I70" s="15">
        <v>54</v>
      </c>
      <c r="J70" s="15" t="s">
        <v>189</v>
      </c>
      <c r="K70" s="15" t="s">
        <v>214</v>
      </c>
      <c r="L70" s="15" t="s">
        <v>399</v>
      </c>
      <c r="M70" s="15" t="s">
        <v>1033</v>
      </c>
      <c r="N70" s="15" t="s">
        <v>1085</v>
      </c>
      <c r="O70" s="15">
        <v>35</v>
      </c>
      <c r="P70" s="15"/>
      <c r="Q70" s="15"/>
      <c r="R70" s="15" t="s">
        <v>188</v>
      </c>
      <c r="S70" s="15"/>
      <c r="T70" s="15"/>
      <c r="U70" s="15" t="s">
        <v>188</v>
      </c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>
        <v>2000</v>
      </c>
      <c r="AI70" s="1">
        <v>1850000</v>
      </c>
      <c r="AJ70" s="15"/>
      <c r="AK70" s="15"/>
      <c r="AL70" s="15" t="s">
        <v>188</v>
      </c>
      <c r="AM70" s="15"/>
      <c r="AN70" s="15"/>
      <c r="AO70" s="15" t="s">
        <v>188</v>
      </c>
      <c r="AP70" s="15"/>
      <c r="AQ70" s="15"/>
      <c r="AR70" s="15"/>
      <c r="AS70" s="15"/>
      <c r="AT70" s="15" t="s">
        <v>322</v>
      </c>
      <c r="AU70" s="1">
        <v>12000</v>
      </c>
      <c r="AV70" s="48">
        <v>0.5</v>
      </c>
      <c r="AW70" s="15">
        <v>3</v>
      </c>
      <c r="AX70" s="15">
        <v>2.5</v>
      </c>
      <c r="AY70" s="15">
        <v>2</v>
      </c>
      <c r="AZ70" s="15">
        <v>650</v>
      </c>
      <c r="BA70" s="15">
        <v>1800</v>
      </c>
      <c r="BB70" s="15" t="s">
        <v>199</v>
      </c>
      <c r="BC70" s="15" t="s">
        <v>188</v>
      </c>
      <c r="BD70" s="15" t="s">
        <v>199</v>
      </c>
      <c r="BE70" s="1">
        <v>20000</v>
      </c>
      <c r="BF70" s="1">
        <v>20000</v>
      </c>
      <c r="BG70" s="1">
        <v>10000</v>
      </c>
      <c r="BH70" s="1">
        <v>144000</v>
      </c>
      <c r="BI70" s="1">
        <v>10000</v>
      </c>
      <c r="BJ70" s="15"/>
      <c r="BK70" s="15"/>
      <c r="BL70" s="15"/>
      <c r="BM70" s="15" t="s">
        <v>188</v>
      </c>
      <c r="BN70" s="15"/>
      <c r="BO70" s="15"/>
      <c r="BP70" s="15"/>
      <c r="BQ70" s="15"/>
      <c r="BR70" s="15"/>
      <c r="BS70" s="2"/>
      <c r="BT70" s="15"/>
      <c r="BU70" s="15"/>
      <c r="BV70" s="15" t="s">
        <v>188</v>
      </c>
      <c r="BW70" s="15"/>
      <c r="BX70" s="15">
        <v>1</v>
      </c>
      <c r="BY70" s="15">
        <v>2</v>
      </c>
      <c r="BZ70" s="15">
        <v>3</v>
      </c>
      <c r="CA70" s="15"/>
      <c r="CB70" s="15" t="s">
        <v>188</v>
      </c>
      <c r="CC70" s="15"/>
      <c r="CD70" s="15"/>
      <c r="CE70" s="15"/>
      <c r="CF70" s="15"/>
      <c r="CG70" s="15"/>
      <c r="CH70" s="15"/>
      <c r="CI70" s="15"/>
      <c r="CJ70" s="15"/>
      <c r="CK70" s="15" t="s">
        <v>188</v>
      </c>
      <c r="CL70" s="15"/>
      <c r="CM70" s="15"/>
      <c r="CN70" s="15"/>
      <c r="CO70" s="15"/>
      <c r="CP70" s="15" t="s">
        <v>193</v>
      </c>
      <c r="CQ70" s="15" t="s">
        <v>209</v>
      </c>
      <c r="CR70" s="15"/>
      <c r="CS70" s="15" t="s">
        <v>188</v>
      </c>
      <c r="CT70" s="15"/>
      <c r="CU70" s="15"/>
      <c r="CV70" s="15"/>
      <c r="CW70" s="15"/>
      <c r="CX70" s="15"/>
      <c r="CY70" s="15" t="s">
        <v>188</v>
      </c>
      <c r="CZ70" s="3"/>
      <c r="DA70" s="49"/>
      <c r="DC70" s="18">
        <f t="shared" si="0"/>
        <v>0</v>
      </c>
      <c r="DD70" s="18">
        <f t="shared" si="1"/>
        <v>3</v>
      </c>
      <c r="DE70" s="18">
        <f t="shared" si="2"/>
        <v>2000</v>
      </c>
    </row>
    <row r="71" spans="1:109" x14ac:dyDescent="0.25">
      <c r="A71" s="59" t="s">
        <v>1318</v>
      </c>
      <c r="B71" s="103">
        <v>41541</v>
      </c>
      <c r="C71" s="105" t="s">
        <v>1576</v>
      </c>
      <c r="D71" s="14" t="s">
        <v>330</v>
      </c>
      <c r="E71" s="15"/>
      <c r="F71" s="15"/>
      <c r="G71" s="15" t="s">
        <v>188</v>
      </c>
      <c r="H71" s="15"/>
      <c r="I71" s="15">
        <v>42</v>
      </c>
      <c r="J71" s="15" t="s">
        <v>189</v>
      </c>
      <c r="K71" s="15" t="s">
        <v>220</v>
      </c>
      <c r="L71" s="15" t="s">
        <v>393</v>
      </c>
      <c r="M71" s="15" t="s">
        <v>1025</v>
      </c>
      <c r="N71" s="15" t="s">
        <v>1084</v>
      </c>
      <c r="O71" s="15">
        <v>23</v>
      </c>
      <c r="P71" s="15" t="s">
        <v>188</v>
      </c>
      <c r="Q71" s="15"/>
      <c r="R71" s="15"/>
      <c r="S71" s="15"/>
      <c r="T71" s="15"/>
      <c r="U71" s="15"/>
      <c r="V71" s="15"/>
      <c r="W71" s="15"/>
      <c r="X71" s="15" t="s">
        <v>188</v>
      </c>
      <c r="Y71" s="15"/>
      <c r="Z71" s="15"/>
      <c r="AA71" s="15"/>
      <c r="AB71" s="15"/>
      <c r="AC71" s="15"/>
      <c r="AD71" s="15"/>
      <c r="AE71" s="15"/>
      <c r="AF71" s="15"/>
      <c r="AG71" s="15"/>
      <c r="AH71" s="15">
        <v>2011</v>
      </c>
      <c r="AI71" s="1">
        <v>500000</v>
      </c>
      <c r="AJ71" s="15"/>
      <c r="AK71" s="15"/>
      <c r="AL71" s="15" t="s">
        <v>188</v>
      </c>
      <c r="AM71" s="15"/>
      <c r="AN71" s="15"/>
      <c r="AO71" s="15"/>
      <c r="AP71" s="15" t="s">
        <v>188</v>
      </c>
      <c r="AQ71" s="15"/>
      <c r="AR71" s="15"/>
      <c r="AS71" s="15"/>
      <c r="AT71" s="15" t="s">
        <v>237</v>
      </c>
      <c r="AU71" s="1">
        <v>15000</v>
      </c>
      <c r="AV71" s="48">
        <v>0.5</v>
      </c>
      <c r="AW71" s="15">
        <v>3.8</v>
      </c>
      <c r="AX71" s="15">
        <v>3.2</v>
      </c>
      <c r="AY71" s="15">
        <v>1</v>
      </c>
      <c r="AZ71" s="15">
        <v>350</v>
      </c>
      <c r="BA71" s="15">
        <v>1000</v>
      </c>
      <c r="BB71" s="15" t="s">
        <v>199</v>
      </c>
      <c r="BC71" s="15" t="s">
        <v>188</v>
      </c>
      <c r="BD71" s="15" t="s">
        <v>188</v>
      </c>
      <c r="BE71" s="1">
        <v>16000</v>
      </c>
      <c r="BF71" s="1">
        <v>40000</v>
      </c>
      <c r="BG71" s="1">
        <v>16000</v>
      </c>
      <c r="BH71" s="1">
        <v>100000</v>
      </c>
      <c r="BI71" s="1">
        <v>16000</v>
      </c>
      <c r="BJ71" s="15"/>
      <c r="BK71" s="15"/>
      <c r="BL71" s="15"/>
      <c r="BM71" s="15"/>
      <c r="BN71" s="15"/>
      <c r="BO71" s="15"/>
      <c r="BP71" s="15"/>
      <c r="BQ71" s="15"/>
      <c r="BR71" s="15"/>
      <c r="BS71" s="2" t="s">
        <v>331</v>
      </c>
      <c r="BT71" s="15"/>
      <c r="BU71" s="15" t="s">
        <v>188</v>
      </c>
      <c r="BV71" s="15"/>
      <c r="BW71" s="15"/>
      <c r="BX71" s="15">
        <v>1</v>
      </c>
      <c r="BY71" s="15">
        <v>3</v>
      </c>
      <c r="BZ71" s="15">
        <v>2</v>
      </c>
      <c r="CA71" s="15"/>
      <c r="CB71" s="15" t="s">
        <v>188</v>
      </c>
      <c r="CC71" s="15"/>
      <c r="CD71" s="15"/>
      <c r="CE71" s="15"/>
      <c r="CF71" s="15"/>
      <c r="CG71" s="15"/>
      <c r="CH71" s="15"/>
      <c r="CI71" s="15"/>
      <c r="CJ71" s="15"/>
      <c r="CK71" s="15" t="s">
        <v>188</v>
      </c>
      <c r="CL71" s="15"/>
      <c r="CM71" s="15"/>
      <c r="CN71" s="15"/>
      <c r="CO71" s="15"/>
      <c r="CP71" s="15" t="s">
        <v>193</v>
      </c>
      <c r="CQ71" s="15" t="s">
        <v>209</v>
      </c>
      <c r="CR71" s="15"/>
      <c r="CS71" s="15"/>
      <c r="CT71" s="15" t="s">
        <v>188</v>
      </c>
      <c r="CU71" s="15"/>
      <c r="CV71" s="15" t="s">
        <v>188</v>
      </c>
      <c r="CW71" s="15" t="s">
        <v>270</v>
      </c>
      <c r="CX71" s="15"/>
      <c r="CY71" s="15"/>
      <c r="CZ71" s="3"/>
      <c r="DA71" s="49"/>
      <c r="DC71" s="18">
        <f t="shared" si="0"/>
        <v>0</v>
      </c>
      <c r="DD71" s="18">
        <f t="shared" si="1"/>
        <v>3</v>
      </c>
      <c r="DE71" s="18">
        <f t="shared" si="2"/>
        <v>2011</v>
      </c>
    </row>
    <row r="72" spans="1:109" x14ac:dyDescent="0.25">
      <c r="A72" s="59" t="s">
        <v>1318</v>
      </c>
      <c r="B72" s="103">
        <v>41541</v>
      </c>
      <c r="C72" s="105" t="s">
        <v>1576</v>
      </c>
      <c r="D72" s="14" t="s">
        <v>332</v>
      </c>
      <c r="E72" s="15"/>
      <c r="F72" s="15"/>
      <c r="G72" s="15"/>
      <c r="H72" s="15" t="s">
        <v>188</v>
      </c>
      <c r="I72" s="15">
        <v>35</v>
      </c>
      <c r="J72" s="15" t="s">
        <v>189</v>
      </c>
      <c r="K72" s="15" t="s">
        <v>190</v>
      </c>
      <c r="L72" s="15" t="s">
        <v>594</v>
      </c>
      <c r="M72" s="15" t="s">
        <v>1018</v>
      </c>
      <c r="N72" s="15" t="s">
        <v>1085</v>
      </c>
      <c r="O72" s="15">
        <v>15</v>
      </c>
      <c r="P72" s="15" t="s">
        <v>188</v>
      </c>
      <c r="Q72" s="15"/>
      <c r="R72" s="15"/>
      <c r="S72" s="15"/>
      <c r="T72" s="15"/>
      <c r="U72" s="15"/>
      <c r="V72" s="15"/>
      <c r="W72" s="15"/>
      <c r="X72" s="15"/>
      <c r="Y72" s="15" t="s">
        <v>188</v>
      </c>
      <c r="Z72" s="15"/>
      <c r="AA72" s="15"/>
      <c r="AB72" s="15"/>
      <c r="AC72" s="15"/>
      <c r="AD72" s="15"/>
      <c r="AE72" s="15"/>
      <c r="AF72" s="15"/>
      <c r="AG72" s="15"/>
      <c r="AH72" s="15">
        <v>2010</v>
      </c>
      <c r="AI72" s="1">
        <v>540000</v>
      </c>
      <c r="AJ72" s="15"/>
      <c r="AK72" s="15"/>
      <c r="AL72" s="15" t="s">
        <v>188</v>
      </c>
      <c r="AM72" s="15"/>
      <c r="AN72" s="15"/>
      <c r="AO72" s="15"/>
      <c r="AP72" s="15" t="s">
        <v>188</v>
      </c>
      <c r="AQ72" s="15"/>
      <c r="AR72" s="15"/>
      <c r="AS72" s="15"/>
      <c r="AT72" s="15" t="s">
        <v>390</v>
      </c>
      <c r="AU72" s="1">
        <v>15000</v>
      </c>
      <c r="AV72" s="48">
        <v>0.5</v>
      </c>
      <c r="AW72" s="15">
        <v>3</v>
      </c>
      <c r="AX72" s="15">
        <v>2.8</v>
      </c>
      <c r="AY72" s="15">
        <v>2</v>
      </c>
      <c r="AZ72" s="15">
        <v>870</v>
      </c>
      <c r="BA72" s="15">
        <v>2500</v>
      </c>
      <c r="BB72" s="15" t="s">
        <v>188</v>
      </c>
      <c r="BC72" s="15" t="s">
        <v>188</v>
      </c>
      <c r="BD72" s="15" t="s">
        <v>188</v>
      </c>
      <c r="BE72" s="1">
        <v>25000</v>
      </c>
      <c r="BF72" s="1">
        <v>60000</v>
      </c>
      <c r="BG72" s="1">
        <v>25000</v>
      </c>
      <c r="BH72" s="1">
        <v>180000</v>
      </c>
      <c r="BI72" s="1">
        <v>25000</v>
      </c>
      <c r="BJ72" s="15"/>
      <c r="BK72" s="15"/>
      <c r="BL72" s="15"/>
      <c r="BM72" s="15"/>
      <c r="BN72" s="15"/>
      <c r="BO72" s="15"/>
      <c r="BP72" s="15"/>
      <c r="BQ72" s="15"/>
      <c r="BR72" s="15" t="s">
        <v>188</v>
      </c>
      <c r="BS72" s="2"/>
      <c r="BT72" s="15"/>
      <c r="BU72" s="15" t="s">
        <v>188</v>
      </c>
      <c r="BV72" s="15"/>
      <c r="BW72" s="15"/>
      <c r="BX72" s="15">
        <v>2</v>
      </c>
      <c r="BY72" s="15">
        <v>1</v>
      </c>
      <c r="BZ72" s="15">
        <v>3</v>
      </c>
      <c r="CA72" s="15"/>
      <c r="CB72" s="15"/>
      <c r="CC72" s="15" t="s">
        <v>188</v>
      </c>
      <c r="CD72" s="15"/>
      <c r="CE72" s="15" t="s">
        <v>188</v>
      </c>
      <c r="CF72" s="15"/>
      <c r="CG72" s="15"/>
      <c r="CH72" s="15" t="s">
        <v>188</v>
      </c>
      <c r="CI72" s="15" t="s">
        <v>188</v>
      </c>
      <c r="CJ72" s="15"/>
      <c r="CK72" s="15" t="s">
        <v>188</v>
      </c>
      <c r="CL72" s="15"/>
      <c r="CM72" s="15"/>
      <c r="CN72" s="15"/>
      <c r="CO72" s="15"/>
      <c r="CP72" s="15" t="s">
        <v>193</v>
      </c>
      <c r="CQ72" s="15" t="s">
        <v>300</v>
      </c>
      <c r="CR72" s="15"/>
      <c r="CS72" s="15"/>
      <c r="CT72" s="15"/>
      <c r="CU72" s="15" t="s">
        <v>310</v>
      </c>
      <c r="CV72" s="15" t="s">
        <v>188</v>
      </c>
      <c r="CW72" s="15" t="s">
        <v>421</v>
      </c>
      <c r="CX72" s="15" t="s">
        <v>188</v>
      </c>
      <c r="CY72" s="15" t="s">
        <v>188</v>
      </c>
      <c r="CZ72" s="3"/>
      <c r="DA72" s="49"/>
      <c r="DC72" s="18">
        <f t="shared" ref="DC72:DC135" si="3">IF(AX72&gt;AW72,1,0)</f>
        <v>0</v>
      </c>
      <c r="DD72" s="18">
        <f t="shared" ref="DD72:DD135" si="4">IF(E72="X",1,(IF(F72="X",2,(IF(G72="X",3,7)))))</f>
        <v>7</v>
      </c>
      <c r="DE72" s="18">
        <f t="shared" ref="DE72:DE135" si="5">IF(AS72&gt;AH72,AS72,AH72)</f>
        <v>2010</v>
      </c>
    </row>
    <row r="73" spans="1:109" x14ac:dyDescent="0.25">
      <c r="A73" s="59" t="s">
        <v>1318</v>
      </c>
      <c r="B73" s="103">
        <v>41541</v>
      </c>
      <c r="C73" s="105" t="s">
        <v>1576</v>
      </c>
      <c r="D73" s="14" t="s">
        <v>333</v>
      </c>
      <c r="E73" s="15"/>
      <c r="F73" s="15"/>
      <c r="G73" s="15" t="s">
        <v>188</v>
      </c>
      <c r="H73" s="15"/>
      <c r="I73" s="15">
        <v>38</v>
      </c>
      <c r="J73" s="15" t="s">
        <v>189</v>
      </c>
      <c r="K73" s="15" t="s">
        <v>190</v>
      </c>
      <c r="L73" s="15" t="s">
        <v>400</v>
      </c>
      <c r="M73" s="15" t="s">
        <v>1034</v>
      </c>
      <c r="N73" s="15" t="s">
        <v>1084</v>
      </c>
      <c r="O73" s="15">
        <v>15</v>
      </c>
      <c r="P73" s="15"/>
      <c r="Q73" s="15"/>
      <c r="R73" s="15"/>
      <c r="S73" s="15" t="s">
        <v>188</v>
      </c>
      <c r="T73" s="15"/>
      <c r="U73" s="15" t="s">
        <v>188</v>
      </c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>
        <v>2008</v>
      </c>
      <c r="AI73" s="1">
        <v>700000</v>
      </c>
      <c r="AJ73" s="15"/>
      <c r="AK73" s="15"/>
      <c r="AL73" s="15" t="s">
        <v>188</v>
      </c>
      <c r="AM73" s="15"/>
      <c r="AN73" s="15"/>
      <c r="AO73" s="15"/>
      <c r="AP73" s="15" t="s">
        <v>188</v>
      </c>
      <c r="AQ73" s="15"/>
      <c r="AR73" s="15"/>
      <c r="AS73" s="15"/>
      <c r="AT73" s="15" t="s">
        <v>390</v>
      </c>
      <c r="AU73" s="1">
        <v>10000</v>
      </c>
      <c r="AV73" s="48">
        <v>0.5</v>
      </c>
      <c r="AW73" s="15">
        <v>2.8</v>
      </c>
      <c r="AX73" s="15">
        <v>2.1</v>
      </c>
      <c r="AY73" s="15">
        <v>3</v>
      </c>
      <c r="AZ73" s="15">
        <v>1100</v>
      </c>
      <c r="BA73" s="15">
        <v>2800</v>
      </c>
      <c r="BB73" s="15" t="s">
        <v>188</v>
      </c>
      <c r="BC73" s="15" t="s">
        <v>188</v>
      </c>
      <c r="BD73" s="15" t="s">
        <v>199</v>
      </c>
      <c r="BE73" s="1">
        <v>30000</v>
      </c>
      <c r="BF73" s="1">
        <v>40000</v>
      </c>
      <c r="BG73" s="1">
        <v>12000</v>
      </c>
      <c r="BH73" s="1">
        <v>100000</v>
      </c>
      <c r="BI73" s="1">
        <v>12000</v>
      </c>
      <c r="BJ73" s="15"/>
      <c r="BK73" s="15"/>
      <c r="BL73" s="15"/>
      <c r="BM73" s="15"/>
      <c r="BN73" s="15"/>
      <c r="BO73" s="15"/>
      <c r="BP73" s="15"/>
      <c r="BQ73" s="15"/>
      <c r="BR73" s="15" t="s">
        <v>188</v>
      </c>
      <c r="BS73" s="2"/>
      <c r="BT73" s="15"/>
      <c r="BU73" s="15"/>
      <c r="BV73" s="15" t="s">
        <v>188</v>
      </c>
      <c r="BW73" s="15"/>
      <c r="BX73" s="15">
        <v>2</v>
      </c>
      <c r="BY73" s="15">
        <v>3</v>
      </c>
      <c r="BZ73" s="15">
        <v>1</v>
      </c>
      <c r="CA73" s="15"/>
      <c r="CB73" s="15"/>
      <c r="CC73" s="15" t="s">
        <v>188</v>
      </c>
      <c r="CD73" s="15"/>
      <c r="CE73" s="15" t="s">
        <v>188</v>
      </c>
      <c r="CF73" s="15"/>
      <c r="CG73" s="15" t="s">
        <v>188</v>
      </c>
      <c r="CH73" s="15"/>
      <c r="CI73" s="15" t="s">
        <v>188</v>
      </c>
      <c r="CJ73" s="15"/>
      <c r="CK73" s="15" t="s">
        <v>188</v>
      </c>
      <c r="CL73" s="15"/>
      <c r="CM73" s="15"/>
      <c r="CN73" s="15"/>
      <c r="CO73" s="15"/>
      <c r="CP73" s="15" t="s">
        <v>193</v>
      </c>
      <c r="CQ73" s="15" t="s">
        <v>209</v>
      </c>
      <c r="CR73" s="15"/>
      <c r="CS73" s="15"/>
      <c r="CT73" s="15"/>
      <c r="CU73" s="2" t="s">
        <v>276</v>
      </c>
      <c r="CV73" s="15"/>
      <c r="CW73" s="15"/>
      <c r="CX73" s="15" t="s">
        <v>188</v>
      </c>
      <c r="CY73" s="15" t="s">
        <v>188</v>
      </c>
      <c r="CZ73" s="3"/>
      <c r="DA73" s="49"/>
      <c r="DC73" s="18">
        <f t="shared" si="3"/>
        <v>0</v>
      </c>
      <c r="DD73" s="18">
        <f t="shared" si="4"/>
        <v>3</v>
      </c>
      <c r="DE73" s="18">
        <f t="shared" si="5"/>
        <v>2008</v>
      </c>
    </row>
    <row r="74" spans="1:109" x14ac:dyDescent="0.25">
      <c r="A74" s="59" t="s">
        <v>1318</v>
      </c>
      <c r="B74" s="103">
        <v>41541</v>
      </c>
      <c r="C74" s="105" t="s">
        <v>1576</v>
      </c>
      <c r="D74" s="14" t="s">
        <v>334</v>
      </c>
      <c r="E74" s="15"/>
      <c r="F74" s="15"/>
      <c r="G74" s="15"/>
      <c r="H74" s="15" t="s">
        <v>188</v>
      </c>
      <c r="I74" s="15">
        <v>45</v>
      </c>
      <c r="J74" s="15" t="s">
        <v>189</v>
      </c>
      <c r="K74" s="15" t="s">
        <v>190</v>
      </c>
      <c r="L74" s="15" t="s">
        <v>404</v>
      </c>
      <c r="M74" s="15" t="s">
        <v>1036</v>
      </c>
      <c r="N74" s="15" t="s">
        <v>1085</v>
      </c>
      <c r="O74" s="15">
        <v>25</v>
      </c>
      <c r="P74" s="15"/>
      <c r="Q74" s="15" t="s">
        <v>188</v>
      </c>
      <c r="R74" s="15"/>
      <c r="S74" s="15"/>
      <c r="T74" s="15"/>
      <c r="U74" s="15" t="s">
        <v>188</v>
      </c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>
        <v>2000</v>
      </c>
      <c r="AI74" s="1">
        <v>2300000</v>
      </c>
      <c r="AJ74" s="15"/>
      <c r="AK74" s="15"/>
      <c r="AL74" s="15" t="s">
        <v>188</v>
      </c>
      <c r="AM74" s="15"/>
      <c r="AN74" s="15"/>
      <c r="AO74" s="15"/>
      <c r="AP74" s="15" t="s">
        <v>188</v>
      </c>
      <c r="AQ74" s="15"/>
      <c r="AR74" s="15"/>
      <c r="AS74" s="15"/>
      <c r="AT74" s="15" t="s">
        <v>237</v>
      </c>
      <c r="AU74" s="1">
        <v>15000</v>
      </c>
      <c r="AV74" s="48">
        <v>0.5</v>
      </c>
      <c r="AW74" s="15">
        <v>2.8</v>
      </c>
      <c r="AX74" s="15">
        <v>2</v>
      </c>
      <c r="AY74" s="15">
        <v>2</v>
      </c>
      <c r="AZ74" s="15">
        <v>650</v>
      </c>
      <c r="BA74" s="15">
        <v>1600</v>
      </c>
      <c r="BB74" s="15" t="s">
        <v>199</v>
      </c>
      <c r="BC74" s="15" t="s">
        <v>188</v>
      </c>
      <c r="BD74" s="15" t="s">
        <v>199</v>
      </c>
      <c r="BE74" s="1">
        <v>20000</v>
      </c>
      <c r="BF74" s="1">
        <v>25000</v>
      </c>
      <c r="BG74" s="1">
        <v>20000</v>
      </c>
      <c r="BH74" s="1">
        <v>80000</v>
      </c>
      <c r="BI74" s="1">
        <v>20000</v>
      </c>
      <c r="BJ74" s="15"/>
      <c r="BK74" s="15"/>
      <c r="BL74" s="15"/>
      <c r="BM74" s="15"/>
      <c r="BN74" s="15"/>
      <c r="BO74" s="15"/>
      <c r="BP74" s="15"/>
      <c r="BQ74" s="15"/>
      <c r="BR74" s="15"/>
      <c r="BS74" s="2" t="s">
        <v>314</v>
      </c>
      <c r="BT74" s="15"/>
      <c r="BU74" s="15" t="s">
        <v>188</v>
      </c>
      <c r="BV74" s="15"/>
      <c r="BW74" s="15"/>
      <c r="BX74" s="15">
        <v>1</v>
      </c>
      <c r="BY74" s="15">
        <v>2</v>
      </c>
      <c r="BZ74" s="15">
        <v>3</v>
      </c>
      <c r="CA74" s="15"/>
      <c r="CB74" s="15" t="s">
        <v>188</v>
      </c>
      <c r="CC74" s="15"/>
      <c r="CD74" s="15"/>
      <c r="CE74" s="15"/>
      <c r="CF74" s="15"/>
      <c r="CG74" s="15"/>
      <c r="CH74" s="15"/>
      <c r="CI74" s="15"/>
      <c r="CJ74" s="15"/>
      <c r="CK74" s="15" t="s">
        <v>188</v>
      </c>
      <c r="CL74" s="15"/>
      <c r="CM74" s="15"/>
      <c r="CN74" s="15"/>
      <c r="CO74" s="15"/>
      <c r="CP74" s="15" t="s">
        <v>193</v>
      </c>
      <c r="CQ74" s="15" t="s">
        <v>209</v>
      </c>
      <c r="CR74" s="15"/>
      <c r="CS74" s="15" t="s">
        <v>188</v>
      </c>
      <c r="CT74" s="15"/>
      <c r="CU74" s="15"/>
      <c r="CV74" s="15"/>
      <c r="CW74" s="15"/>
      <c r="CX74" s="15"/>
      <c r="CY74" s="15" t="s">
        <v>188</v>
      </c>
      <c r="CZ74" s="3"/>
      <c r="DA74" s="49"/>
      <c r="DC74" s="18">
        <f t="shared" si="3"/>
        <v>0</v>
      </c>
      <c r="DD74" s="18">
        <f t="shared" si="4"/>
        <v>7</v>
      </c>
      <c r="DE74" s="18">
        <f t="shared" si="5"/>
        <v>2000</v>
      </c>
    </row>
    <row r="75" spans="1:109" x14ac:dyDescent="0.25">
      <c r="A75" s="59" t="s">
        <v>1318</v>
      </c>
      <c r="B75" s="103">
        <v>41541</v>
      </c>
      <c r="C75" s="105" t="s">
        <v>1576</v>
      </c>
      <c r="D75" s="14" t="s">
        <v>335</v>
      </c>
      <c r="E75" s="15"/>
      <c r="F75" s="15"/>
      <c r="G75" s="15"/>
      <c r="H75" s="15" t="s">
        <v>188</v>
      </c>
      <c r="I75" s="15">
        <v>41</v>
      </c>
      <c r="J75" s="15" t="s">
        <v>189</v>
      </c>
      <c r="K75" s="15" t="s">
        <v>190</v>
      </c>
      <c r="L75" s="15" t="s">
        <v>405</v>
      </c>
      <c r="M75" s="15" t="s">
        <v>1037</v>
      </c>
      <c r="N75" s="15" t="s">
        <v>1085</v>
      </c>
      <c r="O75" s="15">
        <v>22</v>
      </c>
      <c r="P75" s="15"/>
      <c r="Q75" s="15"/>
      <c r="R75" s="15"/>
      <c r="S75" s="15" t="s">
        <v>188</v>
      </c>
      <c r="T75" s="15"/>
      <c r="U75" s="15"/>
      <c r="V75" s="15"/>
      <c r="W75" s="15"/>
      <c r="X75" s="15"/>
      <c r="Y75" s="15"/>
      <c r="Z75" s="15"/>
      <c r="AA75" s="15"/>
      <c r="AB75" s="15" t="s">
        <v>188</v>
      </c>
      <c r="AC75" s="15"/>
      <c r="AD75" s="15"/>
      <c r="AE75" s="15"/>
      <c r="AF75" s="15"/>
      <c r="AG75" s="15"/>
      <c r="AH75" s="15">
        <v>2014</v>
      </c>
      <c r="AI75" s="1">
        <v>10000</v>
      </c>
      <c r="AJ75" s="15"/>
      <c r="AK75" s="15"/>
      <c r="AL75" s="15" t="s">
        <v>188</v>
      </c>
      <c r="AM75" s="15"/>
      <c r="AN75" s="15"/>
      <c r="AO75" s="15"/>
      <c r="AP75" s="15" t="s">
        <v>188</v>
      </c>
      <c r="AQ75" s="15"/>
      <c r="AR75" s="15"/>
      <c r="AS75" s="15"/>
      <c r="AT75" s="15" t="s">
        <v>322</v>
      </c>
      <c r="AU75" s="1">
        <v>15000</v>
      </c>
      <c r="AV75" s="48">
        <v>0.5</v>
      </c>
      <c r="AW75" s="15">
        <v>2.5</v>
      </c>
      <c r="AX75" s="15">
        <v>2</v>
      </c>
      <c r="AY75" s="15">
        <v>3</v>
      </c>
      <c r="AZ75" s="15">
        <v>1100</v>
      </c>
      <c r="BA75" s="15">
        <v>2500</v>
      </c>
      <c r="BB75" s="15" t="s">
        <v>188</v>
      </c>
      <c r="BC75" s="15" t="s">
        <v>188</v>
      </c>
      <c r="BD75" s="15" t="s">
        <v>199</v>
      </c>
      <c r="BE75" s="1">
        <v>40000</v>
      </c>
      <c r="BF75" s="1">
        <v>40000</v>
      </c>
      <c r="BG75" s="1">
        <v>40000</v>
      </c>
      <c r="BH75" s="1" t="s">
        <v>193</v>
      </c>
      <c r="BI75" s="1">
        <v>40000</v>
      </c>
      <c r="BJ75" s="15"/>
      <c r="BK75" s="15"/>
      <c r="BL75" s="15"/>
      <c r="BM75" s="15"/>
      <c r="BN75" s="15"/>
      <c r="BO75" s="15"/>
      <c r="BP75" s="15"/>
      <c r="BQ75" s="15"/>
      <c r="BR75" s="15" t="s">
        <v>188</v>
      </c>
      <c r="BS75" s="2"/>
      <c r="BT75" s="15"/>
      <c r="BU75" s="15"/>
      <c r="BV75" s="15" t="s">
        <v>188</v>
      </c>
      <c r="BW75" s="15"/>
      <c r="BX75" s="15">
        <v>2</v>
      </c>
      <c r="BY75" s="15">
        <v>4</v>
      </c>
      <c r="BZ75" s="15">
        <v>3</v>
      </c>
      <c r="CA75" s="15" t="s">
        <v>208</v>
      </c>
      <c r="CB75" s="15"/>
      <c r="CC75" s="15" t="s">
        <v>188</v>
      </c>
      <c r="CD75" s="15"/>
      <c r="CE75" s="15" t="s">
        <v>188</v>
      </c>
      <c r="CF75" s="15" t="s">
        <v>188</v>
      </c>
      <c r="CG75" s="15" t="s">
        <v>188</v>
      </c>
      <c r="CH75" s="15" t="s">
        <v>188</v>
      </c>
      <c r="CI75" s="15" t="s">
        <v>188</v>
      </c>
      <c r="CJ75" s="15" t="s">
        <v>998</v>
      </c>
      <c r="CK75" s="15"/>
      <c r="CL75" s="15" t="s">
        <v>188</v>
      </c>
      <c r="CM75" s="15"/>
      <c r="CN75" s="15"/>
      <c r="CO75" s="15" t="s">
        <v>188</v>
      </c>
      <c r="CP75" s="15" t="s">
        <v>261</v>
      </c>
      <c r="CQ75" s="15" t="s">
        <v>203</v>
      </c>
      <c r="CR75" s="15"/>
      <c r="CS75" s="15" t="s">
        <v>188</v>
      </c>
      <c r="CT75" s="15" t="s">
        <v>188</v>
      </c>
      <c r="CU75" s="2" t="s">
        <v>324</v>
      </c>
      <c r="CV75" s="15"/>
      <c r="CW75" s="15"/>
      <c r="CX75" s="15"/>
      <c r="CY75" s="15" t="s">
        <v>188</v>
      </c>
      <c r="CZ75" s="4" t="s">
        <v>406</v>
      </c>
      <c r="DA75" s="49"/>
      <c r="DC75" s="18">
        <f t="shared" si="3"/>
        <v>0</v>
      </c>
      <c r="DD75" s="18">
        <f t="shared" si="4"/>
        <v>7</v>
      </c>
      <c r="DE75" s="18">
        <f t="shared" si="5"/>
        <v>2014</v>
      </c>
    </row>
    <row r="76" spans="1:109" x14ac:dyDescent="0.25">
      <c r="A76" s="59" t="s">
        <v>1318</v>
      </c>
      <c r="B76" s="103">
        <v>41541</v>
      </c>
      <c r="C76" s="105" t="s">
        <v>1576</v>
      </c>
      <c r="D76" s="14" t="s">
        <v>336</v>
      </c>
      <c r="E76" s="15"/>
      <c r="F76" s="15"/>
      <c r="G76" s="15" t="s">
        <v>188</v>
      </c>
      <c r="H76" s="15"/>
      <c r="I76" s="15">
        <v>41</v>
      </c>
      <c r="J76" s="15" t="s">
        <v>189</v>
      </c>
      <c r="K76" s="15" t="s">
        <v>190</v>
      </c>
      <c r="L76" s="15" t="s">
        <v>394</v>
      </c>
      <c r="M76" s="15" t="s">
        <v>1027</v>
      </c>
      <c r="N76" s="15" t="s">
        <v>1085</v>
      </c>
      <c r="O76" s="15">
        <v>20</v>
      </c>
      <c r="P76" s="15"/>
      <c r="Q76" s="15"/>
      <c r="R76" s="15"/>
      <c r="S76" s="15" t="s">
        <v>188</v>
      </c>
      <c r="T76" s="15"/>
      <c r="U76" s="15" t="s">
        <v>188</v>
      </c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>
        <v>2007</v>
      </c>
      <c r="AI76" s="1">
        <v>1400000</v>
      </c>
      <c r="AJ76" s="15"/>
      <c r="AK76" s="15"/>
      <c r="AL76" s="15" t="s">
        <v>188</v>
      </c>
      <c r="AM76" s="15"/>
      <c r="AN76" s="15"/>
      <c r="AO76" s="15"/>
      <c r="AP76" s="15" t="s">
        <v>188</v>
      </c>
      <c r="AQ76" s="15"/>
      <c r="AR76" s="15"/>
      <c r="AS76" s="15"/>
      <c r="AT76" s="15" t="s">
        <v>407</v>
      </c>
      <c r="AU76" s="1">
        <v>20000</v>
      </c>
      <c r="AV76" s="48">
        <v>0.15</v>
      </c>
      <c r="AW76" s="15">
        <v>2.5</v>
      </c>
      <c r="AX76" s="15">
        <v>1.5</v>
      </c>
      <c r="AY76" s="15">
        <v>3</v>
      </c>
      <c r="AZ76" s="15">
        <v>1300</v>
      </c>
      <c r="BA76" s="15">
        <v>2600</v>
      </c>
      <c r="BB76" s="15" t="s">
        <v>199</v>
      </c>
      <c r="BC76" s="15" t="s">
        <v>188</v>
      </c>
      <c r="BD76" s="15" t="s">
        <v>199</v>
      </c>
      <c r="BE76" s="1">
        <v>30000</v>
      </c>
      <c r="BF76" s="1">
        <v>25000</v>
      </c>
      <c r="BG76" s="1">
        <v>30000</v>
      </c>
      <c r="BH76" s="1">
        <v>240000</v>
      </c>
      <c r="BI76" s="1">
        <v>30000</v>
      </c>
      <c r="BJ76" s="15"/>
      <c r="BK76" s="15"/>
      <c r="BL76" s="15"/>
      <c r="BM76" s="15"/>
      <c r="BN76" s="15"/>
      <c r="BO76" s="15"/>
      <c r="BP76" s="15"/>
      <c r="BQ76" s="15"/>
      <c r="BR76" s="15"/>
      <c r="BS76" s="2" t="s">
        <v>314</v>
      </c>
      <c r="BT76" s="15"/>
      <c r="BU76" s="15"/>
      <c r="BV76" s="15" t="s">
        <v>188</v>
      </c>
      <c r="BW76" s="15"/>
      <c r="BX76" s="15">
        <v>1</v>
      </c>
      <c r="BY76" s="15">
        <v>3</v>
      </c>
      <c r="BZ76" s="15">
        <v>2</v>
      </c>
      <c r="CA76" s="15"/>
      <c r="CB76" s="15"/>
      <c r="CC76" s="15" t="s">
        <v>188</v>
      </c>
      <c r="CD76" s="15"/>
      <c r="CE76" s="15" t="s">
        <v>188</v>
      </c>
      <c r="CF76" s="15"/>
      <c r="CG76" s="15" t="s">
        <v>188</v>
      </c>
      <c r="CH76" s="15"/>
      <c r="CI76" s="15"/>
      <c r="CJ76" s="15"/>
      <c r="CK76" s="15"/>
      <c r="CL76" s="15" t="s">
        <v>188</v>
      </c>
      <c r="CM76" s="15"/>
      <c r="CN76" s="15"/>
      <c r="CO76" s="15" t="s">
        <v>188</v>
      </c>
      <c r="CP76" s="15" t="s">
        <v>337</v>
      </c>
      <c r="CQ76" s="15" t="s">
        <v>338</v>
      </c>
      <c r="CR76" s="15"/>
      <c r="CS76" s="15"/>
      <c r="CT76" s="15" t="s">
        <v>188</v>
      </c>
      <c r="CU76" s="15" t="s">
        <v>324</v>
      </c>
      <c r="CV76" s="15"/>
      <c r="CW76" s="15"/>
      <c r="CX76" s="15" t="s">
        <v>188</v>
      </c>
      <c r="CY76" s="15"/>
      <c r="CZ76" s="3"/>
      <c r="DA76" s="49"/>
      <c r="DC76" s="18">
        <f t="shared" si="3"/>
        <v>0</v>
      </c>
      <c r="DD76" s="18">
        <f t="shared" si="4"/>
        <v>3</v>
      </c>
      <c r="DE76" s="18">
        <f t="shared" si="5"/>
        <v>2007</v>
      </c>
    </row>
    <row r="77" spans="1:109" x14ac:dyDescent="0.25">
      <c r="A77" s="59" t="s">
        <v>1318</v>
      </c>
      <c r="B77" s="103">
        <v>41541</v>
      </c>
      <c r="C77" s="105" t="s">
        <v>1576</v>
      </c>
      <c r="D77" s="14" t="s">
        <v>339</v>
      </c>
      <c r="E77" s="15"/>
      <c r="F77" s="15" t="s">
        <v>188</v>
      </c>
      <c r="G77" s="15"/>
      <c r="H77" s="15"/>
      <c r="I77" s="15">
        <v>39</v>
      </c>
      <c r="J77" s="15" t="s">
        <v>189</v>
      </c>
      <c r="K77" s="15" t="s">
        <v>190</v>
      </c>
      <c r="L77" s="15" t="s">
        <v>408</v>
      </c>
      <c r="M77" s="15" t="s">
        <v>1038</v>
      </c>
      <c r="N77" s="15" t="s">
        <v>1085</v>
      </c>
      <c r="O77" s="15">
        <v>18</v>
      </c>
      <c r="P77" s="15"/>
      <c r="Q77" s="15"/>
      <c r="R77" s="15"/>
      <c r="S77" s="15" t="s">
        <v>188</v>
      </c>
      <c r="T77" s="15"/>
      <c r="U77" s="15" t="s">
        <v>188</v>
      </c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>
        <v>2007</v>
      </c>
      <c r="AI77" s="1">
        <v>1700000</v>
      </c>
      <c r="AJ77" s="15"/>
      <c r="AK77" s="15"/>
      <c r="AL77" s="15" t="s">
        <v>188</v>
      </c>
      <c r="AM77" s="15"/>
      <c r="AN77" s="15"/>
      <c r="AO77" s="15"/>
      <c r="AP77" s="15" t="s">
        <v>188</v>
      </c>
      <c r="AQ77" s="15"/>
      <c r="AR77" s="15"/>
      <c r="AS77" s="15"/>
      <c r="AT77" s="15" t="s">
        <v>407</v>
      </c>
      <c r="AU77" s="1">
        <v>26000</v>
      </c>
      <c r="AV77" s="48">
        <v>0.3</v>
      </c>
      <c r="AW77" s="15">
        <v>3.2</v>
      </c>
      <c r="AX77" s="15">
        <v>2.8</v>
      </c>
      <c r="AY77" s="15">
        <v>3</v>
      </c>
      <c r="AZ77" s="15">
        <v>1200</v>
      </c>
      <c r="BA77" s="15">
        <v>3500</v>
      </c>
      <c r="BB77" s="15" t="s">
        <v>188</v>
      </c>
      <c r="BC77" s="15" t="s">
        <v>188</v>
      </c>
      <c r="BD77" s="15" t="s">
        <v>199</v>
      </c>
      <c r="BE77" s="1">
        <v>25000</v>
      </c>
      <c r="BF77" s="1">
        <v>18000</v>
      </c>
      <c r="BG77" s="1">
        <v>18000</v>
      </c>
      <c r="BH77" s="1">
        <v>150000</v>
      </c>
      <c r="BI77" s="1">
        <v>18000</v>
      </c>
      <c r="BJ77" s="15"/>
      <c r="BK77" s="15"/>
      <c r="BL77" s="15"/>
      <c r="BM77" s="15" t="s">
        <v>188</v>
      </c>
      <c r="BN77" s="15"/>
      <c r="BO77" s="15"/>
      <c r="BP77" s="15"/>
      <c r="BQ77" s="15"/>
      <c r="BR77" s="15"/>
      <c r="BS77" s="2"/>
      <c r="BT77" s="15"/>
      <c r="BU77" s="15" t="s">
        <v>188</v>
      </c>
      <c r="BV77" s="15"/>
      <c r="BW77" s="15"/>
      <c r="BX77" s="15">
        <v>2</v>
      </c>
      <c r="BY77" s="15">
        <v>3</v>
      </c>
      <c r="BZ77" s="15">
        <v>1</v>
      </c>
      <c r="CA77" s="15"/>
      <c r="CB77" s="15" t="s">
        <v>188</v>
      </c>
      <c r="CC77" s="15"/>
      <c r="CD77" s="15"/>
      <c r="CE77" s="15"/>
      <c r="CF77" s="15"/>
      <c r="CG77" s="15"/>
      <c r="CH77" s="15"/>
      <c r="CI77" s="15"/>
      <c r="CJ77" s="15"/>
      <c r="CK77" s="15" t="s">
        <v>188</v>
      </c>
      <c r="CL77" s="15"/>
      <c r="CM77" s="15"/>
      <c r="CN77" s="15"/>
      <c r="CO77" s="15"/>
      <c r="CP77" s="15" t="s">
        <v>193</v>
      </c>
      <c r="CQ77" s="15" t="s">
        <v>209</v>
      </c>
      <c r="CR77" s="15"/>
      <c r="CS77" s="15"/>
      <c r="CT77" s="15"/>
      <c r="CU77" s="2" t="s">
        <v>276</v>
      </c>
      <c r="CV77" s="15"/>
      <c r="CW77" s="15"/>
      <c r="CX77" s="15" t="s">
        <v>188</v>
      </c>
      <c r="CY77" s="15" t="s">
        <v>188</v>
      </c>
      <c r="CZ77" s="3"/>
      <c r="DA77" s="49"/>
      <c r="DC77" s="18">
        <f t="shared" si="3"/>
        <v>0</v>
      </c>
      <c r="DD77" s="18">
        <f t="shared" si="4"/>
        <v>2</v>
      </c>
      <c r="DE77" s="18">
        <f t="shared" si="5"/>
        <v>2007</v>
      </c>
    </row>
    <row r="78" spans="1:109" x14ac:dyDescent="0.25">
      <c r="A78" s="59" t="s">
        <v>1318</v>
      </c>
      <c r="B78" s="103">
        <v>41541</v>
      </c>
      <c r="C78" s="105" t="s">
        <v>1576</v>
      </c>
      <c r="D78" s="14" t="s">
        <v>340</v>
      </c>
      <c r="E78" s="15" t="s">
        <v>188</v>
      </c>
      <c r="F78" s="15"/>
      <c r="G78" s="15"/>
      <c r="H78" s="15"/>
      <c r="I78" s="15">
        <v>43</v>
      </c>
      <c r="J78" s="15" t="s">
        <v>189</v>
      </c>
      <c r="K78" s="15" t="s">
        <v>196</v>
      </c>
      <c r="L78" s="15" t="s">
        <v>594</v>
      </c>
      <c r="M78" s="15" t="s">
        <v>1018</v>
      </c>
      <c r="N78" s="15" t="s">
        <v>1085</v>
      </c>
      <c r="O78" s="15">
        <v>12</v>
      </c>
      <c r="P78" s="15" t="s">
        <v>188</v>
      </c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 t="s">
        <v>188</v>
      </c>
      <c r="AC78" s="15"/>
      <c r="AD78" s="15"/>
      <c r="AE78" s="15"/>
      <c r="AF78" s="15"/>
      <c r="AG78" s="15"/>
      <c r="AH78" s="15">
        <v>1986</v>
      </c>
      <c r="AI78" s="1">
        <v>800000</v>
      </c>
      <c r="AJ78" s="15"/>
      <c r="AK78" s="15"/>
      <c r="AL78" s="15" t="s">
        <v>188</v>
      </c>
      <c r="AM78" s="15"/>
      <c r="AN78" s="15"/>
      <c r="AO78" s="15"/>
      <c r="AP78" s="15"/>
      <c r="AQ78" s="15" t="s">
        <v>188</v>
      </c>
      <c r="AR78" s="15"/>
      <c r="AS78" s="15">
        <v>1995</v>
      </c>
      <c r="AT78" s="15" t="s">
        <v>229</v>
      </c>
      <c r="AU78" s="1">
        <v>3000</v>
      </c>
      <c r="AV78" s="48">
        <v>0.5</v>
      </c>
      <c r="AW78" s="15">
        <v>2</v>
      </c>
      <c r="AX78" s="15">
        <v>1.8</v>
      </c>
      <c r="AY78" s="15">
        <v>2</v>
      </c>
      <c r="AZ78" s="15">
        <v>300</v>
      </c>
      <c r="BA78" s="15">
        <v>600</v>
      </c>
      <c r="BB78" s="15" t="s">
        <v>199</v>
      </c>
      <c r="BC78" s="15" t="s">
        <v>199</v>
      </c>
      <c r="BD78" s="15" t="s">
        <v>199</v>
      </c>
      <c r="BE78" s="1">
        <v>12000</v>
      </c>
      <c r="BF78" s="1">
        <v>25000</v>
      </c>
      <c r="BG78" s="1">
        <v>12000</v>
      </c>
      <c r="BH78" s="1">
        <v>72000</v>
      </c>
      <c r="BI78" s="1">
        <v>12000</v>
      </c>
      <c r="BJ78" s="15"/>
      <c r="BK78" s="15"/>
      <c r="BL78" s="15"/>
      <c r="BM78" s="15"/>
      <c r="BN78" s="15"/>
      <c r="BO78" s="15"/>
      <c r="BP78" s="15"/>
      <c r="BQ78" s="15"/>
      <c r="BR78" s="15"/>
      <c r="BS78" s="2" t="s">
        <v>323</v>
      </c>
      <c r="BT78" s="15"/>
      <c r="BU78" s="15" t="s">
        <v>188</v>
      </c>
      <c r="BV78" s="15"/>
      <c r="BW78" s="15"/>
      <c r="BX78" s="15">
        <v>1</v>
      </c>
      <c r="BY78" s="15">
        <v>2</v>
      </c>
      <c r="BZ78" s="15">
        <v>3</v>
      </c>
      <c r="CA78" s="15"/>
      <c r="CB78" s="15" t="s">
        <v>188</v>
      </c>
      <c r="CC78" s="15"/>
      <c r="CD78" s="15"/>
      <c r="CE78" s="15"/>
      <c r="CF78" s="15"/>
      <c r="CG78" s="15"/>
      <c r="CH78" s="15"/>
      <c r="CI78" s="15"/>
      <c r="CJ78" s="15"/>
      <c r="CK78" s="15"/>
      <c r="CL78" s="15" t="s">
        <v>188</v>
      </c>
      <c r="CM78" s="15"/>
      <c r="CN78" s="15" t="s">
        <v>201</v>
      </c>
      <c r="CO78" s="15" t="s">
        <v>188</v>
      </c>
      <c r="CP78" s="15" t="s">
        <v>193</v>
      </c>
      <c r="CQ78" s="15" t="s">
        <v>300</v>
      </c>
      <c r="CR78" s="15"/>
      <c r="CS78" s="15" t="s">
        <v>188</v>
      </c>
      <c r="CT78" s="15"/>
      <c r="CU78" s="15"/>
      <c r="CV78" s="15"/>
      <c r="CW78" s="15"/>
      <c r="CX78" s="15"/>
      <c r="CY78" s="15" t="s">
        <v>188</v>
      </c>
      <c r="CZ78" s="3"/>
      <c r="DA78" s="49"/>
      <c r="DC78" s="18">
        <f t="shared" si="3"/>
        <v>0</v>
      </c>
      <c r="DD78" s="18">
        <f t="shared" si="4"/>
        <v>1</v>
      </c>
      <c r="DE78" s="18">
        <f t="shared" si="5"/>
        <v>1995</v>
      </c>
    </row>
    <row r="79" spans="1:109" x14ac:dyDescent="0.25">
      <c r="A79" s="59" t="s">
        <v>1318</v>
      </c>
      <c r="B79" s="103">
        <v>41541</v>
      </c>
      <c r="C79" s="105" t="s">
        <v>1576</v>
      </c>
      <c r="D79" s="14" t="s">
        <v>341</v>
      </c>
      <c r="E79" s="15"/>
      <c r="F79" s="15"/>
      <c r="G79" s="15" t="s">
        <v>188</v>
      </c>
      <c r="H79" s="15"/>
      <c r="I79" s="15">
        <v>34</v>
      </c>
      <c r="J79" s="15" t="s">
        <v>189</v>
      </c>
      <c r="K79" s="15" t="s">
        <v>220</v>
      </c>
      <c r="L79" s="15" t="s">
        <v>400</v>
      </c>
      <c r="M79" s="15" t="s">
        <v>1034</v>
      </c>
      <c r="N79" s="15" t="s">
        <v>1085</v>
      </c>
      <c r="O79" s="15">
        <v>14</v>
      </c>
      <c r="P79" s="15"/>
      <c r="Q79" s="15" t="s">
        <v>188</v>
      </c>
      <c r="R79" s="15"/>
      <c r="S79" s="15"/>
      <c r="T79" s="15"/>
      <c r="U79" s="15"/>
      <c r="V79" s="15"/>
      <c r="W79" s="15"/>
      <c r="X79" s="15"/>
      <c r="Y79" s="15" t="s">
        <v>188</v>
      </c>
      <c r="Z79" s="15"/>
      <c r="AA79" s="15"/>
      <c r="AB79" s="15"/>
      <c r="AC79" s="15"/>
      <c r="AD79" s="15"/>
      <c r="AE79" s="15"/>
      <c r="AF79" s="15"/>
      <c r="AG79" s="15"/>
      <c r="AH79" s="15">
        <v>2000</v>
      </c>
      <c r="AI79" s="1">
        <v>2350000</v>
      </c>
      <c r="AJ79" s="15"/>
      <c r="AK79" s="15"/>
      <c r="AL79" s="15" t="s">
        <v>188</v>
      </c>
      <c r="AM79" s="15"/>
      <c r="AN79" s="15"/>
      <c r="AO79" s="15"/>
      <c r="AP79" s="15" t="s">
        <v>188</v>
      </c>
      <c r="AQ79" s="15"/>
      <c r="AR79" s="15"/>
      <c r="AS79" s="15"/>
      <c r="AT79" s="15" t="s">
        <v>401</v>
      </c>
      <c r="AU79" s="1">
        <v>15000</v>
      </c>
      <c r="AV79" s="48">
        <v>0.5</v>
      </c>
      <c r="AW79" s="15">
        <v>2</v>
      </c>
      <c r="AX79" s="15">
        <v>1.5</v>
      </c>
      <c r="AY79" s="15">
        <v>2</v>
      </c>
      <c r="AZ79" s="15">
        <v>380</v>
      </c>
      <c r="BA79" s="15">
        <v>700</v>
      </c>
      <c r="BB79" s="15" t="s">
        <v>199</v>
      </c>
      <c r="BC79" s="15" t="s">
        <v>199</v>
      </c>
      <c r="BD79" s="15" t="s">
        <v>199</v>
      </c>
      <c r="BE79" s="1">
        <v>7000</v>
      </c>
      <c r="BF79" s="1">
        <v>15000</v>
      </c>
      <c r="BG79" s="1">
        <v>15000</v>
      </c>
      <c r="BH79" s="1">
        <v>90000</v>
      </c>
      <c r="BI79" s="1">
        <v>15000</v>
      </c>
      <c r="BJ79" s="15"/>
      <c r="BK79" s="15"/>
      <c r="BL79" s="15"/>
      <c r="BM79" s="15"/>
      <c r="BN79" s="15"/>
      <c r="BO79" s="15"/>
      <c r="BP79" s="15"/>
      <c r="BQ79" s="15"/>
      <c r="BR79" s="15"/>
      <c r="BS79" s="2" t="s">
        <v>342</v>
      </c>
      <c r="BT79" s="15"/>
      <c r="BU79" s="15"/>
      <c r="BV79" s="15" t="s">
        <v>188</v>
      </c>
      <c r="BW79" s="15"/>
      <c r="BX79" s="15">
        <v>1</v>
      </c>
      <c r="BY79" s="15">
        <v>3</v>
      </c>
      <c r="BZ79" s="15">
        <v>2</v>
      </c>
      <c r="CA79" s="15"/>
      <c r="CB79" s="15" t="s">
        <v>188</v>
      </c>
      <c r="CC79" s="15"/>
      <c r="CD79" s="15"/>
      <c r="CE79" s="15"/>
      <c r="CF79" s="15"/>
      <c r="CG79" s="15"/>
      <c r="CH79" s="15"/>
      <c r="CI79" s="15"/>
      <c r="CJ79" s="15"/>
      <c r="CK79" s="15" t="s">
        <v>188</v>
      </c>
      <c r="CL79" s="15"/>
      <c r="CM79" s="15"/>
      <c r="CN79" s="15"/>
      <c r="CO79" s="15"/>
      <c r="CP79" s="15" t="s">
        <v>193</v>
      </c>
      <c r="CQ79" s="15" t="s">
        <v>209</v>
      </c>
      <c r="CR79" s="15" t="s">
        <v>188</v>
      </c>
      <c r="CS79" s="15"/>
      <c r="CT79" s="15"/>
      <c r="CU79" s="15"/>
      <c r="CV79" s="15" t="s">
        <v>188</v>
      </c>
      <c r="CW79" s="15" t="s">
        <v>270</v>
      </c>
      <c r="CX79" s="15"/>
      <c r="CY79" s="15"/>
      <c r="CZ79" s="3"/>
      <c r="DA79" s="49"/>
      <c r="DC79" s="18">
        <f t="shared" si="3"/>
        <v>0</v>
      </c>
      <c r="DD79" s="18">
        <f t="shared" si="4"/>
        <v>3</v>
      </c>
      <c r="DE79" s="18">
        <f t="shared" si="5"/>
        <v>2000</v>
      </c>
    </row>
    <row r="80" spans="1:109" x14ac:dyDescent="0.25">
      <c r="A80" s="59" t="s">
        <v>1318</v>
      </c>
      <c r="B80" s="103">
        <v>41541</v>
      </c>
      <c r="C80" s="105" t="s">
        <v>1576</v>
      </c>
      <c r="D80" s="14" t="s">
        <v>343</v>
      </c>
      <c r="E80" s="15"/>
      <c r="F80" s="15"/>
      <c r="G80" s="15" t="s">
        <v>188</v>
      </c>
      <c r="H80" s="15"/>
      <c r="I80" s="15">
        <v>23</v>
      </c>
      <c r="J80" s="15" t="s">
        <v>189</v>
      </c>
      <c r="K80" s="15" t="s">
        <v>190</v>
      </c>
      <c r="L80" s="15" t="s">
        <v>409</v>
      </c>
      <c r="M80" s="15" t="s">
        <v>1039</v>
      </c>
      <c r="N80" s="15" t="s">
        <v>1085</v>
      </c>
      <c r="O80" s="15">
        <v>4</v>
      </c>
      <c r="P80" s="15"/>
      <c r="Q80" s="15"/>
      <c r="R80" s="15" t="s">
        <v>188</v>
      </c>
      <c r="S80" s="15"/>
      <c r="T80" s="15"/>
      <c r="U80" s="15" t="s">
        <v>188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>
        <v>2005</v>
      </c>
      <c r="AI80" s="1">
        <v>450000</v>
      </c>
      <c r="AJ80" s="15"/>
      <c r="AK80" s="15"/>
      <c r="AL80" s="15" t="s">
        <v>188</v>
      </c>
      <c r="AM80" s="15"/>
      <c r="AN80" s="15"/>
      <c r="AO80" s="15"/>
      <c r="AP80" s="15" t="s">
        <v>188</v>
      </c>
      <c r="AQ80" s="15"/>
      <c r="AR80" s="15"/>
      <c r="AS80" s="15"/>
      <c r="AT80" s="15" t="s">
        <v>390</v>
      </c>
      <c r="AU80" s="1">
        <v>4500</v>
      </c>
      <c r="AV80" s="48">
        <v>0.5</v>
      </c>
      <c r="AW80" s="15">
        <v>1.8</v>
      </c>
      <c r="AX80" s="15">
        <v>1.5</v>
      </c>
      <c r="AY80" s="15">
        <v>2</v>
      </c>
      <c r="AZ80" s="15">
        <v>1000</v>
      </c>
      <c r="BA80" s="15">
        <v>1700</v>
      </c>
      <c r="BB80" s="15" t="s">
        <v>188</v>
      </c>
      <c r="BC80" s="15" t="s">
        <v>188</v>
      </c>
      <c r="BD80" s="15" t="s">
        <v>188</v>
      </c>
      <c r="BE80" s="1">
        <v>10000</v>
      </c>
      <c r="BF80" s="1">
        <v>10000</v>
      </c>
      <c r="BG80" s="1">
        <v>10000</v>
      </c>
      <c r="BH80" s="1">
        <v>120000</v>
      </c>
      <c r="BI80" s="1">
        <v>10000</v>
      </c>
      <c r="BJ80" s="15"/>
      <c r="BK80" s="15"/>
      <c r="BL80" s="15"/>
      <c r="BM80" s="15" t="s">
        <v>188</v>
      </c>
      <c r="BN80" s="15"/>
      <c r="BO80" s="15"/>
      <c r="BP80" s="15"/>
      <c r="BQ80" s="15"/>
      <c r="BR80" s="15"/>
      <c r="BS80" s="2"/>
      <c r="BT80" s="15"/>
      <c r="BU80" s="15"/>
      <c r="BV80" s="15" t="s">
        <v>188</v>
      </c>
      <c r="BW80" s="15"/>
      <c r="BX80" s="15">
        <v>1</v>
      </c>
      <c r="BY80" s="15">
        <v>3</v>
      </c>
      <c r="BZ80" s="15">
        <v>2</v>
      </c>
      <c r="CA80" s="15"/>
      <c r="CB80" s="15"/>
      <c r="CC80" s="15" t="s">
        <v>188</v>
      </c>
      <c r="CD80" s="15" t="s">
        <v>188</v>
      </c>
      <c r="CE80" s="15"/>
      <c r="CF80" s="15"/>
      <c r="CG80" s="15" t="s">
        <v>188</v>
      </c>
      <c r="CH80" s="15"/>
      <c r="CI80" s="15"/>
      <c r="CJ80" s="15"/>
      <c r="CK80" s="15" t="s">
        <v>188</v>
      </c>
      <c r="CL80" s="15"/>
      <c r="CM80" s="15"/>
      <c r="CN80" s="15"/>
      <c r="CO80" s="15"/>
      <c r="CP80" s="15" t="s">
        <v>193</v>
      </c>
      <c r="CQ80" s="15" t="s">
        <v>209</v>
      </c>
      <c r="CR80" s="15"/>
      <c r="CS80" s="15"/>
      <c r="CT80" s="15" t="s">
        <v>188</v>
      </c>
      <c r="CU80" s="15"/>
      <c r="CV80" s="15"/>
      <c r="CW80" s="15"/>
      <c r="CX80" s="15" t="s">
        <v>188</v>
      </c>
      <c r="CY80" s="15" t="s">
        <v>188</v>
      </c>
      <c r="CZ80" s="3"/>
      <c r="DA80" s="49"/>
      <c r="DC80" s="18">
        <f t="shared" si="3"/>
        <v>0</v>
      </c>
      <c r="DD80" s="18">
        <f t="shared" si="4"/>
        <v>3</v>
      </c>
      <c r="DE80" s="18">
        <f t="shared" si="5"/>
        <v>2005</v>
      </c>
    </row>
    <row r="81" spans="1:109" x14ac:dyDescent="0.25">
      <c r="A81" s="59" t="s">
        <v>1318</v>
      </c>
      <c r="B81" s="103">
        <v>41541</v>
      </c>
      <c r="C81" s="105" t="s">
        <v>1576</v>
      </c>
      <c r="D81" s="14" t="s">
        <v>344</v>
      </c>
      <c r="E81" s="15"/>
      <c r="F81" s="15"/>
      <c r="G81" s="15"/>
      <c r="H81" s="15" t="s">
        <v>188</v>
      </c>
      <c r="I81" s="15">
        <v>43</v>
      </c>
      <c r="J81" s="15" t="s">
        <v>189</v>
      </c>
      <c r="K81" s="15" t="s">
        <v>190</v>
      </c>
      <c r="L81" s="15" t="s">
        <v>386</v>
      </c>
      <c r="M81" s="15" t="s">
        <v>1017</v>
      </c>
      <c r="N81" s="15" t="s">
        <v>1085</v>
      </c>
      <c r="O81" s="15">
        <v>23</v>
      </c>
      <c r="P81" s="15" t="s">
        <v>188</v>
      </c>
      <c r="Q81" s="15"/>
      <c r="R81" s="15"/>
      <c r="S81" s="15"/>
      <c r="T81" s="15"/>
      <c r="U81" s="15" t="s">
        <v>188</v>
      </c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>
        <v>2012</v>
      </c>
      <c r="AI81" s="1">
        <v>255000</v>
      </c>
      <c r="AJ81" s="15" t="s">
        <v>188</v>
      </c>
      <c r="AK81" s="15"/>
      <c r="AL81" s="15"/>
      <c r="AM81" s="15"/>
      <c r="AN81" s="15"/>
      <c r="AO81" s="15"/>
      <c r="AP81" s="15" t="s">
        <v>188</v>
      </c>
      <c r="AQ81" s="15"/>
      <c r="AR81" s="15"/>
      <c r="AS81" s="15"/>
      <c r="AT81" s="15" t="s">
        <v>211</v>
      </c>
      <c r="AU81" s="1">
        <v>15000</v>
      </c>
      <c r="AV81" s="48">
        <v>0.5</v>
      </c>
      <c r="AW81" s="15">
        <v>1.8</v>
      </c>
      <c r="AX81" s="15">
        <v>1.5</v>
      </c>
      <c r="AY81" s="15">
        <v>1</v>
      </c>
      <c r="AZ81" s="15">
        <v>350</v>
      </c>
      <c r="BA81" s="15">
        <v>600</v>
      </c>
      <c r="BB81" s="15" t="s">
        <v>188</v>
      </c>
      <c r="BC81" s="15" t="s">
        <v>199</v>
      </c>
      <c r="BD81" s="15" t="s">
        <v>199</v>
      </c>
      <c r="BE81" s="1">
        <v>12000</v>
      </c>
      <c r="BF81" s="1">
        <v>50000</v>
      </c>
      <c r="BG81" s="1">
        <v>30000</v>
      </c>
      <c r="BH81" s="1">
        <v>200000</v>
      </c>
      <c r="BI81" s="1" t="s">
        <v>234</v>
      </c>
      <c r="BJ81" s="15"/>
      <c r="BK81" s="15"/>
      <c r="BL81" s="15"/>
      <c r="BM81" s="15"/>
      <c r="BN81" s="15" t="s">
        <v>188</v>
      </c>
      <c r="BO81" s="15"/>
      <c r="BP81" s="15"/>
      <c r="BQ81" s="15"/>
      <c r="BR81" s="15"/>
      <c r="BS81" s="2"/>
      <c r="BT81" s="15"/>
      <c r="BU81" s="15"/>
      <c r="BV81" s="15" t="s">
        <v>188</v>
      </c>
      <c r="BW81" s="15"/>
      <c r="BX81" s="15">
        <v>2</v>
      </c>
      <c r="BY81" s="15">
        <v>1</v>
      </c>
      <c r="BZ81" s="15">
        <v>3</v>
      </c>
      <c r="CA81" s="15"/>
      <c r="CB81" s="15"/>
      <c r="CC81" s="15" t="s">
        <v>188</v>
      </c>
      <c r="CD81" s="15"/>
      <c r="CE81" s="15" t="s">
        <v>188</v>
      </c>
      <c r="CF81" s="15"/>
      <c r="CG81" s="15" t="s">
        <v>188</v>
      </c>
      <c r="CH81" s="15"/>
      <c r="CI81" s="15" t="s">
        <v>188</v>
      </c>
      <c r="CJ81" s="15"/>
      <c r="CK81" s="15" t="s">
        <v>188</v>
      </c>
      <c r="CL81" s="15"/>
      <c r="CM81" s="15"/>
      <c r="CN81" s="15"/>
      <c r="CO81" s="15"/>
      <c r="CP81" s="15" t="s">
        <v>193</v>
      </c>
      <c r="CQ81" s="15" t="s">
        <v>203</v>
      </c>
      <c r="CR81" s="15"/>
      <c r="CS81" s="15" t="s">
        <v>188</v>
      </c>
      <c r="CT81" s="15"/>
      <c r="CU81" s="15"/>
      <c r="CV81" s="15" t="s">
        <v>188</v>
      </c>
      <c r="CW81" s="15" t="s">
        <v>270</v>
      </c>
      <c r="CX81" s="15"/>
      <c r="CY81" s="15"/>
      <c r="CZ81" s="3"/>
      <c r="DA81" s="49"/>
      <c r="DC81" s="18">
        <f t="shared" si="3"/>
        <v>0</v>
      </c>
      <c r="DD81" s="18">
        <f t="shared" si="4"/>
        <v>7</v>
      </c>
      <c r="DE81" s="18">
        <f t="shared" si="5"/>
        <v>2012</v>
      </c>
    </row>
    <row r="82" spans="1:109" x14ac:dyDescent="0.25">
      <c r="A82" s="59" t="s">
        <v>1318</v>
      </c>
      <c r="B82" s="103">
        <v>41541</v>
      </c>
      <c r="C82" s="105" t="s">
        <v>1576</v>
      </c>
      <c r="D82" s="14" t="s">
        <v>345</v>
      </c>
      <c r="E82" s="15"/>
      <c r="F82" s="15"/>
      <c r="G82" s="15"/>
      <c r="H82" s="15" t="s">
        <v>188</v>
      </c>
      <c r="I82" s="15">
        <v>49</v>
      </c>
      <c r="J82" s="15" t="s">
        <v>189</v>
      </c>
      <c r="K82" s="15" t="s">
        <v>214</v>
      </c>
      <c r="L82" s="15" t="s">
        <v>410</v>
      </c>
      <c r="M82" s="15" t="s">
        <v>1026</v>
      </c>
      <c r="N82" s="15" t="s">
        <v>1084</v>
      </c>
      <c r="O82" s="15">
        <v>22</v>
      </c>
      <c r="P82" s="15" t="s">
        <v>188</v>
      </c>
      <c r="Q82" s="15"/>
      <c r="R82" s="15"/>
      <c r="S82" s="15"/>
      <c r="T82" s="15"/>
      <c r="U82" s="15" t="s">
        <v>188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>
        <v>2003</v>
      </c>
      <c r="AI82" s="1">
        <v>450000</v>
      </c>
      <c r="AJ82" s="15"/>
      <c r="AK82" s="15" t="s">
        <v>188</v>
      </c>
      <c r="AL82" s="15"/>
      <c r="AM82" s="15"/>
      <c r="AN82" s="15"/>
      <c r="AO82" s="15"/>
      <c r="AP82" s="15" t="s">
        <v>188</v>
      </c>
      <c r="AQ82" s="15"/>
      <c r="AR82" s="15"/>
      <c r="AS82" s="15"/>
      <c r="AT82" s="15" t="s">
        <v>233</v>
      </c>
      <c r="AU82" s="1">
        <v>3500</v>
      </c>
      <c r="AV82" s="48">
        <v>0.5</v>
      </c>
      <c r="AW82" s="15">
        <v>4</v>
      </c>
      <c r="AX82" s="15">
        <v>3</v>
      </c>
      <c r="AY82" s="15">
        <v>2</v>
      </c>
      <c r="AZ82" s="15">
        <v>250</v>
      </c>
      <c r="BA82" s="15">
        <v>900</v>
      </c>
      <c r="BB82" s="15" t="s">
        <v>188</v>
      </c>
      <c r="BC82" s="15" t="s">
        <v>199</v>
      </c>
      <c r="BD82" s="15" t="s">
        <v>199</v>
      </c>
      <c r="BE82" s="1">
        <v>30000</v>
      </c>
      <c r="BF82" s="1">
        <v>10000</v>
      </c>
      <c r="BG82" s="1">
        <v>100000</v>
      </c>
      <c r="BH82" s="1">
        <v>300000</v>
      </c>
      <c r="BI82" s="1" t="s">
        <v>234</v>
      </c>
      <c r="BJ82" s="15"/>
      <c r="BK82" s="15" t="s">
        <v>188</v>
      </c>
      <c r="BL82" s="15"/>
      <c r="BM82" s="15"/>
      <c r="BN82" s="15"/>
      <c r="BO82" s="15"/>
      <c r="BP82" s="15"/>
      <c r="BQ82" s="15"/>
      <c r="BR82" s="15"/>
      <c r="BS82" s="2"/>
      <c r="BT82" s="15"/>
      <c r="BU82" s="15" t="s">
        <v>188</v>
      </c>
      <c r="BV82" s="15"/>
      <c r="BW82" s="15"/>
      <c r="BX82" s="15">
        <v>2</v>
      </c>
      <c r="BY82" s="15">
        <v>3</v>
      </c>
      <c r="BZ82" s="15">
        <v>1</v>
      </c>
      <c r="CA82" s="15"/>
      <c r="CB82" s="15" t="s">
        <v>188</v>
      </c>
      <c r="CC82" s="15"/>
      <c r="CD82" s="15"/>
      <c r="CE82" s="15"/>
      <c r="CF82" s="15"/>
      <c r="CG82" s="15"/>
      <c r="CH82" s="15"/>
      <c r="CI82" s="15"/>
      <c r="CJ82" s="15"/>
      <c r="CK82" s="15" t="s">
        <v>188</v>
      </c>
      <c r="CL82" s="15"/>
      <c r="CM82" s="15"/>
      <c r="CN82" s="15"/>
      <c r="CO82" s="15"/>
      <c r="CP82" s="15" t="s">
        <v>193</v>
      </c>
      <c r="CQ82" s="15" t="s">
        <v>209</v>
      </c>
      <c r="CR82" s="15"/>
      <c r="CS82" s="15" t="s">
        <v>188</v>
      </c>
      <c r="CT82" s="15" t="s">
        <v>188</v>
      </c>
      <c r="CU82" s="2" t="s">
        <v>324</v>
      </c>
      <c r="CV82" s="15"/>
      <c r="CW82" s="15"/>
      <c r="CX82" s="15"/>
      <c r="CY82" s="15" t="s">
        <v>188</v>
      </c>
      <c r="CZ82" s="3"/>
      <c r="DA82" s="49"/>
      <c r="DC82" s="18">
        <f t="shared" si="3"/>
        <v>0</v>
      </c>
      <c r="DD82" s="18">
        <f t="shared" si="4"/>
        <v>7</v>
      </c>
      <c r="DE82" s="18">
        <f t="shared" si="5"/>
        <v>2003</v>
      </c>
    </row>
    <row r="83" spans="1:109" x14ac:dyDescent="0.25">
      <c r="A83" s="59" t="s">
        <v>1318</v>
      </c>
      <c r="B83" s="103">
        <v>41541</v>
      </c>
      <c r="C83" s="105" t="s">
        <v>1576</v>
      </c>
      <c r="D83" s="14" t="s">
        <v>346</v>
      </c>
      <c r="E83" s="15"/>
      <c r="F83" s="15"/>
      <c r="G83" s="15"/>
      <c r="H83" s="15" t="s">
        <v>188</v>
      </c>
      <c r="I83" s="15">
        <v>36</v>
      </c>
      <c r="J83" s="15" t="s">
        <v>189</v>
      </c>
      <c r="K83" s="15" t="s">
        <v>190</v>
      </c>
      <c r="L83" s="15" t="s">
        <v>411</v>
      </c>
      <c r="M83" s="15" t="s">
        <v>1040</v>
      </c>
      <c r="N83" s="15" t="s">
        <v>1085</v>
      </c>
      <c r="O83" s="15">
        <v>15</v>
      </c>
      <c r="P83" s="15"/>
      <c r="Q83" s="15"/>
      <c r="R83" s="15"/>
      <c r="S83" s="15" t="s">
        <v>188</v>
      </c>
      <c r="T83" s="15"/>
      <c r="U83" s="15"/>
      <c r="V83" s="15" t="s">
        <v>188</v>
      </c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>
        <v>2013</v>
      </c>
      <c r="AI83" s="1">
        <v>200000</v>
      </c>
      <c r="AJ83" s="15"/>
      <c r="AK83" s="15"/>
      <c r="AL83" s="15" t="s">
        <v>188</v>
      </c>
      <c r="AM83" s="15"/>
      <c r="AN83" s="15"/>
      <c r="AO83" s="15"/>
      <c r="AP83" s="15" t="s">
        <v>188</v>
      </c>
      <c r="AQ83" s="15"/>
      <c r="AR83" s="15"/>
      <c r="AS83" s="15"/>
      <c r="AT83" s="15" t="s">
        <v>390</v>
      </c>
      <c r="AU83" s="1">
        <v>20000</v>
      </c>
      <c r="AV83" s="48">
        <v>0.1</v>
      </c>
      <c r="AW83" s="15">
        <v>2.8</v>
      </c>
      <c r="AX83" s="15">
        <v>2</v>
      </c>
      <c r="AY83" s="15">
        <v>2</v>
      </c>
      <c r="AZ83" s="15">
        <v>800</v>
      </c>
      <c r="BA83" s="15">
        <v>2000</v>
      </c>
      <c r="BB83" s="15" t="s">
        <v>188</v>
      </c>
      <c r="BC83" s="15" t="s">
        <v>199</v>
      </c>
      <c r="BD83" s="15" t="s">
        <v>199</v>
      </c>
      <c r="BE83" s="1">
        <v>20000</v>
      </c>
      <c r="BF83" s="1">
        <v>40000</v>
      </c>
      <c r="BG83" s="1">
        <v>30000</v>
      </c>
      <c r="BH83" s="1" t="s">
        <v>193</v>
      </c>
      <c r="BI83" s="1">
        <v>20000</v>
      </c>
      <c r="BJ83" s="15"/>
      <c r="BK83" s="15"/>
      <c r="BL83" s="15"/>
      <c r="BM83" s="15"/>
      <c r="BN83" s="15"/>
      <c r="BO83" s="15"/>
      <c r="BP83" s="15"/>
      <c r="BQ83" s="15"/>
      <c r="BR83" s="15"/>
      <c r="BS83" s="2" t="s">
        <v>314</v>
      </c>
      <c r="BT83" s="15"/>
      <c r="BU83" s="15"/>
      <c r="BV83" s="15" t="s">
        <v>188</v>
      </c>
      <c r="BW83" s="15"/>
      <c r="BX83" s="15">
        <v>2</v>
      </c>
      <c r="BY83" s="15">
        <v>4</v>
      </c>
      <c r="BZ83" s="15">
        <v>3</v>
      </c>
      <c r="CA83" s="2" t="s">
        <v>412</v>
      </c>
      <c r="CB83" s="15" t="s">
        <v>188</v>
      </c>
      <c r="CC83" s="15"/>
      <c r="CD83" s="15"/>
      <c r="CE83" s="15"/>
      <c r="CF83" s="15"/>
      <c r="CG83" s="15"/>
      <c r="CH83" s="15"/>
      <c r="CI83" s="15"/>
      <c r="CJ83" s="15"/>
      <c r="CK83" s="15" t="s">
        <v>188</v>
      </c>
      <c r="CL83" s="15"/>
      <c r="CM83" s="15"/>
      <c r="CN83" s="15"/>
      <c r="CO83" s="15"/>
      <c r="CP83" s="15" t="s">
        <v>193</v>
      </c>
      <c r="CQ83" s="15" t="s">
        <v>300</v>
      </c>
      <c r="CR83" s="15" t="s">
        <v>188</v>
      </c>
      <c r="CS83" s="15"/>
      <c r="CT83" s="15"/>
      <c r="CU83" s="15"/>
      <c r="CV83" s="15" t="s">
        <v>188</v>
      </c>
      <c r="CW83" s="15" t="s">
        <v>282</v>
      </c>
      <c r="CX83" s="15"/>
      <c r="CY83" s="15"/>
      <c r="CZ83" s="3"/>
      <c r="DA83" s="49"/>
      <c r="DC83" s="18">
        <f t="shared" si="3"/>
        <v>0</v>
      </c>
      <c r="DD83" s="18">
        <f t="shared" si="4"/>
        <v>7</v>
      </c>
      <c r="DE83" s="18">
        <f t="shared" si="5"/>
        <v>2013</v>
      </c>
    </row>
    <row r="84" spans="1:109" x14ac:dyDescent="0.25">
      <c r="A84" s="59" t="s">
        <v>1318</v>
      </c>
      <c r="B84" s="103">
        <v>41541</v>
      </c>
      <c r="C84" s="105" t="s">
        <v>1576</v>
      </c>
      <c r="D84" s="14" t="s">
        <v>347</v>
      </c>
      <c r="E84" s="15"/>
      <c r="F84" s="15" t="s">
        <v>188</v>
      </c>
      <c r="G84" s="15"/>
      <c r="H84" s="15"/>
      <c r="I84" s="15">
        <v>39</v>
      </c>
      <c r="J84" s="15" t="s">
        <v>189</v>
      </c>
      <c r="K84" s="15" t="s">
        <v>196</v>
      </c>
      <c r="L84" s="15" t="s">
        <v>413</v>
      </c>
      <c r="M84" s="50" t="s">
        <v>1041</v>
      </c>
      <c r="N84" s="15" t="s">
        <v>1085</v>
      </c>
      <c r="O84" s="15">
        <v>21</v>
      </c>
      <c r="P84" s="15"/>
      <c r="Q84" s="15"/>
      <c r="R84" s="15"/>
      <c r="S84" s="15" t="s">
        <v>188</v>
      </c>
      <c r="T84" s="15"/>
      <c r="U84" s="15" t="s">
        <v>188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>
        <v>2012</v>
      </c>
      <c r="AI84" s="1">
        <v>190000</v>
      </c>
      <c r="AJ84" s="15"/>
      <c r="AK84" s="15"/>
      <c r="AL84" s="15" t="s">
        <v>188</v>
      </c>
      <c r="AM84" s="15"/>
      <c r="AN84" s="15"/>
      <c r="AO84" s="15"/>
      <c r="AP84" s="15" t="s">
        <v>188</v>
      </c>
      <c r="AQ84" s="15"/>
      <c r="AR84" s="15"/>
      <c r="AS84" s="15"/>
      <c r="AT84" s="15" t="s">
        <v>229</v>
      </c>
      <c r="AU84" s="1">
        <v>15000</v>
      </c>
      <c r="AV84" s="48">
        <v>0.5</v>
      </c>
      <c r="AW84" s="15">
        <v>2.6</v>
      </c>
      <c r="AX84" s="15">
        <v>2.4</v>
      </c>
      <c r="AY84" s="15">
        <v>2</v>
      </c>
      <c r="AZ84" s="15">
        <v>320</v>
      </c>
      <c r="BA84" s="15">
        <v>800</v>
      </c>
      <c r="BB84" s="15" t="s">
        <v>188</v>
      </c>
      <c r="BC84" s="15" t="s">
        <v>199</v>
      </c>
      <c r="BD84" s="15" t="s">
        <v>199</v>
      </c>
      <c r="BE84" s="1">
        <v>6000</v>
      </c>
      <c r="BF84" s="1">
        <v>18000</v>
      </c>
      <c r="BG84" s="1">
        <v>6000</v>
      </c>
      <c r="BH84" s="1">
        <v>70000</v>
      </c>
      <c r="BI84" s="1">
        <v>6000</v>
      </c>
      <c r="BJ84" s="15"/>
      <c r="BK84" s="15"/>
      <c r="BL84" s="15" t="s">
        <v>188</v>
      </c>
      <c r="BM84" s="15"/>
      <c r="BN84" s="15"/>
      <c r="BO84" s="15"/>
      <c r="BP84" s="15"/>
      <c r="BQ84" s="15"/>
      <c r="BR84" s="15"/>
      <c r="BS84" s="2"/>
      <c r="BT84" s="15"/>
      <c r="BU84" s="15"/>
      <c r="BV84" s="15" t="s">
        <v>188</v>
      </c>
      <c r="BW84" s="15"/>
      <c r="BX84" s="15">
        <v>2</v>
      </c>
      <c r="BY84" s="15">
        <v>3</v>
      </c>
      <c r="BZ84" s="15">
        <v>1</v>
      </c>
      <c r="CA84" s="15"/>
      <c r="CB84" s="15" t="s">
        <v>188</v>
      </c>
      <c r="CC84" s="15"/>
      <c r="CD84" s="15"/>
      <c r="CE84" s="15"/>
      <c r="CF84" s="15"/>
      <c r="CG84" s="15"/>
      <c r="CH84" s="15"/>
      <c r="CI84" s="15"/>
      <c r="CJ84" s="15"/>
      <c r="CK84" s="15" t="s">
        <v>188</v>
      </c>
      <c r="CL84" s="15"/>
      <c r="CM84" s="15"/>
      <c r="CN84" s="15"/>
      <c r="CO84" s="15"/>
      <c r="CP84" s="15" t="s">
        <v>193</v>
      </c>
      <c r="CQ84" s="15" t="s">
        <v>209</v>
      </c>
      <c r="CR84" s="15"/>
      <c r="CS84" s="15"/>
      <c r="CT84" s="15"/>
      <c r="CU84" s="2"/>
      <c r="CV84" s="15"/>
      <c r="CW84" s="15" t="s">
        <v>999</v>
      </c>
      <c r="CX84" s="15"/>
      <c r="CY84" s="15" t="s">
        <v>188</v>
      </c>
      <c r="CZ84" s="3"/>
      <c r="DA84" s="49"/>
      <c r="DC84" s="18">
        <f t="shared" si="3"/>
        <v>0</v>
      </c>
      <c r="DD84" s="18">
        <f t="shared" si="4"/>
        <v>2</v>
      </c>
      <c r="DE84" s="18">
        <f t="shared" si="5"/>
        <v>2012</v>
      </c>
    </row>
    <row r="85" spans="1:109" x14ac:dyDescent="0.25">
      <c r="A85" s="59" t="s">
        <v>1318</v>
      </c>
      <c r="B85" s="103">
        <v>41541</v>
      </c>
      <c r="C85" s="105" t="s">
        <v>1576</v>
      </c>
      <c r="D85" s="14" t="s">
        <v>348</v>
      </c>
      <c r="E85" s="15" t="s">
        <v>188</v>
      </c>
      <c r="F85" s="15"/>
      <c r="G85" s="15"/>
      <c r="H85" s="15"/>
      <c r="I85" s="15">
        <v>41</v>
      </c>
      <c r="J85" s="15" t="s">
        <v>189</v>
      </c>
      <c r="K85" s="15" t="s">
        <v>190</v>
      </c>
      <c r="L85" s="15" t="s">
        <v>405</v>
      </c>
      <c r="M85" s="15" t="s">
        <v>1037</v>
      </c>
      <c r="N85" s="15" t="s">
        <v>1085</v>
      </c>
      <c r="O85" s="15">
        <v>22</v>
      </c>
      <c r="P85" s="15"/>
      <c r="Q85" s="15" t="s">
        <v>188</v>
      </c>
      <c r="R85" s="15"/>
      <c r="S85" s="15"/>
      <c r="T85" s="15"/>
      <c r="U85" s="15" t="s">
        <v>188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>
        <v>2001</v>
      </c>
      <c r="AI85" s="1">
        <v>865000</v>
      </c>
      <c r="AJ85" s="15"/>
      <c r="AK85" s="15"/>
      <c r="AL85" s="15" t="s">
        <v>188</v>
      </c>
      <c r="AM85" s="15"/>
      <c r="AN85" s="15"/>
      <c r="AO85" s="15"/>
      <c r="AP85" s="15" t="s">
        <v>188</v>
      </c>
      <c r="AQ85" s="15"/>
      <c r="AR85" s="15"/>
      <c r="AS85" s="15"/>
      <c r="AT85" s="15" t="s">
        <v>407</v>
      </c>
      <c r="AU85" s="1">
        <v>6000</v>
      </c>
      <c r="AV85" s="48">
        <v>0.5</v>
      </c>
      <c r="AW85" s="15">
        <v>3.5</v>
      </c>
      <c r="AX85" s="15">
        <v>3</v>
      </c>
      <c r="AY85" s="15">
        <v>1</v>
      </c>
      <c r="AZ85" s="15">
        <v>300</v>
      </c>
      <c r="BA85" s="15">
        <v>900</v>
      </c>
      <c r="BB85" s="15" t="s">
        <v>199</v>
      </c>
      <c r="BC85" s="15" t="s">
        <v>188</v>
      </c>
      <c r="BD85" s="15" t="s">
        <v>199</v>
      </c>
      <c r="BE85" s="1">
        <v>18000</v>
      </c>
      <c r="BF85" s="1">
        <v>12000</v>
      </c>
      <c r="BG85" s="1">
        <v>18000</v>
      </c>
      <c r="BH85" s="1">
        <v>90000</v>
      </c>
      <c r="BI85" s="1">
        <v>18000</v>
      </c>
      <c r="BJ85" s="15"/>
      <c r="BK85" s="15"/>
      <c r="BL85" s="15"/>
      <c r="BM85" s="15"/>
      <c r="BN85" s="15"/>
      <c r="BO85" s="15"/>
      <c r="BP85" s="15"/>
      <c r="BQ85" s="15"/>
      <c r="BR85" s="15"/>
      <c r="BS85" s="2" t="s">
        <v>349</v>
      </c>
      <c r="BT85" s="15"/>
      <c r="BU85" s="15" t="s">
        <v>188</v>
      </c>
      <c r="BV85" s="15"/>
      <c r="BW85" s="15"/>
      <c r="BX85" s="15">
        <v>1</v>
      </c>
      <c r="BY85" s="15">
        <v>2</v>
      </c>
      <c r="BZ85" s="15">
        <v>3</v>
      </c>
      <c r="CA85" s="15"/>
      <c r="CB85" s="15" t="s">
        <v>188</v>
      </c>
      <c r="CC85" s="15"/>
      <c r="CD85" s="15"/>
      <c r="CE85" s="15"/>
      <c r="CF85" s="15"/>
      <c r="CG85" s="15"/>
      <c r="CH85" s="15"/>
      <c r="CI85" s="15"/>
      <c r="CJ85" s="15"/>
      <c r="CK85" s="15" t="s">
        <v>188</v>
      </c>
      <c r="CL85" s="15"/>
      <c r="CM85" s="15"/>
      <c r="CN85" s="15"/>
      <c r="CO85" s="15"/>
      <c r="CP85" s="15" t="s">
        <v>193</v>
      </c>
      <c r="CQ85" s="15" t="s">
        <v>209</v>
      </c>
      <c r="CR85" s="15"/>
      <c r="CS85" s="15"/>
      <c r="CT85" s="15" t="s">
        <v>188</v>
      </c>
      <c r="CU85" s="15"/>
      <c r="CV85" s="15"/>
      <c r="CW85" s="15"/>
      <c r="CX85" s="15" t="s">
        <v>188</v>
      </c>
      <c r="CY85" s="15" t="s">
        <v>188</v>
      </c>
      <c r="CZ85" s="3"/>
      <c r="DA85" s="49"/>
      <c r="DC85" s="18">
        <f t="shared" si="3"/>
        <v>0</v>
      </c>
      <c r="DD85" s="18">
        <f t="shared" si="4"/>
        <v>1</v>
      </c>
      <c r="DE85" s="18">
        <f t="shared" si="5"/>
        <v>2001</v>
      </c>
    </row>
    <row r="86" spans="1:109" x14ac:dyDescent="0.25">
      <c r="A86" s="59" t="s">
        <v>1318</v>
      </c>
      <c r="B86" s="103">
        <v>41541</v>
      </c>
      <c r="C86" s="105" t="s">
        <v>1576</v>
      </c>
      <c r="D86" s="14" t="s">
        <v>350</v>
      </c>
      <c r="E86" s="15"/>
      <c r="F86" s="15"/>
      <c r="G86" s="15" t="s">
        <v>188</v>
      </c>
      <c r="H86" s="15"/>
      <c r="I86" s="15">
        <v>48</v>
      </c>
      <c r="J86" s="15" t="s">
        <v>189</v>
      </c>
      <c r="K86" s="15" t="s">
        <v>196</v>
      </c>
      <c r="L86" s="15" t="s">
        <v>414</v>
      </c>
      <c r="M86" s="50" t="s">
        <v>1042</v>
      </c>
      <c r="N86" s="15" t="s">
        <v>1085</v>
      </c>
      <c r="O86" s="15">
        <v>18</v>
      </c>
      <c r="P86" s="15"/>
      <c r="Q86" s="15"/>
      <c r="R86" s="15"/>
      <c r="S86" s="15" t="s">
        <v>188</v>
      </c>
      <c r="T86" s="15"/>
      <c r="U86" s="15" t="s">
        <v>188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>
        <v>1998</v>
      </c>
      <c r="AI86" s="1">
        <v>2000000</v>
      </c>
      <c r="AJ86" s="15"/>
      <c r="AK86" s="15"/>
      <c r="AL86" s="15" t="s">
        <v>188</v>
      </c>
      <c r="AM86" s="15"/>
      <c r="AN86" s="15"/>
      <c r="AO86" s="15"/>
      <c r="AP86" s="15" t="s">
        <v>188</v>
      </c>
      <c r="AQ86" s="15"/>
      <c r="AR86" s="15"/>
      <c r="AS86" s="15"/>
      <c r="AT86" s="15" t="s">
        <v>237</v>
      </c>
      <c r="AU86" s="1">
        <v>12000</v>
      </c>
      <c r="AV86" s="48">
        <v>0.5</v>
      </c>
      <c r="AW86" s="15">
        <v>2</v>
      </c>
      <c r="AX86" s="15">
        <v>1.8</v>
      </c>
      <c r="AY86" s="15">
        <v>2</v>
      </c>
      <c r="AZ86" s="15">
        <v>780</v>
      </c>
      <c r="BA86" s="15">
        <v>1500</v>
      </c>
      <c r="BB86" s="15" t="s">
        <v>188</v>
      </c>
      <c r="BC86" s="15" t="s">
        <v>188</v>
      </c>
      <c r="BD86" s="15" t="s">
        <v>199</v>
      </c>
      <c r="BE86" s="1">
        <v>10000</v>
      </c>
      <c r="BF86" s="1">
        <v>36000</v>
      </c>
      <c r="BG86" s="1">
        <v>10000</v>
      </c>
      <c r="BH86" s="1">
        <v>72000</v>
      </c>
      <c r="BI86" s="1">
        <v>10000</v>
      </c>
      <c r="BJ86" s="15" t="s">
        <v>188</v>
      </c>
      <c r="BK86" s="15"/>
      <c r="BL86" s="15"/>
      <c r="BM86" s="15"/>
      <c r="BN86" s="15"/>
      <c r="BO86" s="15"/>
      <c r="BP86" s="15"/>
      <c r="BQ86" s="15"/>
      <c r="BR86" s="15"/>
      <c r="BS86" s="2"/>
      <c r="BT86" s="15"/>
      <c r="BU86" s="15" t="s">
        <v>188</v>
      </c>
      <c r="BV86" s="15"/>
      <c r="BW86" s="15"/>
      <c r="BX86" s="15">
        <v>1</v>
      </c>
      <c r="BY86" s="15">
        <v>3</v>
      </c>
      <c r="BZ86" s="15">
        <v>2</v>
      </c>
      <c r="CA86" s="15"/>
      <c r="CB86" s="15" t="s">
        <v>188</v>
      </c>
      <c r="CC86" s="15"/>
      <c r="CD86" s="15"/>
      <c r="CE86" s="15"/>
      <c r="CF86" s="15"/>
      <c r="CG86" s="15"/>
      <c r="CH86" s="15"/>
      <c r="CI86" s="15"/>
      <c r="CJ86" s="15"/>
      <c r="CK86" s="15" t="s">
        <v>188</v>
      </c>
      <c r="CL86" s="15"/>
      <c r="CM86" s="15"/>
      <c r="CN86" s="15"/>
      <c r="CO86" s="15"/>
      <c r="CP86" s="15" t="s">
        <v>193</v>
      </c>
      <c r="CQ86" s="15" t="s">
        <v>209</v>
      </c>
      <c r="CR86" s="15"/>
      <c r="CS86" s="15" t="s">
        <v>188</v>
      </c>
      <c r="CT86" s="15"/>
      <c r="CU86" s="15"/>
      <c r="CV86" s="15" t="s">
        <v>188</v>
      </c>
      <c r="CW86" s="2" t="s">
        <v>351</v>
      </c>
      <c r="CX86" s="15"/>
      <c r="CY86" s="15"/>
      <c r="CZ86" s="3"/>
      <c r="DA86" s="49"/>
      <c r="DC86" s="18">
        <f t="shared" si="3"/>
        <v>0</v>
      </c>
      <c r="DD86" s="18">
        <f t="shared" si="4"/>
        <v>3</v>
      </c>
      <c r="DE86" s="18">
        <f t="shared" si="5"/>
        <v>1998</v>
      </c>
    </row>
    <row r="87" spans="1:109" x14ac:dyDescent="0.25">
      <c r="A87" s="59" t="s">
        <v>1318</v>
      </c>
      <c r="B87" s="103">
        <v>41541</v>
      </c>
      <c r="C87" s="105" t="s">
        <v>1576</v>
      </c>
      <c r="D87" s="14" t="s">
        <v>352</v>
      </c>
      <c r="E87" s="15" t="s">
        <v>188</v>
      </c>
      <c r="F87" s="15"/>
      <c r="G87" s="15"/>
      <c r="H87" s="15"/>
      <c r="I87" s="15">
        <v>43</v>
      </c>
      <c r="J87" s="15" t="s">
        <v>189</v>
      </c>
      <c r="K87" s="15" t="s">
        <v>196</v>
      </c>
      <c r="L87" s="15" t="s">
        <v>388</v>
      </c>
      <c r="M87" s="15" t="s">
        <v>1020</v>
      </c>
      <c r="N87" s="15" t="s">
        <v>1085</v>
      </c>
      <c r="O87" s="15">
        <v>21</v>
      </c>
      <c r="P87" s="15"/>
      <c r="Q87" s="15"/>
      <c r="R87" s="15"/>
      <c r="S87" s="15" t="s">
        <v>188</v>
      </c>
      <c r="T87" s="15"/>
      <c r="U87" s="15" t="s">
        <v>188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>
        <v>2000</v>
      </c>
      <c r="AI87" s="1">
        <v>1000000</v>
      </c>
      <c r="AJ87" s="15"/>
      <c r="AK87" s="15"/>
      <c r="AL87" s="15" t="s">
        <v>188</v>
      </c>
      <c r="AM87" s="15"/>
      <c r="AN87" s="15"/>
      <c r="AO87" s="15"/>
      <c r="AP87" s="15" t="s">
        <v>188</v>
      </c>
      <c r="AQ87" s="15"/>
      <c r="AR87" s="15"/>
      <c r="AS87" s="15"/>
      <c r="AT87" s="15" t="s">
        <v>322</v>
      </c>
      <c r="AU87" s="1">
        <v>6400</v>
      </c>
      <c r="AV87" s="48">
        <v>0.5</v>
      </c>
      <c r="AW87" s="15">
        <v>2.2999999999999998</v>
      </c>
      <c r="AX87" s="15">
        <v>1.5</v>
      </c>
      <c r="AY87" s="15">
        <v>1</v>
      </c>
      <c r="AZ87" s="15">
        <v>300</v>
      </c>
      <c r="BA87" s="15">
        <v>600</v>
      </c>
      <c r="BB87" s="15" t="s">
        <v>199</v>
      </c>
      <c r="BC87" s="15" t="s">
        <v>188</v>
      </c>
      <c r="BD87" s="15" t="s">
        <v>199</v>
      </c>
      <c r="BE87" s="1">
        <v>10000</v>
      </c>
      <c r="BF87" s="1">
        <v>12000</v>
      </c>
      <c r="BG87" s="1">
        <v>10000</v>
      </c>
      <c r="BH87" s="1">
        <v>36000</v>
      </c>
      <c r="BI87" s="1">
        <v>10000</v>
      </c>
      <c r="BJ87" s="15"/>
      <c r="BK87" s="15" t="s">
        <v>188</v>
      </c>
      <c r="BL87" s="15"/>
      <c r="BM87" s="15"/>
      <c r="BN87" s="15"/>
      <c r="BO87" s="15" t="s">
        <v>188</v>
      </c>
      <c r="BP87" s="15"/>
      <c r="BQ87" s="15"/>
      <c r="BR87" s="15"/>
      <c r="BS87" s="2"/>
      <c r="BT87" s="15"/>
      <c r="BU87" s="15"/>
      <c r="BV87" s="15" t="s">
        <v>188</v>
      </c>
      <c r="BW87" s="15"/>
      <c r="BX87" s="15">
        <v>1</v>
      </c>
      <c r="BY87" s="15">
        <v>3</v>
      </c>
      <c r="BZ87" s="15">
        <v>2</v>
      </c>
      <c r="CA87" s="15"/>
      <c r="CB87" s="15" t="s">
        <v>188</v>
      </c>
      <c r="CC87" s="15"/>
      <c r="CD87" s="15"/>
      <c r="CE87" s="15"/>
      <c r="CF87" s="15"/>
      <c r="CG87" s="15"/>
      <c r="CH87" s="15"/>
      <c r="CI87" s="15"/>
      <c r="CJ87" s="15"/>
      <c r="CK87" s="15" t="s">
        <v>188</v>
      </c>
      <c r="CL87" s="15"/>
      <c r="CM87" s="15"/>
      <c r="CN87" s="15"/>
      <c r="CO87" s="15"/>
      <c r="CP87" s="15" t="s">
        <v>193</v>
      </c>
      <c r="CQ87" s="15" t="s">
        <v>300</v>
      </c>
      <c r="CR87" s="15"/>
      <c r="CS87" s="15"/>
      <c r="CT87" s="15" t="s">
        <v>188</v>
      </c>
      <c r="CU87" s="15"/>
      <c r="CV87" s="15"/>
      <c r="CW87" s="15"/>
      <c r="CX87" s="15"/>
      <c r="CY87" s="15" t="s">
        <v>188</v>
      </c>
      <c r="CZ87" s="3" t="s">
        <v>208</v>
      </c>
      <c r="DA87" s="49"/>
      <c r="DC87" s="18">
        <f t="shared" si="3"/>
        <v>0</v>
      </c>
      <c r="DD87" s="18">
        <f t="shared" si="4"/>
        <v>1</v>
      </c>
      <c r="DE87" s="18">
        <f t="shared" si="5"/>
        <v>2000</v>
      </c>
    </row>
    <row r="88" spans="1:109" x14ac:dyDescent="0.25">
      <c r="A88" s="59" t="s">
        <v>1318</v>
      </c>
      <c r="B88" s="103">
        <v>41542</v>
      </c>
      <c r="C88" s="105" t="s">
        <v>1576</v>
      </c>
      <c r="D88" s="14" t="s">
        <v>353</v>
      </c>
      <c r="E88" s="15"/>
      <c r="F88" s="15" t="s">
        <v>188</v>
      </c>
      <c r="G88" s="15"/>
      <c r="H88" s="15"/>
      <c r="I88" s="15">
        <v>43</v>
      </c>
      <c r="J88" s="15" t="s">
        <v>189</v>
      </c>
      <c r="K88" s="15" t="s">
        <v>190</v>
      </c>
      <c r="L88" s="15" t="s">
        <v>391</v>
      </c>
      <c r="M88" s="15" t="s">
        <v>1023</v>
      </c>
      <c r="N88" s="15" t="s">
        <v>1084</v>
      </c>
      <c r="O88" s="15">
        <v>25</v>
      </c>
      <c r="P88" s="15"/>
      <c r="Q88" s="15"/>
      <c r="R88" s="15"/>
      <c r="S88" s="15" t="s">
        <v>188</v>
      </c>
      <c r="T88" s="15"/>
      <c r="U88" s="15" t="s">
        <v>188</v>
      </c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>
        <v>2003</v>
      </c>
      <c r="AI88" s="1">
        <v>1000000</v>
      </c>
      <c r="AJ88" s="15"/>
      <c r="AK88" s="15"/>
      <c r="AL88" s="15" t="s">
        <v>188</v>
      </c>
      <c r="AM88" s="15"/>
      <c r="AN88" s="15"/>
      <c r="AO88" s="15"/>
      <c r="AP88" s="15" t="s">
        <v>188</v>
      </c>
      <c r="AQ88" s="15"/>
      <c r="AR88" s="15"/>
      <c r="AS88" s="15"/>
      <c r="AT88" s="15" t="s">
        <v>322</v>
      </c>
      <c r="AU88" s="1">
        <v>8500</v>
      </c>
      <c r="AV88" s="48">
        <v>0.5</v>
      </c>
      <c r="AW88" s="15">
        <v>2.2000000000000002</v>
      </c>
      <c r="AX88" s="15">
        <v>1.8</v>
      </c>
      <c r="AY88" s="15">
        <v>2</v>
      </c>
      <c r="AZ88" s="15">
        <v>900</v>
      </c>
      <c r="BA88" s="15">
        <v>1800</v>
      </c>
      <c r="BB88" s="15" t="s">
        <v>199</v>
      </c>
      <c r="BC88" s="15" t="s">
        <v>188</v>
      </c>
      <c r="BD88" s="15" t="s">
        <v>199</v>
      </c>
      <c r="BE88" s="1">
        <v>16000</v>
      </c>
      <c r="BF88" s="1">
        <v>32000</v>
      </c>
      <c r="BG88" s="1">
        <v>16000</v>
      </c>
      <c r="BH88" s="1">
        <v>80000</v>
      </c>
      <c r="BI88" s="1">
        <v>32000</v>
      </c>
      <c r="BJ88" s="15"/>
      <c r="BK88" s="15"/>
      <c r="BL88" s="15"/>
      <c r="BM88" s="15"/>
      <c r="BN88" s="15"/>
      <c r="BO88" s="15" t="s">
        <v>188</v>
      </c>
      <c r="BP88" s="15"/>
      <c r="BQ88" s="15"/>
      <c r="BR88" s="15"/>
      <c r="BS88" s="2"/>
      <c r="BT88" s="15"/>
      <c r="BU88" s="15" t="s">
        <v>188</v>
      </c>
      <c r="BV88" s="15"/>
      <c r="BW88" s="15"/>
      <c r="BX88" s="15">
        <v>2</v>
      </c>
      <c r="BY88" s="15">
        <v>3</v>
      </c>
      <c r="BZ88" s="15">
        <v>1</v>
      </c>
      <c r="CA88" s="15"/>
      <c r="CB88" s="15" t="s">
        <v>188</v>
      </c>
      <c r="CC88" s="15"/>
      <c r="CD88" s="15"/>
      <c r="CE88" s="15"/>
      <c r="CF88" s="15"/>
      <c r="CG88" s="15"/>
      <c r="CH88" s="15"/>
      <c r="CI88" s="15"/>
      <c r="CJ88" s="15"/>
      <c r="CK88" s="15" t="s">
        <v>188</v>
      </c>
      <c r="CL88" s="15"/>
      <c r="CM88" s="15"/>
      <c r="CN88" s="15"/>
      <c r="CO88" s="15"/>
      <c r="CP88" s="15" t="s">
        <v>193</v>
      </c>
      <c r="CQ88" s="15" t="s">
        <v>209</v>
      </c>
      <c r="CR88" s="15"/>
      <c r="CS88" s="15"/>
      <c r="CT88" s="15" t="s">
        <v>188</v>
      </c>
      <c r="CU88" s="15"/>
      <c r="CV88" s="15"/>
      <c r="CW88" s="15"/>
      <c r="CX88" s="15"/>
      <c r="CY88" s="15" t="s">
        <v>188</v>
      </c>
      <c r="CZ88" s="3"/>
      <c r="DA88" s="49"/>
      <c r="DC88" s="18">
        <f t="shared" si="3"/>
        <v>0</v>
      </c>
      <c r="DD88" s="18">
        <f t="shared" si="4"/>
        <v>2</v>
      </c>
      <c r="DE88" s="18">
        <f t="shared" si="5"/>
        <v>2003</v>
      </c>
    </row>
    <row r="89" spans="1:109" x14ac:dyDescent="0.25">
      <c r="A89" s="59" t="s">
        <v>1318</v>
      </c>
      <c r="B89" s="103">
        <v>41542</v>
      </c>
      <c r="C89" s="105" t="s">
        <v>1576</v>
      </c>
      <c r="D89" s="14" t="s">
        <v>354</v>
      </c>
      <c r="E89" s="15" t="s">
        <v>188</v>
      </c>
      <c r="F89" s="15"/>
      <c r="G89" s="15"/>
      <c r="H89" s="15"/>
      <c r="I89" s="15">
        <v>40</v>
      </c>
      <c r="J89" s="15" t="s">
        <v>189</v>
      </c>
      <c r="K89" s="15" t="s">
        <v>196</v>
      </c>
      <c r="L89" s="15" t="s">
        <v>409</v>
      </c>
      <c r="M89" s="15" t="s">
        <v>1039</v>
      </c>
      <c r="N89" s="15" t="s">
        <v>1085</v>
      </c>
      <c r="O89" s="15">
        <v>20</v>
      </c>
      <c r="P89" s="15"/>
      <c r="Q89" s="15"/>
      <c r="R89" s="15"/>
      <c r="S89" s="15" t="s">
        <v>188</v>
      </c>
      <c r="T89" s="15"/>
      <c r="U89" s="15" t="s">
        <v>188</v>
      </c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>
        <v>1999</v>
      </c>
      <c r="AI89" s="1">
        <v>400000</v>
      </c>
      <c r="AJ89" s="15"/>
      <c r="AK89" s="15"/>
      <c r="AL89" s="15" t="s">
        <v>188</v>
      </c>
      <c r="AM89" s="15"/>
      <c r="AN89" s="15"/>
      <c r="AO89" s="15"/>
      <c r="AP89" s="15" t="s">
        <v>188</v>
      </c>
      <c r="AQ89" s="15"/>
      <c r="AR89" s="15"/>
      <c r="AS89" s="15"/>
      <c r="AT89" s="15" t="s">
        <v>322</v>
      </c>
      <c r="AU89" s="1">
        <v>2500</v>
      </c>
      <c r="AV89" s="48">
        <v>0.5</v>
      </c>
      <c r="AW89" s="15">
        <v>1.5</v>
      </c>
      <c r="AX89" s="15">
        <v>1</v>
      </c>
      <c r="AY89" s="15">
        <v>2</v>
      </c>
      <c r="AZ89" s="15">
        <v>920</v>
      </c>
      <c r="BA89" s="15">
        <v>1200</v>
      </c>
      <c r="BB89" s="15" t="s">
        <v>188</v>
      </c>
      <c r="BC89" s="15" t="s">
        <v>188</v>
      </c>
      <c r="BD89" s="15" t="s">
        <v>199</v>
      </c>
      <c r="BE89" s="1">
        <v>10000</v>
      </c>
      <c r="BF89" s="1">
        <v>10000</v>
      </c>
      <c r="BG89" s="1">
        <v>10000</v>
      </c>
      <c r="BH89" s="1">
        <v>100000</v>
      </c>
      <c r="BI89" s="1">
        <v>10000</v>
      </c>
      <c r="BJ89" s="15"/>
      <c r="BK89" s="15" t="s">
        <v>188</v>
      </c>
      <c r="BL89" s="15"/>
      <c r="BM89" s="15"/>
      <c r="BN89" s="15"/>
      <c r="BO89" s="15" t="s">
        <v>188</v>
      </c>
      <c r="BP89" s="15"/>
      <c r="BQ89" s="15"/>
      <c r="BR89" s="15"/>
      <c r="BS89" s="2"/>
      <c r="BT89" s="15"/>
      <c r="BU89" s="15" t="s">
        <v>188</v>
      </c>
      <c r="BV89" s="15"/>
      <c r="BW89" s="15"/>
      <c r="BX89" s="15">
        <v>1</v>
      </c>
      <c r="BY89" s="15">
        <v>3</v>
      </c>
      <c r="BZ89" s="15">
        <v>2</v>
      </c>
      <c r="CA89" s="15"/>
      <c r="CB89" s="15" t="s">
        <v>188</v>
      </c>
      <c r="CC89" s="15"/>
      <c r="CD89" s="15"/>
      <c r="CE89" s="15"/>
      <c r="CF89" s="15"/>
      <c r="CG89" s="15"/>
      <c r="CH89" s="15"/>
      <c r="CI89" s="15"/>
      <c r="CJ89" s="15"/>
      <c r="CK89" s="15" t="s">
        <v>188</v>
      </c>
      <c r="CL89" s="15"/>
      <c r="CM89" s="15"/>
      <c r="CN89" s="15"/>
      <c r="CO89" s="15"/>
      <c r="CP89" s="15" t="s">
        <v>193</v>
      </c>
      <c r="CQ89" s="15" t="s">
        <v>300</v>
      </c>
      <c r="CR89" s="15"/>
      <c r="CS89" s="15" t="s">
        <v>188</v>
      </c>
      <c r="CT89" s="15" t="s">
        <v>188</v>
      </c>
      <c r="CU89" s="15"/>
      <c r="CV89" s="15"/>
      <c r="CW89" s="15"/>
      <c r="CX89" s="15" t="s">
        <v>188</v>
      </c>
      <c r="CY89" s="15" t="s">
        <v>188</v>
      </c>
      <c r="CZ89" s="3"/>
      <c r="DA89" s="49"/>
      <c r="DC89" s="18">
        <f t="shared" si="3"/>
        <v>0</v>
      </c>
      <c r="DD89" s="18">
        <f t="shared" si="4"/>
        <v>1</v>
      </c>
      <c r="DE89" s="18">
        <f t="shared" si="5"/>
        <v>1999</v>
      </c>
    </row>
    <row r="90" spans="1:109" x14ac:dyDescent="0.25">
      <c r="A90" s="59" t="s">
        <v>1318</v>
      </c>
      <c r="B90" s="103">
        <v>41542</v>
      </c>
      <c r="C90" s="105" t="s">
        <v>1576</v>
      </c>
      <c r="D90" s="14" t="s">
        <v>355</v>
      </c>
      <c r="E90" s="15"/>
      <c r="F90" s="15" t="s">
        <v>188</v>
      </c>
      <c r="G90" s="15"/>
      <c r="H90" s="15"/>
      <c r="I90" s="15">
        <v>52</v>
      </c>
      <c r="J90" s="15" t="s">
        <v>189</v>
      </c>
      <c r="K90" s="15" t="s">
        <v>214</v>
      </c>
      <c r="L90" s="15" t="s">
        <v>197</v>
      </c>
      <c r="M90" s="15" t="s">
        <v>1006</v>
      </c>
      <c r="N90" s="15" t="s">
        <v>1006</v>
      </c>
      <c r="O90" s="15">
        <v>22</v>
      </c>
      <c r="P90" s="15"/>
      <c r="Q90" s="15"/>
      <c r="R90" s="15"/>
      <c r="S90" s="15" t="s">
        <v>188</v>
      </c>
      <c r="T90" s="15"/>
      <c r="U90" s="15"/>
      <c r="V90" s="15"/>
      <c r="W90" s="15"/>
      <c r="X90" s="15" t="s">
        <v>188</v>
      </c>
      <c r="Y90" s="15"/>
      <c r="Z90" s="15"/>
      <c r="AA90" s="15"/>
      <c r="AB90" s="15"/>
      <c r="AC90" s="15"/>
      <c r="AD90" s="15"/>
      <c r="AE90" s="15"/>
      <c r="AF90" s="15"/>
      <c r="AG90" s="15"/>
      <c r="AH90" s="15">
        <v>2004</v>
      </c>
      <c r="AI90" s="1">
        <v>1000000</v>
      </c>
      <c r="AJ90" s="15"/>
      <c r="AK90" s="15"/>
      <c r="AL90" s="15" t="s">
        <v>188</v>
      </c>
      <c r="AM90" s="15"/>
      <c r="AN90" s="15"/>
      <c r="AO90" s="15"/>
      <c r="AP90" s="15" t="s">
        <v>188</v>
      </c>
      <c r="AQ90" s="15"/>
      <c r="AR90" s="15"/>
      <c r="AS90" s="15"/>
      <c r="AT90" s="15" t="s">
        <v>198</v>
      </c>
      <c r="AU90" s="1">
        <v>8000</v>
      </c>
      <c r="AV90" s="48">
        <v>0.5</v>
      </c>
      <c r="AW90" s="15">
        <v>2.5</v>
      </c>
      <c r="AX90" s="15">
        <v>2</v>
      </c>
      <c r="AY90" s="15">
        <v>3</v>
      </c>
      <c r="AZ90" s="15">
        <v>1300</v>
      </c>
      <c r="BA90" s="15">
        <v>3000</v>
      </c>
      <c r="BB90" s="15" t="s">
        <v>199</v>
      </c>
      <c r="BC90" s="15" t="s">
        <v>188</v>
      </c>
      <c r="BD90" s="15" t="s">
        <v>188</v>
      </c>
      <c r="BE90" s="1">
        <v>24000</v>
      </c>
      <c r="BF90" s="1">
        <v>24000</v>
      </c>
      <c r="BG90" s="1">
        <v>24000</v>
      </c>
      <c r="BH90" s="1">
        <v>96000</v>
      </c>
      <c r="BI90" s="1">
        <v>24000</v>
      </c>
      <c r="BJ90" s="15" t="s">
        <v>188</v>
      </c>
      <c r="BK90" s="15"/>
      <c r="BL90" s="15"/>
      <c r="BM90" s="15"/>
      <c r="BN90" s="15"/>
      <c r="BO90" s="15"/>
      <c r="BP90" s="15"/>
      <c r="BQ90" s="15"/>
      <c r="BR90" s="15"/>
      <c r="BS90" s="2"/>
      <c r="BT90" s="15"/>
      <c r="BU90" s="15" t="s">
        <v>188</v>
      </c>
      <c r="BV90" s="15"/>
      <c r="BW90" s="15"/>
      <c r="BX90" s="15">
        <v>2</v>
      </c>
      <c r="BY90" s="15">
        <v>3</v>
      </c>
      <c r="BZ90" s="15">
        <v>1</v>
      </c>
      <c r="CA90" s="15"/>
      <c r="CB90" s="15"/>
      <c r="CC90" s="15" t="s">
        <v>188</v>
      </c>
      <c r="CD90" s="15"/>
      <c r="CE90" s="15"/>
      <c r="CF90" s="15"/>
      <c r="CG90" s="15"/>
      <c r="CH90" s="15" t="s">
        <v>188</v>
      </c>
      <c r="CI90" s="15" t="s">
        <v>188</v>
      </c>
      <c r="CJ90" s="15"/>
      <c r="CK90" s="15" t="s">
        <v>188</v>
      </c>
      <c r="CL90" s="15"/>
      <c r="CM90" s="15"/>
      <c r="CN90" s="15"/>
      <c r="CO90" s="15"/>
      <c r="CP90" s="15" t="s">
        <v>193</v>
      </c>
      <c r="CQ90" s="15" t="s">
        <v>209</v>
      </c>
      <c r="CR90" s="15" t="s">
        <v>188</v>
      </c>
      <c r="CS90" s="15"/>
      <c r="CT90" s="15"/>
      <c r="CU90" s="15"/>
      <c r="CV90" s="15" t="s">
        <v>188</v>
      </c>
      <c r="CW90" s="15" t="s">
        <v>270</v>
      </c>
      <c r="CX90" s="15"/>
      <c r="CY90" s="15"/>
      <c r="CZ90" s="3"/>
      <c r="DA90" s="49"/>
      <c r="DC90" s="18">
        <f t="shared" si="3"/>
        <v>0</v>
      </c>
      <c r="DD90" s="18">
        <f t="shared" si="4"/>
        <v>2</v>
      </c>
      <c r="DE90" s="18">
        <f t="shared" si="5"/>
        <v>2004</v>
      </c>
    </row>
    <row r="91" spans="1:109" x14ac:dyDescent="0.25">
      <c r="A91" s="59" t="s">
        <v>1318</v>
      </c>
      <c r="B91" s="103">
        <v>41542</v>
      </c>
      <c r="C91" s="105" t="s">
        <v>1576</v>
      </c>
      <c r="D91" s="14" t="s">
        <v>356</v>
      </c>
      <c r="E91" s="15"/>
      <c r="F91" s="15"/>
      <c r="G91" s="15" t="s">
        <v>188</v>
      </c>
      <c r="H91" s="15"/>
      <c r="I91" s="15">
        <v>40</v>
      </c>
      <c r="J91" s="15" t="s">
        <v>189</v>
      </c>
      <c r="K91" s="15" t="s">
        <v>214</v>
      </c>
      <c r="L91" s="15" t="s">
        <v>415</v>
      </c>
      <c r="M91" s="50" t="s">
        <v>1043</v>
      </c>
      <c r="N91" s="15" t="s">
        <v>1085</v>
      </c>
      <c r="O91" s="15">
        <v>15</v>
      </c>
      <c r="P91" s="15" t="s">
        <v>188</v>
      </c>
      <c r="Q91" s="15"/>
      <c r="R91" s="15"/>
      <c r="S91" s="15"/>
      <c r="T91" s="15"/>
      <c r="U91" s="15" t="s">
        <v>188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>
        <v>2008</v>
      </c>
      <c r="AI91" s="1">
        <v>900000</v>
      </c>
      <c r="AJ91" s="15"/>
      <c r="AK91" s="15"/>
      <c r="AL91" s="15" t="s">
        <v>188</v>
      </c>
      <c r="AM91" s="15"/>
      <c r="AN91" s="15"/>
      <c r="AO91" s="15"/>
      <c r="AP91" s="15" t="s">
        <v>188</v>
      </c>
      <c r="AQ91" s="15"/>
      <c r="AR91" s="15"/>
      <c r="AS91" s="15"/>
      <c r="AT91" s="15" t="s">
        <v>322</v>
      </c>
      <c r="AU91" s="1">
        <v>12000</v>
      </c>
      <c r="AV91" s="48">
        <v>0.3</v>
      </c>
      <c r="AW91" s="15">
        <v>3</v>
      </c>
      <c r="AX91" s="15">
        <v>2.5</v>
      </c>
      <c r="AY91" s="15">
        <v>2</v>
      </c>
      <c r="AZ91" s="15">
        <v>420</v>
      </c>
      <c r="BA91" s="15">
        <v>1200</v>
      </c>
      <c r="BB91" s="15" t="s">
        <v>188</v>
      </c>
      <c r="BC91" s="15" t="s">
        <v>188</v>
      </c>
      <c r="BD91" s="15" t="s">
        <v>199</v>
      </c>
      <c r="BE91" s="1">
        <v>12000</v>
      </c>
      <c r="BF91" s="1">
        <v>35000</v>
      </c>
      <c r="BG91" s="1">
        <v>20000</v>
      </c>
      <c r="BH91" s="1">
        <v>120000</v>
      </c>
      <c r="BI91" s="1">
        <v>20000</v>
      </c>
      <c r="BJ91" s="15"/>
      <c r="BK91" s="15"/>
      <c r="BL91" s="15"/>
      <c r="BM91" s="15"/>
      <c r="BN91" s="15"/>
      <c r="BO91" s="15" t="s">
        <v>188</v>
      </c>
      <c r="BP91" s="15"/>
      <c r="BQ91" s="15"/>
      <c r="BR91" s="15"/>
      <c r="BS91" s="2"/>
      <c r="BT91" s="15"/>
      <c r="BU91" s="15"/>
      <c r="BV91" s="15" t="s">
        <v>188</v>
      </c>
      <c r="BW91" s="15"/>
      <c r="BX91" s="15">
        <v>3</v>
      </c>
      <c r="BY91" s="15">
        <v>1</v>
      </c>
      <c r="BZ91" s="15">
        <v>2</v>
      </c>
      <c r="CA91" s="15"/>
      <c r="CB91" s="15"/>
      <c r="CC91" s="15" t="s">
        <v>188</v>
      </c>
      <c r="CD91" s="15"/>
      <c r="CE91" s="15" t="s">
        <v>188</v>
      </c>
      <c r="CF91" s="15"/>
      <c r="CG91" s="15" t="s">
        <v>188</v>
      </c>
      <c r="CH91" s="15" t="s">
        <v>188</v>
      </c>
      <c r="CI91" s="15" t="s">
        <v>188</v>
      </c>
      <c r="CJ91" s="15"/>
      <c r="CK91" s="15" t="s">
        <v>188</v>
      </c>
      <c r="CL91" s="15"/>
      <c r="CM91" s="15"/>
      <c r="CN91" s="15"/>
      <c r="CO91" s="15"/>
      <c r="CP91" s="15" t="s">
        <v>193</v>
      </c>
      <c r="CQ91" s="15" t="s">
        <v>193</v>
      </c>
      <c r="CR91" s="15" t="s">
        <v>188</v>
      </c>
      <c r="CS91" s="15" t="s">
        <v>188</v>
      </c>
      <c r="CT91" s="15"/>
      <c r="CU91" s="15"/>
      <c r="CV91" s="15" t="s">
        <v>188</v>
      </c>
      <c r="CW91" s="15" t="s">
        <v>270</v>
      </c>
      <c r="CX91" s="15"/>
      <c r="CY91" s="15"/>
      <c r="CZ91" s="3"/>
      <c r="DA91" s="49"/>
      <c r="DC91" s="18">
        <f t="shared" si="3"/>
        <v>0</v>
      </c>
      <c r="DD91" s="18">
        <f t="shared" si="4"/>
        <v>3</v>
      </c>
      <c r="DE91" s="18">
        <f t="shared" si="5"/>
        <v>2008</v>
      </c>
    </row>
    <row r="92" spans="1:109" x14ac:dyDescent="0.25">
      <c r="A92" s="59" t="s">
        <v>1318</v>
      </c>
      <c r="B92" s="103">
        <v>41542</v>
      </c>
      <c r="C92" s="105" t="s">
        <v>1576</v>
      </c>
      <c r="D92" s="14" t="s">
        <v>357</v>
      </c>
      <c r="E92" s="15"/>
      <c r="F92" s="15"/>
      <c r="G92" s="15"/>
      <c r="H92" s="15" t="s">
        <v>188</v>
      </c>
      <c r="I92" s="15">
        <v>60</v>
      </c>
      <c r="J92" s="15" t="s">
        <v>189</v>
      </c>
      <c r="K92" s="15" t="s">
        <v>190</v>
      </c>
      <c r="L92" s="15" t="s">
        <v>228</v>
      </c>
      <c r="M92" s="15" t="s">
        <v>1010</v>
      </c>
      <c r="N92" s="15" t="s">
        <v>1084</v>
      </c>
      <c r="O92" s="15">
        <v>18</v>
      </c>
      <c r="P92" s="15" t="s">
        <v>188</v>
      </c>
      <c r="Q92" s="15"/>
      <c r="R92" s="15"/>
      <c r="S92" s="15"/>
      <c r="T92" s="15"/>
      <c r="U92" s="15" t="s">
        <v>188</v>
      </c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>
        <v>2004</v>
      </c>
      <c r="AI92" s="1">
        <v>800000</v>
      </c>
      <c r="AJ92" s="15"/>
      <c r="AK92" s="15"/>
      <c r="AL92" s="15" t="s">
        <v>188</v>
      </c>
      <c r="AM92" s="15"/>
      <c r="AN92" s="15"/>
      <c r="AO92" s="15" t="s">
        <v>188</v>
      </c>
      <c r="AP92" s="15"/>
      <c r="AQ92" s="15"/>
      <c r="AR92" s="15"/>
      <c r="AS92" s="15"/>
      <c r="AT92" s="15" t="s">
        <v>233</v>
      </c>
      <c r="AU92" s="1">
        <v>6500</v>
      </c>
      <c r="AV92" s="48">
        <v>0.5</v>
      </c>
      <c r="AW92" s="15">
        <v>3.8</v>
      </c>
      <c r="AX92" s="15">
        <v>3</v>
      </c>
      <c r="AY92" s="15">
        <v>1</v>
      </c>
      <c r="AZ92" s="15">
        <v>180</v>
      </c>
      <c r="BA92" s="15">
        <v>500</v>
      </c>
      <c r="BB92" s="15" t="s">
        <v>199</v>
      </c>
      <c r="BC92" s="15" t="s">
        <v>188</v>
      </c>
      <c r="BD92" s="15" t="s">
        <v>188</v>
      </c>
      <c r="BE92" s="1">
        <v>6000</v>
      </c>
      <c r="BF92" s="1">
        <v>6000</v>
      </c>
      <c r="BG92" s="1">
        <v>6000</v>
      </c>
      <c r="BH92" s="1">
        <v>60000</v>
      </c>
      <c r="BI92" s="1">
        <v>6000</v>
      </c>
      <c r="BJ92" s="15"/>
      <c r="BK92" s="15"/>
      <c r="BL92" s="15"/>
      <c r="BM92" s="15"/>
      <c r="BN92" s="15"/>
      <c r="BO92" s="15"/>
      <c r="BP92" s="15"/>
      <c r="BQ92" s="15"/>
      <c r="BR92" s="15"/>
      <c r="BS92" s="2" t="s">
        <v>314</v>
      </c>
      <c r="BT92" s="15"/>
      <c r="BU92" s="15" t="s">
        <v>188</v>
      </c>
      <c r="BV92" s="15"/>
      <c r="BW92" s="15"/>
      <c r="BX92" s="15">
        <v>1</v>
      </c>
      <c r="BY92" s="15">
        <v>3</v>
      </c>
      <c r="BZ92" s="15">
        <v>2</v>
      </c>
      <c r="CA92" s="15"/>
      <c r="CB92" s="15"/>
      <c r="CC92" s="15" t="s">
        <v>188</v>
      </c>
      <c r="CD92" s="15"/>
      <c r="CE92" s="15" t="s">
        <v>188</v>
      </c>
      <c r="CF92" s="15"/>
      <c r="CG92" s="15"/>
      <c r="CH92" s="15" t="s">
        <v>188</v>
      </c>
      <c r="CI92" s="15" t="s">
        <v>188</v>
      </c>
      <c r="CJ92" s="15"/>
      <c r="CK92" s="15" t="s">
        <v>188</v>
      </c>
      <c r="CL92" s="15"/>
      <c r="CM92" s="15"/>
      <c r="CN92" s="15"/>
      <c r="CO92" s="15"/>
      <c r="CP92" s="15" t="s">
        <v>193</v>
      </c>
      <c r="CQ92" s="15" t="s">
        <v>300</v>
      </c>
      <c r="CR92" s="15" t="s">
        <v>188</v>
      </c>
      <c r="CS92" s="15"/>
      <c r="CT92" s="15"/>
      <c r="CU92" s="15"/>
      <c r="CV92" s="15" t="s">
        <v>188</v>
      </c>
      <c r="CW92" s="15" t="s">
        <v>306</v>
      </c>
      <c r="CX92" s="15"/>
      <c r="CY92" s="15"/>
      <c r="CZ92" s="3"/>
      <c r="DA92" s="49"/>
      <c r="DC92" s="18">
        <f t="shared" si="3"/>
        <v>0</v>
      </c>
      <c r="DD92" s="18">
        <f t="shared" si="4"/>
        <v>7</v>
      </c>
      <c r="DE92" s="18">
        <f t="shared" si="5"/>
        <v>2004</v>
      </c>
    </row>
    <row r="93" spans="1:109" x14ac:dyDescent="0.25">
      <c r="A93" s="59" t="s">
        <v>1318</v>
      </c>
      <c r="B93" s="103">
        <v>41542</v>
      </c>
      <c r="C93" s="105" t="s">
        <v>1576</v>
      </c>
      <c r="D93" s="14" t="s">
        <v>358</v>
      </c>
      <c r="E93" s="15" t="s">
        <v>188</v>
      </c>
      <c r="F93" s="15"/>
      <c r="G93" s="15"/>
      <c r="H93" s="15"/>
      <c r="I93" s="15">
        <v>43</v>
      </c>
      <c r="J93" s="15" t="s">
        <v>189</v>
      </c>
      <c r="K93" s="15" t="s">
        <v>214</v>
      </c>
      <c r="L93" s="15" t="s">
        <v>197</v>
      </c>
      <c r="M93" s="15" t="s">
        <v>1006</v>
      </c>
      <c r="N93" s="15" t="s">
        <v>1006</v>
      </c>
      <c r="O93" s="15">
        <v>20</v>
      </c>
      <c r="P93" s="15"/>
      <c r="Q93" s="15" t="s">
        <v>188</v>
      </c>
      <c r="R93" s="15"/>
      <c r="S93" s="15"/>
      <c r="T93" s="15"/>
      <c r="U93" s="15"/>
      <c r="V93" s="15"/>
      <c r="W93" s="15"/>
      <c r="X93" s="15" t="s">
        <v>188</v>
      </c>
      <c r="Y93" s="15"/>
      <c r="Z93" s="15"/>
      <c r="AA93" s="15"/>
      <c r="AB93" s="15"/>
      <c r="AC93" s="15"/>
      <c r="AD93" s="15"/>
      <c r="AE93" s="15"/>
      <c r="AF93" s="15"/>
      <c r="AG93" s="15"/>
      <c r="AH93" s="15">
        <v>2005</v>
      </c>
      <c r="AI93" s="1">
        <v>1200000</v>
      </c>
      <c r="AJ93" s="15"/>
      <c r="AK93" s="15"/>
      <c r="AL93" s="15" t="s">
        <v>188</v>
      </c>
      <c r="AM93" s="15"/>
      <c r="AN93" s="15"/>
      <c r="AO93" s="15"/>
      <c r="AP93" s="15" t="s">
        <v>188</v>
      </c>
      <c r="AQ93" s="15"/>
      <c r="AR93" s="15"/>
      <c r="AS93" s="15"/>
      <c r="AT93" s="15" t="s">
        <v>198</v>
      </c>
      <c r="AU93" s="1">
        <v>12000</v>
      </c>
      <c r="AV93" s="48">
        <v>0.5</v>
      </c>
      <c r="AW93" s="15">
        <v>2</v>
      </c>
      <c r="AX93" s="15">
        <v>1.8</v>
      </c>
      <c r="AY93" s="15">
        <v>1</v>
      </c>
      <c r="AZ93" s="15">
        <v>450</v>
      </c>
      <c r="BA93" s="15">
        <v>900</v>
      </c>
      <c r="BB93" s="15" t="s">
        <v>199</v>
      </c>
      <c r="BC93" s="15" t="s">
        <v>188</v>
      </c>
      <c r="BD93" s="15" t="s">
        <v>188</v>
      </c>
      <c r="BE93" s="1">
        <v>12000</v>
      </c>
      <c r="BF93" s="1">
        <v>72000</v>
      </c>
      <c r="BG93" s="1">
        <v>24000</v>
      </c>
      <c r="BH93" s="1">
        <v>72000</v>
      </c>
      <c r="BI93" s="1">
        <v>36000</v>
      </c>
      <c r="BJ93" s="15" t="s">
        <v>188</v>
      </c>
      <c r="BK93" s="15"/>
      <c r="BL93" s="15"/>
      <c r="BM93" s="15"/>
      <c r="BN93" s="15"/>
      <c r="BO93" s="15"/>
      <c r="BP93" s="15"/>
      <c r="BQ93" s="15"/>
      <c r="BR93" s="15"/>
      <c r="BS93" s="2"/>
      <c r="BT93" s="15"/>
      <c r="BU93" s="15" t="s">
        <v>188</v>
      </c>
      <c r="BV93" s="15"/>
      <c r="BW93" s="15"/>
      <c r="BX93" s="15">
        <v>2</v>
      </c>
      <c r="BY93" s="15">
        <v>1</v>
      </c>
      <c r="BZ93" s="15">
        <v>3</v>
      </c>
      <c r="CA93" s="15"/>
      <c r="CB93" s="15"/>
      <c r="CC93" s="15" t="s">
        <v>188</v>
      </c>
      <c r="CD93" s="15"/>
      <c r="CE93" s="15" t="s">
        <v>188</v>
      </c>
      <c r="CF93" s="15"/>
      <c r="CG93" s="15"/>
      <c r="CH93" s="15" t="s">
        <v>188</v>
      </c>
      <c r="CI93" s="15" t="s">
        <v>188</v>
      </c>
      <c r="CJ93" s="15"/>
      <c r="CK93" s="15" t="s">
        <v>188</v>
      </c>
      <c r="CL93" s="15"/>
      <c r="CM93" s="15"/>
      <c r="CN93" s="15"/>
      <c r="CO93" s="15"/>
      <c r="CP93" s="15" t="s">
        <v>193</v>
      </c>
      <c r="CQ93" s="15" t="s">
        <v>193</v>
      </c>
      <c r="CR93" s="15"/>
      <c r="CS93" s="15" t="s">
        <v>188</v>
      </c>
      <c r="CT93" s="15" t="s">
        <v>188</v>
      </c>
      <c r="CU93" s="2" t="s">
        <v>310</v>
      </c>
      <c r="CV93" s="15"/>
      <c r="CW93" s="15"/>
      <c r="CX93" s="15"/>
      <c r="CY93" s="15"/>
      <c r="CZ93" s="4" t="s">
        <v>359</v>
      </c>
      <c r="DA93" s="49"/>
      <c r="DC93" s="18">
        <f t="shared" si="3"/>
        <v>0</v>
      </c>
      <c r="DD93" s="18">
        <f t="shared" si="4"/>
        <v>1</v>
      </c>
      <c r="DE93" s="18">
        <f t="shared" si="5"/>
        <v>2005</v>
      </c>
    </row>
    <row r="94" spans="1:109" x14ac:dyDescent="0.25">
      <c r="A94" s="59" t="s">
        <v>1318</v>
      </c>
      <c r="B94" s="103">
        <v>41542</v>
      </c>
      <c r="C94" s="105" t="s">
        <v>1576</v>
      </c>
      <c r="D94" s="14" t="s">
        <v>360</v>
      </c>
      <c r="E94" s="15"/>
      <c r="F94" s="15"/>
      <c r="G94" s="15" t="s">
        <v>188</v>
      </c>
      <c r="H94" s="15"/>
      <c r="I94" s="15">
        <v>30</v>
      </c>
      <c r="J94" s="15" t="s">
        <v>189</v>
      </c>
      <c r="K94" s="15" t="s">
        <v>190</v>
      </c>
      <c r="L94" s="15" t="s">
        <v>785</v>
      </c>
      <c r="M94" s="15" t="s">
        <v>1028</v>
      </c>
      <c r="N94" s="15" t="s">
        <v>1084</v>
      </c>
      <c r="O94" s="15">
        <v>10</v>
      </c>
      <c r="P94" s="15"/>
      <c r="Q94" s="15"/>
      <c r="R94" s="15"/>
      <c r="S94" s="15" t="s">
        <v>188</v>
      </c>
      <c r="T94" s="15"/>
      <c r="U94" s="15" t="s">
        <v>188</v>
      </c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>
        <v>2010</v>
      </c>
      <c r="AI94" s="1">
        <v>600000</v>
      </c>
      <c r="AJ94" s="15"/>
      <c r="AK94" s="15"/>
      <c r="AL94" s="15" t="s">
        <v>188</v>
      </c>
      <c r="AM94" s="15"/>
      <c r="AN94" s="15"/>
      <c r="AO94" s="15"/>
      <c r="AP94" s="15" t="s">
        <v>188</v>
      </c>
      <c r="AQ94" s="15"/>
      <c r="AR94" s="15"/>
      <c r="AS94" s="15"/>
      <c r="AT94" s="15" t="s">
        <v>390</v>
      </c>
      <c r="AU94" s="1">
        <v>12500</v>
      </c>
      <c r="AV94" s="48">
        <v>0.5</v>
      </c>
      <c r="AW94" s="15">
        <v>2.8</v>
      </c>
      <c r="AX94" s="15">
        <v>2.2000000000000002</v>
      </c>
      <c r="AY94" s="15">
        <v>2</v>
      </c>
      <c r="AZ94" s="15">
        <v>1000</v>
      </c>
      <c r="BA94" s="15">
        <v>2500</v>
      </c>
      <c r="BB94" s="15" t="s">
        <v>188</v>
      </c>
      <c r="BC94" s="15" t="s">
        <v>188</v>
      </c>
      <c r="BD94" s="15" t="s">
        <v>199</v>
      </c>
      <c r="BE94" s="1">
        <v>12000</v>
      </c>
      <c r="BF94" s="1">
        <v>8000</v>
      </c>
      <c r="BG94" s="1">
        <v>12000</v>
      </c>
      <c r="BH94" s="1">
        <v>120000</v>
      </c>
      <c r="BI94" s="1">
        <v>12000</v>
      </c>
      <c r="BJ94" s="15"/>
      <c r="BK94" s="15"/>
      <c r="BL94" s="15" t="s">
        <v>188</v>
      </c>
      <c r="BM94" s="15"/>
      <c r="BN94" s="15"/>
      <c r="BO94" s="15"/>
      <c r="BP94" s="15"/>
      <c r="BQ94" s="15"/>
      <c r="BR94" s="15"/>
      <c r="BS94" s="2"/>
      <c r="BT94" s="15"/>
      <c r="BU94" s="15" t="s">
        <v>188</v>
      </c>
      <c r="BV94" s="15"/>
      <c r="BW94" s="15"/>
      <c r="BX94" s="15">
        <v>1</v>
      </c>
      <c r="BY94" s="15">
        <v>3</v>
      </c>
      <c r="BZ94" s="15">
        <v>2</v>
      </c>
      <c r="CA94" s="15"/>
      <c r="CB94" s="15"/>
      <c r="CC94" s="15" t="s">
        <v>188</v>
      </c>
      <c r="CD94" s="15"/>
      <c r="CE94" s="15"/>
      <c r="CF94" s="15"/>
      <c r="CG94" s="15" t="s">
        <v>188</v>
      </c>
      <c r="CH94" s="15"/>
      <c r="CI94" s="15" t="s">
        <v>188</v>
      </c>
      <c r="CJ94" s="15"/>
      <c r="CK94" s="15" t="s">
        <v>188</v>
      </c>
      <c r="CL94" s="15"/>
      <c r="CM94" s="15"/>
      <c r="CN94" s="15"/>
      <c r="CO94" s="15"/>
      <c r="CP94" s="15" t="s">
        <v>193</v>
      </c>
      <c r="CQ94" s="15" t="s">
        <v>209</v>
      </c>
      <c r="CR94" s="15"/>
      <c r="CS94" s="15"/>
      <c r="CT94" s="15"/>
      <c r="CU94" s="2" t="s">
        <v>1000</v>
      </c>
      <c r="CV94" s="15" t="s">
        <v>188</v>
      </c>
      <c r="CW94" s="15" t="s">
        <v>270</v>
      </c>
      <c r="CX94" s="15"/>
      <c r="CY94" s="15"/>
      <c r="CZ94" s="3"/>
      <c r="DA94" s="49"/>
      <c r="DC94" s="18">
        <f t="shared" si="3"/>
        <v>0</v>
      </c>
      <c r="DD94" s="18">
        <f t="shared" si="4"/>
        <v>3</v>
      </c>
      <c r="DE94" s="18">
        <f t="shared" si="5"/>
        <v>2010</v>
      </c>
    </row>
    <row r="95" spans="1:109" x14ac:dyDescent="0.25">
      <c r="A95" s="59" t="s">
        <v>1318</v>
      </c>
      <c r="B95" s="103">
        <v>41542</v>
      </c>
      <c r="C95" s="105" t="s">
        <v>1576</v>
      </c>
      <c r="D95" s="14" t="s">
        <v>361</v>
      </c>
      <c r="E95" s="15"/>
      <c r="F95" s="15" t="s">
        <v>188</v>
      </c>
      <c r="G95" s="15"/>
      <c r="H95" s="15"/>
      <c r="I95" s="15">
        <v>39</v>
      </c>
      <c r="J95" s="15" t="s">
        <v>189</v>
      </c>
      <c r="K95" s="15" t="s">
        <v>190</v>
      </c>
      <c r="L95" s="15" t="s">
        <v>400</v>
      </c>
      <c r="M95" s="15" t="s">
        <v>1034</v>
      </c>
      <c r="N95" s="15" t="s">
        <v>1084</v>
      </c>
      <c r="O95" s="15">
        <v>20</v>
      </c>
      <c r="P95" s="15" t="s">
        <v>188</v>
      </c>
      <c r="Q95" s="15"/>
      <c r="R95" s="15"/>
      <c r="S95" s="15"/>
      <c r="T95" s="15"/>
      <c r="U95" s="15" t="s">
        <v>188</v>
      </c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>
        <v>2000</v>
      </c>
      <c r="AI95" s="1">
        <v>2340000</v>
      </c>
      <c r="AJ95" s="15"/>
      <c r="AK95" s="15"/>
      <c r="AL95" s="15" t="s">
        <v>188</v>
      </c>
      <c r="AM95" s="15"/>
      <c r="AN95" s="15"/>
      <c r="AO95" s="15"/>
      <c r="AP95" s="15" t="s">
        <v>188</v>
      </c>
      <c r="AQ95" s="15"/>
      <c r="AR95" s="15"/>
      <c r="AS95" s="15"/>
      <c r="AT95" s="15" t="s">
        <v>390</v>
      </c>
      <c r="AU95" s="1">
        <v>15000</v>
      </c>
      <c r="AV95" s="48">
        <v>0.5</v>
      </c>
      <c r="AW95" s="15">
        <v>3</v>
      </c>
      <c r="AX95" s="15">
        <v>2.8</v>
      </c>
      <c r="AY95" s="15">
        <v>3</v>
      </c>
      <c r="AZ95" s="15">
        <v>850</v>
      </c>
      <c r="BA95" s="15">
        <v>2500</v>
      </c>
      <c r="BB95" s="15" t="s">
        <v>199</v>
      </c>
      <c r="BC95" s="15" t="s">
        <v>188</v>
      </c>
      <c r="BD95" s="15" t="s">
        <v>199</v>
      </c>
      <c r="BE95" s="1">
        <v>45000</v>
      </c>
      <c r="BF95" s="1">
        <v>90000</v>
      </c>
      <c r="BG95" s="1">
        <v>45000</v>
      </c>
      <c r="BH95" s="1">
        <v>180000</v>
      </c>
      <c r="BI95" s="1">
        <v>45000</v>
      </c>
      <c r="BJ95" s="15"/>
      <c r="BK95" s="15"/>
      <c r="BL95" s="15"/>
      <c r="BM95" s="15"/>
      <c r="BN95" s="15"/>
      <c r="BO95" s="15"/>
      <c r="BP95" s="15"/>
      <c r="BQ95" s="15"/>
      <c r="BR95" s="15"/>
      <c r="BS95" s="2" t="s">
        <v>314</v>
      </c>
      <c r="BT95" s="15"/>
      <c r="BU95" s="15" t="s">
        <v>188</v>
      </c>
      <c r="BV95" s="15"/>
      <c r="BW95" s="15"/>
      <c r="BX95" s="15">
        <v>3</v>
      </c>
      <c r="BY95" s="15">
        <v>1</v>
      </c>
      <c r="BZ95" s="15">
        <v>2</v>
      </c>
      <c r="CA95" s="15"/>
      <c r="CB95" s="15"/>
      <c r="CC95" s="15" t="s">
        <v>188</v>
      </c>
      <c r="CD95" s="15"/>
      <c r="CE95" s="15"/>
      <c r="CF95" s="15"/>
      <c r="CG95" s="15"/>
      <c r="CH95" s="15" t="s">
        <v>188</v>
      </c>
      <c r="CI95" s="15" t="s">
        <v>188</v>
      </c>
      <c r="CJ95" s="15"/>
      <c r="CK95" s="15" t="s">
        <v>188</v>
      </c>
      <c r="CL95" s="15"/>
      <c r="CM95" s="15"/>
      <c r="CN95" s="15"/>
      <c r="CO95" s="15"/>
      <c r="CP95" s="15" t="s">
        <v>193</v>
      </c>
      <c r="CQ95" s="15" t="s">
        <v>209</v>
      </c>
      <c r="CR95" s="15"/>
      <c r="CS95" s="15" t="s">
        <v>188</v>
      </c>
      <c r="CT95" s="15" t="s">
        <v>188</v>
      </c>
      <c r="CU95" s="15"/>
      <c r="CV95" s="15"/>
      <c r="CW95" s="15"/>
      <c r="CX95" s="15" t="s">
        <v>188</v>
      </c>
      <c r="CY95" s="15" t="s">
        <v>188</v>
      </c>
      <c r="CZ95" s="3"/>
      <c r="DA95" s="49"/>
      <c r="DC95" s="18">
        <f t="shared" si="3"/>
        <v>0</v>
      </c>
      <c r="DD95" s="18">
        <f t="shared" si="4"/>
        <v>2</v>
      </c>
      <c r="DE95" s="18">
        <f t="shared" si="5"/>
        <v>2000</v>
      </c>
    </row>
    <row r="96" spans="1:109" x14ac:dyDescent="0.25">
      <c r="A96" s="59" t="s">
        <v>1318</v>
      </c>
      <c r="B96" s="103">
        <v>41542</v>
      </c>
      <c r="C96" s="105" t="s">
        <v>1576</v>
      </c>
      <c r="D96" s="14" t="s">
        <v>362</v>
      </c>
      <c r="E96" s="15"/>
      <c r="F96" s="15"/>
      <c r="G96" s="15" t="s">
        <v>188</v>
      </c>
      <c r="H96" s="15"/>
      <c r="I96" s="15">
        <v>20</v>
      </c>
      <c r="J96" s="15" t="s">
        <v>189</v>
      </c>
      <c r="K96" s="15" t="s">
        <v>190</v>
      </c>
      <c r="L96" s="15" t="s">
        <v>416</v>
      </c>
      <c r="M96" s="50" t="s">
        <v>1044</v>
      </c>
      <c r="N96" s="15" t="s">
        <v>1085</v>
      </c>
      <c r="O96" s="15">
        <v>2</v>
      </c>
      <c r="P96" s="15" t="s">
        <v>188</v>
      </c>
      <c r="Q96" s="15"/>
      <c r="R96" s="15"/>
      <c r="S96" s="15"/>
      <c r="T96" s="15"/>
      <c r="U96" s="15" t="s">
        <v>188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>
        <v>2001</v>
      </c>
      <c r="AI96" s="1">
        <v>2800000</v>
      </c>
      <c r="AJ96" s="15"/>
      <c r="AK96" s="15"/>
      <c r="AL96" s="15" t="s">
        <v>188</v>
      </c>
      <c r="AM96" s="15"/>
      <c r="AN96" s="15"/>
      <c r="AO96" s="15"/>
      <c r="AP96" s="15" t="s">
        <v>188</v>
      </c>
      <c r="AQ96" s="15"/>
      <c r="AR96" s="15"/>
      <c r="AS96" s="15"/>
      <c r="AT96" s="15" t="s">
        <v>211</v>
      </c>
      <c r="AU96" s="1">
        <v>20000</v>
      </c>
      <c r="AV96" s="48">
        <v>0.5</v>
      </c>
      <c r="AW96" s="15">
        <v>3.8</v>
      </c>
      <c r="AX96" s="15">
        <v>3</v>
      </c>
      <c r="AY96" s="15">
        <v>1</v>
      </c>
      <c r="AZ96" s="15">
        <v>200</v>
      </c>
      <c r="BA96" s="15">
        <v>800</v>
      </c>
      <c r="BB96" s="15" t="s">
        <v>199</v>
      </c>
      <c r="BC96" s="15" t="s">
        <v>199</v>
      </c>
      <c r="BD96" s="15" t="s">
        <v>199</v>
      </c>
      <c r="BE96" s="1">
        <v>20000</v>
      </c>
      <c r="BF96" s="1">
        <v>120000</v>
      </c>
      <c r="BG96" s="1">
        <v>20000</v>
      </c>
      <c r="BH96" s="1">
        <v>160000</v>
      </c>
      <c r="BI96" s="1">
        <v>20000</v>
      </c>
      <c r="BJ96" s="15" t="s">
        <v>188</v>
      </c>
      <c r="BK96" s="15"/>
      <c r="BL96" s="15"/>
      <c r="BM96" s="15"/>
      <c r="BN96" s="15"/>
      <c r="BO96" s="15"/>
      <c r="BP96" s="15"/>
      <c r="BQ96" s="15"/>
      <c r="BR96" s="15"/>
      <c r="BS96" s="2"/>
      <c r="BT96" s="15"/>
      <c r="BU96" s="15"/>
      <c r="BV96" s="15" t="s">
        <v>188</v>
      </c>
      <c r="BW96" s="15"/>
      <c r="BX96" s="15">
        <v>3</v>
      </c>
      <c r="BY96" s="15">
        <v>2</v>
      </c>
      <c r="BZ96" s="15">
        <v>1</v>
      </c>
      <c r="CA96" s="15"/>
      <c r="CB96" s="15"/>
      <c r="CC96" s="15" t="s">
        <v>188</v>
      </c>
      <c r="CD96" s="15"/>
      <c r="CE96" s="15"/>
      <c r="CF96" s="15"/>
      <c r="CG96" s="15"/>
      <c r="CH96" s="15" t="s">
        <v>188</v>
      </c>
      <c r="CI96" s="15" t="s">
        <v>188</v>
      </c>
      <c r="CJ96" s="15"/>
      <c r="CK96" s="15" t="s">
        <v>188</v>
      </c>
      <c r="CL96" s="15"/>
      <c r="CM96" s="15"/>
      <c r="CN96" s="15"/>
      <c r="CO96" s="15"/>
      <c r="CP96" s="15" t="s">
        <v>193</v>
      </c>
      <c r="CQ96" s="15" t="s">
        <v>300</v>
      </c>
      <c r="CR96" s="15"/>
      <c r="CS96" s="15" t="s">
        <v>188</v>
      </c>
      <c r="CT96" s="15" t="s">
        <v>188</v>
      </c>
      <c r="CU96" s="2" t="s">
        <v>324</v>
      </c>
      <c r="CV96" s="15"/>
      <c r="CW96" s="15"/>
      <c r="CX96" s="15"/>
      <c r="CY96" s="15" t="s">
        <v>188</v>
      </c>
      <c r="CZ96" s="4" t="s">
        <v>310</v>
      </c>
      <c r="DA96" s="49"/>
      <c r="DC96" s="18">
        <f t="shared" si="3"/>
        <v>0</v>
      </c>
      <c r="DD96" s="18">
        <f t="shared" si="4"/>
        <v>3</v>
      </c>
      <c r="DE96" s="18">
        <f t="shared" si="5"/>
        <v>2001</v>
      </c>
    </row>
    <row r="97" spans="1:109" x14ac:dyDescent="0.25">
      <c r="A97" s="59" t="s">
        <v>1318</v>
      </c>
      <c r="B97" s="103">
        <v>41542</v>
      </c>
      <c r="C97" s="105" t="s">
        <v>1576</v>
      </c>
      <c r="D97" s="14" t="s">
        <v>363</v>
      </c>
      <c r="E97" s="15"/>
      <c r="F97" s="15"/>
      <c r="G97" s="15" t="s">
        <v>188</v>
      </c>
      <c r="H97" s="15"/>
      <c r="I97" s="15">
        <v>20</v>
      </c>
      <c r="J97" s="15" t="s">
        <v>189</v>
      </c>
      <c r="K97" s="15" t="s">
        <v>190</v>
      </c>
      <c r="L97" s="15" t="s">
        <v>394</v>
      </c>
      <c r="M97" s="15" t="s">
        <v>1027</v>
      </c>
      <c r="N97" s="15" t="s">
        <v>1085</v>
      </c>
      <c r="O97" s="15">
        <v>2</v>
      </c>
      <c r="P97" s="15" t="s">
        <v>188</v>
      </c>
      <c r="Q97" s="15"/>
      <c r="R97" s="15"/>
      <c r="S97" s="15"/>
      <c r="T97" s="15"/>
      <c r="U97" s="15" t="s">
        <v>188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>
        <v>1980</v>
      </c>
      <c r="AI97" s="1">
        <v>3500000</v>
      </c>
      <c r="AJ97" s="15"/>
      <c r="AK97" s="15"/>
      <c r="AL97" s="15" t="s">
        <v>188</v>
      </c>
      <c r="AM97" s="15"/>
      <c r="AN97" s="15"/>
      <c r="AO97" s="15"/>
      <c r="AP97" s="15"/>
      <c r="AQ97" s="15" t="s">
        <v>188</v>
      </c>
      <c r="AR97" s="15"/>
      <c r="AS97" s="15">
        <v>1990</v>
      </c>
      <c r="AT97" s="15" t="s">
        <v>211</v>
      </c>
      <c r="AU97" s="1">
        <v>10000</v>
      </c>
      <c r="AV97" s="48">
        <v>0.5</v>
      </c>
      <c r="AW97" s="15">
        <v>2</v>
      </c>
      <c r="AX97" s="15">
        <v>1.8</v>
      </c>
      <c r="AY97" s="15">
        <v>1</v>
      </c>
      <c r="AZ97" s="15">
        <v>400</v>
      </c>
      <c r="BA97" s="15">
        <v>900</v>
      </c>
      <c r="BB97" s="15" t="s">
        <v>199</v>
      </c>
      <c r="BC97" s="15" t="s">
        <v>188</v>
      </c>
      <c r="BD97" s="15" t="s">
        <v>199</v>
      </c>
      <c r="BE97" s="1">
        <v>50000</v>
      </c>
      <c r="BF97" s="1">
        <v>60000</v>
      </c>
      <c r="BG97" s="1">
        <v>12000</v>
      </c>
      <c r="BH97" s="1">
        <v>60000</v>
      </c>
      <c r="BI97" s="1">
        <v>30000</v>
      </c>
      <c r="BJ97" s="15"/>
      <c r="BK97" s="15"/>
      <c r="BL97" s="15"/>
      <c r="BM97" s="15"/>
      <c r="BN97" s="15"/>
      <c r="BO97" s="15"/>
      <c r="BP97" s="15"/>
      <c r="BQ97" s="15"/>
      <c r="BR97" s="15"/>
      <c r="BS97" s="2" t="s">
        <v>364</v>
      </c>
      <c r="BT97" s="15"/>
      <c r="BU97" s="15"/>
      <c r="BV97" s="15" t="s">
        <v>188</v>
      </c>
      <c r="BW97" s="15"/>
      <c r="BX97" s="15">
        <v>2</v>
      </c>
      <c r="BY97" s="15">
        <v>3</v>
      </c>
      <c r="BZ97" s="15">
        <v>1</v>
      </c>
      <c r="CA97" s="15"/>
      <c r="CB97" s="15"/>
      <c r="CC97" s="15" t="s">
        <v>188</v>
      </c>
      <c r="CD97" s="15"/>
      <c r="CE97" s="15"/>
      <c r="CF97" s="15"/>
      <c r="CG97" s="15" t="s">
        <v>188</v>
      </c>
      <c r="CH97" s="15" t="s">
        <v>188</v>
      </c>
      <c r="CI97" s="15" t="s">
        <v>188</v>
      </c>
      <c r="CJ97" s="15"/>
      <c r="CK97" s="15" t="s">
        <v>188</v>
      </c>
      <c r="CL97" s="15"/>
      <c r="CM97" s="15"/>
      <c r="CN97" s="15"/>
      <c r="CO97" s="15"/>
      <c r="CP97" s="15" t="s">
        <v>193</v>
      </c>
      <c r="CQ97" s="15" t="s">
        <v>209</v>
      </c>
      <c r="CR97" s="15"/>
      <c r="CS97" s="15" t="s">
        <v>188</v>
      </c>
      <c r="CT97" s="15"/>
      <c r="CU97" s="15"/>
      <c r="CV97" s="15"/>
      <c r="CW97" s="15"/>
      <c r="CX97" s="15" t="s">
        <v>188</v>
      </c>
      <c r="CY97" s="15" t="s">
        <v>188</v>
      </c>
      <c r="CZ97" s="3"/>
      <c r="DA97" s="49"/>
      <c r="DC97" s="18">
        <f t="shared" si="3"/>
        <v>0</v>
      </c>
      <c r="DD97" s="18">
        <f t="shared" si="4"/>
        <v>3</v>
      </c>
      <c r="DE97" s="18">
        <f t="shared" si="5"/>
        <v>1990</v>
      </c>
    </row>
    <row r="98" spans="1:109" x14ac:dyDescent="0.25">
      <c r="A98" s="59" t="s">
        <v>1318</v>
      </c>
      <c r="B98" s="103">
        <v>41542</v>
      </c>
      <c r="C98" s="105" t="s">
        <v>1576</v>
      </c>
      <c r="D98" s="14" t="s">
        <v>365</v>
      </c>
      <c r="E98" s="15"/>
      <c r="F98" s="15"/>
      <c r="G98" s="15"/>
      <c r="H98" s="15" t="s">
        <v>188</v>
      </c>
      <c r="I98" s="15">
        <v>45</v>
      </c>
      <c r="J98" s="15" t="s">
        <v>189</v>
      </c>
      <c r="K98" s="15" t="s">
        <v>190</v>
      </c>
      <c r="L98" s="15" t="s">
        <v>393</v>
      </c>
      <c r="M98" s="15" t="s">
        <v>1025</v>
      </c>
      <c r="N98" s="15" t="s">
        <v>1084</v>
      </c>
      <c r="O98" s="15">
        <v>20</v>
      </c>
      <c r="P98" s="15" t="s">
        <v>188</v>
      </c>
      <c r="Q98" s="15"/>
      <c r="R98" s="15"/>
      <c r="S98" s="15"/>
      <c r="T98" s="15"/>
      <c r="U98" s="15" t="s">
        <v>188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>
        <v>2011</v>
      </c>
      <c r="AI98" s="1">
        <v>70000</v>
      </c>
      <c r="AJ98" s="15"/>
      <c r="AK98" s="15"/>
      <c r="AL98" s="15" t="s">
        <v>188</v>
      </c>
      <c r="AM98" s="15"/>
      <c r="AN98" s="15"/>
      <c r="AO98" s="15"/>
      <c r="AP98" s="15" t="s">
        <v>188</v>
      </c>
      <c r="AQ98" s="15"/>
      <c r="AR98" s="15"/>
      <c r="AS98" s="15"/>
      <c r="AT98" s="15" t="s">
        <v>390</v>
      </c>
      <c r="AU98" s="1">
        <v>3000</v>
      </c>
      <c r="AV98" s="48">
        <v>0.5</v>
      </c>
      <c r="AW98" s="15">
        <v>3</v>
      </c>
      <c r="AX98" s="15">
        <v>2.7</v>
      </c>
      <c r="AY98" s="15">
        <v>2</v>
      </c>
      <c r="AZ98" s="15">
        <v>960</v>
      </c>
      <c r="BA98" s="15">
        <v>2800</v>
      </c>
      <c r="BB98" s="15" t="s">
        <v>199</v>
      </c>
      <c r="BC98" s="15" t="s">
        <v>188</v>
      </c>
      <c r="BD98" s="15" t="s">
        <v>199</v>
      </c>
      <c r="BE98" s="1">
        <v>8000</v>
      </c>
      <c r="BF98" s="1">
        <v>18000</v>
      </c>
      <c r="BG98" s="1">
        <v>10000</v>
      </c>
      <c r="BH98" s="1">
        <v>36000</v>
      </c>
      <c r="BI98" s="1">
        <v>8000</v>
      </c>
      <c r="BJ98" s="15"/>
      <c r="BK98" s="15"/>
      <c r="BL98" s="15"/>
      <c r="BM98" s="15"/>
      <c r="BN98" s="15"/>
      <c r="BO98" s="15"/>
      <c r="BP98" s="15"/>
      <c r="BQ98" s="15"/>
      <c r="BR98" s="15"/>
      <c r="BS98" s="2" t="s">
        <v>314</v>
      </c>
      <c r="BT98" s="15"/>
      <c r="BU98" s="15"/>
      <c r="BV98" s="15" t="s">
        <v>188</v>
      </c>
      <c r="BW98" s="15"/>
      <c r="BX98" s="15">
        <v>3</v>
      </c>
      <c r="BY98" s="15">
        <v>1</v>
      </c>
      <c r="BZ98" s="15">
        <v>2</v>
      </c>
      <c r="CA98" s="15"/>
      <c r="CB98" s="15" t="s">
        <v>188</v>
      </c>
      <c r="CC98" s="15"/>
      <c r="CD98" s="15"/>
      <c r="CE98" s="15"/>
      <c r="CF98" s="15"/>
      <c r="CG98" s="15"/>
      <c r="CH98" s="15"/>
      <c r="CI98" s="15"/>
      <c r="CJ98" s="15"/>
      <c r="CK98" s="15" t="s">
        <v>188</v>
      </c>
      <c r="CL98" s="15"/>
      <c r="CM98" s="15"/>
      <c r="CN98" s="15"/>
      <c r="CO98" s="15"/>
      <c r="CP98" s="15" t="s">
        <v>193</v>
      </c>
      <c r="CQ98" s="15" t="s">
        <v>193</v>
      </c>
      <c r="CR98" s="15"/>
      <c r="CS98" s="15"/>
      <c r="CT98" s="15" t="s">
        <v>188</v>
      </c>
      <c r="CU98" s="15"/>
      <c r="CV98" s="15" t="s">
        <v>188</v>
      </c>
      <c r="CW98" s="15" t="s">
        <v>270</v>
      </c>
      <c r="CX98" s="15"/>
      <c r="CY98" s="15"/>
      <c r="CZ98" s="3"/>
      <c r="DA98" s="49"/>
      <c r="DC98" s="18">
        <f t="shared" si="3"/>
        <v>0</v>
      </c>
      <c r="DD98" s="18">
        <f t="shared" si="4"/>
        <v>7</v>
      </c>
      <c r="DE98" s="18">
        <f t="shared" si="5"/>
        <v>2011</v>
      </c>
    </row>
    <row r="99" spans="1:109" x14ac:dyDescent="0.25">
      <c r="A99" s="59" t="s">
        <v>1318</v>
      </c>
      <c r="B99" s="103">
        <v>41542</v>
      </c>
      <c r="C99" s="105" t="s">
        <v>1576</v>
      </c>
      <c r="D99" s="14" t="s">
        <v>366</v>
      </c>
      <c r="E99" s="15"/>
      <c r="F99" s="15" t="s">
        <v>188</v>
      </c>
      <c r="G99" s="15"/>
      <c r="H99" s="15"/>
      <c r="I99" s="15">
        <v>24</v>
      </c>
      <c r="J99" s="15" t="s">
        <v>189</v>
      </c>
      <c r="K99" s="15" t="s">
        <v>190</v>
      </c>
      <c r="L99" s="15" t="s">
        <v>228</v>
      </c>
      <c r="M99" s="15" t="s">
        <v>1010</v>
      </c>
      <c r="N99" s="15" t="s">
        <v>1084</v>
      </c>
      <c r="O99" s="15">
        <v>5</v>
      </c>
      <c r="P99" s="15" t="s">
        <v>188</v>
      </c>
      <c r="Q99" s="15"/>
      <c r="R99" s="15"/>
      <c r="S99" s="15"/>
      <c r="T99" s="15"/>
      <c r="U99" s="15" t="s">
        <v>188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>
        <v>2004</v>
      </c>
      <c r="AI99" s="1">
        <v>300000</v>
      </c>
      <c r="AJ99" s="15"/>
      <c r="AK99" s="15"/>
      <c r="AL99" s="15" t="s">
        <v>188</v>
      </c>
      <c r="AM99" s="15"/>
      <c r="AN99" s="15"/>
      <c r="AO99" s="15"/>
      <c r="AP99" s="15" t="s">
        <v>188</v>
      </c>
      <c r="AQ99" s="15"/>
      <c r="AR99" s="15"/>
      <c r="AS99" s="15"/>
      <c r="AT99" s="15" t="s">
        <v>390</v>
      </c>
      <c r="AU99" s="1">
        <v>2000</v>
      </c>
      <c r="AV99" s="48">
        <v>0.5</v>
      </c>
      <c r="AW99" s="15">
        <v>3</v>
      </c>
      <c r="AX99" s="15">
        <v>2.5</v>
      </c>
      <c r="AY99" s="15">
        <v>2</v>
      </c>
      <c r="AZ99" s="15">
        <v>280</v>
      </c>
      <c r="BA99" s="15">
        <v>800</v>
      </c>
      <c r="BB99" s="15" t="s">
        <v>199</v>
      </c>
      <c r="BC99" s="15" t="s">
        <v>188</v>
      </c>
      <c r="BD99" s="15" t="s">
        <v>199</v>
      </c>
      <c r="BE99" s="1">
        <v>10000</v>
      </c>
      <c r="BF99" s="1">
        <v>20000</v>
      </c>
      <c r="BG99" s="1">
        <v>20000</v>
      </c>
      <c r="BH99" s="1">
        <v>120000</v>
      </c>
      <c r="BI99" s="1">
        <v>10000</v>
      </c>
      <c r="BJ99" s="15"/>
      <c r="BK99" s="15"/>
      <c r="BL99" s="15" t="s">
        <v>188</v>
      </c>
      <c r="BM99" s="15"/>
      <c r="BN99" s="15"/>
      <c r="BO99" s="15"/>
      <c r="BP99" s="15"/>
      <c r="BQ99" s="15"/>
      <c r="BR99" s="15"/>
      <c r="BS99" s="2" t="s">
        <v>367</v>
      </c>
      <c r="BT99" s="15"/>
      <c r="BU99" s="15"/>
      <c r="BV99" s="15" t="s">
        <v>188</v>
      </c>
      <c r="BW99" s="15"/>
      <c r="BX99" s="15">
        <v>2</v>
      </c>
      <c r="BY99" s="15">
        <v>3</v>
      </c>
      <c r="BZ99" s="15">
        <v>1</v>
      </c>
      <c r="CA99" s="15"/>
      <c r="CB99" s="15" t="s">
        <v>188</v>
      </c>
      <c r="CC99" s="15"/>
      <c r="CD99" s="15"/>
      <c r="CE99" s="15"/>
      <c r="CF99" s="15"/>
      <c r="CG99" s="15"/>
      <c r="CH99" s="15"/>
      <c r="CI99" s="15"/>
      <c r="CJ99" s="15"/>
      <c r="CK99" s="15" t="s">
        <v>188</v>
      </c>
      <c r="CL99" s="15"/>
      <c r="CM99" s="15"/>
      <c r="CN99" s="15"/>
      <c r="CO99" s="15"/>
      <c r="CP99" s="15" t="s">
        <v>193</v>
      </c>
      <c r="CQ99" s="15" t="s">
        <v>209</v>
      </c>
      <c r="CR99" s="15" t="s">
        <v>188</v>
      </c>
      <c r="CS99" s="15"/>
      <c r="CT99" s="15"/>
      <c r="CU99" s="15"/>
      <c r="CV99" s="15" t="s">
        <v>188</v>
      </c>
      <c r="CW99" s="15" t="s">
        <v>270</v>
      </c>
      <c r="CX99" s="15"/>
      <c r="CY99" s="15"/>
      <c r="CZ99" s="3"/>
      <c r="DA99" s="49"/>
      <c r="DC99" s="18">
        <f t="shared" si="3"/>
        <v>0</v>
      </c>
      <c r="DD99" s="18">
        <f t="shared" si="4"/>
        <v>2</v>
      </c>
      <c r="DE99" s="18">
        <f t="shared" si="5"/>
        <v>2004</v>
      </c>
    </row>
    <row r="100" spans="1:109" x14ac:dyDescent="0.25">
      <c r="A100" s="59" t="s">
        <v>1318</v>
      </c>
      <c r="B100" s="103">
        <v>41542</v>
      </c>
      <c r="C100" s="105" t="s">
        <v>1576</v>
      </c>
      <c r="D100" s="14" t="s">
        <v>368</v>
      </c>
      <c r="E100" s="15"/>
      <c r="F100" s="15" t="s">
        <v>188</v>
      </c>
      <c r="G100" s="15"/>
      <c r="H100" s="15"/>
      <c r="I100" s="15">
        <v>38</v>
      </c>
      <c r="J100" s="15" t="s">
        <v>189</v>
      </c>
      <c r="K100" s="15" t="s">
        <v>196</v>
      </c>
      <c r="L100" s="15" t="s">
        <v>386</v>
      </c>
      <c r="M100" s="15" t="s">
        <v>1017</v>
      </c>
      <c r="N100" s="15" t="s">
        <v>1085</v>
      </c>
      <c r="O100" s="15">
        <v>18</v>
      </c>
      <c r="P100" s="15" t="s">
        <v>188</v>
      </c>
      <c r="Q100" s="15"/>
      <c r="R100" s="15"/>
      <c r="S100" s="15"/>
      <c r="T100" s="15"/>
      <c r="U100" s="15" t="s">
        <v>188</v>
      </c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>
        <v>2004</v>
      </c>
      <c r="AI100" s="1">
        <v>800000</v>
      </c>
      <c r="AJ100" s="15"/>
      <c r="AK100" s="15"/>
      <c r="AL100" s="15" t="s">
        <v>188</v>
      </c>
      <c r="AM100" s="15"/>
      <c r="AN100" s="15"/>
      <c r="AO100" s="15"/>
      <c r="AP100" s="15" t="s">
        <v>188</v>
      </c>
      <c r="AQ100" s="15"/>
      <c r="AR100" s="15"/>
      <c r="AS100" s="15"/>
      <c r="AT100" s="15" t="s">
        <v>198</v>
      </c>
      <c r="AU100" s="1">
        <v>6500</v>
      </c>
      <c r="AV100" s="48">
        <v>0.5</v>
      </c>
      <c r="AW100" s="15">
        <v>1.8</v>
      </c>
      <c r="AX100" s="15">
        <v>1.5</v>
      </c>
      <c r="AY100" s="15">
        <v>2</v>
      </c>
      <c r="AZ100" s="15">
        <v>930</v>
      </c>
      <c r="BA100" s="15">
        <v>1500</v>
      </c>
      <c r="BB100" s="15" t="s">
        <v>199</v>
      </c>
      <c r="BC100" s="15" t="s">
        <v>199</v>
      </c>
      <c r="BD100" s="15" t="s">
        <v>199</v>
      </c>
      <c r="BE100" s="1">
        <v>15000</v>
      </c>
      <c r="BF100" s="1">
        <v>10000</v>
      </c>
      <c r="BG100" s="1">
        <v>15000</v>
      </c>
      <c r="BH100" s="1">
        <v>100000</v>
      </c>
      <c r="BI100" s="1">
        <v>15000</v>
      </c>
      <c r="BJ100" s="15"/>
      <c r="BK100" s="15"/>
      <c r="BL100" s="15"/>
      <c r="BM100" s="15"/>
      <c r="BN100" s="15"/>
      <c r="BO100" s="15"/>
      <c r="BP100" s="15"/>
      <c r="BQ100" s="15"/>
      <c r="BR100" s="15" t="s">
        <v>188</v>
      </c>
      <c r="BS100" s="2"/>
      <c r="BT100" s="15"/>
      <c r="BU100" s="15"/>
      <c r="BV100" s="15" t="s">
        <v>188</v>
      </c>
      <c r="BW100" s="15"/>
      <c r="BX100" s="15">
        <v>1</v>
      </c>
      <c r="BY100" s="15">
        <v>3</v>
      </c>
      <c r="BZ100" s="15">
        <v>2</v>
      </c>
      <c r="CA100" s="15"/>
      <c r="CB100" s="15" t="s">
        <v>188</v>
      </c>
      <c r="CC100" s="15"/>
      <c r="CD100" s="15"/>
      <c r="CE100" s="15"/>
      <c r="CF100" s="15"/>
      <c r="CG100" s="15"/>
      <c r="CH100" s="15"/>
      <c r="CI100" s="15"/>
      <c r="CJ100" s="15"/>
      <c r="CK100" s="15" t="s">
        <v>188</v>
      </c>
      <c r="CL100" s="15"/>
      <c r="CM100" s="15"/>
      <c r="CN100" s="15"/>
      <c r="CO100" s="15"/>
      <c r="CP100" s="15" t="s">
        <v>193</v>
      </c>
      <c r="CQ100" s="15" t="s">
        <v>300</v>
      </c>
      <c r="CR100" s="15"/>
      <c r="CS100" s="15" t="s">
        <v>188</v>
      </c>
      <c r="CT100" s="15" t="s">
        <v>188</v>
      </c>
      <c r="CU100" s="15"/>
      <c r="CV100" s="15"/>
      <c r="CW100" s="15"/>
      <c r="CX100" s="15" t="s">
        <v>188</v>
      </c>
      <c r="CY100" s="15" t="s">
        <v>188</v>
      </c>
      <c r="CZ100" s="3"/>
      <c r="DA100" s="49"/>
      <c r="DC100" s="18">
        <f t="shared" si="3"/>
        <v>0</v>
      </c>
      <c r="DD100" s="18">
        <f t="shared" si="4"/>
        <v>2</v>
      </c>
      <c r="DE100" s="18">
        <f t="shared" si="5"/>
        <v>2004</v>
      </c>
    </row>
    <row r="101" spans="1:109" x14ac:dyDescent="0.25">
      <c r="A101" s="59" t="s">
        <v>1318</v>
      </c>
      <c r="B101" s="103">
        <v>41542</v>
      </c>
      <c r="C101" s="105" t="s">
        <v>1576</v>
      </c>
      <c r="D101" s="14" t="s">
        <v>369</v>
      </c>
      <c r="E101" s="15"/>
      <c r="F101" s="15" t="s">
        <v>188</v>
      </c>
      <c r="G101" s="15"/>
      <c r="H101" s="15"/>
      <c r="I101" s="15">
        <v>40</v>
      </c>
      <c r="J101" s="15" t="s">
        <v>189</v>
      </c>
      <c r="K101" s="15" t="s">
        <v>196</v>
      </c>
      <c r="L101" s="15" t="s">
        <v>404</v>
      </c>
      <c r="M101" s="15" t="s">
        <v>1036</v>
      </c>
      <c r="N101" s="15" t="s">
        <v>1085</v>
      </c>
      <c r="O101" s="15">
        <v>22</v>
      </c>
      <c r="P101" s="15"/>
      <c r="Q101" s="15"/>
      <c r="R101" s="15"/>
      <c r="S101" s="15" t="s">
        <v>188</v>
      </c>
      <c r="T101" s="15"/>
      <c r="U101" s="15"/>
      <c r="V101" s="15"/>
      <c r="W101" s="15"/>
      <c r="X101" s="15" t="s">
        <v>188</v>
      </c>
      <c r="Y101" s="15"/>
      <c r="Z101" s="15"/>
      <c r="AA101" s="15"/>
      <c r="AB101" s="15"/>
      <c r="AC101" s="15"/>
      <c r="AD101" s="15"/>
      <c r="AE101" s="15"/>
      <c r="AF101" s="15"/>
      <c r="AG101" s="15"/>
      <c r="AH101" s="15">
        <v>2010</v>
      </c>
      <c r="AI101" s="1">
        <v>750000</v>
      </c>
      <c r="AJ101" s="15"/>
      <c r="AK101" s="15"/>
      <c r="AL101" s="15" t="s">
        <v>188</v>
      </c>
      <c r="AM101" s="15"/>
      <c r="AN101" s="15"/>
      <c r="AO101" s="15"/>
      <c r="AP101" s="15" t="s">
        <v>188</v>
      </c>
      <c r="AQ101" s="15"/>
      <c r="AR101" s="15"/>
      <c r="AS101" s="15"/>
      <c r="AT101" s="15" t="s">
        <v>390</v>
      </c>
      <c r="AU101" s="1">
        <v>16000</v>
      </c>
      <c r="AV101" s="48">
        <v>0.5</v>
      </c>
      <c r="AW101" s="15">
        <v>2.2000000000000002</v>
      </c>
      <c r="AX101" s="15">
        <v>1.7</v>
      </c>
      <c r="AY101" s="15">
        <v>2</v>
      </c>
      <c r="AZ101" s="15">
        <v>800</v>
      </c>
      <c r="BA101" s="15">
        <v>1600</v>
      </c>
      <c r="BB101" s="15" t="s">
        <v>188</v>
      </c>
      <c r="BC101" s="15" t="s">
        <v>188</v>
      </c>
      <c r="BD101" s="15" t="s">
        <v>199</v>
      </c>
      <c r="BE101" s="1">
        <v>10000</v>
      </c>
      <c r="BF101" s="1">
        <v>12000</v>
      </c>
      <c r="BG101" s="1">
        <v>10000</v>
      </c>
      <c r="BH101" s="1">
        <v>76000</v>
      </c>
      <c r="BI101" s="1">
        <v>10000</v>
      </c>
      <c r="BJ101" s="15" t="s">
        <v>188</v>
      </c>
      <c r="BK101" s="15"/>
      <c r="BL101" s="15"/>
      <c r="BM101" s="15"/>
      <c r="BN101" s="15"/>
      <c r="BO101" s="15"/>
      <c r="BP101" s="15"/>
      <c r="BQ101" s="15"/>
      <c r="BR101" s="15"/>
      <c r="BS101" s="2"/>
      <c r="BT101" s="15"/>
      <c r="BU101" s="15" t="s">
        <v>188</v>
      </c>
      <c r="BV101" s="15"/>
      <c r="BW101" s="15"/>
      <c r="BX101" s="15">
        <v>1</v>
      </c>
      <c r="BY101" s="15">
        <v>2</v>
      </c>
      <c r="BZ101" s="15">
        <v>3</v>
      </c>
      <c r="CA101" s="15"/>
      <c r="CB101" s="15"/>
      <c r="CC101" s="15" t="s">
        <v>188</v>
      </c>
      <c r="CD101" s="15" t="s">
        <v>188</v>
      </c>
      <c r="CE101" s="15"/>
      <c r="CF101" s="15"/>
      <c r="CG101" s="15"/>
      <c r="CH101" s="15" t="s">
        <v>188</v>
      </c>
      <c r="CI101" s="15" t="s">
        <v>188</v>
      </c>
      <c r="CJ101" s="15"/>
      <c r="CK101" s="15" t="s">
        <v>188</v>
      </c>
      <c r="CL101" s="15"/>
      <c r="CM101" s="15"/>
      <c r="CN101" s="15"/>
      <c r="CO101" s="15"/>
      <c r="CP101" s="15" t="s">
        <v>193</v>
      </c>
      <c r="CQ101" s="15" t="s">
        <v>306</v>
      </c>
      <c r="CR101" s="15" t="s">
        <v>188</v>
      </c>
      <c r="CS101" s="15"/>
      <c r="CT101" s="15"/>
      <c r="CU101" s="15"/>
      <c r="CV101" s="15"/>
      <c r="CW101" s="15"/>
      <c r="CX101" s="15" t="s">
        <v>188</v>
      </c>
      <c r="CY101" s="15" t="s">
        <v>188</v>
      </c>
      <c r="CZ101" s="3"/>
      <c r="DA101" s="49"/>
      <c r="DC101" s="18">
        <f t="shared" si="3"/>
        <v>0</v>
      </c>
      <c r="DD101" s="18">
        <f t="shared" si="4"/>
        <v>2</v>
      </c>
      <c r="DE101" s="18">
        <f t="shared" si="5"/>
        <v>2010</v>
      </c>
    </row>
    <row r="102" spans="1:109" x14ac:dyDescent="0.25">
      <c r="A102" s="59" t="s">
        <v>1318</v>
      </c>
      <c r="B102" s="103">
        <v>41542</v>
      </c>
      <c r="C102" s="105" t="s">
        <v>1576</v>
      </c>
      <c r="D102" s="14" t="s">
        <v>370</v>
      </c>
      <c r="E102" s="15"/>
      <c r="F102" s="15"/>
      <c r="G102" s="15" t="s">
        <v>188</v>
      </c>
      <c r="H102" s="15"/>
      <c r="I102" s="15">
        <v>38</v>
      </c>
      <c r="J102" s="15" t="s">
        <v>189</v>
      </c>
      <c r="K102" s="15" t="s">
        <v>214</v>
      </c>
      <c r="L102" s="15" t="s">
        <v>417</v>
      </c>
      <c r="M102" s="50" t="s">
        <v>1045</v>
      </c>
      <c r="N102" s="15" t="s">
        <v>1084</v>
      </c>
      <c r="O102" s="15">
        <v>5</v>
      </c>
      <c r="P102" s="15" t="s">
        <v>188</v>
      </c>
      <c r="Q102" s="15"/>
      <c r="R102" s="15"/>
      <c r="S102" s="15"/>
      <c r="T102" s="15"/>
      <c r="U102" s="15"/>
      <c r="V102" s="15" t="s">
        <v>188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>
        <v>2005</v>
      </c>
      <c r="AI102" s="1">
        <v>1100000</v>
      </c>
      <c r="AJ102" s="15"/>
      <c r="AK102" s="15"/>
      <c r="AL102" s="15" t="s">
        <v>188</v>
      </c>
      <c r="AM102" s="15"/>
      <c r="AN102" s="15"/>
      <c r="AO102" s="15"/>
      <c r="AP102" s="15" t="s">
        <v>188</v>
      </c>
      <c r="AQ102" s="15"/>
      <c r="AR102" s="15"/>
      <c r="AS102" s="15"/>
      <c r="AT102" s="15" t="s">
        <v>198</v>
      </c>
      <c r="AU102" s="1">
        <v>10000</v>
      </c>
      <c r="AV102" s="48">
        <v>0.5</v>
      </c>
      <c r="AW102" s="15">
        <v>2.5</v>
      </c>
      <c r="AX102" s="15">
        <v>2</v>
      </c>
      <c r="AY102" s="15">
        <v>1</v>
      </c>
      <c r="AZ102" s="15">
        <v>520</v>
      </c>
      <c r="BA102" s="15">
        <v>1200</v>
      </c>
      <c r="BB102" s="15" t="s">
        <v>199</v>
      </c>
      <c r="BC102" s="15" t="s">
        <v>188</v>
      </c>
      <c r="BD102" s="15" t="s">
        <v>199</v>
      </c>
      <c r="BE102" s="1">
        <v>30000</v>
      </c>
      <c r="BF102" s="1">
        <v>30000</v>
      </c>
      <c r="BG102" s="1">
        <v>30000</v>
      </c>
      <c r="BH102" s="1">
        <v>60000</v>
      </c>
      <c r="BI102" s="1">
        <v>30000</v>
      </c>
      <c r="BJ102" s="15" t="s">
        <v>188</v>
      </c>
      <c r="BK102" s="15"/>
      <c r="BL102" s="15"/>
      <c r="BM102" s="15"/>
      <c r="BN102" s="15"/>
      <c r="BO102" s="15"/>
      <c r="BP102" s="15"/>
      <c r="BQ102" s="15"/>
      <c r="BR102" s="15"/>
      <c r="BS102" s="2"/>
      <c r="BT102" s="15"/>
      <c r="BU102" s="15"/>
      <c r="BV102" s="15"/>
      <c r="BW102" s="15" t="s">
        <v>188</v>
      </c>
      <c r="BX102" s="15">
        <v>1</v>
      </c>
      <c r="BY102" s="15">
        <v>3</v>
      </c>
      <c r="BZ102" s="15">
        <v>2</v>
      </c>
      <c r="CA102" s="15"/>
      <c r="CB102" s="15"/>
      <c r="CC102" s="15" t="s">
        <v>188</v>
      </c>
      <c r="CD102" s="15"/>
      <c r="CE102" s="15"/>
      <c r="CF102" s="15"/>
      <c r="CG102" s="15"/>
      <c r="CH102" s="15" t="s">
        <v>188</v>
      </c>
      <c r="CI102" s="15" t="s">
        <v>188</v>
      </c>
      <c r="CJ102" s="15"/>
      <c r="CK102" s="15" t="s">
        <v>188</v>
      </c>
      <c r="CL102" s="15"/>
      <c r="CM102" s="15"/>
      <c r="CN102" s="15"/>
      <c r="CO102" s="15"/>
      <c r="CP102" s="15" t="s">
        <v>193</v>
      </c>
      <c r="CQ102" s="15" t="s">
        <v>209</v>
      </c>
      <c r="CR102" s="15"/>
      <c r="CS102" s="15" t="s">
        <v>188</v>
      </c>
      <c r="CT102" s="15" t="s">
        <v>188</v>
      </c>
      <c r="CU102" s="15"/>
      <c r="CV102" s="15" t="s">
        <v>188</v>
      </c>
      <c r="CW102" s="15" t="s">
        <v>270</v>
      </c>
      <c r="CX102" s="15"/>
      <c r="CY102" s="15"/>
      <c r="CZ102" s="3"/>
      <c r="DA102" s="49"/>
      <c r="DC102" s="18">
        <f t="shared" si="3"/>
        <v>0</v>
      </c>
      <c r="DD102" s="18">
        <f t="shared" si="4"/>
        <v>3</v>
      </c>
      <c r="DE102" s="18">
        <f t="shared" si="5"/>
        <v>2005</v>
      </c>
    </row>
    <row r="103" spans="1:109" x14ac:dyDescent="0.25">
      <c r="A103" s="59" t="s">
        <v>1318</v>
      </c>
      <c r="B103" s="103">
        <v>41542</v>
      </c>
      <c r="C103" s="105" t="s">
        <v>1576</v>
      </c>
      <c r="D103" s="14" t="s">
        <v>371</v>
      </c>
      <c r="E103" s="15"/>
      <c r="F103" s="15" t="s">
        <v>188</v>
      </c>
      <c r="G103" s="15"/>
      <c r="H103" s="15"/>
      <c r="I103" s="15">
        <v>28</v>
      </c>
      <c r="J103" s="15" t="s">
        <v>189</v>
      </c>
      <c r="K103" s="15" t="s">
        <v>190</v>
      </c>
      <c r="L103" s="15" t="s">
        <v>594</v>
      </c>
      <c r="M103" s="15" t="s">
        <v>1018</v>
      </c>
      <c r="N103" s="15" t="s">
        <v>1085</v>
      </c>
      <c r="O103" s="15">
        <v>5</v>
      </c>
      <c r="P103" s="15"/>
      <c r="Q103" s="15"/>
      <c r="R103" s="15"/>
      <c r="S103" s="15" t="s">
        <v>188</v>
      </c>
      <c r="T103" s="15"/>
      <c r="U103" s="15" t="s">
        <v>188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>
        <v>2000</v>
      </c>
      <c r="AI103" s="1">
        <v>1000000</v>
      </c>
      <c r="AJ103" s="15"/>
      <c r="AK103" s="15"/>
      <c r="AL103" s="15" t="s">
        <v>188</v>
      </c>
      <c r="AM103" s="15"/>
      <c r="AN103" s="15"/>
      <c r="AO103" s="15"/>
      <c r="AP103" s="15" t="s">
        <v>188</v>
      </c>
      <c r="AQ103" s="15"/>
      <c r="AR103" s="15"/>
      <c r="AS103" s="15"/>
      <c r="AT103" s="15" t="s">
        <v>390</v>
      </c>
      <c r="AU103" s="1">
        <v>6500</v>
      </c>
      <c r="AV103" s="48">
        <v>0.5</v>
      </c>
      <c r="AW103" s="15">
        <v>2</v>
      </c>
      <c r="AX103" s="15">
        <v>1.8</v>
      </c>
      <c r="AY103" s="15">
        <v>2</v>
      </c>
      <c r="AZ103" s="15">
        <v>680</v>
      </c>
      <c r="BA103" s="15">
        <v>1300</v>
      </c>
      <c r="BB103" s="15" t="s">
        <v>188</v>
      </c>
      <c r="BC103" s="15" t="s">
        <v>188</v>
      </c>
      <c r="BD103" s="15" t="s">
        <v>188</v>
      </c>
      <c r="BE103" s="1">
        <v>18000</v>
      </c>
      <c r="BF103" s="1">
        <v>10000</v>
      </c>
      <c r="BG103" s="1">
        <v>18000</v>
      </c>
      <c r="BH103" s="1">
        <v>120000</v>
      </c>
      <c r="BI103" s="1">
        <v>18000</v>
      </c>
      <c r="BJ103" s="15"/>
      <c r="BK103" s="15"/>
      <c r="BL103" s="15"/>
      <c r="BM103" s="15" t="s">
        <v>188</v>
      </c>
      <c r="BN103" s="15"/>
      <c r="BO103" s="15"/>
      <c r="BP103" s="15"/>
      <c r="BQ103" s="15"/>
      <c r="BR103" s="15"/>
      <c r="BS103" s="2"/>
      <c r="BT103" s="15"/>
      <c r="BU103" s="15" t="s">
        <v>188</v>
      </c>
      <c r="BV103" s="15"/>
      <c r="BW103" s="15"/>
      <c r="BX103" s="15">
        <v>1</v>
      </c>
      <c r="BY103" s="15">
        <v>3</v>
      </c>
      <c r="BZ103" s="15">
        <v>2</v>
      </c>
      <c r="CA103" s="15"/>
      <c r="CB103" s="15" t="s">
        <v>188</v>
      </c>
      <c r="CC103" s="15"/>
      <c r="CD103" s="15"/>
      <c r="CE103" s="15"/>
      <c r="CF103" s="15"/>
      <c r="CG103" s="15"/>
      <c r="CH103" s="15"/>
      <c r="CI103" s="15"/>
      <c r="CJ103" s="15"/>
      <c r="CK103" s="15" t="s">
        <v>188</v>
      </c>
      <c r="CL103" s="15"/>
      <c r="CM103" s="15"/>
      <c r="CN103" s="15"/>
      <c r="CO103" s="15"/>
      <c r="CP103" s="15" t="s">
        <v>193</v>
      </c>
      <c r="CQ103" s="15" t="s">
        <v>209</v>
      </c>
      <c r="CR103" s="15"/>
      <c r="CS103" s="15"/>
      <c r="CT103" s="15" t="s">
        <v>188</v>
      </c>
      <c r="CU103" s="15"/>
      <c r="CV103" s="15"/>
      <c r="CW103" s="15"/>
      <c r="CX103" s="15" t="s">
        <v>188</v>
      </c>
      <c r="CY103" s="15" t="s">
        <v>188</v>
      </c>
      <c r="CZ103" s="3"/>
      <c r="DA103" s="49"/>
      <c r="DC103" s="18">
        <f t="shared" si="3"/>
        <v>0</v>
      </c>
      <c r="DD103" s="18">
        <f t="shared" si="4"/>
        <v>2</v>
      </c>
      <c r="DE103" s="18">
        <f t="shared" si="5"/>
        <v>2000</v>
      </c>
    </row>
    <row r="104" spans="1:109" x14ac:dyDescent="0.25">
      <c r="A104" s="59" t="s">
        <v>1318</v>
      </c>
      <c r="B104" s="103">
        <v>41542</v>
      </c>
      <c r="C104" s="105" t="s">
        <v>1576</v>
      </c>
      <c r="D104" s="14" t="s">
        <v>372</v>
      </c>
      <c r="E104" s="15"/>
      <c r="F104" s="15"/>
      <c r="G104" s="15" t="s">
        <v>188</v>
      </c>
      <c r="H104" s="15"/>
      <c r="I104" s="15">
        <v>23</v>
      </c>
      <c r="J104" s="15" t="s">
        <v>189</v>
      </c>
      <c r="K104" s="15" t="s">
        <v>190</v>
      </c>
      <c r="L104" s="15" t="s">
        <v>418</v>
      </c>
      <c r="M104" s="15" t="s">
        <v>1046</v>
      </c>
      <c r="N104" s="15" t="s">
        <v>1085</v>
      </c>
      <c r="O104" s="15">
        <v>6</v>
      </c>
      <c r="P104" s="15" t="s">
        <v>188</v>
      </c>
      <c r="Q104" s="15"/>
      <c r="R104" s="15"/>
      <c r="S104" s="15"/>
      <c r="T104" s="15"/>
      <c r="U104" s="15" t="s">
        <v>188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>
        <v>2012</v>
      </c>
      <c r="AI104" s="1">
        <v>250000</v>
      </c>
      <c r="AJ104" s="15"/>
      <c r="AK104" s="15"/>
      <c r="AL104" s="15" t="s">
        <v>188</v>
      </c>
      <c r="AM104" s="15"/>
      <c r="AN104" s="15"/>
      <c r="AO104" s="15" t="s">
        <v>188</v>
      </c>
      <c r="AP104" s="15"/>
      <c r="AQ104" s="15"/>
      <c r="AR104" s="15"/>
      <c r="AS104" s="15"/>
      <c r="AT104" s="15" t="s">
        <v>198</v>
      </c>
      <c r="AU104" s="1">
        <v>10000</v>
      </c>
      <c r="AV104" s="48">
        <v>0.5</v>
      </c>
      <c r="AW104" s="15">
        <v>2.2000000000000002</v>
      </c>
      <c r="AX104" s="15">
        <v>1.9</v>
      </c>
      <c r="AY104" s="15">
        <v>2</v>
      </c>
      <c r="AZ104" s="15">
        <v>950</v>
      </c>
      <c r="BA104" s="15">
        <v>2000</v>
      </c>
      <c r="BB104" s="15" t="s">
        <v>199</v>
      </c>
      <c r="BC104" s="15" t="s">
        <v>188</v>
      </c>
      <c r="BD104" s="15" t="s">
        <v>188</v>
      </c>
      <c r="BE104" s="1">
        <v>17000</v>
      </c>
      <c r="BF104" s="1">
        <v>30000</v>
      </c>
      <c r="BG104" s="1">
        <v>17000</v>
      </c>
      <c r="BH104" s="1">
        <v>120000</v>
      </c>
      <c r="BI104" s="1">
        <v>17000</v>
      </c>
      <c r="BJ104" s="15"/>
      <c r="BK104" s="15"/>
      <c r="BL104" s="15"/>
      <c r="BM104" s="15" t="s">
        <v>188</v>
      </c>
      <c r="BN104" s="15"/>
      <c r="BO104" s="15"/>
      <c r="BP104" s="15"/>
      <c r="BQ104" s="15"/>
      <c r="BR104" s="15"/>
      <c r="BS104" s="2"/>
      <c r="BT104" s="15"/>
      <c r="BU104" s="15"/>
      <c r="BV104" s="15" t="s">
        <v>188</v>
      </c>
      <c r="BW104" s="15"/>
      <c r="BX104" s="15">
        <v>2</v>
      </c>
      <c r="BY104" s="15">
        <v>3</v>
      </c>
      <c r="BZ104" s="15">
        <v>1</v>
      </c>
      <c r="CA104" s="15"/>
      <c r="CB104" s="15"/>
      <c r="CC104" s="15" t="s">
        <v>188</v>
      </c>
      <c r="CD104" s="15"/>
      <c r="CE104" s="15"/>
      <c r="CF104" s="15"/>
      <c r="CG104" s="15"/>
      <c r="CH104" s="15"/>
      <c r="CI104" s="15" t="s">
        <v>188</v>
      </c>
      <c r="CJ104" s="15"/>
      <c r="CK104" s="15" t="s">
        <v>188</v>
      </c>
      <c r="CL104" s="15"/>
      <c r="CM104" s="15"/>
      <c r="CN104" s="15"/>
      <c r="CO104" s="15"/>
      <c r="CP104" s="15" t="s">
        <v>193</v>
      </c>
      <c r="CQ104" s="15" t="s">
        <v>306</v>
      </c>
      <c r="CR104" s="15"/>
      <c r="CS104" s="15"/>
      <c r="CT104" s="15" t="s">
        <v>188</v>
      </c>
      <c r="CU104" s="15"/>
      <c r="CV104" s="15"/>
      <c r="CW104" s="15"/>
      <c r="CX104" s="15" t="s">
        <v>188</v>
      </c>
      <c r="CY104" s="15"/>
      <c r="CZ104" s="3"/>
      <c r="DA104" s="49"/>
      <c r="DC104" s="18">
        <f t="shared" si="3"/>
        <v>0</v>
      </c>
      <c r="DD104" s="18">
        <f t="shared" si="4"/>
        <v>3</v>
      </c>
      <c r="DE104" s="18">
        <f t="shared" si="5"/>
        <v>2012</v>
      </c>
    </row>
    <row r="105" spans="1:109" x14ac:dyDescent="0.25">
      <c r="A105" s="59" t="s">
        <v>1318</v>
      </c>
      <c r="B105" s="103">
        <v>41542</v>
      </c>
      <c r="C105" s="105" t="s">
        <v>1576</v>
      </c>
      <c r="D105" s="14" t="s">
        <v>373</v>
      </c>
      <c r="E105" s="15"/>
      <c r="F105" s="15"/>
      <c r="G105" s="15" t="s">
        <v>188</v>
      </c>
      <c r="H105" s="15"/>
      <c r="I105" s="15">
        <v>38</v>
      </c>
      <c r="J105" s="15" t="s">
        <v>189</v>
      </c>
      <c r="K105" s="15" t="s">
        <v>196</v>
      </c>
      <c r="L105" s="15" t="s">
        <v>400</v>
      </c>
      <c r="M105" s="15" t="s">
        <v>1034</v>
      </c>
      <c r="N105" s="15" t="s">
        <v>1084</v>
      </c>
      <c r="O105" s="15">
        <v>12</v>
      </c>
      <c r="P105" s="15"/>
      <c r="Q105" s="15"/>
      <c r="R105" s="15"/>
      <c r="S105" s="15" t="s">
        <v>188</v>
      </c>
      <c r="T105" s="15"/>
      <c r="U105" s="15" t="s">
        <v>188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>
        <v>2000</v>
      </c>
      <c r="AI105" s="1">
        <v>1100000</v>
      </c>
      <c r="AJ105" s="15"/>
      <c r="AK105" s="15"/>
      <c r="AL105" s="15" t="s">
        <v>188</v>
      </c>
      <c r="AM105" s="15"/>
      <c r="AN105" s="15"/>
      <c r="AO105" s="15"/>
      <c r="AP105" s="15" t="s">
        <v>188</v>
      </c>
      <c r="AQ105" s="15"/>
      <c r="AR105" s="15"/>
      <c r="AS105" s="15"/>
      <c r="AT105" s="15" t="s">
        <v>390</v>
      </c>
      <c r="AU105" s="1">
        <v>8000</v>
      </c>
      <c r="AV105" s="48">
        <v>0.5</v>
      </c>
      <c r="AW105" s="15">
        <v>1.8</v>
      </c>
      <c r="AX105" s="15">
        <v>1.3</v>
      </c>
      <c r="AY105" s="15">
        <v>2</v>
      </c>
      <c r="AZ105" s="15">
        <v>560</v>
      </c>
      <c r="BA105" s="15">
        <v>900</v>
      </c>
      <c r="BB105" s="15" t="s">
        <v>188</v>
      </c>
      <c r="BC105" s="15" t="s">
        <v>188</v>
      </c>
      <c r="BD105" s="15" t="s">
        <v>199</v>
      </c>
      <c r="BE105" s="1">
        <v>15000</v>
      </c>
      <c r="BF105" s="1">
        <v>15000</v>
      </c>
      <c r="BG105" s="1">
        <v>15000</v>
      </c>
      <c r="BH105" s="1">
        <v>70000</v>
      </c>
      <c r="BI105" s="1">
        <v>15000</v>
      </c>
      <c r="BJ105" s="15"/>
      <c r="BK105" s="15" t="s">
        <v>188</v>
      </c>
      <c r="BL105" s="15"/>
      <c r="BM105" s="15"/>
      <c r="BN105" s="15"/>
      <c r="BO105" s="15"/>
      <c r="BP105" s="15"/>
      <c r="BQ105" s="15"/>
      <c r="BR105" s="15"/>
      <c r="BS105" s="2"/>
      <c r="BT105" s="15"/>
      <c r="BU105" s="15"/>
      <c r="BV105" s="15" t="s">
        <v>188</v>
      </c>
      <c r="BW105" s="15"/>
      <c r="BX105" s="15">
        <v>2</v>
      </c>
      <c r="BY105" s="15">
        <v>4</v>
      </c>
      <c r="BZ105" s="15">
        <v>3</v>
      </c>
      <c r="CA105" s="15" t="s">
        <v>208</v>
      </c>
      <c r="CB105" s="15" t="s">
        <v>188</v>
      </c>
      <c r="CC105" s="15"/>
      <c r="CD105" s="15"/>
      <c r="CE105" s="15"/>
      <c r="CF105" s="15"/>
      <c r="CG105" s="15"/>
      <c r="CH105" s="15"/>
      <c r="CI105" s="15"/>
      <c r="CJ105" s="15"/>
      <c r="CK105" s="15" t="s">
        <v>188</v>
      </c>
      <c r="CL105" s="15"/>
      <c r="CM105" s="15"/>
      <c r="CN105" s="15"/>
      <c r="CO105" s="15"/>
      <c r="CP105" s="15" t="s">
        <v>193</v>
      </c>
      <c r="CQ105" s="15" t="s">
        <v>209</v>
      </c>
      <c r="CR105" s="15"/>
      <c r="CS105" s="15" t="s">
        <v>188</v>
      </c>
      <c r="CT105" s="15" t="s">
        <v>188</v>
      </c>
      <c r="CU105" s="15"/>
      <c r="CV105" s="15"/>
      <c r="CW105" s="15"/>
      <c r="CX105" s="15" t="s">
        <v>188</v>
      </c>
      <c r="CY105" s="2"/>
      <c r="CZ105" s="4" t="s">
        <v>359</v>
      </c>
      <c r="DA105" s="49"/>
      <c r="DC105" s="18">
        <f t="shared" si="3"/>
        <v>0</v>
      </c>
      <c r="DD105" s="18">
        <f t="shared" si="4"/>
        <v>3</v>
      </c>
      <c r="DE105" s="18">
        <f t="shared" si="5"/>
        <v>2000</v>
      </c>
    </row>
    <row r="106" spans="1:109" x14ac:dyDescent="0.25">
      <c r="A106" s="59" t="s">
        <v>1318</v>
      </c>
      <c r="B106" s="103">
        <v>41542</v>
      </c>
      <c r="C106" s="105" t="s">
        <v>1576</v>
      </c>
      <c r="D106" s="14" t="s">
        <v>374</v>
      </c>
      <c r="E106" s="15"/>
      <c r="F106" s="15" t="s">
        <v>188</v>
      </c>
      <c r="G106" s="15"/>
      <c r="H106" s="15"/>
      <c r="I106" s="15">
        <v>40</v>
      </c>
      <c r="J106" s="15" t="s">
        <v>189</v>
      </c>
      <c r="K106" s="15" t="s">
        <v>240</v>
      </c>
      <c r="L106" s="15" t="s">
        <v>419</v>
      </c>
      <c r="M106" s="15" t="s">
        <v>1047</v>
      </c>
      <c r="N106" s="15" t="s">
        <v>1084</v>
      </c>
      <c r="O106" s="15">
        <v>11</v>
      </c>
      <c r="P106" s="15" t="s">
        <v>188</v>
      </c>
      <c r="Q106" s="15"/>
      <c r="R106" s="15"/>
      <c r="S106" s="15"/>
      <c r="T106" s="15"/>
      <c r="U106" s="15"/>
      <c r="V106" s="15"/>
      <c r="W106" s="15"/>
      <c r="X106" s="15" t="s">
        <v>188</v>
      </c>
      <c r="Y106" s="15"/>
      <c r="Z106" s="15"/>
      <c r="AA106" s="15"/>
      <c r="AB106" s="15"/>
      <c r="AC106" s="15"/>
      <c r="AD106" s="15"/>
      <c r="AE106" s="15"/>
      <c r="AF106" s="15"/>
      <c r="AG106" s="15"/>
      <c r="AH106" s="15">
        <v>2009</v>
      </c>
      <c r="AI106" s="1">
        <v>540000</v>
      </c>
      <c r="AJ106" s="15"/>
      <c r="AK106" s="15"/>
      <c r="AL106" s="15" t="s">
        <v>188</v>
      </c>
      <c r="AM106" s="15"/>
      <c r="AN106" s="15"/>
      <c r="AO106" s="15"/>
      <c r="AP106" s="15" t="s">
        <v>188</v>
      </c>
      <c r="AQ106" s="15"/>
      <c r="AR106" s="15"/>
      <c r="AS106" s="15"/>
      <c r="AT106" s="15" t="s">
        <v>328</v>
      </c>
      <c r="AU106" s="1">
        <v>15000</v>
      </c>
      <c r="AV106" s="48">
        <v>0.5</v>
      </c>
      <c r="AW106" s="15">
        <v>3</v>
      </c>
      <c r="AX106" s="15">
        <v>2.5</v>
      </c>
      <c r="AY106" s="15">
        <v>1</v>
      </c>
      <c r="AZ106" s="15">
        <v>300</v>
      </c>
      <c r="BA106" s="15">
        <v>750</v>
      </c>
      <c r="BB106" s="15" t="s">
        <v>188</v>
      </c>
      <c r="BC106" s="15" t="s">
        <v>188</v>
      </c>
      <c r="BD106" s="15" t="s">
        <v>199</v>
      </c>
      <c r="BE106" s="1">
        <v>10000</v>
      </c>
      <c r="BF106" s="1">
        <v>40000</v>
      </c>
      <c r="BG106" s="1">
        <v>40000</v>
      </c>
      <c r="BH106" s="1">
        <v>100000</v>
      </c>
      <c r="BI106" s="1">
        <v>40000</v>
      </c>
      <c r="BJ106" s="15" t="s">
        <v>188</v>
      </c>
      <c r="BK106" s="15"/>
      <c r="BL106" s="15"/>
      <c r="BM106" s="15"/>
      <c r="BN106" s="15"/>
      <c r="BO106" s="15"/>
      <c r="BP106" s="15"/>
      <c r="BQ106" s="15"/>
      <c r="BR106" s="15"/>
      <c r="BS106" s="2"/>
      <c r="BT106" s="15"/>
      <c r="BU106" s="15" t="s">
        <v>188</v>
      </c>
      <c r="BV106" s="15"/>
      <c r="BW106" s="15"/>
      <c r="BX106" s="15">
        <v>1</v>
      </c>
      <c r="BY106" s="15">
        <v>3</v>
      </c>
      <c r="BZ106" s="15">
        <v>2</v>
      </c>
      <c r="CA106" s="15"/>
      <c r="CB106" s="15"/>
      <c r="CC106" s="15" t="s">
        <v>188</v>
      </c>
      <c r="CD106" s="15"/>
      <c r="CE106" s="15"/>
      <c r="CF106" s="15" t="s">
        <v>188</v>
      </c>
      <c r="CG106" s="15" t="s">
        <v>188</v>
      </c>
      <c r="CH106" s="15" t="s">
        <v>188</v>
      </c>
      <c r="CI106" s="15" t="s">
        <v>188</v>
      </c>
      <c r="CJ106" s="15"/>
      <c r="CK106" s="15" t="s">
        <v>188</v>
      </c>
      <c r="CL106" s="15"/>
      <c r="CM106" s="15"/>
      <c r="CN106" s="15"/>
      <c r="CO106" s="15"/>
      <c r="CP106" s="15" t="s">
        <v>193</v>
      </c>
      <c r="CQ106" s="15" t="s">
        <v>300</v>
      </c>
      <c r="CR106" s="15"/>
      <c r="CS106" s="15" t="s">
        <v>188</v>
      </c>
      <c r="CT106" s="15" t="s">
        <v>188</v>
      </c>
      <c r="CU106" s="15"/>
      <c r="CV106" s="15"/>
      <c r="CW106" s="15"/>
      <c r="CX106" s="15" t="s">
        <v>188</v>
      </c>
      <c r="CY106" s="15" t="s">
        <v>188</v>
      </c>
      <c r="CZ106" s="3"/>
      <c r="DA106" s="49"/>
      <c r="DC106" s="18">
        <f t="shared" si="3"/>
        <v>0</v>
      </c>
      <c r="DD106" s="18">
        <f t="shared" si="4"/>
        <v>2</v>
      </c>
      <c r="DE106" s="18">
        <f t="shared" si="5"/>
        <v>2009</v>
      </c>
    </row>
    <row r="107" spans="1:109" x14ac:dyDescent="0.25">
      <c r="A107" s="59" t="s">
        <v>1318</v>
      </c>
      <c r="B107" s="103">
        <v>41542</v>
      </c>
      <c r="C107" s="105" t="s">
        <v>1576</v>
      </c>
      <c r="D107" s="14" t="s">
        <v>375</v>
      </c>
      <c r="E107" s="15"/>
      <c r="F107" s="15"/>
      <c r="G107" s="15" t="s">
        <v>188</v>
      </c>
      <c r="H107" s="15"/>
      <c r="I107" s="15">
        <v>39</v>
      </c>
      <c r="J107" s="15" t="s">
        <v>189</v>
      </c>
      <c r="K107" s="15" t="s">
        <v>196</v>
      </c>
      <c r="L107" s="15" t="s">
        <v>399</v>
      </c>
      <c r="M107" s="15" t="s">
        <v>1033</v>
      </c>
      <c r="N107" s="15" t="s">
        <v>1085</v>
      </c>
      <c r="O107" s="15">
        <v>15</v>
      </c>
      <c r="P107" s="15" t="s">
        <v>188</v>
      </c>
      <c r="Q107" s="15"/>
      <c r="R107" s="15"/>
      <c r="S107" s="15"/>
      <c r="T107" s="15"/>
      <c r="U107" s="15" t="s">
        <v>188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>
        <v>2003</v>
      </c>
      <c r="AI107" s="1">
        <v>900000</v>
      </c>
      <c r="AJ107" s="15"/>
      <c r="AK107" s="15"/>
      <c r="AL107" s="15" t="s">
        <v>188</v>
      </c>
      <c r="AM107" s="15"/>
      <c r="AN107" s="15"/>
      <c r="AO107" s="15"/>
      <c r="AP107" s="15" t="s">
        <v>188</v>
      </c>
      <c r="AQ107" s="15"/>
      <c r="AR107" s="15"/>
      <c r="AS107" s="15"/>
      <c r="AT107" s="15" t="s">
        <v>322</v>
      </c>
      <c r="AU107" s="1">
        <v>8000</v>
      </c>
      <c r="AV107" s="48">
        <v>0.5</v>
      </c>
      <c r="AW107" s="15">
        <v>2.8</v>
      </c>
      <c r="AX107" s="15">
        <v>1.5</v>
      </c>
      <c r="AY107" s="15">
        <v>2</v>
      </c>
      <c r="AZ107" s="15">
        <v>600</v>
      </c>
      <c r="BA107" s="15" t="s">
        <v>193</v>
      </c>
      <c r="BB107" s="15" t="s">
        <v>199</v>
      </c>
      <c r="BC107" s="15" t="s">
        <v>188</v>
      </c>
      <c r="BD107" s="15" t="s">
        <v>199</v>
      </c>
      <c r="BE107" s="1">
        <v>10000</v>
      </c>
      <c r="BF107" s="1">
        <v>60000</v>
      </c>
      <c r="BG107" s="1">
        <v>10000</v>
      </c>
      <c r="BH107" s="1">
        <v>200000</v>
      </c>
      <c r="BI107" s="1">
        <v>10000</v>
      </c>
      <c r="BJ107" s="15"/>
      <c r="BK107" s="15"/>
      <c r="BL107" s="15"/>
      <c r="BM107" s="15"/>
      <c r="BN107" s="15"/>
      <c r="BO107" s="15"/>
      <c r="BP107" s="15"/>
      <c r="BQ107" s="15"/>
      <c r="BR107" s="15" t="s">
        <v>188</v>
      </c>
      <c r="BS107" s="2"/>
      <c r="BT107" s="15"/>
      <c r="BU107" s="15" t="s">
        <v>188</v>
      </c>
      <c r="BV107" s="15"/>
      <c r="BW107" s="15"/>
      <c r="BX107" s="15">
        <v>1</v>
      </c>
      <c r="BY107" s="15">
        <v>3</v>
      </c>
      <c r="BZ107" s="15">
        <v>2</v>
      </c>
      <c r="CA107" s="15"/>
      <c r="CB107" s="15"/>
      <c r="CC107" s="15"/>
      <c r="CD107" s="15"/>
      <c r="CE107" s="15" t="s">
        <v>188</v>
      </c>
      <c r="CF107" s="15"/>
      <c r="CG107" s="15"/>
      <c r="CH107" s="15"/>
      <c r="CI107" s="15" t="s">
        <v>188</v>
      </c>
      <c r="CJ107" s="15"/>
      <c r="CK107" s="15"/>
      <c r="CL107" s="15" t="s">
        <v>188</v>
      </c>
      <c r="CM107" s="15" t="s">
        <v>188</v>
      </c>
      <c r="CN107" s="15" t="s">
        <v>299</v>
      </c>
      <c r="CO107" s="15"/>
      <c r="CP107" s="15" t="s">
        <v>420</v>
      </c>
      <c r="CQ107" s="2" t="s">
        <v>203</v>
      </c>
      <c r="CR107" s="15"/>
      <c r="CS107" s="15" t="s">
        <v>188</v>
      </c>
      <c r="CT107" s="15" t="s">
        <v>188</v>
      </c>
      <c r="CU107" s="15"/>
      <c r="CV107" s="15" t="s">
        <v>188</v>
      </c>
      <c r="CW107" s="15" t="s">
        <v>421</v>
      </c>
      <c r="CX107" s="15"/>
      <c r="CY107" s="15"/>
      <c r="CZ107" s="4"/>
      <c r="DA107" s="49"/>
      <c r="DC107" s="18">
        <f t="shared" si="3"/>
        <v>0</v>
      </c>
      <c r="DD107" s="18">
        <f t="shared" si="4"/>
        <v>3</v>
      </c>
      <c r="DE107" s="18">
        <f t="shared" si="5"/>
        <v>2003</v>
      </c>
    </row>
    <row r="108" spans="1:109" x14ac:dyDescent="0.25">
      <c r="A108" s="59" t="s">
        <v>1318</v>
      </c>
      <c r="B108" s="103">
        <v>41542</v>
      </c>
      <c r="C108" s="105" t="s">
        <v>1576</v>
      </c>
      <c r="D108" s="14" t="s">
        <v>376</v>
      </c>
      <c r="E108" s="15" t="s">
        <v>188</v>
      </c>
      <c r="F108" s="15"/>
      <c r="G108" s="15"/>
      <c r="H108" s="15"/>
      <c r="I108" s="15">
        <v>45</v>
      </c>
      <c r="J108" s="15" t="s">
        <v>189</v>
      </c>
      <c r="K108" s="15" t="s">
        <v>196</v>
      </c>
      <c r="L108" s="15" t="s">
        <v>388</v>
      </c>
      <c r="M108" s="15" t="s">
        <v>1020</v>
      </c>
      <c r="N108" s="15" t="s">
        <v>1085</v>
      </c>
      <c r="O108" s="15">
        <v>18</v>
      </c>
      <c r="P108" s="15"/>
      <c r="Q108" s="15"/>
      <c r="R108" s="15"/>
      <c r="S108" s="15" t="s">
        <v>188</v>
      </c>
      <c r="T108" s="15"/>
      <c r="U108" s="15" t="s">
        <v>188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>
        <v>2009</v>
      </c>
      <c r="AI108" s="1">
        <v>320000</v>
      </c>
      <c r="AJ108" s="15"/>
      <c r="AK108" s="15"/>
      <c r="AL108" s="15" t="s">
        <v>188</v>
      </c>
      <c r="AM108" s="15"/>
      <c r="AN108" s="15"/>
      <c r="AO108" s="15"/>
      <c r="AP108" s="15" t="s">
        <v>188</v>
      </c>
      <c r="AQ108" s="15"/>
      <c r="AR108" s="15"/>
      <c r="AS108" s="15"/>
      <c r="AT108" s="15" t="s">
        <v>322</v>
      </c>
      <c r="AU108" s="1">
        <v>6000</v>
      </c>
      <c r="AV108" s="48">
        <v>0.5</v>
      </c>
      <c r="AW108" s="15">
        <v>2.2000000000000002</v>
      </c>
      <c r="AX108" s="15">
        <v>2</v>
      </c>
      <c r="AY108" s="15">
        <v>2</v>
      </c>
      <c r="AZ108" s="15">
        <v>430</v>
      </c>
      <c r="BA108" s="15">
        <v>900</v>
      </c>
      <c r="BB108" s="15" t="s">
        <v>188</v>
      </c>
      <c r="BC108" s="15" t="s">
        <v>188</v>
      </c>
      <c r="BD108" s="15" t="s">
        <v>199</v>
      </c>
      <c r="BE108" s="1">
        <v>10000</v>
      </c>
      <c r="BF108" s="1">
        <v>15000</v>
      </c>
      <c r="BG108" s="1">
        <v>10000</v>
      </c>
      <c r="BH108" s="1">
        <v>72000</v>
      </c>
      <c r="BI108" s="1">
        <v>10000</v>
      </c>
      <c r="BJ108" s="15"/>
      <c r="BK108" s="15" t="s">
        <v>188</v>
      </c>
      <c r="BL108" s="15"/>
      <c r="BM108" s="15"/>
      <c r="BN108" s="15"/>
      <c r="BO108" s="15"/>
      <c r="BP108" s="15"/>
      <c r="BQ108" s="15"/>
      <c r="BR108" s="15"/>
      <c r="BS108" s="2"/>
      <c r="BT108" s="15"/>
      <c r="BU108" s="15" t="s">
        <v>188</v>
      </c>
      <c r="BV108" s="15"/>
      <c r="BW108" s="15"/>
      <c r="BX108" s="15">
        <v>2</v>
      </c>
      <c r="BY108" s="15">
        <v>3</v>
      </c>
      <c r="BZ108" s="15">
        <v>1</v>
      </c>
      <c r="CA108" s="15"/>
      <c r="CB108" s="15" t="s">
        <v>188</v>
      </c>
      <c r="CC108" s="15"/>
      <c r="CD108" s="15"/>
      <c r="CE108" s="15"/>
      <c r="CF108" s="15"/>
      <c r="CG108" s="15"/>
      <c r="CH108" s="15"/>
      <c r="CI108" s="15"/>
      <c r="CJ108" s="15"/>
      <c r="CK108" s="15" t="s">
        <v>188</v>
      </c>
      <c r="CL108" s="15"/>
      <c r="CM108" s="15"/>
      <c r="CN108" s="15"/>
      <c r="CO108" s="15"/>
      <c r="CP108" s="15" t="s">
        <v>193</v>
      </c>
      <c r="CQ108" s="15" t="s">
        <v>300</v>
      </c>
      <c r="CR108" s="15"/>
      <c r="CS108" s="15" t="s">
        <v>188</v>
      </c>
      <c r="CT108" s="15" t="s">
        <v>188</v>
      </c>
      <c r="CU108" s="15"/>
      <c r="CV108" s="15"/>
      <c r="CW108" s="15"/>
      <c r="CX108" s="15"/>
      <c r="CY108" s="15"/>
      <c r="CZ108" s="4" t="s">
        <v>377</v>
      </c>
      <c r="DA108" s="49"/>
      <c r="DC108" s="18">
        <f t="shared" si="3"/>
        <v>0</v>
      </c>
      <c r="DD108" s="18">
        <f t="shared" si="4"/>
        <v>1</v>
      </c>
      <c r="DE108" s="18">
        <f t="shared" si="5"/>
        <v>2009</v>
      </c>
    </row>
    <row r="109" spans="1:109" x14ac:dyDescent="0.25">
      <c r="A109" s="59" t="s">
        <v>1318</v>
      </c>
      <c r="B109" s="103">
        <v>41542</v>
      </c>
      <c r="C109" s="105" t="s">
        <v>1576</v>
      </c>
      <c r="D109" s="14" t="s">
        <v>378</v>
      </c>
      <c r="E109" s="15"/>
      <c r="F109" s="15"/>
      <c r="G109" s="15"/>
      <c r="H109" s="15" t="s">
        <v>188</v>
      </c>
      <c r="I109" s="15">
        <v>39</v>
      </c>
      <c r="J109" s="15" t="s">
        <v>189</v>
      </c>
      <c r="K109" s="15" t="s">
        <v>196</v>
      </c>
      <c r="L109" s="15" t="s">
        <v>422</v>
      </c>
      <c r="M109" s="15" t="s">
        <v>1048</v>
      </c>
      <c r="N109" s="15" t="s">
        <v>1085</v>
      </c>
      <c r="O109" s="15">
        <v>22</v>
      </c>
      <c r="P109" s="15" t="s">
        <v>188</v>
      </c>
      <c r="Q109" s="15"/>
      <c r="R109" s="15"/>
      <c r="S109" s="15"/>
      <c r="T109" s="15"/>
      <c r="U109" s="15"/>
      <c r="V109" s="15"/>
      <c r="W109" s="15"/>
      <c r="X109" s="15"/>
      <c r="Y109" s="15" t="s">
        <v>188</v>
      </c>
      <c r="Z109" s="15"/>
      <c r="AA109" s="15"/>
      <c r="AB109" s="15"/>
      <c r="AC109" s="15"/>
      <c r="AD109" s="15"/>
      <c r="AE109" s="15"/>
      <c r="AF109" s="15"/>
      <c r="AG109" s="15"/>
      <c r="AH109" s="15">
        <v>2014</v>
      </c>
      <c r="AI109" s="1">
        <v>16000</v>
      </c>
      <c r="AJ109" s="15"/>
      <c r="AK109" s="15"/>
      <c r="AL109" s="15" t="s">
        <v>188</v>
      </c>
      <c r="AM109" s="15"/>
      <c r="AN109" s="15"/>
      <c r="AO109" s="15"/>
      <c r="AP109" s="15" t="s">
        <v>188</v>
      </c>
      <c r="AQ109" s="15"/>
      <c r="AR109" s="15"/>
      <c r="AS109" s="15"/>
      <c r="AT109" s="15" t="s">
        <v>289</v>
      </c>
      <c r="AU109" s="1">
        <v>15000</v>
      </c>
      <c r="AV109" s="48">
        <v>0.3</v>
      </c>
      <c r="AW109" s="15">
        <v>4</v>
      </c>
      <c r="AX109" s="15">
        <v>3</v>
      </c>
      <c r="AY109" s="15">
        <v>1</v>
      </c>
      <c r="AZ109" s="15">
        <v>390</v>
      </c>
      <c r="BA109" s="15">
        <v>1100</v>
      </c>
      <c r="BB109" s="15" t="s">
        <v>199</v>
      </c>
      <c r="BC109" s="15" t="s">
        <v>199</v>
      </c>
      <c r="BD109" s="15" t="s">
        <v>199</v>
      </c>
      <c r="BE109" s="1">
        <v>24000</v>
      </c>
      <c r="BF109" s="1">
        <v>120000</v>
      </c>
      <c r="BG109" s="1">
        <v>24000</v>
      </c>
      <c r="BH109" s="1">
        <v>120000</v>
      </c>
      <c r="BI109" s="1">
        <v>24000</v>
      </c>
      <c r="BJ109" s="15" t="s">
        <v>379</v>
      </c>
      <c r="BK109" s="15"/>
      <c r="BL109" s="15"/>
      <c r="BM109" s="15"/>
      <c r="BN109" s="15"/>
      <c r="BO109" s="15"/>
      <c r="BP109" s="15"/>
      <c r="BQ109" s="15"/>
      <c r="BR109" s="15" t="s">
        <v>188</v>
      </c>
      <c r="BS109" s="2"/>
      <c r="BT109" s="15"/>
      <c r="BU109" s="15" t="s">
        <v>188</v>
      </c>
      <c r="BV109" s="15"/>
      <c r="BW109" s="15"/>
      <c r="BX109" s="15">
        <v>2</v>
      </c>
      <c r="BY109" s="15">
        <v>4</v>
      </c>
      <c r="BZ109" s="15">
        <v>3</v>
      </c>
      <c r="CA109" s="15" t="s">
        <v>208</v>
      </c>
      <c r="CB109" s="15" t="s">
        <v>188</v>
      </c>
      <c r="CC109" s="15"/>
      <c r="CD109" s="15"/>
      <c r="CE109" s="15"/>
      <c r="CF109" s="15"/>
      <c r="CG109" s="15"/>
      <c r="CH109" s="15"/>
      <c r="CI109" s="15"/>
      <c r="CJ109" s="15"/>
      <c r="CK109" s="15" t="s">
        <v>188</v>
      </c>
      <c r="CL109" s="15"/>
      <c r="CM109" s="15"/>
      <c r="CN109" s="15"/>
      <c r="CO109" s="15"/>
      <c r="CP109" s="15" t="s">
        <v>193</v>
      </c>
      <c r="CQ109" s="15" t="s">
        <v>209</v>
      </c>
      <c r="CR109" s="15"/>
      <c r="CS109" s="15" t="s">
        <v>188</v>
      </c>
      <c r="CT109" s="15" t="s">
        <v>188</v>
      </c>
      <c r="CU109" s="15"/>
      <c r="CV109" s="15"/>
      <c r="CW109" s="15"/>
      <c r="CX109" s="15" t="s">
        <v>188</v>
      </c>
      <c r="CY109" s="15"/>
      <c r="CZ109" s="3"/>
      <c r="DA109" s="49"/>
      <c r="DC109" s="18">
        <f t="shared" si="3"/>
        <v>0</v>
      </c>
      <c r="DD109" s="18">
        <f t="shared" si="4"/>
        <v>7</v>
      </c>
      <c r="DE109" s="18">
        <f t="shared" si="5"/>
        <v>2014</v>
      </c>
    </row>
    <row r="110" spans="1:109" x14ac:dyDescent="0.25">
      <c r="A110" s="59" t="s">
        <v>1318</v>
      </c>
      <c r="B110" s="103">
        <v>41542</v>
      </c>
      <c r="C110" s="105" t="s">
        <v>1576</v>
      </c>
      <c r="D110" s="14" t="s">
        <v>380</v>
      </c>
      <c r="E110" s="15"/>
      <c r="F110" s="15"/>
      <c r="G110" s="15" t="s">
        <v>188</v>
      </c>
      <c r="H110" s="15"/>
      <c r="I110" s="15">
        <v>52</v>
      </c>
      <c r="J110" s="15" t="s">
        <v>189</v>
      </c>
      <c r="K110" s="15" t="s">
        <v>196</v>
      </c>
      <c r="L110" s="15" t="s">
        <v>405</v>
      </c>
      <c r="M110" s="15" t="s">
        <v>1037</v>
      </c>
      <c r="N110" s="15" t="s">
        <v>1085</v>
      </c>
      <c r="O110" s="15">
        <v>20</v>
      </c>
      <c r="P110" s="15"/>
      <c r="Q110" s="15"/>
      <c r="R110" s="15"/>
      <c r="S110" s="15" t="s">
        <v>188</v>
      </c>
      <c r="T110" s="15"/>
      <c r="U110" s="15" t="s">
        <v>188</v>
      </c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>
        <v>2007</v>
      </c>
      <c r="AI110" s="1">
        <v>1500000</v>
      </c>
      <c r="AJ110" s="15"/>
      <c r="AK110" s="15"/>
      <c r="AL110" s="15" t="s">
        <v>188</v>
      </c>
      <c r="AM110" s="15"/>
      <c r="AN110" s="15"/>
      <c r="AO110" s="15"/>
      <c r="AP110" s="15" t="s">
        <v>188</v>
      </c>
      <c r="AQ110" s="15"/>
      <c r="AR110" s="15"/>
      <c r="AS110" s="15"/>
      <c r="AT110" s="15" t="s">
        <v>407</v>
      </c>
      <c r="AU110" s="1">
        <v>20000</v>
      </c>
      <c r="AV110" s="48">
        <v>0.5</v>
      </c>
      <c r="AW110" s="15">
        <v>2.1</v>
      </c>
      <c r="AX110" s="15">
        <v>2</v>
      </c>
      <c r="AY110" s="15">
        <v>2</v>
      </c>
      <c r="AZ110" s="15">
        <v>1200</v>
      </c>
      <c r="BA110" s="15">
        <v>2500</v>
      </c>
      <c r="BB110" s="15" t="s">
        <v>188</v>
      </c>
      <c r="BC110" s="15" t="s">
        <v>188</v>
      </c>
      <c r="BD110" s="15" t="s">
        <v>199</v>
      </c>
      <c r="BE110" s="1">
        <v>25000</v>
      </c>
      <c r="BF110" s="1">
        <v>25000</v>
      </c>
      <c r="BG110" s="1">
        <v>48000</v>
      </c>
      <c r="BH110" s="1">
        <v>250000</v>
      </c>
      <c r="BI110" s="1">
        <v>25000</v>
      </c>
      <c r="BJ110" s="15" t="s">
        <v>188</v>
      </c>
      <c r="BK110" s="15"/>
      <c r="BL110" s="15"/>
      <c r="BM110" s="15"/>
      <c r="BN110" s="15"/>
      <c r="BO110" s="15"/>
      <c r="BP110" s="15"/>
      <c r="BQ110" s="15"/>
      <c r="BR110" s="15"/>
      <c r="BS110" s="2"/>
      <c r="BT110" s="15"/>
      <c r="BU110" s="15" t="s">
        <v>188</v>
      </c>
      <c r="BV110" s="15"/>
      <c r="BW110" s="15"/>
      <c r="BX110" s="15">
        <v>1</v>
      </c>
      <c r="BY110" s="15">
        <v>2</v>
      </c>
      <c r="BZ110" s="15">
        <v>3</v>
      </c>
      <c r="CA110" s="15"/>
      <c r="CB110" s="15"/>
      <c r="CC110" s="15" t="s">
        <v>188</v>
      </c>
      <c r="CD110" s="15"/>
      <c r="CE110" s="15" t="s">
        <v>188</v>
      </c>
      <c r="CF110" s="15"/>
      <c r="CG110" s="15" t="s">
        <v>188</v>
      </c>
      <c r="CH110" s="15"/>
      <c r="CI110" s="15" t="s">
        <v>188</v>
      </c>
      <c r="CJ110" s="15"/>
      <c r="CK110" s="15" t="s">
        <v>188</v>
      </c>
      <c r="CL110" s="15"/>
      <c r="CM110" s="15"/>
      <c r="CN110" s="15"/>
      <c r="CO110" s="15"/>
      <c r="CP110" s="15" t="s">
        <v>193</v>
      </c>
      <c r="CQ110" s="15" t="s">
        <v>209</v>
      </c>
      <c r="CR110" s="15"/>
      <c r="CS110" s="15" t="s">
        <v>188</v>
      </c>
      <c r="CT110" s="15"/>
      <c r="CU110" s="2" t="s">
        <v>324</v>
      </c>
      <c r="CV110" s="15"/>
      <c r="CW110" s="15"/>
      <c r="CX110" s="15" t="s">
        <v>188</v>
      </c>
      <c r="CY110" s="15" t="s">
        <v>188</v>
      </c>
      <c r="CZ110" s="4" t="s">
        <v>359</v>
      </c>
      <c r="DA110" s="49"/>
      <c r="DC110" s="18">
        <f t="shared" si="3"/>
        <v>0</v>
      </c>
      <c r="DD110" s="18">
        <f t="shared" si="4"/>
        <v>3</v>
      </c>
      <c r="DE110" s="18">
        <f t="shared" si="5"/>
        <v>2007</v>
      </c>
    </row>
    <row r="111" spans="1:109" x14ac:dyDescent="0.25">
      <c r="A111" s="59" t="s">
        <v>1318</v>
      </c>
      <c r="B111" s="103">
        <v>41542</v>
      </c>
      <c r="C111" s="105" t="s">
        <v>1576</v>
      </c>
      <c r="D111" s="14" t="s">
        <v>381</v>
      </c>
      <c r="E111" s="15"/>
      <c r="F111" s="15" t="s">
        <v>188</v>
      </c>
      <c r="G111" s="15"/>
      <c r="H111" s="15"/>
      <c r="I111" s="15">
        <v>25</v>
      </c>
      <c r="J111" s="15" t="s">
        <v>189</v>
      </c>
      <c r="K111" s="15" t="s">
        <v>190</v>
      </c>
      <c r="L111" s="15" t="s">
        <v>228</v>
      </c>
      <c r="M111" s="15" t="s">
        <v>1010</v>
      </c>
      <c r="N111" s="15" t="s">
        <v>1084</v>
      </c>
      <c r="O111" s="15">
        <v>5</v>
      </c>
      <c r="P111" s="15"/>
      <c r="Q111" s="15"/>
      <c r="R111" s="15"/>
      <c r="S111" s="15" t="s">
        <v>188</v>
      </c>
      <c r="T111" s="15"/>
      <c r="U111" s="15" t="s">
        <v>188</v>
      </c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>
        <v>2008</v>
      </c>
      <c r="AI111" s="1" t="s">
        <v>193</v>
      </c>
      <c r="AJ111" s="15"/>
      <c r="AK111" s="15"/>
      <c r="AL111" s="15" t="s">
        <v>188</v>
      </c>
      <c r="AM111" s="15"/>
      <c r="AN111" s="15"/>
      <c r="AO111" s="15"/>
      <c r="AP111" s="15" t="s">
        <v>188</v>
      </c>
      <c r="AQ111" s="15"/>
      <c r="AR111" s="15"/>
      <c r="AS111" s="15"/>
      <c r="AT111" s="15" t="s">
        <v>266</v>
      </c>
      <c r="AU111" s="1">
        <v>10000</v>
      </c>
      <c r="AV111" s="48">
        <v>0.5</v>
      </c>
      <c r="AW111" s="15">
        <v>2.5</v>
      </c>
      <c r="AX111" s="15">
        <v>2.2999999999999998</v>
      </c>
      <c r="AY111" s="15">
        <v>2</v>
      </c>
      <c r="AZ111" s="15">
        <v>1000</v>
      </c>
      <c r="BA111" s="15">
        <v>2400</v>
      </c>
      <c r="BB111" s="15" t="s">
        <v>188</v>
      </c>
      <c r="BC111" s="15" t="s">
        <v>188</v>
      </c>
      <c r="BD111" s="15" t="s">
        <v>199</v>
      </c>
      <c r="BE111" s="1">
        <v>50000</v>
      </c>
      <c r="BF111" s="1">
        <v>100000</v>
      </c>
      <c r="BG111" s="1">
        <v>100000</v>
      </c>
      <c r="BH111" s="1">
        <v>100000</v>
      </c>
      <c r="BI111" s="1">
        <v>100000</v>
      </c>
      <c r="BJ111" s="15" t="s">
        <v>188</v>
      </c>
      <c r="BK111" s="15"/>
      <c r="BL111" s="15"/>
      <c r="BM111" s="15"/>
      <c r="BN111" s="15"/>
      <c r="BO111" s="15"/>
      <c r="BP111" s="15"/>
      <c r="BQ111" s="15"/>
      <c r="BR111" s="15"/>
      <c r="BS111" s="2"/>
      <c r="BT111" s="15"/>
      <c r="BU111" s="15"/>
      <c r="BV111" s="15" t="s">
        <v>188</v>
      </c>
      <c r="BW111" s="15"/>
      <c r="BX111" s="15">
        <v>1</v>
      </c>
      <c r="BY111" s="15">
        <v>3</v>
      </c>
      <c r="BZ111" s="15">
        <v>2</v>
      </c>
      <c r="CA111" s="15"/>
      <c r="CB111" s="15" t="s">
        <v>188</v>
      </c>
      <c r="CC111" s="15"/>
      <c r="CD111" s="15"/>
      <c r="CE111" s="15"/>
      <c r="CF111" s="15"/>
      <c r="CG111" s="15"/>
      <c r="CH111" s="15"/>
      <c r="CI111" s="15"/>
      <c r="CJ111" s="15"/>
      <c r="CK111" s="15" t="s">
        <v>188</v>
      </c>
      <c r="CL111" s="15"/>
      <c r="CM111" s="15"/>
      <c r="CN111" s="15"/>
      <c r="CO111" s="15"/>
      <c r="CP111" s="15" t="s">
        <v>193</v>
      </c>
      <c r="CQ111" s="15" t="s">
        <v>300</v>
      </c>
      <c r="CR111" s="15"/>
      <c r="CS111" s="15" t="s">
        <v>188</v>
      </c>
      <c r="CT111" s="15"/>
      <c r="CU111" s="15"/>
      <c r="CV111" s="15"/>
      <c r="CW111" s="15"/>
      <c r="CX111" s="15" t="s">
        <v>188</v>
      </c>
      <c r="CY111" s="15" t="s">
        <v>188</v>
      </c>
      <c r="CZ111" s="4" t="s">
        <v>382</v>
      </c>
      <c r="DA111" s="49"/>
      <c r="DC111" s="18">
        <f t="shared" si="3"/>
        <v>0</v>
      </c>
      <c r="DD111" s="18">
        <f t="shared" si="4"/>
        <v>2</v>
      </c>
      <c r="DE111" s="18">
        <f t="shared" si="5"/>
        <v>2008</v>
      </c>
    </row>
    <row r="112" spans="1:109" x14ac:dyDescent="0.25">
      <c r="A112" s="59" t="s">
        <v>1318</v>
      </c>
      <c r="B112" s="103">
        <v>41542</v>
      </c>
      <c r="C112" s="105" t="s">
        <v>1576</v>
      </c>
      <c r="D112" s="14" t="s">
        <v>383</v>
      </c>
      <c r="E112" s="15"/>
      <c r="F112" s="15"/>
      <c r="G112" s="15"/>
      <c r="H112" s="15" t="s">
        <v>188</v>
      </c>
      <c r="I112" s="15">
        <v>39</v>
      </c>
      <c r="J112" s="15" t="s">
        <v>189</v>
      </c>
      <c r="K112" s="15" t="s">
        <v>196</v>
      </c>
      <c r="L112" s="15" t="s">
        <v>423</v>
      </c>
      <c r="M112" s="50" t="s">
        <v>1049</v>
      </c>
      <c r="N112" s="15" t="s">
        <v>1085</v>
      </c>
      <c r="O112" s="15">
        <v>16</v>
      </c>
      <c r="P112" s="15"/>
      <c r="Q112" s="15"/>
      <c r="R112" s="15"/>
      <c r="S112" s="15" t="s">
        <v>188</v>
      </c>
      <c r="T112" s="15"/>
      <c r="U112" s="15"/>
      <c r="V112" s="15"/>
      <c r="W112" s="15" t="s">
        <v>188</v>
      </c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>
        <v>2009</v>
      </c>
      <c r="AI112" s="1">
        <v>600000</v>
      </c>
      <c r="AJ112" s="15"/>
      <c r="AK112" s="15"/>
      <c r="AL112" s="15" t="s">
        <v>188</v>
      </c>
      <c r="AM112" s="15"/>
      <c r="AN112" s="15"/>
      <c r="AO112" s="15"/>
      <c r="AP112" s="15" t="s">
        <v>188</v>
      </c>
      <c r="AQ112" s="15"/>
      <c r="AR112" s="15"/>
      <c r="AS112" s="15"/>
      <c r="AT112" s="15" t="s">
        <v>407</v>
      </c>
      <c r="AU112" s="1">
        <v>15000</v>
      </c>
      <c r="AV112" s="48">
        <v>0.5</v>
      </c>
      <c r="AW112" s="15">
        <v>2</v>
      </c>
      <c r="AX112" s="15">
        <v>1.5</v>
      </c>
      <c r="AY112" s="15">
        <v>2</v>
      </c>
      <c r="AZ112" s="15">
        <v>830</v>
      </c>
      <c r="BA112" s="15">
        <v>1500</v>
      </c>
      <c r="BB112" s="15" t="s">
        <v>188</v>
      </c>
      <c r="BC112" s="15" t="s">
        <v>188</v>
      </c>
      <c r="BD112" s="15" t="s">
        <v>199</v>
      </c>
      <c r="BE112" s="1">
        <v>15000</v>
      </c>
      <c r="BF112" s="1">
        <v>15000</v>
      </c>
      <c r="BG112" s="1">
        <v>15000</v>
      </c>
      <c r="BH112" s="1">
        <v>180000</v>
      </c>
      <c r="BI112" s="1">
        <v>15000</v>
      </c>
      <c r="BJ112" s="15"/>
      <c r="BK112" s="15"/>
      <c r="BL112" s="15"/>
      <c r="BM112" s="15"/>
      <c r="BN112" s="15"/>
      <c r="BO112" s="15"/>
      <c r="BP112" s="15"/>
      <c r="BQ112" s="15"/>
      <c r="BR112" s="15"/>
      <c r="BS112" s="2" t="s">
        <v>384</v>
      </c>
      <c r="BT112" s="15"/>
      <c r="BU112" s="15"/>
      <c r="BV112" s="15" t="s">
        <v>188</v>
      </c>
      <c r="BW112" s="15"/>
      <c r="BX112" s="15">
        <v>2</v>
      </c>
      <c r="BY112" s="15">
        <v>3</v>
      </c>
      <c r="BZ112" s="15">
        <v>1</v>
      </c>
      <c r="CA112" s="15"/>
      <c r="CB112" s="15" t="s">
        <v>188</v>
      </c>
      <c r="CC112" s="15"/>
      <c r="CD112" s="15"/>
      <c r="CE112" s="15"/>
      <c r="CF112" s="15"/>
      <c r="CG112" s="15"/>
      <c r="CH112" s="15"/>
      <c r="CI112" s="15"/>
      <c r="CJ112" s="15"/>
      <c r="CK112" s="15"/>
      <c r="CL112" s="15" t="s">
        <v>188</v>
      </c>
      <c r="CM112" s="15" t="s">
        <v>188</v>
      </c>
      <c r="CN112" s="15" t="s">
        <v>299</v>
      </c>
      <c r="CO112" s="15"/>
      <c r="CP112" s="15" t="s">
        <v>420</v>
      </c>
      <c r="CQ112" s="15" t="s">
        <v>203</v>
      </c>
      <c r="CR112" s="15"/>
      <c r="CS112" s="15" t="s">
        <v>188</v>
      </c>
      <c r="CT112" s="15"/>
      <c r="CU112" s="15"/>
      <c r="CV112" s="15" t="s">
        <v>188</v>
      </c>
      <c r="CW112" s="15" t="s">
        <v>270</v>
      </c>
      <c r="CX112" s="15"/>
      <c r="CY112" s="15"/>
      <c r="CZ112" s="3"/>
      <c r="DA112" s="49"/>
      <c r="DC112" s="18">
        <f t="shared" si="3"/>
        <v>0</v>
      </c>
      <c r="DD112" s="18">
        <f t="shared" si="4"/>
        <v>7</v>
      </c>
      <c r="DE112" s="18">
        <f t="shared" si="5"/>
        <v>2009</v>
      </c>
    </row>
    <row r="113" spans="1:109" x14ac:dyDescent="0.25">
      <c r="A113" s="59" t="s">
        <v>1318</v>
      </c>
      <c r="B113" s="103">
        <v>41543</v>
      </c>
      <c r="C113" s="105" t="s">
        <v>1576</v>
      </c>
      <c r="D113" s="14" t="s">
        <v>510</v>
      </c>
      <c r="E113" s="15"/>
      <c r="F113" s="15" t="s">
        <v>188</v>
      </c>
      <c r="G113" s="15"/>
      <c r="H113" s="15"/>
      <c r="I113" s="15">
        <v>24</v>
      </c>
      <c r="J113" s="15" t="s">
        <v>189</v>
      </c>
      <c r="K113" s="15" t="s">
        <v>190</v>
      </c>
      <c r="L113" s="15" t="s">
        <v>391</v>
      </c>
      <c r="M113" s="15" t="s">
        <v>1023</v>
      </c>
      <c r="N113" s="15" t="s">
        <v>1084</v>
      </c>
      <c r="O113" s="15">
        <v>1</v>
      </c>
      <c r="P113" s="15" t="s">
        <v>188</v>
      </c>
      <c r="Q113" s="15"/>
      <c r="R113" s="15"/>
      <c r="S113" s="15"/>
      <c r="T113" s="15"/>
      <c r="U113" s="15" t="s">
        <v>188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>
        <v>2014</v>
      </c>
      <c r="AI113" s="1">
        <v>1500</v>
      </c>
      <c r="AJ113" s="15"/>
      <c r="AK113" s="15"/>
      <c r="AL113" s="15" t="s">
        <v>188</v>
      </c>
      <c r="AM113" s="15"/>
      <c r="AN113" s="15"/>
      <c r="AO113" s="15"/>
      <c r="AP113" s="15" t="s">
        <v>188</v>
      </c>
      <c r="AQ113" s="15"/>
      <c r="AR113" s="15"/>
      <c r="AS113" s="15"/>
      <c r="AT113" s="15" t="s">
        <v>198</v>
      </c>
      <c r="AU113" s="1">
        <v>250</v>
      </c>
      <c r="AV113" s="48">
        <v>0.2</v>
      </c>
      <c r="AW113" s="15">
        <v>3.2</v>
      </c>
      <c r="AX113" s="15">
        <v>3</v>
      </c>
      <c r="AY113" s="15">
        <v>1</v>
      </c>
      <c r="AZ113" s="15">
        <v>200</v>
      </c>
      <c r="BA113" s="15">
        <v>600</v>
      </c>
      <c r="BB113" s="15" t="s">
        <v>199</v>
      </c>
      <c r="BC113" s="15" t="s">
        <v>199</v>
      </c>
      <c r="BD113" s="15" t="s">
        <v>199</v>
      </c>
      <c r="BE113" s="1" t="s">
        <v>193</v>
      </c>
      <c r="BF113" s="1" t="s">
        <v>193</v>
      </c>
      <c r="BG113" s="1" t="s">
        <v>193</v>
      </c>
      <c r="BH113" s="1" t="s">
        <v>193</v>
      </c>
      <c r="BI113" s="1" t="s">
        <v>193</v>
      </c>
      <c r="BJ113" s="15"/>
      <c r="BK113" s="15"/>
      <c r="BL113" s="15"/>
      <c r="BM113" s="15"/>
      <c r="BN113" s="15" t="s">
        <v>188</v>
      </c>
      <c r="BO113" s="15"/>
      <c r="BP113" s="15"/>
      <c r="BQ113" s="15"/>
      <c r="BR113" s="15"/>
      <c r="BS113" s="2"/>
      <c r="BT113" s="15"/>
      <c r="BU113" s="15"/>
      <c r="BV113" s="15" t="s">
        <v>188</v>
      </c>
      <c r="BW113" s="15"/>
      <c r="BX113" s="15">
        <v>1</v>
      </c>
      <c r="BY113" s="15">
        <v>3</v>
      </c>
      <c r="BZ113" s="15">
        <v>2</v>
      </c>
      <c r="CA113" s="15"/>
      <c r="CB113" s="15" t="s">
        <v>188</v>
      </c>
      <c r="CC113" s="15"/>
      <c r="CD113" s="15"/>
      <c r="CE113" s="15"/>
      <c r="CF113" s="15"/>
      <c r="CG113" s="15"/>
      <c r="CH113" s="15"/>
      <c r="CI113" s="15"/>
      <c r="CJ113" s="15"/>
      <c r="CK113" s="15" t="s">
        <v>188</v>
      </c>
      <c r="CL113" s="15"/>
      <c r="CM113" s="15"/>
      <c r="CN113" s="15"/>
      <c r="CO113" s="15"/>
      <c r="CP113" s="15" t="s">
        <v>193</v>
      </c>
      <c r="CQ113" s="15" t="s">
        <v>209</v>
      </c>
      <c r="CR113" s="15"/>
      <c r="CS113" s="15" t="s">
        <v>188</v>
      </c>
      <c r="CT113" s="15" t="s">
        <v>188</v>
      </c>
      <c r="CU113" s="15"/>
      <c r="CV113" s="15"/>
      <c r="CW113" s="15"/>
      <c r="CX113" s="15" t="s">
        <v>188</v>
      </c>
      <c r="CY113" s="15" t="s">
        <v>188</v>
      </c>
      <c r="CZ113" s="3"/>
      <c r="DA113" s="49"/>
      <c r="DC113" s="18">
        <f t="shared" si="3"/>
        <v>0</v>
      </c>
      <c r="DD113" s="18">
        <f t="shared" si="4"/>
        <v>2</v>
      </c>
      <c r="DE113" s="18">
        <f t="shared" si="5"/>
        <v>2014</v>
      </c>
    </row>
    <row r="114" spans="1:109" x14ac:dyDescent="0.25">
      <c r="A114" s="59" t="s">
        <v>1318</v>
      </c>
      <c r="B114" s="103">
        <v>41543</v>
      </c>
      <c r="C114" s="105" t="s">
        <v>1576</v>
      </c>
      <c r="D114" s="14" t="s">
        <v>511</v>
      </c>
      <c r="E114" s="15"/>
      <c r="F114" s="15"/>
      <c r="G114" s="15" t="s">
        <v>188</v>
      </c>
      <c r="H114" s="15"/>
      <c r="I114" s="15">
        <v>41</v>
      </c>
      <c r="J114" s="15" t="s">
        <v>189</v>
      </c>
      <c r="K114" s="15" t="s">
        <v>190</v>
      </c>
      <c r="L114" s="15" t="s">
        <v>402</v>
      </c>
      <c r="M114" s="15" t="s">
        <v>1035</v>
      </c>
      <c r="N114" s="15" t="s">
        <v>1087</v>
      </c>
      <c r="O114" s="15">
        <v>20</v>
      </c>
      <c r="P114" s="15" t="s">
        <v>188</v>
      </c>
      <c r="Q114" s="15"/>
      <c r="R114" s="15"/>
      <c r="S114" s="15"/>
      <c r="T114" s="15"/>
      <c r="U114" s="15" t="s">
        <v>188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>
        <v>2014</v>
      </c>
      <c r="AI114" s="1">
        <v>41000</v>
      </c>
      <c r="AJ114" s="15"/>
      <c r="AK114" s="15"/>
      <c r="AL114" s="15" t="s">
        <v>188</v>
      </c>
      <c r="AM114" s="15"/>
      <c r="AN114" s="15"/>
      <c r="AO114" s="15"/>
      <c r="AP114" s="15" t="s">
        <v>188</v>
      </c>
      <c r="AQ114" s="15"/>
      <c r="AR114" s="15"/>
      <c r="AS114" s="15"/>
      <c r="AT114" s="15" t="s">
        <v>322</v>
      </c>
      <c r="AU114" s="1">
        <v>10000</v>
      </c>
      <c r="AV114" s="48">
        <v>0.3</v>
      </c>
      <c r="AW114" s="15">
        <v>2.2000000000000002</v>
      </c>
      <c r="AX114" s="15">
        <v>1.3</v>
      </c>
      <c r="AY114" s="15">
        <v>2</v>
      </c>
      <c r="AZ114" s="15">
        <v>720</v>
      </c>
      <c r="BA114" s="15">
        <v>1300</v>
      </c>
      <c r="BB114" s="15" t="s">
        <v>188</v>
      </c>
      <c r="BC114" s="15" t="s">
        <v>188</v>
      </c>
      <c r="BD114" s="15" t="s">
        <v>199</v>
      </c>
      <c r="BE114" s="1">
        <v>26000</v>
      </c>
      <c r="BF114" s="1">
        <v>26000</v>
      </c>
      <c r="BG114" s="1">
        <v>26000</v>
      </c>
      <c r="BH114" s="1" t="s">
        <v>193</v>
      </c>
      <c r="BI114" s="1">
        <v>26000</v>
      </c>
      <c r="BJ114" s="15" t="s">
        <v>188</v>
      </c>
      <c r="BK114" s="15"/>
      <c r="BL114" s="15"/>
      <c r="BM114" s="15"/>
      <c r="BN114" s="15"/>
      <c r="BO114" s="15"/>
      <c r="BP114" s="15"/>
      <c r="BQ114" s="15"/>
      <c r="BR114" s="15"/>
      <c r="BS114" s="2"/>
      <c r="BT114" s="15"/>
      <c r="BU114" s="15"/>
      <c r="BV114" s="15"/>
      <c r="BW114" s="15" t="s">
        <v>188</v>
      </c>
      <c r="BX114" s="15">
        <v>2</v>
      </c>
      <c r="BY114" s="15">
        <v>3</v>
      </c>
      <c r="BZ114" s="15">
        <v>1</v>
      </c>
      <c r="CA114" s="15"/>
      <c r="CB114" s="15"/>
      <c r="CC114" s="15" t="s">
        <v>188</v>
      </c>
      <c r="CD114" s="15" t="s">
        <v>188</v>
      </c>
      <c r="CE114" s="15" t="s">
        <v>188</v>
      </c>
      <c r="CF114" s="15" t="s">
        <v>188</v>
      </c>
      <c r="CG114" s="15" t="s">
        <v>188</v>
      </c>
      <c r="CH114" s="15" t="s">
        <v>188</v>
      </c>
      <c r="CI114" s="15" t="s">
        <v>188</v>
      </c>
      <c r="CJ114" s="15"/>
      <c r="CK114" s="15"/>
      <c r="CL114" s="15" t="s">
        <v>188</v>
      </c>
      <c r="CM114" s="15" t="s">
        <v>188</v>
      </c>
      <c r="CN114" s="15" t="s">
        <v>299</v>
      </c>
      <c r="CO114" s="15"/>
      <c r="CP114" s="15" t="s">
        <v>202</v>
      </c>
      <c r="CQ114" s="15" t="s">
        <v>193</v>
      </c>
      <c r="CR114" s="15"/>
      <c r="CS114" s="15" t="s">
        <v>188</v>
      </c>
      <c r="CT114" s="15" t="s">
        <v>188</v>
      </c>
      <c r="CU114" s="15"/>
      <c r="CV114" s="15"/>
      <c r="CW114" s="15"/>
      <c r="CX114" s="15" t="s">
        <v>188</v>
      </c>
      <c r="CY114" s="15" t="s">
        <v>188</v>
      </c>
      <c r="CZ114" s="3"/>
      <c r="DA114" s="49"/>
      <c r="DC114" s="18">
        <f t="shared" si="3"/>
        <v>0</v>
      </c>
      <c r="DD114" s="18">
        <f t="shared" si="4"/>
        <v>3</v>
      </c>
      <c r="DE114" s="18">
        <f t="shared" si="5"/>
        <v>2014</v>
      </c>
    </row>
    <row r="115" spans="1:109" x14ac:dyDescent="0.25">
      <c r="A115" s="59" t="s">
        <v>1318</v>
      </c>
      <c r="B115" s="103">
        <v>41543</v>
      </c>
      <c r="C115" s="105" t="s">
        <v>1576</v>
      </c>
      <c r="D115" s="14" t="s">
        <v>512</v>
      </c>
      <c r="E115" s="15"/>
      <c r="F115" s="15"/>
      <c r="G115" s="15" t="s">
        <v>188</v>
      </c>
      <c r="H115" s="15"/>
      <c r="I115" s="15">
        <v>25</v>
      </c>
      <c r="J115" s="15" t="s">
        <v>189</v>
      </c>
      <c r="K115" s="15" t="s">
        <v>196</v>
      </c>
      <c r="L115" s="15" t="s">
        <v>550</v>
      </c>
      <c r="M115" s="50" t="s">
        <v>1050</v>
      </c>
      <c r="N115" s="15" t="s">
        <v>1006</v>
      </c>
      <c r="O115" s="15">
        <v>3</v>
      </c>
      <c r="P115" s="15" t="s">
        <v>188</v>
      </c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 t="s">
        <v>188</v>
      </c>
      <c r="AG115" s="15"/>
      <c r="AH115" s="15">
        <v>1998</v>
      </c>
      <c r="AI115" s="1" t="s">
        <v>193</v>
      </c>
      <c r="AJ115" s="15"/>
      <c r="AK115" s="15"/>
      <c r="AL115" s="15" t="s">
        <v>188</v>
      </c>
      <c r="AM115" s="15"/>
      <c r="AN115" s="15"/>
      <c r="AO115" s="15"/>
      <c r="AP115" s="15" t="s">
        <v>188</v>
      </c>
      <c r="AQ115" s="15"/>
      <c r="AR115" s="15"/>
      <c r="AS115" s="15"/>
      <c r="AT115" s="15" t="s">
        <v>211</v>
      </c>
      <c r="AU115" s="1">
        <v>11000</v>
      </c>
      <c r="AV115" s="48">
        <v>0.2</v>
      </c>
      <c r="AW115" s="15">
        <v>2.2999999999999998</v>
      </c>
      <c r="AX115" s="15">
        <v>2</v>
      </c>
      <c r="AY115" s="15">
        <v>1</v>
      </c>
      <c r="AZ115" s="15">
        <v>150</v>
      </c>
      <c r="BA115" s="15">
        <v>350</v>
      </c>
      <c r="BB115" s="15" t="s">
        <v>199</v>
      </c>
      <c r="BC115" s="15" t="s">
        <v>199</v>
      </c>
      <c r="BD115" s="15" t="s">
        <v>199</v>
      </c>
      <c r="BE115" s="1">
        <v>22000</v>
      </c>
      <c r="BF115" s="1">
        <v>22000</v>
      </c>
      <c r="BG115" s="1">
        <v>22000</v>
      </c>
      <c r="BH115" s="1" t="s">
        <v>193</v>
      </c>
      <c r="BI115" s="1">
        <v>22000</v>
      </c>
      <c r="BJ115" s="15"/>
      <c r="BK115" s="15"/>
      <c r="BL115" s="15"/>
      <c r="BM115" s="15"/>
      <c r="BN115" s="15"/>
      <c r="BO115" s="15" t="s">
        <v>188</v>
      </c>
      <c r="BP115" s="15"/>
      <c r="BQ115" s="15"/>
      <c r="BR115" s="15"/>
      <c r="BS115" s="2"/>
      <c r="BT115" s="15"/>
      <c r="BU115" s="15"/>
      <c r="BV115" s="15" t="s">
        <v>188</v>
      </c>
      <c r="BW115" s="15"/>
      <c r="BX115" s="15">
        <v>2</v>
      </c>
      <c r="BY115" s="15">
        <v>3</v>
      </c>
      <c r="BZ115" s="15">
        <v>1</v>
      </c>
      <c r="CA115" s="15"/>
      <c r="CB115" s="15" t="s">
        <v>188</v>
      </c>
      <c r="CC115" s="15"/>
      <c r="CD115" s="15"/>
      <c r="CE115" s="15"/>
      <c r="CF115" s="15"/>
      <c r="CG115" s="15"/>
      <c r="CH115" s="15"/>
      <c r="CI115" s="15"/>
      <c r="CJ115" s="15"/>
      <c r="CK115" s="15" t="s">
        <v>188</v>
      </c>
      <c r="CL115" s="15"/>
      <c r="CM115" s="15"/>
      <c r="CN115" s="15"/>
      <c r="CO115" s="15"/>
      <c r="CP115" s="15" t="s">
        <v>193</v>
      </c>
      <c r="CQ115" s="15" t="s">
        <v>300</v>
      </c>
      <c r="CR115" s="15"/>
      <c r="CS115" s="15" t="s">
        <v>188</v>
      </c>
      <c r="CT115" s="15"/>
      <c r="CU115" s="15"/>
      <c r="CV115" s="15"/>
      <c r="CW115" s="15"/>
      <c r="CX115" s="15"/>
      <c r="CY115" s="15" t="s">
        <v>188</v>
      </c>
      <c r="CZ115" s="3" t="s">
        <v>1002</v>
      </c>
      <c r="DA115" s="49"/>
      <c r="DC115" s="18">
        <f t="shared" si="3"/>
        <v>0</v>
      </c>
      <c r="DD115" s="18">
        <f t="shared" si="4"/>
        <v>3</v>
      </c>
      <c r="DE115" s="18">
        <f t="shared" si="5"/>
        <v>1998</v>
      </c>
    </row>
    <row r="116" spans="1:109" x14ac:dyDescent="0.25">
      <c r="A116" s="59" t="s">
        <v>1318</v>
      </c>
      <c r="B116" s="103">
        <v>41543</v>
      </c>
      <c r="C116" s="105" t="s">
        <v>1576</v>
      </c>
      <c r="D116" s="14" t="s">
        <v>513</v>
      </c>
      <c r="E116" s="15" t="s">
        <v>188</v>
      </c>
      <c r="F116" s="15"/>
      <c r="G116" s="15"/>
      <c r="H116" s="15"/>
      <c r="I116" s="15">
        <v>59</v>
      </c>
      <c r="J116" s="15" t="s">
        <v>189</v>
      </c>
      <c r="K116" s="15" t="s">
        <v>196</v>
      </c>
      <c r="L116" s="15" t="s">
        <v>551</v>
      </c>
      <c r="M116" s="15" t="s">
        <v>1051</v>
      </c>
      <c r="N116" s="15" t="s">
        <v>1088</v>
      </c>
      <c r="O116" s="15">
        <v>30</v>
      </c>
      <c r="P116" s="15"/>
      <c r="Q116" s="15"/>
      <c r="R116" s="15"/>
      <c r="S116" s="15" t="s">
        <v>188</v>
      </c>
      <c r="T116" s="15"/>
      <c r="U116" s="15"/>
      <c r="V116" s="15"/>
      <c r="W116" s="15"/>
      <c r="X116" s="15"/>
      <c r="Y116" s="15" t="s">
        <v>188</v>
      </c>
      <c r="Z116" s="15"/>
      <c r="AA116" s="15"/>
      <c r="AB116" s="15"/>
      <c r="AC116" s="15"/>
      <c r="AD116" s="15"/>
      <c r="AE116" s="15"/>
      <c r="AF116" s="15"/>
      <c r="AG116" s="15"/>
      <c r="AH116" s="15">
        <v>2001</v>
      </c>
      <c r="AI116" s="1">
        <v>4000000</v>
      </c>
      <c r="AJ116" s="15"/>
      <c r="AK116" s="15"/>
      <c r="AL116" s="15" t="s">
        <v>188</v>
      </c>
      <c r="AM116" s="15"/>
      <c r="AN116" s="15"/>
      <c r="AO116" s="15"/>
      <c r="AP116" s="15" t="s">
        <v>188</v>
      </c>
      <c r="AQ116" s="15"/>
      <c r="AR116" s="15"/>
      <c r="AS116" s="15"/>
      <c r="AT116" s="15" t="s">
        <v>322</v>
      </c>
      <c r="AU116" s="1">
        <v>30000</v>
      </c>
      <c r="AV116" s="48">
        <v>0.5</v>
      </c>
      <c r="AW116" s="15">
        <v>2.1</v>
      </c>
      <c r="AX116" s="15">
        <v>1.5</v>
      </c>
      <c r="AY116" s="15">
        <v>3</v>
      </c>
      <c r="AZ116" s="15">
        <v>550</v>
      </c>
      <c r="BA116" s="15">
        <v>1000</v>
      </c>
      <c r="BB116" s="15" t="s">
        <v>188</v>
      </c>
      <c r="BC116" s="15" t="s">
        <v>188</v>
      </c>
      <c r="BD116" s="15" t="s">
        <v>199</v>
      </c>
      <c r="BE116" s="1">
        <v>30000</v>
      </c>
      <c r="BF116" s="1">
        <v>90000</v>
      </c>
      <c r="BG116" s="1">
        <v>30000</v>
      </c>
      <c r="BH116" s="1">
        <v>250000</v>
      </c>
      <c r="BI116" s="1">
        <v>30000</v>
      </c>
      <c r="BJ116" s="15"/>
      <c r="BK116" s="15"/>
      <c r="BL116" s="15"/>
      <c r="BM116" s="15"/>
      <c r="BN116" s="15"/>
      <c r="BO116" s="15"/>
      <c r="BP116" s="15"/>
      <c r="BQ116" s="15"/>
      <c r="BR116" s="15" t="s">
        <v>188</v>
      </c>
      <c r="BS116" s="2"/>
      <c r="BT116" s="15"/>
      <c r="BU116" s="15" t="s">
        <v>188</v>
      </c>
      <c r="BV116" s="15"/>
      <c r="BW116" s="15"/>
      <c r="BX116" s="15">
        <v>1</v>
      </c>
      <c r="BY116" s="15">
        <v>3</v>
      </c>
      <c r="BZ116" s="15">
        <v>2</v>
      </c>
      <c r="CA116" s="15"/>
      <c r="CB116" s="15" t="s">
        <v>188</v>
      </c>
      <c r="CC116" s="15"/>
      <c r="CD116" s="15"/>
      <c r="CE116" s="15"/>
      <c r="CF116" s="15"/>
      <c r="CG116" s="15"/>
      <c r="CH116" s="15"/>
      <c r="CI116" s="15"/>
      <c r="CJ116" s="15"/>
      <c r="CK116" s="15" t="s">
        <v>188</v>
      </c>
      <c r="CL116" s="15"/>
      <c r="CM116" s="15"/>
      <c r="CN116" s="15"/>
      <c r="CO116" s="15"/>
      <c r="CP116" s="15" t="s">
        <v>193</v>
      </c>
      <c r="CQ116" s="15" t="s">
        <v>209</v>
      </c>
      <c r="CR116" s="15"/>
      <c r="CS116" s="15"/>
      <c r="CT116" s="15" t="s">
        <v>188</v>
      </c>
      <c r="CU116" s="15"/>
      <c r="CV116" s="15"/>
      <c r="CW116" s="15"/>
      <c r="CX116" s="15" t="s">
        <v>188</v>
      </c>
      <c r="CY116" s="15"/>
      <c r="CZ116" s="3"/>
      <c r="DA116" s="49"/>
      <c r="DC116" s="18">
        <f t="shared" si="3"/>
        <v>0</v>
      </c>
      <c r="DD116" s="18">
        <f t="shared" si="4"/>
        <v>1</v>
      </c>
      <c r="DE116" s="18">
        <f t="shared" si="5"/>
        <v>2001</v>
      </c>
    </row>
    <row r="117" spans="1:109" x14ac:dyDescent="0.25">
      <c r="A117" s="59" t="s">
        <v>1318</v>
      </c>
      <c r="B117" s="103">
        <v>41543</v>
      </c>
      <c r="C117" s="105" t="s">
        <v>1576</v>
      </c>
      <c r="D117" s="14" t="s">
        <v>514</v>
      </c>
      <c r="E117" s="15"/>
      <c r="F117" s="15" t="s">
        <v>188</v>
      </c>
      <c r="G117" s="15"/>
      <c r="H117" s="15"/>
      <c r="I117" s="15">
        <v>26</v>
      </c>
      <c r="J117" s="15" t="s">
        <v>189</v>
      </c>
      <c r="K117" s="15" t="s">
        <v>190</v>
      </c>
      <c r="L117" s="15" t="s">
        <v>552</v>
      </c>
      <c r="M117" s="15" t="s">
        <v>1031</v>
      </c>
      <c r="N117" s="15" t="s">
        <v>1084</v>
      </c>
      <c r="O117" s="15">
        <v>6</v>
      </c>
      <c r="P117" s="15"/>
      <c r="Q117" s="15"/>
      <c r="R117" s="15"/>
      <c r="S117" s="15" t="s">
        <v>188</v>
      </c>
      <c r="T117" s="15"/>
      <c r="U117" s="15" t="s">
        <v>188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>
        <v>2011</v>
      </c>
      <c r="AI117" s="1">
        <v>50000</v>
      </c>
      <c r="AJ117" s="15"/>
      <c r="AK117" s="15"/>
      <c r="AL117" s="15" t="s">
        <v>188</v>
      </c>
      <c r="AM117" s="15"/>
      <c r="AN117" s="15"/>
      <c r="AO117" s="15"/>
      <c r="AP117" s="15" t="s">
        <v>188</v>
      </c>
      <c r="AQ117" s="15"/>
      <c r="AR117" s="15"/>
      <c r="AS117" s="15"/>
      <c r="AT117" s="15" t="s">
        <v>322</v>
      </c>
      <c r="AU117" s="1">
        <f>60*30</f>
        <v>1800</v>
      </c>
      <c r="AV117" s="48">
        <v>0.1</v>
      </c>
      <c r="AW117" s="15">
        <v>2.1</v>
      </c>
      <c r="AX117" s="15">
        <v>1.8</v>
      </c>
      <c r="AY117" s="15">
        <v>1</v>
      </c>
      <c r="AZ117" s="15">
        <v>240</v>
      </c>
      <c r="BA117" s="15">
        <v>400</v>
      </c>
      <c r="BB117" s="15" t="s">
        <v>188</v>
      </c>
      <c r="BC117" s="15" t="s">
        <v>188</v>
      </c>
      <c r="BD117" s="15" t="s">
        <v>188</v>
      </c>
      <c r="BE117" s="1">
        <f>6*AU117</f>
        <v>10800</v>
      </c>
      <c r="BF117" s="1">
        <f>3*AU117</f>
        <v>5400</v>
      </c>
      <c r="BG117" s="1">
        <v>10800</v>
      </c>
      <c r="BH117" s="1" t="s">
        <v>193</v>
      </c>
      <c r="BI117" s="1">
        <v>10800</v>
      </c>
      <c r="BJ117" s="15"/>
      <c r="BK117" s="15"/>
      <c r="BL117" s="15"/>
      <c r="BM117" s="15"/>
      <c r="BN117" s="15"/>
      <c r="BO117" s="15"/>
      <c r="BP117" s="15"/>
      <c r="BQ117" s="15"/>
      <c r="BR117" s="15"/>
      <c r="BS117" s="2" t="s">
        <v>553</v>
      </c>
      <c r="BT117" s="15"/>
      <c r="BU117" s="15" t="s">
        <v>188</v>
      </c>
      <c r="BV117" s="15"/>
      <c r="BW117" s="15"/>
      <c r="BX117" s="15">
        <v>2</v>
      </c>
      <c r="BY117" s="15">
        <v>3</v>
      </c>
      <c r="BZ117" s="15">
        <v>1</v>
      </c>
      <c r="CA117" s="15"/>
      <c r="CB117" s="15" t="s">
        <v>188</v>
      </c>
      <c r="CC117" s="15"/>
      <c r="CD117" s="15"/>
      <c r="CE117" s="15"/>
      <c r="CF117" s="15"/>
      <c r="CG117" s="15"/>
      <c r="CH117" s="15"/>
      <c r="CI117" s="15"/>
      <c r="CJ117" s="15"/>
      <c r="CK117" s="15" t="s">
        <v>188</v>
      </c>
      <c r="CL117" s="15"/>
      <c r="CM117" s="15"/>
      <c r="CN117" s="15"/>
      <c r="CO117" s="15"/>
      <c r="CP117" s="15" t="s">
        <v>193</v>
      </c>
      <c r="CQ117" s="15" t="s">
        <v>193</v>
      </c>
      <c r="CR117" s="15"/>
      <c r="CS117" s="15" t="s">
        <v>188</v>
      </c>
      <c r="CT117" s="15"/>
      <c r="CU117" s="15"/>
      <c r="CV117" s="15"/>
      <c r="CW117" s="15"/>
      <c r="CX117" s="15"/>
      <c r="CY117" s="15" t="s">
        <v>188</v>
      </c>
      <c r="CZ117" s="3"/>
      <c r="DA117" s="49"/>
      <c r="DC117" s="18">
        <f t="shared" si="3"/>
        <v>0</v>
      </c>
      <c r="DD117" s="18">
        <f t="shared" si="4"/>
        <v>2</v>
      </c>
      <c r="DE117" s="18">
        <f t="shared" si="5"/>
        <v>2011</v>
      </c>
    </row>
    <row r="118" spans="1:109" x14ac:dyDescent="0.25">
      <c r="A118" s="59" t="s">
        <v>1318</v>
      </c>
      <c r="B118" s="103">
        <v>41543</v>
      </c>
      <c r="C118" s="105" t="s">
        <v>1576</v>
      </c>
      <c r="D118" s="14" t="s">
        <v>515</v>
      </c>
      <c r="E118" s="15"/>
      <c r="F118" s="15"/>
      <c r="G118" s="15" t="s">
        <v>188</v>
      </c>
      <c r="H118" s="15"/>
      <c r="I118" s="15">
        <v>41</v>
      </c>
      <c r="J118" s="15" t="s">
        <v>189</v>
      </c>
      <c r="K118" s="15" t="s">
        <v>190</v>
      </c>
      <c r="L118" s="15" t="s">
        <v>554</v>
      </c>
      <c r="M118" s="50" t="s">
        <v>1052</v>
      </c>
      <c r="N118" s="15" t="s">
        <v>1085</v>
      </c>
      <c r="O118" s="15">
        <v>20</v>
      </c>
      <c r="P118" s="15" t="s">
        <v>188</v>
      </c>
      <c r="Q118" s="15"/>
      <c r="R118" s="15"/>
      <c r="S118" s="15"/>
      <c r="T118" s="15"/>
      <c r="U118" s="15"/>
      <c r="V118" s="15"/>
      <c r="W118" s="15"/>
      <c r="X118" s="15"/>
      <c r="Y118" s="15" t="s">
        <v>188</v>
      </c>
      <c r="Z118" s="15"/>
      <c r="AA118" s="15"/>
      <c r="AB118" s="15"/>
      <c r="AC118" s="15"/>
      <c r="AD118" s="15"/>
      <c r="AE118" s="15"/>
      <c r="AF118" s="15"/>
      <c r="AG118" s="15"/>
      <c r="AH118" s="15">
        <v>2008</v>
      </c>
      <c r="AI118" s="1">
        <v>200000</v>
      </c>
      <c r="AJ118" s="15"/>
      <c r="AK118" s="15"/>
      <c r="AL118" s="15" t="s">
        <v>188</v>
      </c>
      <c r="AM118" s="15"/>
      <c r="AN118" s="15"/>
      <c r="AO118" s="15"/>
      <c r="AP118" s="15" t="s">
        <v>188</v>
      </c>
      <c r="AQ118" s="15"/>
      <c r="AR118" s="15"/>
      <c r="AS118" s="15"/>
      <c r="AT118" s="15" t="s">
        <v>237</v>
      </c>
      <c r="AU118" s="1">
        <v>2000</v>
      </c>
      <c r="AV118" s="48">
        <v>0.3</v>
      </c>
      <c r="AW118" s="15">
        <v>4</v>
      </c>
      <c r="AX118" s="15">
        <v>3.5</v>
      </c>
      <c r="AY118" s="15">
        <v>2</v>
      </c>
      <c r="AZ118" s="15">
        <v>310</v>
      </c>
      <c r="BA118" s="15">
        <v>1200</v>
      </c>
      <c r="BB118" s="15" t="s">
        <v>188</v>
      </c>
      <c r="BC118" s="15" t="s">
        <v>188</v>
      </c>
      <c r="BD118" s="15" t="s">
        <v>199</v>
      </c>
      <c r="BE118" s="1" t="s">
        <v>193</v>
      </c>
      <c r="BF118" s="1" t="s">
        <v>193</v>
      </c>
      <c r="BG118" s="1" t="s">
        <v>193</v>
      </c>
      <c r="BH118" s="1" t="s">
        <v>193</v>
      </c>
      <c r="BI118" s="1" t="s">
        <v>193</v>
      </c>
      <c r="BJ118" s="15"/>
      <c r="BK118" s="15"/>
      <c r="BL118" s="15"/>
      <c r="BM118" s="15"/>
      <c r="BN118" s="15"/>
      <c r="BO118" s="15"/>
      <c r="BP118" s="15"/>
      <c r="BQ118" s="15"/>
      <c r="BR118" s="15" t="s">
        <v>188</v>
      </c>
      <c r="BS118" s="2"/>
      <c r="BT118" s="15"/>
      <c r="BU118" s="15"/>
      <c r="BV118" s="15" t="s">
        <v>188</v>
      </c>
      <c r="BW118" s="15"/>
      <c r="BX118" s="15">
        <v>1</v>
      </c>
      <c r="BY118" s="15">
        <v>2</v>
      </c>
      <c r="BZ118" s="15">
        <v>3</v>
      </c>
      <c r="CA118" s="15"/>
      <c r="CB118" s="15"/>
      <c r="CC118" s="15" t="s">
        <v>188</v>
      </c>
      <c r="CD118" s="15"/>
      <c r="CE118" s="15" t="s">
        <v>188</v>
      </c>
      <c r="CF118" s="15"/>
      <c r="CG118" s="15" t="s">
        <v>188</v>
      </c>
      <c r="CH118" s="15" t="s">
        <v>188</v>
      </c>
      <c r="CI118" s="15" t="s">
        <v>188</v>
      </c>
      <c r="CJ118" s="15"/>
      <c r="CK118" s="15"/>
      <c r="CL118" s="15" t="s">
        <v>188</v>
      </c>
      <c r="CM118" s="15" t="s">
        <v>188</v>
      </c>
      <c r="CN118" s="15" t="s">
        <v>299</v>
      </c>
      <c r="CO118" s="15"/>
      <c r="CP118" s="15" t="s">
        <v>202</v>
      </c>
      <c r="CQ118" s="15" t="s">
        <v>193</v>
      </c>
      <c r="CR118" s="15"/>
      <c r="CS118" s="15"/>
      <c r="CT118" s="15"/>
      <c r="CU118" s="2" t="s">
        <v>324</v>
      </c>
      <c r="CV118" s="15"/>
      <c r="CW118" s="15"/>
      <c r="CX118" s="15" t="s">
        <v>188</v>
      </c>
      <c r="CY118" s="15" t="s">
        <v>188</v>
      </c>
      <c r="CZ118" s="3"/>
      <c r="DA118" s="49"/>
      <c r="DC118" s="18">
        <f t="shared" si="3"/>
        <v>0</v>
      </c>
      <c r="DD118" s="18">
        <f t="shared" si="4"/>
        <v>3</v>
      </c>
      <c r="DE118" s="18">
        <f t="shared" si="5"/>
        <v>2008</v>
      </c>
    </row>
    <row r="119" spans="1:109" x14ac:dyDescent="0.25">
      <c r="A119" s="59" t="s">
        <v>1318</v>
      </c>
      <c r="B119" s="103">
        <v>41543</v>
      </c>
      <c r="C119" s="105" t="s">
        <v>1576</v>
      </c>
      <c r="D119" s="14" t="s">
        <v>516</v>
      </c>
      <c r="E119" s="15"/>
      <c r="F119" s="15"/>
      <c r="G119" s="15" t="s">
        <v>188</v>
      </c>
      <c r="H119" s="15"/>
      <c r="I119" s="15">
        <v>23</v>
      </c>
      <c r="J119" s="15" t="s">
        <v>189</v>
      </c>
      <c r="K119" s="15" t="s">
        <v>214</v>
      </c>
      <c r="L119" s="15" t="s">
        <v>555</v>
      </c>
      <c r="M119" s="50" t="s">
        <v>1053</v>
      </c>
      <c r="N119" s="15" t="s">
        <v>1087</v>
      </c>
      <c r="O119" s="15">
        <v>4</v>
      </c>
      <c r="P119" s="15" t="s">
        <v>188</v>
      </c>
      <c r="Q119" s="15"/>
      <c r="R119" s="15"/>
      <c r="S119" s="15"/>
      <c r="T119" s="15"/>
      <c r="U119" s="15"/>
      <c r="V119" s="15"/>
      <c r="W119" s="15"/>
      <c r="X119" s="15" t="s">
        <v>188</v>
      </c>
      <c r="Y119" s="15"/>
      <c r="Z119" s="15"/>
      <c r="AA119" s="15"/>
      <c r="AB119" s="15"/>
      <c r="AC119" s="15"/>
      <c r="AD119" s="15"/>
      <c r="AE119" s="15"/>
      <c r="AF119" s="15"/>
      <c r="AG119" s="15"/>
      <c r="AH119" s="15">
        <v>2012</v>
      </c>
      <c r="AI119" s="1">
        <v>300000</v>
      </c>
      <c r="AJ119" s="15"/>
      <c r="AK119" s="15"/>
      <c r="AL119" s="15" t="s">
        <v>188</v>
      </c>
      <c r="AM119" s="15"/>
      <c r="AN119" s="15"/>
      <c r="AO119" s="15"/>
      <c r="AP119" s="15" t="s">
        <v>188</v>
      </c>
      <c r="AQ119" s="15"/>
      <c r="AR119" s="15"/>
      <c r="AS119" s="15"/>
      <c r="AT119" s="15" t="s">
        <v>322</v>
      </c>
      <c r="AU119" s="1">
        <v>7000</v>
      </c>
      <c r="AV119" s="48">
        <v>0.5</v>
      </c>
      <c r="AW119" s="15">
        <v>2.5</v>
      </c>
      <c r="AX119" s="15">
        <v>2.2999999999999998</v>
      </c>
      <c r="AY119" s="15">
        <v>2</v>
      </c>
      <c r="AZ119" s="15">
        <v>420</v>
      </c>
      <c r="BA119" s="15">
        <v>1000</v>
      </c>
      <c r="BB119" s="15" t="s">
        <v>199</v>
      </c>
      <c r="BC119" s="15" t="s">
        <v>188</v>
      </c>
      <c r="BD119" s="15" t="s">
        <v>199</v>
      </c>
      <c r="BE119" s="1">
        <v>40000</v>
      </c>
      <c r="BF119" s="1">
        <v>20000</v>
      </c>
      <c r="BG119" s="1">
        <v>40000</v>
      </c>
      <c r="BH119" s="1">
        <v>85000</v>
      </c>
      <c r="BI119" s="1">
        <v>40000</v>
      </c>
      <c r="BJ119" s="15"/>
      <c r="BK119" s="15"/>
      <c r="BL119" s="15"/>
      <c r="BM119" s="15"/>
      <c r="BN119" s="15"/>
      <c r="BO119" s="15"/>
      <c r="BP119" s="15"/>
      <c r="BQ119" s="15" t="s">
        <v>188</v>
      </c>
      <c r="BR119" s="15"/>
      <c r="BS119" s="2"/>
      <c r="BT119" s="15"/>
      <c r="BU119" s="15"/>
      <c r="BV119" s="15" t="s">
        <v>188</v>
      </c>
      <c r="BW119" s="15"/>
      <c r="BX119" s="15">
        <v>3</v>
      </c>
      <c r="BY119" s="15">
        <v>2</v>
      </c>
      <c r="BZ119" s="15">
        <v>1</v>
      </c>
      <c r="CA119" s="15"/>
      <c r="CB119" s="15"/>
      <c r="CC119" s="15" t="s">
        <v>188</v>
      </c>
      <c r="CD119" s="15"/>
      <c r="CE119" s="15"/>
      <c r="CF119" s="15"/>
      <c r="CG119" s="15" t="s">
        <v>188</v>
      </c>
      <c r="CH119" s="15" t="s">
        <v>188</v>
      </c>
      <c r="CI119" s="15" t="s">
        <v>188</v>
      </c>
      <c r="CJ119" s="15"/>
      <c r="CK119" s="15"/>
      <c r="CL119" s="15" t="s">
        <v>188</v>
      </c>
      <c r="CM119" s="15" t="s">
        <v>188</v>
      </c>
      <c r="CN119" s="15" t="s">
        <v>306</v>
      </c>
      <c r="CO119" s="15"/>
      <c r="CP119" s="15" t="s">
        <v>193</v>
      </c>
      <c r="CQ119" s="15" t="s">
        <v>193</v>
      </c>
      <c r="CR119" s="15" t="s">
        <v>188</v>
      </c>
      <c r="CS119" s="15"/>
      <c r="CT119" s="15"/>
      <c r="CU119" s="15"/>
      <c r="CV119" s="15"/>
      <c r="CW119" s="15"/>
      <c r="CX119" s="15" t="s">
        <v>188</v>
      </c>
      <c r="CY119" s="15" t="s">
        <v>188</v>
      </c>
      <c r="CZ119" s="3"/>
      <c r="DA119" s="49"/>
      <c r="DC119" s="18">
        <f t="shared" si="3"/>
        <v>0</v>
      </c>
      <c r="DD119" s="18">
        <f t="shared" si="4"/>
        <v>3</v>
      </c>
      <c r="DE119" s="18">
        <f t="shared" si="5"/>
        <v>2012</v>
      </c>
    </row>
    <row r="120" spans="1:109" x14ac:dyDescent="0.25">
      <c r="A120" s="59" t="s">
        <v>1318</v>
      </c>
      <c r="B120" s="103">
        <v>41543</v>
      </c>
      <c r="C120" s="105" t="s">
        <v>1576</v>
      </c>
      <c r="D120" s="14" t="s">
        <v>517</v>
      </c>
      <c r="E120" s="15"/>
      <c r="F120" s="15"/>
      <c r="G120" s="15" t="s">
        <v>188</v>
      </c>
      <c r="H120" s="15"/>
      <c r="I120" s="15">
        <v>26</v>
      </c>
      <c r="J120" s="15" t="s">
        <v>189</v>
      </c>
      <c r="K120" s="15" t="s">
        <v>196</v>
      </c>
      <c r="L120" s="15" t="s">
        <v>419</v>
      </c>
      <c r="M120" s="15" t="s">
        <v>1047</v>
      </c>
      <c r="N120" s="15" t="s">
        <v>1084</v>
      </c>
      <c r="O120" s="15">
        <v>5</v>
      </c>
      <c r="P120" s="15" t="s">
        <v>188</v>
      </c>
      <c r="Q120" s="15"/>
      <c r="R120" s="15"/>
      <c r="S120" s="15"/>
      <c r="T120" s="15"/>
      <c r="U120" s="15" t="s">
        <v>188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>
        <v>2008</v>
      </c>
      <c r="AI120" s="1">
        <v>500000</v>
      </c>
      <c r="AJ120" s="15"/>
      <c r="AK120" s="15"/>
      <c r="AL120" s="15" t="s">
        <v>188</v>
      </c>
      <c r="AM120" s="15"/>
      <c r="AN120" s="15"/>
      <c r="AO120" s="15"/>
      <c r="AP120" s="15" t="s">
        <v>188</v>
      </c>
      <c r="AQ120" s="15"/>
      <c r="AR120" s="15"/>
      <c r="AS120" s="15"/>
      <c r="AT120" s="15" t="s">
        <v>322</v>
      </c>
      <c r="AU120" s="1">
        <v>2500</v>
      </c>
      <c r="AV120" s="48">
        <v>0.5</v>
      </c>
      <c r="AW120" s="15">
        <v>2.7</v>
      </c>
      <c r="AX120" s="15">
        <v>2.2000000000000002</v>
      </c>
      <c r="AY120" s="15">
        <v>2</v>
      </c>
      <c r="AZ120" s="15">
        <v>280</v>
      </c>
      <c r="BA120" s="15">
        <v>700</v>
      </c>
      <c r="BB120" s="15" t="s">
        <v>188</v>
      </c>
      <c r="BC120" s="15" t="s">
        <v>188</v>
      </c>
      <c r="BD120" s="15" t="s">
        <v>188</v>
      </c>
      <c r="BE120" s="1">
        <v>12500</v>
      </c>
      <c r="BF120" s="1">
        <v>15000</v>
      </c>
      <c r="BG120" s="1">
        <v>15000</v>
      </c>
      <c r="BH120" s="1">
        <v>60000</v>
      </c>
      <c r="BI120" s="1">
        <v>12500</v>
      </c>
      <c r="BJ120" s="15"/>
      <c r="BK120" s="15"/>
      <c r="BL120" s="15" t="s">
        <v>188</v>
      </c>
      <c r="BM120" s="15"/>
      <c r="BN120" s="15"/>
      <c r="BO120" s="15"/>
      <c r="BP120" s="15"/>
      <c r="BQ120" s="15"/>
      <c r="BR120" s="15"/>
      <c r="BS120" s="2"/>
      <c r="BT120" s="15"/>
      <c r="BU120" s="15"/>
      <c r="BV120" s="15" t="s">
        <v>188</v>
      </c>
      <c r="BW120" s="15"/>
      <c r="BX120" s="15">
        <v>2</v>
      </c>
      <c r="BY120" s="15">
        <v>1</v>
      </c>
      <c r="BZ120" s="15">
        <v>3</v>
      </c>
      <c r="CA120" s="15"/>
      <c r="CB120" s="15"/>
      <c r="CC120" s="15" t="s">
        <v>188</v>
      </c>
      <c r="CD120" s="15"/>
      <c r="CE120" s="15"/>
      <c r="CF120" s="15"/>
      <c r="CG120" s="15" t="s">
        <v>188</v>
      </c>
      <c r="CH120" s="15" t="s">
        <v>188</v>
      </c>
      <c r="CI120" s="15" t="s">
        <v>188</v>
      </c>
      <c r="CJ120" s="15"/>
      <c r="CK120" s="15" t="s">
        <v>188</v>
      </c>
      <c r="CL120" s="15"/>
      <c r="CM120" s="15"/>
      <c r="CN120" s="15"/>
      <c r="CO120" s="15"/>
      <c r="CP120" s="15" t="s">
        <v>193</v>
      </c>
      <c r="CQ120" s="15" t="s">
        <v>209</v>
      </c>
      <c r="CR120" s="15"/>
      <c r="CS120" s="15"/>
      <c r="CT120" s="15"/>
      <c r="CU120" s="2" t="s">
        <v>324</v>
      </c>
      <c r="CV120" s="15"/>
      <c r="CW120" s="15"/>
      <c r="CX120" s="15"/>
      <c r="CY120" s="15" t="s">
        <v>188</v>
      </c>
      <c r="CZ120" s="3"/>
      <c r="DA120" s="49"/>
      <c r="DC120" s="18">
        <f t="shared" si="3"/>
        <v>0</v>
      </c>
      <c r="DD120" s="18">
        <f t="shared" si="4"/>
        <v>3</v>
      </c>
      <c r="DE120" s="18">
        <f t="shared" si="5"/>
        <v>2008</v>
      </c>
    </row>
    <row r="121" spans="1:109" x14ac:dyDescent="0.25">
      <c r="A121" s="59" t="s">
        <v>1318</v>
      </c>
      <c r="B121" s="103">
        <v>41543</v>
      </c>
      <c r="C121" s="105" t="s">
        <v>1576</v>
      </c>
      <c r="D121" s="14" t="s">
        <v>518</v>
      </c>
      <c r="E121" s="15"/>
      <c r="F121" s="15"/>
      <c r="G121" s="15" t="s">
        <v>188</v>
      </c>
      <c r="H121" s="15"/>
      <c r="I121" s="15">
        <v>27</v>
      </c>
      <c r="J121" s="15" t="s">
        <v>189</v>
      </c>
      <c r="K121" s="15" t="s">
        <v>190</v>
      </c>
      <c r="L121" s="15" t="s">
        <v>400</v>
      </c>
      <c r="M121" s="15" t="s">
        <v>1034</v>
      </c>
      <c r="N121" s="15" t="s">
        <v>1084</v>
      </c>
      <c r="O121" s="15">
        <v>4</v>
      </c>
      <c r="P121" s="15" t="s">
        <v>188</v>
      </c>
      <c r="Q121" s="15"/>
      <c r="R121" s="15"/>
      <c r="S121" s="15"/>
      <c r="T121" s="15"/>
      <c r="U121" s="15" t="s">
        <v>188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>
        <v>2010</v>
      </c>
      <c r="AI121" s="1">
        <v>750000</v>
      </c>
      <c r="AJ121" s="15"/>
      <c r="AK121" s="15"/>
      <c r="AL121" s="15" t="s">
        <v>188</v>
      </c>
      <c r="AM121" s="15"/>
      <c r="AN121" s="15"/>
      <c r="AO121" s="15" t="s">
        <v>188</v>
      </c>
      <c r="AP121" s="15"/>
      <c r="AQ121" s="15"/>
      <c r="AR121" s="15"/>
      <c r="AS121" s="15"/>
      <c r="AT121" s="15" t="s">
        <v>198</v>
      </c>
      <c r="AU121" s="1">
        <v>3000</v>
      </c>
      <c r="AV121" s="48">
        <v>0.5</v>
      </c>
      <c r="AW121" s="15">
        <v>2.1</v>
      </c>
      <c r="AX121" s="15">
        <v>1.8</v>
      </c>
      <c r="AY121" s="15">
        <v>2</v>
      </c>
      <c r="AZ121" s="15">
        <v>740</v>
      </c>
      <c r="BA121" s="15">
        <v>1400</v>
      </c>
      <c r="BB121" s="15" t="s">
        <v>199</v>
      </c>
      <c r="BC121" s="15" t="s">
        <v>188</v>
      </c>
      <c r="BD121" s="15" t="s">
        <v>199</v>
      </c>
      <c r="BE121" s="1">
        <v>12000</v>
      </c>
      <c r="BF121" s="1">
        <v>18000</v>
      </c>
      <c r="BG121" s="1">
        <v>12000</v>
      </c>
      <c r="BH121" s="1">
        <v>70000</v>
      </c>
      <c r="BI121" s="1">
        <v>12000</v>
      </c>
      <c r="BJ121" s="15"/>
      <c r="BK121" s="15"/>
      <c r="BL121" s="15"/>
      <c r="BM121" s="15"/>
      <c r="BN121" s="15" t="s">
        <v>188</v>
      </c>
      <c r="BO121" s="15"/>
      <c r="BP121" s="15"/>
      <c r="BQ121" s="15"/>
      <c r="BR121" s="15"/>
      <c r="BS121" s="2"/>
      <c r="BT121" s="15"/>
      <c r="BU121" s="15" t="s">
        <v>188</v>
      </c>
      <c r="BV121" s="15"/>
      <c r="BW121" s="15"/>
      <c r="BX121" s="15">
        <v>3</v>
      </c>
      <c r="BY121" s="15">
        <v>1</v>
      </c>
      <c r="BZ121" s="15">
        <v>2</v>
      </c>
      <c r="CA121" s="15"/>
      <c r="CB121" s="15" t="s">
        <v>188</v>
      </c>
      <c r="CC121" s="15"/>
      <c r="CD121" s="15"/>
      <c r="CE121" s="15"/>
      <c r="CF121" s="15"/>
      <c r="CG121" s="15"/>
      <c r="CH121" s="15"/>
      <c r="CI121" s="15"/>
      <c r="CJ121" s="15"/>
      <c r="CK121" s="15" t="s">
        <v>188</v>
      </c>
      <c r="CL121" s="15"/>
      <c r="CM121" s="15"/>
      <c r="CN121" s="15"/>
      <c r="CO121" s="15"/>
      <c r="CP121" s="15" t="s">
        <v>193</v>
      </c>
      <c r="CQ121" s="15" t="s">
        <v>209</v>
      </c>
      <c r="CR121" s="15"/>
      <c r="CS121" s="15" t="s">
        <v>188</v>
      </c>
      <c r="CT121" s="15"/>
      <c r="CU121" s="15"/>
      <c r="CV121" s="15"/>
      <c r="CW121" s="15"/>
      <c r="CX121" s="15"/>
      <c r="CY121" s="15" t="s">
        <v>188</v>
      </c>
      <c r="CZ121" s="3"/>
      <c r="DA121" s="49"/>
      <c r="DC121" s="18">
        <f t="shared" si="3"/>
        <v>0</v>
      </c>
      <c r="DD121" s="18">
        <f t="shared" si="4"/>
        <v>3</v>
      </c>
      <c r="DE121" s="18">
        <f t="shared" si="5"/>
        <v>2010</v>
      </c>
    </row>
    <row r="122" spans="1:109" x14ac:dyDescent="0.25">
      <c r="A122" s="59" t="s">
        <v>1318</v>
      </c>
      <c r="B122" s="103">
        <v>41543</v>
      </c>
      <c r="C122" s="105" t="s">
        <v>1576</v>
      </c>
      <c r="D122" s="14" t="s">
        <v>519</v>
      </c>
      <c r="E122" s="15"/>
      <c r="F122" s="15" t="s">
        <v>188</v>
      </c>
      <c r="G122" s="15"/>
      <c r="H122" s="15"/>
      <c r="I122" s="15">
        <v>51</v>
      </c>
      <c r="J122" s="15" t="s">
        <v>189</v>
      </c>
      <c r="K122" s="15" t="s">
        <v>220</v>
      </c>
      <c r="L122" s="15" t="s">
        <v>554</v>
      </c>
      <c r="M122" s="15" t="s">
        <v>1052</v>
      </c>
      <c r="N122" s="15" t="s">
        <v>1085</v>
      </c>
      <c r="O122" s="15">
        <v>30</v>
      </c>
      <c r="P122" s="15"/>
      <c r="Q122" s="15"/>
      <c r="R122" s="15"/>
      <c r="S122" s="15" t="s">
        <v>188</v>
      </c>
      <c r="T122" s="15"/>
      <c r="U122" s="15" t="s">
        <v>188</v>
      </c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>
        <v>1999</v>
      </c>
      <c r="AI122" s="1">
        <v>1000000</v>
      </c>
      <c r="AJ122" s="15"/>
      <c r="AK122" s="15"/>
      <c r="AL122" s="15" t="s">
        <v>188</v>
      </c>
      <c r="AM122" s="15"/>
      <c r="AN122" s="15"/>
      <c r="AO122" s="15"/>
      <c r="AP122" s="15" t="s">
        <v>188</v>
      </c>
      <c r="AQ122" s="15"/>
      <c r="AR122" s="15"/>
      <c r="AS122" s="15"/>
      <c r="AT122" s="15" t="s">
        <v>390</v>
      </c>
      <c r="AU122" s="1">
        <v>3000</v>
      </c>
      <c r="AV122" s="48">
        <v>0.5</v>
      </c>
      <c r="AW122" s="15">
        <v>2.2999999999999998</v>
      </c>
      <c r="AX122" s="15">
        <v>1.7</v>
      </c>
      <c r="AY122" s="15">
        <v>2</v>
      </c>
      <c r="AZ122" s="15">
        <v>850</v>
      </c>
      <c r="BA122" s="15">
        <v>1700</v>
      </c>
      <c r="BB122" s="15" t="s">
        <v>199</v>
      </c>
      <c r="BC122" s="15" t="s">
        <v>188</v>
      </c>
      <c r="BD122" s="15" t="s">
        <v>199</v>
      </c>
      <c r="BE122" s="1">
        <v>12000</v>
      </c>
      <c r="BF122" s="1">
        <v>15000</v>
      </c>
      <c r="BG122" s="1">
        <v>12000</v>
      </c>
      <c r="BH122" s="1">
        <v>70000</v>
      </c>
      <c r="BI122" s="1">
        <v>12000</v>
      </c>
      <c r="BJ122" s="15"/>
      <c r="BK122" s="15"/>
      <c r="BL122" s="15"/>
      <c r="BM122" s="15"/>
      <c r="BN122" s="15"/>
      <c r="BO122" s="15"/>
      <c r="BP122" s="15"/>
      <c r="BQ122" s="15"/>
      <c r="BR122" s="15"/>
      <c r="BS122" s="2" t="s">
        <v>314</v>
      </c>
      <c r="BT122" s="15"/>
      <c r="BU122" s="15" t="s">
        <v>188</v>
      </c>
      <c r="BV122" s="15"/>
      <c r="BW122" s="15"/>
      <c r="BX122" s="15">
        <v>3</v>
      </c>
      <c r="BY122" s="15">
        <v>4</v>
      </c>
      <c r="BZ122" s="15">
        <v>2</v>
      </c>
      <c r="CA122" s="15" t="s">
        <v>208</v>
      </c>
      <c r="CB122" s="15"/>
      <c r="CC122" s="15" t="s">
        <v>188</v>
      </c>
      <c r="CD122" s="15"/>
      <c r="CE122" s="15" t="s">
        <v>188</v>
      </c>
      <c r="CF122" s="15"/>
      <c r="CG122" s="15"/>
      <c r="CH122" s="15" t="s">
        <v>188</v>
      </c>
      <c r="CI122" s="15"/>
      <c r="CJ122" s="15"/>
      <c r="CK122" s="15"/>
      <c r="CL122" s="15" t="s">
        <v>188</v>
      </c>
      <c r="CM122" s="15" t="s">
        <v>188</v>
      </c>
      <c r="CN122" s="15" t="s">
        <v>306</v>
      </c>
      <c r="CO122" s="15"/>
      <c r="CP122" s="15" t="s">
        <v>193</v>
      </c>
      <c r="CQ122" s="15" t="s">
        <v>300</v>
      </c>
      <c r="CR122" s="15"/>
      <c r="CS122" s="15"/>
      <c r="CT122" s="15"/>
      <c r="CU122" s="15" t="s">
        <v>324</v>
      </c>
      <c r="CV122" s="15"/>
      <c r="CW122" s="15"/>
      <c r="CX122" s="15" t="s">
        <v>188</v>
      </c>
      <c r="CY122" s="15" t="s">
        <v>188</v>
      </c>
      <c r="CZ122" s="3"/>
      <c r="DA122" s="49"/>
      <c r="DC122" s="18">
        <f t="shared" si="3"/>
        <v>0</v>
      </c>
      <c r="DD122" s="18">
        <f t="shared" si="4"/>
        <v>2</v>
      </c>
      <c r="DE122" s="18">
        <f t="shared" si="5"/>
        <v>1999</v>
      </c>
    </row>
    <row r="123" spans="1:109" x14ac:dyDescent="0.25">
      <c r="A123" s="59" t="s">
        <v>1318</v>
      </c>
      <c r="B123" s="103">
        <v>41543</v>
      </c>
      <c r="C123" s="105" t="s">
        <v>1576</v>
      </c>
      <c r="D123" s="14" t="s">
        <v>520</v>
      </c>
      <c r="E123" s="15"/>
      <c r="F123" s="15"/>
      <c r="G123" s="15"/>
      <c r="H123" s="15" t="s">
        <v>188</v>
      </c>
      <c r="I123" s="15">
        <v>40</v>
      </c>
      <c r="J123" s="15" t="s">
        <v>189</v>
      </c>
      <c r="K123" s="15" t="s">
        <v>214</v>
      </c>
      <c r="L123" s="15" t="s">
        <v>228</v>
      </c>
      <c r="M123" s="15" t="s">
        <v>1010</v>
      </c>
      <c r="N123" s="15" t="s">
        <v>1084</v>
      </c>
      <c r="O123" s="15">
        <v>10</v>
      </c>
      <c r="P123" s="15" t="s">
        <v>188</v>
      </c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 t="s">
        <v>188</v>
      </c>
      <c r="AG123" s="15"/>
      <c r="AH123" s="15">
        <v>2010</v>
      </c>
      <c r="AI123" s="1">
        <v>220000</v>
      </c>
      <c r="AJ123" s="15" t="s">
        <v>188</v>
      </c>
      <c r="AK123" s="15"/>
      <c r="AL123" s="15"/>
      <c r="AM123" s="15"/>
      <c r="AN123" s="15"/>
      <c r="AO123" s="15"/>
      <c r="AP123" s="15" t="s">
        <v>188</v>
      </c>
      <c r="AQ123" s="15"/>
      <c r="AR123" s="15"/>
      <c r="AS123" s="15"/>
      <c r="AT123" s="15" t="s">
        <v>249</v>
      </c>
      <c r="AU123" s="1">
        <v>800</v>
      </c>
      <c r="AV123" s="48">
        <v>0.1</v>
      </c>
      <c r="AW123" s="15">
        <v>7.5</v>
      </c>
      <c r="AX123" s="15">
        <v>6</v>
      </c>
      <c r="AY123" s="15">
        <v>1</v>
      </c>
      <c r="AZ123" s="15">
        <v>60</v>
      </c>
      <c r="BA123" s="15">
        <v>300</v>
      </c>
      <c r="BB123" s="15" t="s">
        <v>199</v>
      </c>
      <c r="BC123" s="15" t="s">
        <v>188</v>
      </c>
      <c r="BD123" s="15" t="s">
        <v>199</v>
      </c>
      <c r="BE123" s="1">
        <v>1000</v>
      </c>
      <c r="BF123" s="1">
        <v>4800</v>
      </c>
      <c r="BG123" s="1">
        <v>1000</v>
      </c>
      <c r="BH123" s="1" t="s">
        <v>193</v>
      </c>
      <c r="BI123" s="1" t="s">
        <v>234</v>
      </c>
      <c r="BJ123" s="15"/>
      <c r="BK123" s="15"/>
      <c r="BL123" s="15"/>
      <c r="BM123" s="15"/>
      <c r="BN123" s="15"/>
      <c r="BO123" s="15"/>
      <c r="BP123" s="15"/>
      <c r="BQ123" s="15"/>
      <c r="BR123" s="15" t="s">
        <v>188</v>
      </c>
      <c r="BS123" s="2"/>
      <c r="BT123" s="15"/>
      <c r="BU123" s="15"/>
      <c r="BV123" s="15" t="s">
        <v>188</v>
      </c>
      <c r="BW123" s="15"/>
      <c r="BX123" s="15">
        <v>3</v>
      </c>
      <c r="BY123" s="15">
        <v>4</v>
      </c>
      <c r="BZ123" s="15">
        <v>2</v>
      </c>
      <c r="CA123" s="15" t="s">
        <v>208</v>
      </c>
      <c r="CB123" s="15" t="s">
        <v>188</v>
      </c>
      <c r="CC123" s="15"/>
      <c r="CD123" s="15"/>
      <c r="CE123" s="15"/>
      <c r="CF123" s="15"/>
      <c r="CG123" s="15"/>
      <c r="CH123" s="15"/>
      <c r="CI123" s="15"/>
      <c r="CJ123" s="15"/>
      <c r="CK123" s="15" t="s">
        <v>188</v>
      </c>
      <c r="CL123" s="15"/>
      <c r="CM123" s="15"/>
      <c r="CN123" s="15"/>
      <c r="CO123" s="15"/>
      <c r="CP123" s="15" t="s">
        <v>193</v>
      </c>
      <c r="CQ123" s="15" t="s">
        <v>300</v>
      </c>
      <c r="CR123" s="15"/>
      <c r="CS123" s="15"/>
      <c r="CT123" s="15"/>
      <c r="CU123" s="15" t="s">
        <v>556</v>
      </c>
      <c r="CV123" s="15"/>
      <c r="CW123" s="15"/>
      <c r="CX123" s="15" t="s">
        <v>188</v>
      </c>
      <c r="CY123" s="15"/>
      <c r="CZ123" s="3"/>
      <c r="DA123" s="49"/>
      <c r="DC123" s="18">
        <f t="shared" si="3"/>
        <v>0</v>
      </c>
      <c r="DD123" s="18">
        <f t="shared" si="4"/>
        <v>7</v>
      </c>
      <c r="DE123" s="18">
        <f t="shared" si="5"/>
        <v>2010</v>
      </c>
    </row>
    <row r="124" spans="1:109" x14ac:dyDescent="0.25">
      <c r="A124" s="59" t="s">
        <v>1318</v>
      </c>
      <c r="B124" s="103">
        <v>41543</v>
      </c>
      <c r="C124" s="105" t="s">
        <v>1576</v>
      </c>
      <c r="D124" s="14" t="s">
        <v>521</v>
      </c>
      <c r="E124" s="15"/>
      <c r="F124" s="15" t="s">
        <v>188</v>
      </c>
      <c r="G124" s="15"/>
      <c r="H124" s="15"/>
      <c r="I124" s="15">
        <v>48</v>
      </c>
      <c r="J124" s="15" t="s">
        <v>189</v>
      </c>
      <c r="K124" s="15" t="s">
        <v>240</v>
      </c>
      <c r="L124" s="15" t="s">
        <v>552</v>
      </c>
      <c r="M124" s="15" t="s">
        <v>1031</v>
      </c>
      <c r="N124" s="15" t="s">
        <v>1084</v>
      </c>
      <c r="O124" s="15">
        <v>21</v>
      </c>
      <c r="P124" s="15" t="s">
        <v>188</v>
      </c>
      <c r="Q124" s="15"/>
      <c r="R124" s="15"/>
      <c r="S124" s="15"/>
      <c r="T124" s="15"/>
      <c r="U124" s="15" t="s">
        <v>188</v>
      </c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>
        <v>2006</v>
      </c>
      <c r="AI124" s="1">
        <v>600000</v>
      </c>
      <c r="AJ124" s="15"/>
      <c r="AK124" s="15"/>
      <c r="AL124" s="15" t="s">
        <v>188</v>
      </c>
      <c r="AM124" s="15"/>
      <c r="AN124" s="15"/>
      <c r="AO124" s="15" t="s">
        <v>188</v>
      </c>
      <c r="AP124" s="15"/>
      <c r="AQ124" s="15"/>
      <c r="AR124" s="15"/>
      <c r="AS124" s="15"/>
      <c r="AT124" s="15" t="s">
        <v>193</v>
      </c>
      <c r="AU124" s="1">
        <f>80000/12</f>
        <v>6666.666666666667</v>
      </c>
      <c r="AV124" s="48">
        <v>0.5</v>
      </c>
      <c r="AW124" s="15">
        <v>3</v>
      </c>
      <c r="AX124" s="15">
        <v>2.2000000000000002</v>
      </c>
      <c r="AY124" s="15">
        <v>1</v>
      </c>
      <c r="AZ124" s="15">
        <v>400</v>
      </c>
      <c r="BA124" s="15">
        <v>900</v>
      </c>
      <c r="BB124" s="15" t="s">
        <v>199</v>
      </c>
      <c r="BC124" s="15" t="s">
        <v>188</v>
      </c>
      <c r="BD124" s="15" t="s">
        <v>199</v>
      </c>
      <c r="BE124" s="1">
        <v>3000</v>
      </c>
      <c r="BF124" s="1">
        <v>3000</v>
      </c>
      <c r="BG124" s="1">
        <v>3000</v>
      </c>
      <c r="BH124" s="1">
        <v>75000</v>
      </c>
      <c r="BI124" s="1">
        <v>3000</v>
      </c>
      <c r="BJ124" s="15"/>
      <c r="BK124" s="15"/>
      <c r="BL124" s="15"/>
      <c r="BM124" s="15"/>
      <c r="BN124" s="15"/>
      <c r="BO124" s="15"/>
      <c r="BP124" s="15"/>
      <c r="BQ124" s="15"/>
      <c r="BR124" s="15"/>
      <c r="BS124" s="2" t="s">
        <v>314</v>
      </c>
      <c r="BT124" s="15"/>
      <c r="BU124" s="15"/>
      <c r="BV124" s="15" t="s">
        <v>188</v>
      </c>
      <c r="BW124" s="15"/>
      <c r="BX124" s="15">
        <v>1</v>
      </c>
      <c r="BY124" s="15">
        <v>3</v>
      </c>
      <c r="BZ124" s="15">
        <v>2</v>
      </c>
      <c r="CA124" s="15"/>
      <c r="CB124" s="15"/>
      <c r="CC124" s="15" t="s">
        <v>188</v>
      </c>
      <c r="CD124" s="15"/>
      <c r="CE124" s="15"/>
      <c r="CF124" s="15"/>
      <c r="CG124" s="15"/>
      <c r="CH124" s="15"/>
      <c r="CI124" s="15" t="s">
        <v>188</v>
      </c>
      <c r="CJ124" s="15"/>
      <c r="CK124" s="15" t="s">
        <v>188</v>
      </c>
      <c r="CL124" s="15"/>
      <c r="CM124" s="15"/>
      <c r="CN124" s="15"/>
      <c r="CO124" s="15"/>
      <c r="CP124" s="15" t="s">
        <v>193</v>
      </c>
      <c r="CQ124" s="15" t="s">
        <v>193</v>
      </c>
      <c r="CR124" s="15" t="s">
        <v>188</v>
      </c>
      <c r="CS124" s="15"/>
      <c r="CT124" s="15"/>
      <c r="CU124" s="15"/>
      <c r="CV124" s="15"/>
      <c r="CW124" s="15"/>
      <c r="CX124" s="15"/>
      <c r="CY124" s="15" t="s">
        <v>188</v>
      </c>
      <c r="CZ124" s="3"/>
      <c r="DA124" s="49"/>
      <c r="DC124" s="18">
        <f t="shared" si="3"/>
        <v>0</v>
      </c>
      <c r="DD124" s="18">
        <f t="shared" si="4"/>
        <v>2</v>
      </c>
      <c r="DE124" s="18">
        <f t="shared" si="5"/>
        <v>2006</v>
      </c>
    </row>
    <row r="125" spans="1:109" x14ac:dyDescent="0.25">
      <c r="A125" s="59" t="s">
        <v>1318</v>
      </c>
      <c r="B125" s="103">
        <v>41543</v>
      </c>
      <c r="C125" s="105" t="s">
        <v>1576</v>
      </c>
      <c r="D125" s="14" t="s">
        <v>522</v>
      </c>
      <c r="E125" s="15"/>
      <c r="F125" s="15"/>
      <c r="G125" s="15" t="s">
        <v>188</v>
      </c>
      <c r="H125" s="15"/>
      <c r="I125" s="15">
        <v>38</v>
      </c>
      <c r="J125" s="15" t="s">
        <v>189</v>
      </c>
      <c r="K125" s="15" t="s">
        <v>190</v>
      </c>
      <c r="L125" s="15" t="s">
        <v>386</v>
      </c>
      <c r="M125" s="15" t="s">
        <v>1017</v>
      </c>
      <c r="N125" s="15" t="s">
        <v>1085</v>
      </c>
      <c r="O125" s="15">
        <v>13</v>
      </c>
      <c r="P125" s="15" t="s">
        <v>188</v>
      </c>
      <c r="Q125" s="15"/>
      <c r="R125" s="15"/>
      <c r="S125" s="15"/>
      <c r="T125" s="15"/>
      <c r="U125" s="15"/>
      <c r="V125" s="15"/>
      <c r="W125" s="15"/>
      <c r="X125" s="15"/>
      <c r="Y125" s="15" t="s">
        <v>188</v>
      </c>
      <c r="Z125" s="15"/>
      <c r="AA125" s="15"/>
      <c r="AB125" s="15"/>
      <c r="AC125" s="15"/>
      <c r="AD125" s="15"/>
      <c r="AE125" s="15"/>
      <c r="AF125" s="15"/>
      <c r="AG125" s="15"/>
      <c r="AH125" s="15">
        <v>2001</v>
      </c>
      <c r="AI125" s="1">
        <v>500000</v>
      </c>
      <c r="AJ125" s="15"/>
      <c r="AK125" s="15"/>
      <c r="AL125" s="15" t="s">
        <v>188</v>
      </c>
      <c r="AM125" s="15"/>
      <c r="AN125" s="15"/>
      <c r="AO125" s="15" t="s">
        <v>188</v>
      </c>
      <c r="AP125" s="15"/>
      <c r="AQ125" s="15"/>
      <c r="AR125" s="15"/>
      <c r="AS125" s="15"/>
      <c r="AT125" s="15" t="s">
        <v>322</v>
      </c>
      <c r="AU125" s="1">
        <v>6000</v>
      </c>
      <c r="AV125" s="48">
        <v>0.5</v>
      </c>
      <c r="AW125" s="15">
        <v>2.2999999999999998</v>
      </c>
      <c r="AX125" s="15">
        <v>1.7</v>
      </c>
      <c r="AY125" s="15">
        <v>3</v>
      </c>
      <c r="AZ125" s="15">
        <v>1350</v>
      </c>
      <c r="BA125" s="15">
        <v>2700</v>
      </c>
      <c r="BB125" s="15" t="s">
        <v>188</v>
      </c>
      <c r="BC125" s="15" t="s">
        <v>188</v>
      </c>
      <c r="BD125" s="15" t="s">
        <v>188</v>
      </c>
      <c r="BE125" s="1">
        <v>20000</v>
      </c>
      <c r="BF125" s="1" t="s">
        <v>193</v>
      </c>
      <c r="BG125" s="1">
        <v>20000</v>
      </c>
      <c r="BH125" s="1" t="s">
        <v>193</v>
      </c>
      <c r="BI125" s="1">
        <v>20000</v>
      </c>
      <c r="BJ125" s="15"/>
      <c r="BK125" s="15"/>
      <c r="BL125" s="15"/>
      <c r="BM125" s="15"/>
      <c r="BN125" s="15"/>
      <c r="BO125" s="15"/>
      <c r="BP125" s="15"/>
      <c r="BQ125" s="15"/>
      <c r="BR125" s="15" t="s">
        <v>188</v>
      </c>
      <c r="BS125" s="2"/>
      <c r="BT125" s="15"/>
      <c r="BU125" s="15" t="s">
        <v>188</v>
      </c>
      <c r="BV125" s="15"/>
      <c r="BW125" s="15"/>
      <c r="BX125" s="15">
        <v>1</v>
      </c>
      <c r="BY125" s="15">
        <v>3</v>
      </c>
      <c r="BZ125" s="15">
        <v>2</v>
      </c>
      <c r="CA125" s="15"/>
      <c r="CB125" s="15"/>
      <c r="CC125" s="15" t="s">
        <v>188</v>
      </c>
      <c r="CD125" s="15"/>
      <c r="CE125" s="15"/>
      <c r="CF125" s="15"/>
      <c r="CG125" s="15" t="s">
        <v>188</v>
      </c>
      <c r="CH125" s="15" t="s">
        <v>188</v>
      </c>
      <c r="CI125" s="15" t="s">
        <v>188</v>
      </c>
      <c r="CJ125" s="15"/>
      <c r="CK125" s="15" t="s">
        <v>188</v>
      </c>
      <c r="CL125" s="15"/>
      <c r="CM125" s="15"/>
      <c r="CN125" s="15"/>
      <c r="CO125" s="15"/>
      <c r="CP125" s="15" t="s">
        <v>193</v>
      </c>
      <c r="CQ125" s="15" t="s">
        <v>193</v>
      </c>
      <c r="CR125" s="15"/>
      <c r="CS125" s="15"/>
      <c r="CT125" s="15"/>
      <c r="CU125" s="15" t="s">
        <v>324</v>
      </c>
      <c r="CV125" s="15"/>
      <c r="CW125" s="15"/>
      <c r="CX125" s="15" t="s">
        <v>188</v>
      </c>
      <c r="CY125" s="15" t="s">
        <v>188</v>
      </c>
      <c r="CZ125" s="3"/>
      <c r="DA125" s="49"/>
      <c r="DC125" s="18">
        <f t="shared" si="3"/>
        <v>0</v>
      </c>
      <c r="DD125" s="18">
        <f t="shared" si="4"/>
        <v>3</v>
      </c>
      <c r="DE125" s="18">
        <f t="shared" si="5"/>
        <v>2001</v>
      </c>
    </row>
    <row r="126" spans="1:109" x14ac:dyDescent="0.25">
      <c r="A126" s="59" t="s">
        <v>1318</v>
      </c>
      <c r="B126" s="103">
        <v>41543</v>
      </c>
      <c r="C126" s="105" t="s">
        <v>1576</v>
      </c>
      <c r="D126" s="14" t="s">
        <v>523</v>
      </c>
      <c r="E126" s="15"/>
      <c r="F126" s="15" t="s">
        <v>188</v>
      </c>
      <c r="G126" s="15"/>
      <c r="H126" s="15"/>
      <c r="I126" s="15">
        <v>37</v>
      </c>
      <c r="J126" s="15" t="s">
        <v>189</v>
      </c>
      <c r="K126" s="15" t="s">
        <v>196</v>
      </c>
      <c r="L126" s="15" t="s">
        <v>413</v>
      </c>
      <c r="M126" s="15" t="s">
        <v>1041</v>
      </c>
      <c r="N126" s="15" t="s">
        <v>1085</v>
      </c>
      <c r="O126" s="15">
        <v>14</v>
      </c>
      <c r="P126" s="15" t="s">
        <v>188</v>
      </c>
      <c r="Q126" s="15"/>
      <c r="R126" s="15"/>
      <c r="S126" s="15"/>
      <c r="T126" s="15"/>
      <c r="U126" s="15" t="s">
        <v>188</v>
      </c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>
        <v>1992</v>
      </c>
      <c r="AI126" s="1">
        <v>2200000</v>
      </c>
      <c r="AJ126" s="15"/>
      <c r="AK126" s="15"/>
      <c r="AL126" s="15" t="s">
        <v>188</v>
      </c>
      <c r="AM126" s="15"/>
      <c r="AN126" s="15"/>
      <c r="AO126" s="15"/>
      <c r="AP126" s="15" t="s">
        <v>188</v>
      </c>
      <c r="AQ126" s="15"/>
      <c r="AR126" s="15"/>
      <c r="AS126" s="15"/>
      <c r="AT126" s="15" t="s">
        <v>322</v>
      </c>
      <c r="AU126" s="1">
        <f>1000*4.2</f>
        <v>4200</v>
      </c>
      <c r="AV126" s="48">
        <v>0.5</v>
      </c>
      <c r="AW126" s="15">
        <v>3</v>
      </c>
      <c r="AX126" s="15">
        <v>2.8</v>
      </c>
      <c r="AY126" s="15">
        <v>5</v>
      </c>
      <c r="AZ126" s="15">
        <v>410</v>
      </c>
      <c r="BA126" s="15">
        <v>1200</v>
      </c>
      <c r="BB126" s="15" t="s">
        <v>188</v>
      </c>
      <c r="BC126" s="15" t="s">
        <v>188</v>
      </c>
      <c r="BD126" s="15" t="s">
        <v>188</v>
      </c>
      <c r="BE126" s="1">
        <v>16000</v>
      </c>
      <c r="BF126" s="1">
        <v>2100</v>
      </c>
      <c r="BG126" s="1">
        <v>36000</v>
      </c>
      <c r="BH126" s="1">
        <v>63000</v>
      </c>
      <c r="BI126" s="1">
        <v>16000</v>
      </c>
      <c r="BJ126" s="15"/>
      <c r="BK126" s="15"/>
      <c r="BL126" s="15"/>
      <c r="BM126" s="15"/>
      <c r="BN126" s="15"/>
      <c r="BO126" s="15"/>
      <c r="BP126" s="15"/>
      <c r="BQ126" s="15"/>
      <c r="BR126" s="15"/>
      <c r="BS126" s="2" t="s">
        <v>557</v>
      </c>
      <c r="BT126" s="15"/>
      <c r="BU126" s="15"/>
      <c r="BV126" s="15"/>
      <c r="BW126" s="15" t="s">
        <v>188</v>
      </c>
      <c r="BX126" s="15">
        <v>1</v>
      </c>
      <c r="BY126" s="15">
        <v>3</v>
      </c>
      <c r="BZ126" s="15">
        <v>2</v>
      </c>
      <c r="CA126" s="15"/>
      <c r="CB126" s="15"/>
      <c r="CC126" s="15" t="s">
        <v>188</v>
      </c>
      <c r="CD126" s="15"/>
      <c r="CE126" s="15"/>
      <c r="CF126" s="15"/>
      <c r="CG126" s="15"/>
      <c r="CH126" s="15" t="s">
        <v>188</v>
      </c>
      <c r="CI126" s="15" t="s">
        <v>188</v>
      </c>
      <c r="CJ126" s="15"/>
      <c r="CK126" s="15"/>
      <c r="CL126" s="15" t="s">
        <v>188</v>
      </c>
      <c r="CM126" s="15" t="s">
        <v>188</v>
      </c>
      <c r="CN126" s="15" t="s">
        <v>299</v>
      </c>
      <c r="CO126" s="15"/>
      <c r="CP126" s="15" t="s">
        <v>193</v>
      </c>
      <c r="CQ126" s="15" t="s">
        <v>203</v>
      </c>
      <c r="CR126" s="15" t="s">
        <v>188</v>
      </c>
      <c r="CS126" s="15"/>
      <c r="CT126" s="15"/>
      <c r="CU126" s="15"/>
      <c r="CV126" s="15"/>
      <c r="CW126" s="15"/>
      <c r="CX126" s="15"/>
      <c r="CY126" s="15" t="s">
        <v>188</v>
      </c>
      <c r="CZ126" s="3"/>
      <c r="DA126" s="49"/>
      <c r="DC126" s="18">
        <f t="shared" si="3"/>
        <v>0</v>
      </c>
      <c r="DD126" s="18">
        <f t="shared" si="4"/>
        <v>2</v>
      </c>
      <c r="DE126" s="18">
        <f t="shared" si="5"/>
        <v>1992</v>
      </c>
    </row>
    <row r="127" spans="1:109" x14ac:dyDescent="0.25">
      <c r="A127" s="59" t="s">
        <v>1318</v>
      </c>
      <c r="B127" s="103">
        <v>41543</v>
      </c>
      <c r="C127" s="105" t="s">
        <v>1576</v>
      </c>
      <c r="D127" s="14" t="s">
        <v>524</v>
      </c>
      <c r="E127" s="15"/>
      <c r="F127" s="15"/>
      <c r="G127" s="15" t="s">
        <v>188</v>
      </c>
      <c r="H127" s="15"/>
      <c r="I127" s="15">
        <v>55</v>
      </c>
      <c r="J127" s="15" t="s">
        <v>189</v>
      </c>
      <c r="K127" s="15" t="s">
        <v>214</v>
      </c>
      <c r="L127" s="15" t="s">
        <v>415</v>
      </c>
      <c r="M127" s="15" t="s">
        <v>1043</v>
      </c>
      <c r="N127" s="15" t="s">
        <v>1085</v>
      </c>
      <c r="O127" s="15">
        <v>3</v>
      </c>
      <c r="P127" s="15" t="s">
        <v>188</v>
      </c>
      <c r="Q127" s="15"/>
      <c r="R127" s="15"/>
      <c r="S127" s="15"/>
      <c r="T127" s="15"/>
      <c r="U127" s="15" t="s">
        <v>188</v>
      </c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>
        <v>1988</v>
      </c>
      <c r="AI127" s="1">
        <v>500000</v>
      </c>
      <c r="AJ127" s="15"/>
      <c r="AK127" s="15"/>
      <c r="AL127" s="15" t="s">
        <v>188</v>
      </c>
      <c r="AM127" s="15"/>
      <c r="AN127" s="15"/>
      <c r="AO127" s="15"/>
      <c r="AP127" s="15" t="s">
        <v>188</v>
      </c>
      <c r="AQ127" s="15"/>
      <c r="AR127" s="15"/>
      <c r="AS127" s="15"/>
      <c r="AT127" s="15" t="s">
        <v>229</v>
      </c>
      <c r="AU127" s="1">
        <v>1000</v>
      </c>
      <c r="AV127" s="48">
        <v>0.5</v>
      </c>
      <c r="AW127" s="15">
        <v>4</v>
      </c>
      <c r="AX127" s="15">
        <v>3.5</v>
      </c>
      <c r="AY127" s="15">
        <v>2</v>
      </c>
      <c r="AZ127" s="15">
        <v>530</v>
      </c>
      <c r="BA127" s="15">
        <v>2000</v>
      </c>
      <c r="BB127" s="15" t="s">
        <v>199</v>
      </c>
      <c r="BC127" s="15" t="s">
        <v>188</v>
      </c>
      <c r="BD127" s="15" t="s">
        <v>199</v>
      </c>
      <c r="BE127" s="1">
        <v>6000</v>
      </c>
      <c r="BF127" s="1">
        <v>12000</v>
      </c>
      <c r="BG127" s="1">
        <v>6000</v>
      </c>
      <c r="BH127" s="1">
        <v>50000</v>
      </c>
      <c r="BI127" s="1">
        <v>6000</v>
      </c>
      <c r="BJ127" s="15" t="s">
        <v>188</v>
      </c>
      <c r="BK127" s="15"/>
      <c r="BL127" s="15"/>
      <c r="BM127" s="15"/>
      <c r="BN127" s="15"/>
      <c r="BO127" s="15"/>
      <c r="BP127" s="15"/>
      <c r="BQ127" s="15"/>
      <c r="BR127" s="15"/>
      <c r="BS127" s="2"/>
      <c r="BT127" s="15"/>
      <c r="BU127" s="15" t="s">
        <v>188</v>
      </c>
      <c r="BV127" s="15"/>
      <c r="BW127" s="15"/>
      <c r="BX127" s="15">
        <v>1</v>
      </c>
      <c r="BY127" s="15">
        <v>3</v>
      </c>
      <c r="BZ127" s="15">
        <v>2</v>
      </c>
      <c r="CA127" s="15"/>
      <c r="CB127" s="15" t="s">
        <v>188</v>
      </c>
      <c r="CC127" s="15"/>
      <c r="CD127" s="15"/>
      <c r="CE127" s="15"/>
      <c r="CF127" s="15"/>
      <c r="CG127" s="15"/>
      <c r="CH127" s="15"/>
      <c r="CI127" s="15"/>
      <c r="CJ127" s="15"/>
      <c r="CK127" s="15" t="s">
        <v>188</v>
      </c>
      <c r="CL127" s="15"/>
      <c r="CM127" s="15"/>
      <c r="CN127" s="15"/>
      <c r="CO127" s="15"/>
      <c r="CP127" s="15" t="s">
        <v>193</v>
      </c>
      <c r="CQ127" s="15" t="s">
        <v>300</v>
      </c>
      <c r="CR127" s="15"/>
      <c r="CS127" s="15"/>
      <c r="CT127" s="15"/>
      <c r="CU127" s="15" t="s">
        <v>359</v>
      </c>
      <c r="CV127" s="15"/>
      <c r="CW127" s="15"/>
      <c r="CX127" s="15"/>
      <c r="CY127" s="15" t="s">
        <v>188</v>
      </c>
      <c r="CZ127" s="3"/>
      <c r="DA127" s="49"/>
      <c r="DC127" s="18">
        <f t="shared" si="3"/>
        <v>0</v>
      </c>
      <c r="DD127" s="18">
        <f t="shared" si="4"/>
        <v>3</v>
      </c>
      <c r="DE127" s="18">
        <f t="shared" si="5"/>
        <v>1988</v>
      </c>
    </row>
    <row r="128" spans="1:109" x14ac:dyDescent="0.25">
      <c r="A128" s="59" t="s">
        <v>1318</v>
      </c>
      <c r="B128" s="103">
        <v>41543</v>
      </c>
      <c r="C128" s="105" t="s">
        <v>1576</v>
      </c>
      <c r="D128" s="14" t="s">
        <v>525</v>
      </c>
      <c r="E128" s="15"/>
      <c r="F128" s="15" t="s">
        <v>188</v>
      </c>
      <c r="G128" s="15"/>
      <c r="H128" s="15"/>
      <c r="I128" s="15">
        <v>29</v>
      </c>
      <c r="J128" s="15" t="s">
        <v>189</v>
      </c>
      <c r="K128" s="15" t="s">
        <v>214</v>
      </c>
      <c r="L128" s="15" t="s">
        <v>395</v>
      </c>
      <c r="M128" s="15" t="s">
        <v>1022</v>
      </c>
      <c r="N128" s="15" t="s">
        <v>1085</v>
      </c>
      <c r="O128" s="15">
        <v>4</v>
      </c>
      <c r="P128" s="15" t="s">
        <v>188</v>
      </c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 t="s">
        <v>188</v>
      </c>
      <c r="AG128" s="15"/>
      <c r="AH128" s="15">
        <v>1989</v>
      </c>
      <c r="AI128" s="1" t="s">
        <v>269</v>
      </c>
      <c r="AJ128" s="15"/>
      <c r="AK128" s="15"/>
      <c r="AL128" s="15" t="s">
        <v>188</v>
      </c>
      <c r="AM128" s="15"/>
      <c r="AN128" s="15"/>
      <c r="AO128" s="15"/>
      <c r="AP128" s="15" t="s">
        <v>188</v>
      </c>
      <c r="AQ128" s="15"/>
      <c r="AR128" s="15"/>
      <c r="AS128" s="15"/>
      <c r="AT128" s="15" t="s">
        <v>211</v>
      </c>
      <c r="AU128" s="1">
        <v>7000</v>
      </c>
      <c r="AV128" s="48">
        <v>0.2</v>
      </c>
      <c r="AW128" s="15">
        <v>3</v>
      </c>
      <c r="AX128" s="15">
        <v>2.2000000000000002</v>
      </c>
      <c r="AY128" s="15">
        <v>2</v>
      </c>
      <c r="AZ128" s="15">
        <v>440</v>
      </c>
      <c r="BA128" s="15">
        <v>1200</v>
      </c>
      <c r="BB128" s="15" t="s">
        <v>199</v>
      </c>
      <c r="BC128" s="15" t="s">
        <v>188</v>
      </c>
      <c r="BD128" s="15" t="s">
        <v>199</v>
      </c>
      <c r="BE128" s="1">
        <v>42000</v>
      </c>
      <c r="BF128" s="1">
        <v>21000</v>
      </c>
      <c r="BG128" s="1">
        <v>42000</v>
      </c>
      <c r="BH128" s="1">
        <v>84000</v>
      </c>
      <c r="BI128" s="1">
        <v>42000</v>
      </c>
      <c r="BJ128" s="15"/>
      <c r="BK128" s="15"/>
      <c r="BL128" s="15"/>
      <c r="BM128" s="15"/>
      <c r="BN128" s="15"/>
      <c r="BO128" s="15"/>
      <c r="BP128" s="15"/>
      <c r="BQ128" s="15"/>
      <c r="BR128" s="15"/>
      <c r="BS128" s="2" t="s">
        <v>314</v>
      </c>
      <c r="BT128" s="15"/>
      <c r="BU128" s="15" t="s">
        <v>188</v>
      </c>
      <c r="BV128" s="15"/>
      <c r="BW128" s="15"/>
      <c r="BX128" s="15">
        <v>1</v>
      </c>
      <c r="BY128" s="15">
        <v>3</v>
      </c>
      <c r="BZ128" s="15">
        <v>2</v>
      </c>
      <c r="CA128" s="15"/>
      <c r="CB128" s="15" t="s">
        <v>188</v>
      </c>
      <c r="CC128" s="15"/>
      <c r="CD128" s="15"/>
      <c r="CE128" s="15"/>
      <c r="CF128" s="15"/>
      <c r="CG128" s="15"/>
      <c r="CH128" s="15"/>
      <c r="CI128" s="15"/>
      <c r="CJ128" s="15"/>
      <c r="CK128" s="15" t="s">
        <v>188</v>
      </c>
      <c r="CL128" s="15"/>
      <c r="CM128" s="15"/>
      <c r="CN128" s="15"/>
      <c r="CO128" s="15"/>
      <c r="CP128" s="15" t="s">
        <v>193</v>
      </c>
      <c r="CQ128" s="15" t="s">
        <v>209</v>
      </c>
      <c r="CR128" s="15" t="s">
        <v>188</v>
      </c>
      <c r="CS128" s="15"/>
      <c r="CT128" s="15"/>
      <c r="CU128" s="15"/>
      <c r="CV128" s="15"/>
      <c r="CW128" s="15"/>
      <c r="CX128" s="15" t="s">
        <v>188</v>
      </c>
      <c r="CY128" s="15" t="s">
        <v>188</v>
      </c>
      <c r="CZ128" s="3"/>
      <c r="DA128" s="49"/>
      <c r="DC128" s="18">
        <f t="shared" si="3"/>
        <v>0</v>
      </c>
      <c r="DD128" s="18">
        <f t="shared" si="4"/>
        <v>2</v>
      </c>
      <c r="DE128" s="18">
        <f t="shared" si="5"/>
        <v>1989</v>
      </c>
    </row>
    <row r="129" spans="1:109" x14ac:dyDescent="0.25">
      <c r="A129" s="59" t="s">
        <v>1318</v>
      </c>
      <c r="B129" s="103">
        <v>41543</v>
      </c>
      <c r="C129" s="105" t="s">
        <v>1576</v>
      </c>
      <c r="D129" s="14" t="s">
        <v>526</v>
      </c>
      <c r="E129" s="15"/>
      <c r="F129" s="15" t="s">
        <v>188</v>
      </c>
      <c r="G129" s="15"/>
      <c r="H129" s="15"/>
      <c r="I129" s="15">
        <v>56</v>
      </c>
      <c r="J129" s="15" t="s">
        <v>189</v>
      </c>
      <c r="K129" s="15" t="s">
        <v>190</v>
      </c>
      <c r="L129" s="15" t="s">
        <v>398</v>
      </c>
      <c r="M129" s="15" t="s">
        <v>1032</v>
      </c>
      <c r="N129" s="15" t="s">
        <v>1086</v>
      </c>
      <c r="O129" s="15">
        <v>20</v>
      </c>
      <c r="P129" s="15" t="s">
        <v>188</v>
      </c>
      <c r="Q129" s="15"/>
      <c r="R129" s="15"/>
      <c r="S129" s="15"/>
      <c r="T129" s="15"/>
      <c r="U129" s="15"/>
      <c r="V129" s="15"/>
      <c r="W129" s="15"/>
      <c r="X129" s="15" t="s">
        <v>188</v>
      </c>
      <c r="Y129" s="15"/>
      <c r="Z129" s="15"/>
      <c r="AA129" s="15"/>
      <c r="AB129" s="15"/>
      <c r="AC129" s="15"/>
      <c r="AD129" s="15"/>
      <c r="AE129" s="15"/>
      <c r="AF129" s="15"/>
      <c r="AG129" s="15"/>
      <c r="AH129" s="15">
        <v>1999</v>
      </c>
      <c r="AI129" s="1">
        <v>1000000</v>
      </c>
      <c r="AJ129" s="15"/>
      <c r="AK129" s="15"/>
      <c r="AL129" s="15" t="s">
        <v>188</v>
      </c>
      <c r="AM129" s="15"/>
      <c r="AN129" s="15"/>
      <c r="AO129" s="15"/>
      <c r="AP129" s="15" t="s">
        <v>188</v>
      </c>
      <c r="AQ129" s="15"/>
      <c r="AR129" s="15"/>
      <c r="AS129" s="15"/>
      <c r="AT129" s="15" t="s">
        <v>322</v>
      </c>
      <c r="AU129" s="1">
        <v>2000</v>
      </c>
      <c r="AV129" s="48">
        <v>0.5</v>
      </c>
      <c r="AW129" s="15">
        <v>2.5</v>
      </c>
      <c r="AX129" s="15">
        <v>1.9</v>
      </c>
      <c r="AY129" s="15">
        <v>2</v>
      </c>
      <c r="AZ129" s="15">
        <v>350</v>
      </c>
      <c r="BA129" s="15">
        <v>800</v>
      </c>
      <c r="BB129" s="15" t="s">
        <v>199</v>
      </c>
      <c r="BC129" s="15" t="s">
        <v>188</v>
      </c>
      <c r="BD129" s="15" t="s">
        <v>199</v>
      </c>
      <c r="BE129" s="1">
        <v>13000</v>
      </c>
      <c r="BF129" s="1" t="s">
        <v>193</v>
      </c>
      <c r="BG129" s="1">
        <v>13000</v>
      </c>
      <c r="BH129" s="1" t="s">
        <v>193</v>
      </c>
      <c r="BI129" s="1">
        <v>13000</v>
      </c>
      <c r="BJ129" s="15"/>
      <c r="BK129" s="15"/>
      <c r="BL129" s="15"/>
      <c r="BM129" s="15"/>
      <c r="BN129" s="15"/>
      <c r="BO129" s="15"/>
      <c r="BP129" s="15"/>
      <c r="BQ129" s="15" t="s">
        <v>188</v>
      </c>
      <c r="BR129" s="15"/>
      <c r="BS129" s="2"/>
      <c r="BT129" s="15"/>
      <c r="BU129" s="15"/>
      <c r="BV129" s="15" t="s">
        <v>188</v>
      </c>
      <c r="BW129" s="15"/>
      <c r="BX129" s="15">
        <v>3</v>
      </c>
      <c r="BY129" s="15">
        <v>2</v>
      </c>
      <c r="BZ129" s="15">
        <v>1</v>
      </c>
      <c r="CA129" s="15"/>
      <c r="CB129" s="15"/>
      <c r="CC129" s="15" t="s">
        <v>188</v>
      </c>
      <c r="CD129" s="15"/>
      <c r="CE129" s="15"/>
      <c r="CF129" s="15"/>
      <c r="CG129" s="15"/>
      <c r="CH129" s="15" t="s">
        <v>188</v>
      </c>
      <c r="CI129" s="15" t="s">
        <v>188</v>
      </c>
      <c r="CJ129" s="15"/>
      <c r="CK129" s="15"/>
      <c r="CL129" s="15" t="s">
        <v>188</v>
      </c>
      <c r="CM129" s="15" t="s">
        <v>188</v>
      </c>
      <c r="CN129" s="15" t="s">
        <v>299</v>
      </c>
      <c r="CO129" s="15"/>
      <c r="CP129" s="15" t="s">
        <v>193</v>
      </c>
      <c r="CQ129" s="15" t="s">
        <v>203</v>
      </c>
      <c r="CR129" s="15" t="s">
        <v>188</v>
      </c>
      <c r="CS129" s="15"/>
      <c r="CT129" s="15"/>
      <c r="CU129" s="15"/>
      <c r="CV129" s="15"/>
      <c r="CW129" s="15"/>
      <c r="CX129" s="15" t="s">
        <v>188</v>
      </c>
      <c r="CY129" s="15" t="s">
        <v>188</v>
      </c>
      <c r="CZ129" s="3"/>
      <c r="DA129" s="49"/>
      <c r="DC129" s="18">
        <f t="shared" si="3"/>
        <v>0</v>
      </c>
      <c r="DD129" s="18">
        <f t="shared" si="4"/>
        <v>2</v>
      </c>
      <c r="DE129" s="18">
        <f t="shared" si="5"/>
        <v>1999</v>
      </c>
    </row>
    <row r="130" spans="1:109" x14ac:dyDescent="0.25">
      <c r="A130" s="59" t="s">
        <v>1318</v>
      </c>
      <c r="B130" s="103">
        <v>41543</v>
      </c>
      <c r="C130" s="105" t="s">
        <v>1576</v>
      </c>
      <c r="D130" s="14" t="s">
        <v>527</v>
      </c>
      <c r="E130" s="15" t="s">
        <v>188</v>
      </c>
      <c r="F130" s="15"/>
      <c r="G130" s="15"/>
      <c r="H130" s="15"/>
      <c r="I130" s="15">
        <v>32</v>
      </c>
      <c r="J130" s="15" t="s">
        <v>189</v>
      </c>
      <c r="K130" s="15" t="s">
        <v>214</v>
      </c>
      <c r="L130" s="15" t="s">
        <v>405</v>
      </c>
      <c r="M130" s="15" t="s">
        <v>1037</v>
      </c>
      <c r="N130" s="15" t="s">
        <v>1085</v>
      </c>
      <c r="O130" s="15">
        <v>8</v>
      </c>
      <c r="P130" s="15"/>
      <c r="Q130" s="15"/>
      <c r="R130" s="15"/>
      <c r="S130" s="15" t="s">
        <v>188</v>
      </c>
      <c r="T130" s="15"/>
      <c r="U130" s="15"/>
      <c r="V130" s="15"/>
      <c r="W130" s="15"/>
      <c r="X130" s="15" t="s">
        <v>188</v>
      </c>
      <c r="Y130" s="15"/>
      <c r="Z130" s="15"/>
      <c r="AA130" s="15"/>
      <c r="AB130" s="15"/>
      <c r="AC130" s="15"/>
      <c r="AD130" s="15"/>
      <c r="AE130" s="15"/>
      <c r="AF130" s="15"/>
      <c r="AG130" s="15"/>
      <c r="AH130" s="15">
        <v>2013</v>
      </c>
      <c r="AI130" s="1">
        <v>80000</v>
      </c>
      <c r="AJ130" s="15"/>
      <c r="AK130" s="15"/>
      <c r="AL130" s="15" t="s">
        <v>188</v>
      </c>
      <c r="AM130" s="15"/>
      <c r="AN130" s="15"/>
      <c r="AO130" s="15"/>
      <c r="AP130" s="15" t="s">
        <v>188</v>
      </c>
      <c r="AQ130" s="15"/>
      <c r="AR130" s="15"/>
      <c r="AS130" s="15"/>
      <c r="AT130" s="15" t="s">
        <v>390</v>
      </c>
      <c r="AU130" s="1">
        <v>3600</v>
      </c>
      <c r="AV130" s="48">
        <v>0.3</v>
      </c>
      <c r="AW130" s="15">
        <v>2.8</v>
      </c>
      <c r="AX130" s="15">
        <v>2</v>
      </c>
      <c r="AY130" s="15">
        <v>2</v>
      </c>
      <c r="AZ130" s="15">
        <v>750</v>
      </c>
      <c r="BA130" s="15">
        <v>1800</v>
      </c>
      <c r="BB130" s="15" t="s">
        <v>188</v>
      </c>
      <c r="BC130" s="15" t="s">
        <v>188</v>
      </c>
      <c r="BD130" s="15" t="s">
        <v>188</v>
      </c>
      <c r="BE130" s="1">
        <v>11000</v>
      </c>
      <c r="BF130" s="1">
        <v>15000</v>
      </c>
      <c r="BG130" s="1">
        <v>11000</v>
      </c>
      <c r="BH130" s="1">
        <v>65000</v>
      </c>
      <c r="BI130" s="1">
        <v>11000</v>
      </c>
      <c r="BJ130" s="15"/>
      <c r="BK130" s="15"/>
      <c r="BL130" s="15"/>
      <c r="BM130" s="15"/>
      <c r="BN130" s="15"/>
      <c r="BO130" s="15"/>
      <c r="BP130" s="15"/>
      <c r="BQ130" s="15"/>
      <c r="BR130" s="15"/>
      <c r="BS130" s="2" t="s">
        <v>314</v>
      </c>
      <c r="BT130" s="15"/>
      <c r="BU130" s="15"/>
      <c r="BV130" s="15" t="s">
        <v>188</v>
      </c>
      <c r="BW130" s="15"/>
      <c r="BX130" s="15">
        <v>1</v>
      </c>
      <c r="BY130" s="15">
        <v>2</v>
      </c>
      <c r="BZ130" s="15">
        <v>3</v>
      </c>
      <c r="CA130" s="15"/>
      <c r="CB130" s="15"/>
      <c r="CC130" s="15" t="s">
        <v>188</v>
      </c>
      <c r="CD130" s="15" t="s">
        <v>188</v>
      </c>
      <c r="CE130" s="15" t="s">
        <v>188</v>
      </c>
      <c r="CF130" s="15"/>
      <c r="CG130" s="15"/>
      <c r="CH130" s="15" t="s">
        <v>188</v>
      </c>
      <c r="CI130" s="15" t="s">
        <v>188</v>
      </c>
      <c r="CJ130" s="15"/>
      <c r="CK130" s="15" t="s">
        <v>188</v>
      </c>
      <c r="CL130" s="15"/>
      <c r="CM130" s="15"/>
      <c r="CN130" s="15"/>
      <c r="CO130" s="15"/>
      <c r="CP130" s="15" t="s">
        <v>193</v>
      </c>
      <c r="CQ130" s="15" t="s">
        <v>306</v>
      </c>
      <c r="CR130" s="15" t="s">
        <v>188</v>
      </c>
      <c r="CS130" s="15"/>
      <c r="CT130" s="15"/>
      <c r="CU130" s="15"/>
      <c r="CV130" s="15"/>
      <c r="CW130" s="15"/>
      <c r="CX130" s="15" t="s">
        <v>188</v>
      </c>
      <c r="CY130" s="15" t="s">
        <v>188</v>
      </c>
      <c r="CZ130" s="3"/>
      <c r="DA130" s="49"/>
      <c r="DC130" s="18">
        <f t="shared" si="3"/>
        <v>0</v>
      </c>
      <c r="DD130" s="18">
        <f t="shared" si="4"/>
        <v>1</v>
      </c>
      <c r="DE130" s="18">
        <f t="shared" si="5"/>
        <v>2013</v>
      </c>
    </row>
    <row r="131" spans="1:109" x14ac:dyDescent="0.25">
      <c r="A131" s="59" t="s">
        <v>1318</v>
      </c>
      <c r="B131" s="103">
        <v>41543</v>
      </c>
      <c r="C131" s="105" t="s">
        <v>1576</v>
      </c>
      <c r="D131" s="14" t="s">
        <v>528</v>
      </c>
      <c r="E131" s="15"/>
      <c r="F131" s="15"/>
      <c r="G131" s="15" t="s">
        <v>188</v>
      </c>
      <c r="H131" s="15"/>
      <c r="I131" s="15">
        <v>24</v>
      </c>
      <c r="J131" s="15" t="s">
        <v>189</v>
      </c>
      <c r="K131" s="15" t="s">
        <v>220</v>
      </c>
      <c r="L131" s="15" t="s">
        <v>391</v>
      </c>
      <c r="M131" s="15" t="s">
        <v>1023</v>
      </c>
      <c r="N131" s="15" t="s">
        <v>1084</v>
      </c>
      <c r="O131" s="15">
        <v>2</v>
      </c>
      <c r="P131" s="15" t="s">
        <v>188</v>
      </c>
      <c r="Q131" s="15"/>
      <c r="R131" s="15"/>
      <c r="S131" s="15"/>
      <c r="T131" s="15"/>
      <c r="U131" s="15"/>
      <c r="V131" s="15"/>
      <c r="W131" s="15"/>
      <c r="X131" s="15" t="s">
        <v>188</v>
      </c>
      <c r="Y131" s="15"/>
      <c r="Z131" s="15"/>
      <c r="AA131" s="15"/>
      <c r="AB131" s="15"/>
      <c r="AC131" s="15"/>
      <c r="AD131" s="15"/>
      <c r="AE131" s="15"/>
      <c r="AF131" s="15"/>
      <c r="AG131" s="15"/>
      <c r="AH131" s="15">
        <v>2009</v>
      </c>
      <c r="AI131" s="1">
        <v>500000</v>
      </c>
      <c r="AJ131" s="15"/>
      <c r="AK131" s="15"/>
      <c r="AL131" s="15" t="s">
        <v>188</v>
      </c>
      <c r="AM131" s="15"/>
      <c r="AN131" s="15"/>
      <c r="AO131" s="15"/>
      <c r="AP131" s="15" t="s">
        <v>188</v>
      </c>
      <c r="AQ131" s="15"/>
      <c r="AR131" s="15"/>
      <c r="AS131" s="15"/>
      <c r="AT131" s="15" t="s">
        <v>322</v>
      </c>
      <c r="AU131" s="1">
        <v>2500</v>
      </c>
      <c r="AV131" s="48">
        <v>0.5</v>
      </c>
      <c r="AW131" s="15">
        <v>2.7</v>
      </c>
      <c r="AX131" s="15">
        <v>2.4</v>
      </c>
      <c r="AY131" s="15">
        <v>2</v>
      </c>
      <c r="AZ131" s="15">
        <v>350</v>
      </c>
      <c r="BA131" s="15">
        <v>900</v>
      </c>
      <c r="BB131" s="15" t="s">
        <v>199</v>
      </c>
      <c r="BC131" s="15" t="s">
        <v>188</v>
      </c>
      <c r="BD131" s="15" t="s">
        <v>199</v>
      </c>
      <c r="BE131" s="1">
        <v>10000</v>
      </c>
      <c r="BF131" s="1">
        <v>7500</v>
      </c>
      <c r="BG131" s="1">
        <v>10000</v>
      </c>
      <c r="BH131" s="1">
        <v>30000</v>
      </c>
      <c r="BI131" s="1">
        <v>10000</v>
      </c>
      <c r="BJ131" s="15"/>
      <c r="BK131" s="15"/>
      <c r="BL131" s="15"/>
      <c r="BM131" s="15"/>
      <c r="BN131" s="15"/>
      <c r="BO131" s="15"/>
      <c r="BP131" s="15"/>
      <c r="BQ131" s="15" t="s">
        <v>188</v>
      </c>
      <c r="BR131" s="15"/>
      <c r="BS131" s="2"/>
      <c r="BT131" s="15"/>
      <c r="BU131" s="15"/>
      <c r="BV131" s="15" t="s">
        <v>188</v>
      </c>
      <c r="BW131" s="15"/>
      <c r="BX131" s="15">
        <v>1</v>
      </c>
      <c r="BY131" s="15">
        <v>2</v>
      </c>
      <c r="BZ131" s="15">
        <v>3</v>
      </c>
      <c r="CA131" s="15"/>
      <c r="CB131" s="15" t="s">
        <v>188</v>
      </c>
      <c r="CC131" s="15"/>
      <c r="CD131" s="15"/>
      <c r="CE131" s="15"/>
      <c r="CF131" s="15"/>
      <c r="CG131" s="15"/>
      <c r="CH131" s="15"/>
      <c r="CI131" s="15"/>
      <c r="CJ131" s="15"/>
      <c r="CK131" s="15" t="s">
        <v>188</v>
      </c>
      <c r="CL131" s="15"/>
      <c r="CM131" s="15"/>
      <c r="CN131" s="15"/>
      <c r="CO131" s="15"/>
      <c r="CP131" s="15" t="s">
        <v>193</v>
      </c>
      <c r="CQ131" s="15" t="s">
        <v>209</v>
      </c>
      <c r="CR131" s="15" t="s">
        <v>188</v>
      </c>
      <c r="CS131" s="15"/>
      <c r="CT131" s="15"/>
      <c r="CU131" s="15"/>
      <c r="CV131" s="15"/>
      <c r="CW131" s="15"/>
      <c r="CX131" s="15" t="s">
        <v>188</v>
      </c>
      <c r="CY131" s="15" t="s">
        <v>188</v>
      </c>
      <c r="CZ131" s="3"/>
      <c r="DA131" s="49"/>
      <c r="DC131" s="18">
        <f t="shared" si="3"/>
        <v>0</v>
      </c>
      <c r="DD131" s="18">
        <f t="shared" si="4"/>
        <v>3</v>
      </c>
      <c r="DE131" s="18">
        <f t="shared" si="5"/>
        <v>2009</v>
      </c>
    </row>
    <row r="132" spans="1:109" x14ac:dyDescent="0.25">
      <c r="A132" s="59" t="s">
        <v>1318</v>
      </c>
      <c r="B132" s="103">
        <v>41543</v>
      </c>
      <c r="C132" s="105" t="s">
        <v>1576</v>
      </c>
      <c r="D132" s="14" t="s">
        <v>529</v>
      </c>
      <c r="E132" s="15"/>
      <c r="F132" s="15"/>
      <c r="G132" s="15" t="s">
        <v>188</v>
      </c>
      <c r="H132" s="15"/>
      <c r="I132" s="15">
        <v>30</v>
      </c>
      <c r="J132" s="15" t="s">
        <v>189</v>
      </c>
      <c r="K132" s="15" t="s">
        <v>196</v>
      </c>
      <c r="L132" s="15" t="s">
        <v>413</v>
      </c>
      <c r="M132" s="15" t="s">
        <v>1041</v>
      </c>
      <c r="N132" s="15" t="s">
        <v>1085</v>
      </c>
      <c r="O132" s="15">
        <v>10</v>
      </c>
      <c r="P132" s="15"/>
      <c r="Q132" s="15"/>
      <c r="R132" s="15"/>
      <c r="S132" s="15" t="s">
        <v>188</v>
      </c>
      <c r="T132" s="15"/>
      <c r="U132" s="15" t="s">
        <v>188</v>
      </c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>
        <v>2011</v>
      </c>
      <c r="AI132" s="1">
        <v>98000</v>
      </c>
      <c r="AJ132" s="15"/>
      <c r="AK132" s="15"/>
      <c r="AL132" s="15" t="s">
        <v>188</v>
      </c>
      <c r="AM132" s="15"/>
      <c r="AN132" s="15"/>
      <c r="AO132" s="15"/>
      <c r="AP132" s="15" t="s">
        <v>188</v>
      </c>
      <c r="AQ132" s="15"/>
      <c r="AR132" s="15"/>
      <c r="AS132" s="15"/>
      <c r="AT132" s="15" t="s">
        <v>322</v>
      </c>
      <c r="AU132" s="1">
        <v>9800</v>
      </c>
      <c r="AV132" s="48">
        <v>0.5</v>
      </c>
      <c r="AW132" s="15">
        <v>1.8</v>
      </c>
      <c r="AX132" s="15">
        <v>1.5</v>
      </c>
      <c r="AY132" s="15">
        <v>2</v>
      </c>
      <c r="AZ132" s="15">
        <v>530</v>
      </c>
      <c r="BA132" s="15">
        <v>900</v>
      </c>
      <c r="BB132" s="15" t="s">
        <v>199</v>
      </c>
      <c r="BC132" s="15" t="s">
        <v>188</v>
      </c>
      <c r="BD132" s="15" t="s">
        <v>199</v>
      </c>
      <c r="BE132" s="1">
        <v>10000</v>
      </c>
      <c r="BF132" s="1">
        <v>8000</v>
      </c>
      <c r="BG132" s="1">
        <v>10000</v>
      </c>
      <c r="BH132" s="1">
        <v>100000</v>
      </c>
      <c r="BI132" s="1">
        <v>10000</v>
      </c>
      <c r="BJ132" s="15"/>
      <c r="BK132" s="15" t="s">
        <v>188</v>
      </c>
      <c r="BL132" s="15"/>
      <c r="BM132" s="15"/>
      <c r="BN132" s="15"/>
      <c r="BO132" s="15"/>
      <c r="BP132" s="15"/>
      <c r="BQ132" s="15"/>
      <c r="BR132" s="15"/>
      <c r="BS132" s="2"/>
      <c r="BT132" s="15"/>
      <c r="BU132" s="15" t="s">
        <v>188</v>
      </c>
      <c r="BV132" s="15"/>
      <c r="BW132" s="15"/>
      <c r="BX132" s="15">
        <v>1</v>
      </c>
      <c r="BY132" s="15">
        <v>3</v>
      </c>
      <c r="BZ132" s="15">
        <v>2</v>
      </c>
      <c r="CA132" s="15"/>
      <c r="CB132" s="15" t="s">
        <v>188</v>
      </c>
      <c r="CC132" s="15"/>
      <c r="CD132" s="15"/>
      <c r="CE132" s="15"/>
      <c r="CF132" s="15"/>
      <c r="CG132" s="15"/>
      <c r="CH132" s="15"/>
      <c r="CI132" s="15"/>
      <c r="CJ132" s="15"/>
      <c r="CK132" s="15" t="s">
        <v>188</v>
      </c>
      <c r="CL132" s="15"/>
      <c r="CM132" s="15"/>
      <c r="CN132" s="15"/>
      <c r="CO132" s="15"/>
      <c r="CP132" s="15" t="s">
        <v>193</v>
      </c>
      <c r="CQ132" s="15" t="s">
        <v>300</v>
      </c>
      <c r="CR132" s="15"/>
      <c r="CS132" s="15"/>
      <c r="CT132" s="15" t="s">
        <v>188</v>
      </c>
      <c r="CU132" s="15"/>
      <c r="CV132" s="15"/>
      <c r="CW132" s="15"/>
      <c r="CX132" s="15" t="s">
        <v>188</v>
      </c>
      <c r="CY132" s="15" t="s">
        <v>188</v>
      </c>
      <c r="CZ132" s="3"/>
      <c r="DA132" s="49"/>
      <c r="DC132" s="18">
        <f t="shared" si="3"/>
        <v>0</v>
      </c>
      <c r="DD132" s="18">
        <f t="shared" si="4"/>
        <v>3</v>
      </c>
      <c r="DE132" s="18">
        <f t="shared" si="5"/>
        <v>2011</v>
      </c>
    </row>
    <row r="133" spans="1:109" x14ac:dyDescent="0.25">
      <c r="A133" s="59" t="s">
        <v>1318</v>
      </c>
      <c r="B133" s="103">
        <v>41543</v>
      </c>
      <c r="C133" s="105" t="s">
        <v>1576</v>
      </c>
      <c r="D133" s="14" t="s">
        <v>530</v>
      </c>
      <c r="E133" s="15"/>
      <c r="F133" s="15" t="s">
        <v>188</v>
      </c>
      <c r="G133" s="15"/>
      <c r="H133" s="15"/>
      <c r="I133" s="15">
        <v>26</v>
      </c>
      <c r="J133" s="15" t="s">
        <v>189</v>
      </c>
      <c r="K133" s="15" t="s">
        <v>190</v>
      </c>
      <c r="L133" s="15" t="s">
        <v>399</v>
      </c>
      <c r="M133" s="15" t="s">
        <v>1033</v>
      </c>
      <c r="N133" s="15" t="s">
        <v>1085</v>
      </c>
      <c r="O133" s="15">
        <v>7</v>
      </c>
      <c r="P133" s="15"/>
      <c r="Q133" s="15"/>
      <c r="R133" s="15"/>
      <c r="S133" s="15" t="s">
        <v>188</v>
      </c>
      <c r="T133" s="15"/>
      <c r="U133" s="15"/>
      <c r="V133" s="15"/>
      <c r="W133" s="15"/>
      <c r="X133" s="15"/>
      <c r="Y133" s="15"/>
      <c r="Z133" s="15"/>
      <c r="AA133" s="15"/>
      <c r="AB133" s="15" t="s">
        <v>188</v>
      </c>
      <c r="AC133" s="15"/>
      <c r="AD133" s="15"/>
      <c r="AE133" s="15"/>
      <c r="AF133" s="15"/>
      <c r="AG133" s="15"/>
      <c r="AH133" s="15">
        <v>1990</v>
      </c>
      <c r="AI133" s="1">
        <v>1195000</v>
      </c>
      <c r="AJ133" s="15"/>
      <c r="AK133" s="15"/>
      <c r="AL133" s="15" t="s">
        <v>188</v>
      </c>
      <c r="AM133" s="15"/>
      <c r="AN133" s="15"/>
      <c r="AO133" s="15"/>
      <c r="AP133" s="15" t="s">
        <v>188</v>
      </c>
      <c r="AQ133" s="15"/>
      <c r="AR133" s="15"/>
      <c r="AS133" s="15"/>
      <c r="AT133" s="15" t="s">
        <v>1316</v>
      </c>
      <c r="AU133" s="1">
        <v>6000</v>
      </c>
      <c r="AV133" s="48">
        <v>0.2</v>
      </c>
      <c r="AW133" s="15">
        <v>2.5</v>
      </c>
      <c r="AX133" s="15">
        <v>1.1000000000000001</v>
      </c>
      <c r="AY133" s="15">
        <v>2</v>
      </c>
      <c r="AZ133" s="15">
        <v>770</v>
      </c>
      <c r="BA133" s="15">
        <v>1000</v>
      </c>
      <c r="BB133" s="15" t="s">
        <v>188</v>
      </c>
      <c r="BC133" s="15" t="s">
        <v>188</v>
      </c>
      <c r="BD133" s="15" t="s">
        <v>199</v>
      </c>
      <c r="BE133" s="1">
        <v>3000</v>
      </c>
      <c r="BF133" s="1">
        <v>72000</v>
      </c>
      <c r="BG133" s="1">
        <v>36000</v>
      </c>
      <c r="BH133" s="1">
        <v>110000</v>
      </c>
      <c r="BI133" s="1">
        <v>36000</v>
      </c>
      <c r="BJ133" s="15"/>
      <c r="BK133" s="15"/>
      <c r="BL133" s="15"/>
      <c r="BM133" s="15" t="s">
        <v>188</v>
      </c>
      <c r="BN133" s="15"/>
      <c r="BO133" s="15"/>
      <c r="BP133" s="15"/>
      <c r="BQ133" s="15"/>
      <c r="BR133" s="15"/>
      <c r="BS133" s="2"/>
      <c r="BT133" s="15"/>
      <c r="BU133" s="15"/>
      <c r="BV133" s="15" t="s">
        <v>188</v>
      </c>
      <c r="BW133" s="15"/>
      <c r="BX133" s="15">
        <v>1</v>
      </c>
      <c r="BY133" s="15">
        <v>3</v>
      </c>
      <c r="BZ133" s="15">
        <v>2</v>
      </c>
      <c r="CA133" s="15"/>
      <c r="CB133" s="15"/>
      <c r="CC133" s="15" t="s">
        <v>188</v>
      </c>
      <c r="CD133" s="15"/>
      <c r="CE133" s="15"/>
      <c r="CF133" s="15"/>
      <c r="CG133" s="15" t="s">
        <v>188</v>
      </c>
      <c r="CH133" s="15" t="s">
        <v>188</v>
      </c>
      <c r="CI133" s="15"/>
      <c r="CJ133" s="15"/>
      <c r="CK133" s="15"/>
      <c r="CL133" s="15" t="s">
        <v>188</v>
      </c>
      <c r="CM133" s="15" t="s">
        <v>188</v>
      </c>
      <c r="CN133" s="15" t="s">
        <v>299</v>
      </c>
      <c r="CO133" s="15"/>
      <c r="CP133" s="15" t="s">
        <v>193</v>
      </c>
      <c r="CQ133" s="15" t="s">
        <v>203</v>
      </c>
      <c r="CR133" s="15"/>
      <c r="CS133" s="15" t="s">
        <v>188</v>
      </c>
      <c r="CT133" s="15"/>
      <c r="CU133" s="15"/>
      <c r="CV133" s="15"/>
      <c r="CW133" s="15"/>
      <c r="CX133" s="15"/>
      <c r="CY133" s="15" t="s">
        <v>188</v>
      </c>
      <c r="CZ133" s="3"/>
      <c r="DA133" s="49"/>
      <c r="DC133" s="18">
        <f t="shared" si="3"/>
        <v>0</v>
      </c>
      <c r="DD133" s="18">
        <f t="shared" si="4"/>
        <v>2</v>
      </c>
      <c r="DE133" s="18">
        <f t="shared" si="5"/>
        <v>1990</v>
      </c>
    </row>
    <row r="134" spans="1:109" x14ac:dyDescent="0.25">
      <c r="A134" s="59" t="s">
        <v>1318</v>
      </c>
      <c r="B134" s="103">
        <v>41543</v>
      </c>
      <c r="C134" s="105" t="s">
        <v>1576</v>
      </c>
      <c r="D134" s="14" t="s">
        <v>531</v>
      </c>
      <c r="E134" s="15"/>
      <c r="F134" s="15"/>
      <c r="G134" s="15" t="s">
        <v>188</v>
      </c>
      <c r="H134" s="15"/>
      <c r="I134" s="15">
        <v>49</v>
      </c>
      <c r="J134" s="15" t="s">
        <v>189</v>
      </c>
      <c r="K134" s="15" t="s">
        <v>190</v>
      </c>
      <c r="L134" s="15" t="s">
        <v>558</v>
      </c>
      <c r="M134" s="50" t="s">
        <v>1054</v>
      </c>
      <c r="N134" s="50" t="s">
        <v>1066</v>
      </c>
      <c r="O134" s="15">
        <v>23</v>
      </c>
      <c r="P134" s="15" t="s">
        <v>188</v>
      </c>
      <c r="Q134" s="15"/>
      <c r="R134" s="15"/>
      <c r="S134" s="15"/>
      <c r="T134" s="15"/>
      <c r="U134" s="15"/>
      <c r="V134" s="15"/>
      <c r="W134" s="15"/>
      <c r="X134" s="15"/>
      <c r="Y134" s="15" t="s">
        <v>188</v>
      </c>
      <c r="Z134" s="15"/>
      <c r="AA134" s="15"/>
      <c r="AB134" s="15"/>
      <c r="AC134" s="15"/>
      <c r="AD134" s="15"/>
      <c r="AE134" s="15"/>
      <c r="AF134" s="15"/>
      <c r="AG134" s="15"/>
      <c r="AH134" s="15">
        <v>2003</v>
      </c>
      <c r="AI134" s="1">
        <v>2600000</v>
      </c>
      <c r="AJ134" s="15"/>
      <c r="AK134" s="15"/>
      <c r="AL134" s="15" t="s">
        <v>188</v>
      </c>
      <c r="AM134" s="15"/>
      <c r="AN134" s="15"/>
      <c r="AO134" s="15"/>
      <c r="AP134" s="15" t="s">
        <v>188</v>
      </c>
      <c r="AQ134" s="15"/>
      <c r="AR134" s="15"/>
      <c r="AS134" s="15"/>
      <c r="AT134" s="15" t="s">
        <v>322</v>
      </c>
      <c r="AU134" s="1">
        <f>700*22</f>
        <v>15400</v>
      </c>
      <c r="AV134" s="48">
        <v>0.5</v>
      </c>
      <c r="AW134" s="15">
        <v>3.2</v>
      </c>
      <c r="AX134" s="15">
        <v>2.1</v>
      </c>
      <c r="AY134" s="15">
        <v>2</v>
      </c>
      <c r="AZ134" s="15">
        <v>640</v>
      </c>
      <c r="BA134" s="15">
        <v>1800</v>
      </c>
      <c r="BB134" s="15" t="s">
        <v>199</v>
      </c>
      <c r="BC134" s="15" t="s">
        <v>188</v>
      </c>
      <c r="BD134" s="15" t="s">
        <v>199</v>
      </c>
      <c r="BE134" s="1">
        <v>20000</v>
      </c>
      <c r="BF134" s="1">
        <v>20000</v>
      </c>
      <c r="BG134" s="1">
        <v>20000</v>
      </c>
      <c r="BH134" s="1" t="s">
        <v>193</v>
      </c>
      <c r="BI134" s="1">
        <v>20000</v>
      </c>
      <c r="BJ134" s="15"/>
      <c r="BK134" s="15"/>
      <c r="BL134" s="15"/>
      <c r="BM134" s="15"/>
      <c r="BN134" s="15"/>
      <c r="BO134" s="15"/>
      <c r="BP134" s="15"/>
      <c r="BQ134" s="15"/>
      <c r="BR134" s="15" t="s">
        <v>188</v>
      </c>
      <c r="BS134" s="2"/>
      <c r="BT134" s="15"/>
      <c r="BU134" s="15"/>
      <c r="BV134" s="15"/>
      <c r="BW134" s="15"/>
      <c r="BX134" s="15">
        <v>1</v>
      </c>
      <c r="BY134" s="15">
        <v>3</v>
      </c>
      <c r="BZ134" s="15">
        <v>2</v>
      </c>
      <c r="CA134" s="15"/>
      <c r="CB134" s="15" t="s">
        <v>188</v>
      </c>
      <c r="CC134" s="15"/>
      <c r="CD134" s="15"/>
      <c r="CE134" s="15"/>
      <c r="CF134" s="15"/>
      <c r="CG134" s="15"/>
      <c r="CH134" s="15"/>
      <c r="CI134" s="15"/>
      <c r="CJ134" s="15"/>
      <c r="CK134" s="15" t="s">
        <v>188</v>
      </c>
      <c r="CL134" s="15"/>
      <c r="CM134" s="15"/>
      <c r="CN134" s="15"/>
      <c r="CO134" s="15"/>
      <c r="CP134" s="15" t="s">
        <v>193</v>
      </c>
      <c r="CQ134" s="15" t="s">
        <v>209</v>
      </c>
      <c r="CR134" s="15"/>
      <c r="CS134" s="15"/>
      <c r="CT134" s="15" t="s">
        <v>188</v>
      </c>
      <c r="CU134" s="15"/>
      <c r="CV134" s="15"/>
      <c r="CW134" s="15"/>
      <c r="CX134" s="15" t="s">
        <v>188</v>
      </c>
      <c r="CY134" s="15" t="s">
        <v>188</v>
      </c>
      <c r="CZ134" s="3"/>
      <c r="DA134" s="49"/>
      <c r="DC134" s="18">
        <f t="shared" si="3"/>
        <v>0</v>
      </c>
      <c r="DD134" s="18">
        <f t="shared" si="4"/>
        <v>3</v>
      </c>
      <c r="DE134" s="18">
        <f t="shared" si="5"/>
        <v>2003</v>
      </c>
    </row>
    <row r="135" spans="1:109" x14ac:dyDescent="0.25">
      <c r="A135" s="59" t="s">
        <v>1318</v>
      </c>
      <c r="B135" s="103">
        <v>41543</v>
      </c>
      <c r="C135" s="105" t="s">
        <v>1576</v>
      </c>
      <c r="D135" s="14" t="s">
        <v>532</v>
      </c>
      <c r="E135" s="15"/>
      <c r="F135" s="15"/>
      <c r="G135" s="15" t="s">
        <v>188</v>
      </c>
      <c r="H135" s="15"/>
      <c r="I135" s="15">
        <v>25</v>
      </c>
      <c r="J135" s="15" t="s">
        <v>189</v>
      </c>
      <c r="K135" s="15" t="s">
        <v>190</v>
      </c>
      <c r="L135" s="15" t="s">
        <v>404</v>
      </c>
      <c r="M135" s="15" t="s">
        <v>1036</v>
      </c>
      <c r="N135" s="15" t="s">
        <v>1085</v>
      </c>
      <c r="O135" s="15">
        <v>5</v>
      </c>
      <c r="P135" s="15"/>
      <c r="Q135" s="15"/>
      <c r="R135" s="15"/>
      <c r="S135" s="15" t="s">
        <v>188</v>
      </c>
      <c r="T135" s="15"/>
      <c r="U135" s="15"/>
      <c r="V135" s="15"/>
      <c r="W135" s="15"/>
      <c r="X135" s="15" t="s">
        <v>188</v>
      </c>
      <c r="Y135" s="15"/>
      <c r="Z135" s="15"/>
      <c r="AA135" s="15"/>
      <c r="AB135" s="15"/>
      <c r="AC135" s="15"/>
      <c r="AD135" s="15"/>
      <c r="AE135" s="15"/>
      <c r="AF135" s="15"/>
      <c r="AG135" s="15"/>
      <c r="AH135" s="15">
        <v>1994</v>
      </c>
      <c r="AI135" s="1" t="s">
        <v>193</v>
      </c>
      <c r="AJ135" s="15"/>
      <c r="AK135" s="15"/>
      <c r="AL135" s="15" t="s">
        <v>188</v>
      </c>
      <c r="AM135" s="15"/>
      <c r="AN135" s="15"/>
      <c r="AO135" s="15" t="s">
        <v>188</v>
      </c>
      <c r="AP135" s="15"/>
      <c r="AQ135" s="15"/>
      <c r="AR135" s="15"/>
      <c r="AS135" s="15"/>
      <c r="AT135" s="15" t="s">
        <v>322</v>
      </c>
      <c r="AU135" s="1">
        <v>15000</v>
      </c>
      <c r="AV135" s="48">
        <v>0.05</v>
      </c>
      <c r="AW135" s="15">
        <v>2.1</v>
      </c>
      <c r="AX135" s="15">
        <v>2</v>
      </c>
      <c r="AY135" s="15">
        <v>3</v>
      </c>
      <c r="AZ135" s="15">
        <v>1200</v>
      </c>
      <c r="BA135" s="15">
        <v>2500</v>
      </c>
      <c r="BB135" s="15" t="s">
        <v>188</v>
      </c>
      <c r="BC135" s="15" t="s">
        <v>188</v>
      </c>
      <c r="BD135" s="15" t="s">
        <v>199</v>
      </c>
      <c r="BE135" s="1">
        <v>75000</v>
      </c>
      <c r="BF135" s="1" t="s">
        <v>193</v>
      </c>
      <c r="BG135" s="1">
        <v>75000</v>
      </c>
      <c r="BH135" s="1">
        <v>180000</v>
      </c>
      <c r="BI135" s="1">
        <v>75000</v>
      </c>
      <c r="BJ135" s="15" t="s">
        <v>188</v>
      </c>
      <c r="BK135" s="15"/>
      <c r="BL135" s="15"/>
      <c r="BM135" s="15"/>
      <c r="BN135" s="15"/>
      <c r="BO135" s="15"/>
      <c r="BP135" s="15"/>
      <c r="BQ135" s="15"/>
      <c r="BR135" s="15"/>
      <c r="BS135" s="2"/>
      <c r="BT135" s="15"/>
      <c r="BU135" s="15" t="s">
        <v>188</v>
      </c>
      <c r="BV135" s="15"/>
      <c r="BW135" s="15"/>
      <c r="BX135" s="15">
        <v>1</v>
      </c>
      <c r="BY135" s="15">
        <v>2</v>
      </c>
      <c r="BZ135" s="15">
        <v>3</v>
      </c>
      <c r="CA135" s="15"/>
      <c r="CB135" s="15" t="s">
        <v>188</v>
      </c>
      <c r="CC135" s="15"/>
      <c r="CD135" s="15"/>
      <c r="CE135" s="15"/>
      <c r="CF135" s="15"/>
      <c r="CG135" s="15"/>
      <c r="CH135" s="15"/>
      <c r="CI135" s="15"/>
      <c r="CJ135" s="15"/>
      <c r="CK135" s="15" t="s">
        <v>188</v>
      </c>
      <c r="CL135" s="15"/>
      <c r="CM135" s="15"/>
      <c r="CN135" s="15"/>
      <c r="CO135" s="15"/>
      <c r="CP135" s="15" t="s">
        <v>193</v>
      </c>
      <c r="CQ135" s="15" t="s">
        <v>300</v>
      </c>
      <c r="CR135" s="15"/>
      <c r="CS135" s="15"/>
      <c r="CT135" s="15" t="s">
        <v>188</v>
      </c>
      <c r="CU135" s="15"/>
      <c r="CV135" s="15"/>
      <c r="CW135" s="15"/>
      <c r="CX135" s="15"/>
      <c r="CY135" s="15" t="s">
        <v>188</v>
      </c>
      <c r="CZ135" s="3"/>
      <c r="DA135" s="49"/>
      <c r="DC135" s="18">
        <f t="shared" si="3"/>
        <v>0</v>
      </c>
      <c r="DD135" s="18">
        <f t="shared" si="4"/>
        <v>3</v>
      </c>
      <c r="DE135" s="18">
        <f t="shared" si="5"/>
        <v>1994</v>
      </c>
    </row>
    <row r="136" spans="1:109" x14ac:dyDescent="0.25">
      <c r="A136" s="59" t="s">
        <v>1318</v>
      </c>
      <c r="B136" s="103">
        <v>41543</v>
      </c>
      <c r="C136" s="105" t="s">
        <v>1576</v>
      </c>
      <c r="D136" s="14" t="s">
        <v>533</v>
      </c>
      <c r="E136" s="15"/>
      <c r="F136" s="15"/>
      <c r="G136" s="15" t="s">
        <v>188</v>
      </c>
      <c r="H136" s="15"/>
      <c r="I136" s="15">
        <v>47</v>
      </c>
      <c r="J136" s="15" t="s">
        <v>189</v>
      </c>
      <c r="K136" s="15" t="s">
        <v>190</v>
      </c>
      <c r="L136" s="15" t="s">
        <v>393</v>
      </c>
      <c r="M136" s="15" t="s">
        <v>1025</v>
      </c>
      <c r="N136" s="15" t="s">
        <v>1084</v>
      </c>
      <c r="O136" s="15">
        <v>13</v>
      </c>
      <c r="P136" s="15" t="s">
        <v>188</v>
      </c>
      <c r="Q136" s="15"/>
      <c r="R136" s="15"/>
      <c r="S136" s="15"/>
      <c r="T136" s="15"/>
      <c r="U136" s="15"/>
      <c r="V136" s="15" t="s">
        <v>188</v>
      </c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>
        <v>2009</v>
      </c>
      <c r="AI136" s="1">
        <v>180000</v>
      </c>
      <c r="AJ136" s="15" t="s">
        <v>188</v>
      </c>
      <c r="AK136" s="15"/>
      <c r="AL136" s="15"/>
      <c r="AM136" s="15"/>
      <c r="AN136" s="15"/>
      <c r="AO136" s="15" t="s">
        <v>188</v>
      </c>
      <c r="AP136" s="15"/>
      <c r="AQ136" s="15"/>
      <c r="AR136" s="15"/>
      <c r="AS136" s="15"/>
      <c r="AT136" s="15" t="s">
        <v>249</v>
      </c>
      <c r="AU136" s="1">
        <v>6000</v>
      </c>
      <c r="AV136" s="48">
        <v>0.5</v>
      </c>
      <c r="AW136" s="15">
        <v>7.5</v>
      </c>
      <c r="AX136" s="15">
        <v>6</v>
      </c>
      <c r="AY136" s="15">
        <v>1</v>
      </c>
      <c r="AZ136" s="15">
        <v>70</v>
      </c>
      <c r="BA136" s="15">
        <v>350</v>
      </c>
      <c r="BB136" s="15" t="s">
        <v>199</v>
      </c>
      <c r="BC136" s="15" t="s">
        <v>199</v>
      </c>
      <c r="BD136" s="15" t="s">
        <v>199</v>
      </c>
      <c r="BE136" s="1">
        <v>6000</v>
      </c>
      <c r="BF136" s="1">
        <v>18000</v>
      </c>
      <c r="BG136" s="1">
        <v>18000</v>
      </c>
      <c r="BH136" s="1">
        <v>70000</v>
      </c>
      <c r="BI136" s="1" t="s">
        <v>234</v>
      </c>
      <c r="BJ136" s="15"/>
      <c r="BK136" s="15"/>
      <c r="BL136" s="15"/>
      <c r="BM136" s="15"/>
      <c r="BN136" s="15"/>
      <c r="BO136" s="15"/>
      <c r="BP136" s="15"/>
      <c r="BQ136" s="15"/>
      <c r="BR136" s="15" t="s">
        <v>188</v>
      </c>
      <c r="BS136" s="2"/>
      <c r="BT136" s="15"/>
      <c r="BU136" s="15" t="s">
        <v>188</v>
      </c>
      <c r="BV136" s="15"/>
      <c r="BW136" s="15"/>
      <c r="BX136" s="15">
        <v>1</v>
      </c>
      <c r="BY136" s="15">
        <v>3</v>
      </c>
      <c r="BZ136" s="15">
        <v>2</v>
      </c>
      <c r="CA136" s="15"/>
      <c r="CB136" s="15" t="s">
        <v>188</v>
      </c>
      <c r="CC136" s="15"/>
      <c r="CD136" s="15"/>
      <c r="CE136" s="15"/>
      <c r="CF136" s="15"/>
      <c r="CG136" s="15"/>
      <c r="CH136" s="15"/>
      <c r="CI136" s="15"/>
      <c r="CJ136" s="15"/>
      <c r="CK136" s="15" t="s">
        <v>188</v>
      </c>
      <c r="CL136" s="15"/>
      <c r="CM136" s="15"/>
      <c r="CN136" s="15"/>
      <c r="CO136" s="15"/>
      <c r="CP136" s="15" t="s">
        <v>193</v>
      </c>
      <c r="CQ136" s="15" t="s">
        <v>193</v>
      </c>
      <c r="CR136" s="15"/>
      <c r="CS136" s="15" t="s">
        <v>188</v>
      </c>
      <c r="CT136" s="15" t="s">
        <v>188</v>
      </c>
      <c r="CU136" s="15"/>
      <c r="CV136" s="15"/>
      <c r="CW136" s="15"/>
      <c r="CX136" s="15" t="s">
        <v>188</v>
      </c>
      <c r="CY136" s="15" t="s">
        <v>188</v>
      </c>
      <c r="CZ136" s="3"/>
      <c r="DA136" s="49" t="s">
        <v>559</v>
      </c>
      <c r="DC136" s="18">
        <f t="shared" ref="DC136:DC199" si="6">IF(AX136&gt;AW136,1,0)</f>
        <v>0</v>
      </c>
      <c r="DD136" s="18">
        <f t="shared" ref="DD136:DD199" si="7">IF(E136="X",1,(IF(F136="X",2,(IF(G136="X",3,7)))))</f>
        <v>3</v>
      </c>
      <c r="DE136" s="18">
        <f t="shared" ref="DE136:DE199" si="8">IF(AS136&gt;AH136,AS136,AH136)</f>
        <v>2009</v>
      </c>
    </row>
    <row r="137" spans="1:109" x14ac:dyDescent="0.25">
      <c r="A137" s="59" t="s">
        <v>1318</v>
      </c>
      <c r="B137" s="103">
        <v>41543</v>
      </c>
      <c r="C137" s="105" t="s">
        <v>1576</v>
      </c>
      <c r="D137" s="14" t="s">
        <v>534</v>
      </c>
      <c r="E137" s="15"/>
      <c r="F137" s="15"/>
      <c r="G137" s="15" t="s">
        <v>188</v>
      </c>
      <c r="H137" s="15"/>
      <c r="I137" s="15">
        <v>50</v>
      </c>
      <c r="J137" s="15" t="s">
        <v>189</v>
      </c>
      <c r="K137" s="15" t="s">
        <v>196</v>
      </c>
      <c r="L137" s="15" t="s">
        <v>417</v>
      </c>
      <c r="M137" s="50" t="s">
        <v>1045</v>
      </c>
      <c r="N137" s="15" t="s">
        <v>1084</v>
      </c>
      <c r="O137" s="15">
        <v>30</v>
      </c>
      <c r="P137" s="15" t="s">
        <v>188</v>
      </c>
      <c r="Q137" s="15"/>
      <c r="R137" s="15"/>
      <c r="S137" s="15"/>
      <c r="T137" s="15"/>
      <c r="U137" s="15" t="s">
        <v>188</v>
      </c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>
        <v>2012</v>
      </c>
      <c r="AI137" s="1">
        <v>300000</v>
      </c>
      <c r="AJ137" s="15"/>
      <c r="AK137" s="15"/>
      <c r="AL137" s="15" t="s">
        <v>188</v>
      </c>
      <c r="AM137" s="15"/>
      <c r="AN137" s="15"/>
      <c r="AO137" s="15"/>
      <c r="AP137" s="15" t="s">
        <v>188</v>
      </c>
      <c r="AQ137" s="15"/>
      <c r="AR137" s="15"/>
      <c r="AS137" s="15"/>
      <c r="AT137" s="15" t="s">
        <v>237</v>
      </c>
      <c r="AU137" s="1">
        <v>4000</v>
      </c>
      <c r="AV137" s="48">
        <v>0.5</v>
      </c>
      <c r="AW137" s="15">
        <v>2.5</v>
      </c>
      <c r="AX137" s="15">
        <v>2.2999999999999998</v>
      </c>
      <c r="AY137" s="15">
        <v>2</v>
      </c>
      <c r="AZ137" s="15">
        <v>420</v>
      </c>
      <c r="BA137" s="15">
        <v>1000</v>
      </c>
      <c r="BB137" s="15" t="s">
        <v>188</v>
      </c>
      <c r="BC137" s="15" t="s">
        <v>188</v>
      </c>
      <c r="BD137" s="15" t="s">
        <v>199</v>
      </c>
      <c r="BE137" s="1">
        <v>20000</v>
      </c>
      <c r="BF137" s="1">
        <v>15000</v>
      </c>
      <c r="BG137" s="1">
        <v>20000</v>
      </c>
      <c r="BH137" s="1">
        <v>60000</v>
      </c>
      <c r="BI137" s="1">
        <v>20000</v>
      </c>
      <c r="BJ137" s="15"/>
      <c r="BK137" s="15"/>
      <c r="BL137" s="15"/>
      <c r="BM137" s="15" t="s">
        <v>188</v>
      </c>
      <c r="BN137" s="15"/>
      <c r="BO137" s="15"/>
      <c r="BP137" s="15"/>
      <c r="BQ137" s="15"/>
      <c r="BR137" s="15"/>
      <c r="BS137" s="2"/>
      <c r="BT137" s="15"/>
      <c r="BU137" s="15" t="s">
        <v>188</v>
      </c>
      <c r="BV137" s="15"/>
      <c r="BW137" s="15"/>
      <c r="BX137" s="15">
        <v>2</v>
      </c>
      <c r="BY137" s="15">
        <v>3</v>
      </c>
      <c r="BZ137" s="15">
        <v>4</v>
      </c>
      <c r="CA137" s="15" t="s">
        <v>208</v>
      </c>
      <c r="CB137" s="15" t="s">
        <v>188</v>
      </c>
      <c r="CC137" s="15"/>
      <c r="CD137" s="15"/>
      <c r="CE137" s="15"/>
      <c r="CF137" s="15"/>
      <c r="CG137" s="15"/>
      <c r="CH137" s="15"/>
      <c r="CI137" s="15"/>
      <c r="CJ137" s="15"/>
      <c r="CK137" s="15" t="s">
        <v>188</v>
      </c>
      <c r="CL137" s="15"/>
      <c r="CM137" s="15"/>
      <c r="CN137" s="15"/>
      <c r="CO137" s="15"/>
      <c r="CP137" s="15" t="s">
        <v>193</v>
      </c>
      <c r="CQ137" s="15" t="s">
        <v>306</v>
      </c>
      <c r="CR137" s="15"/>
      <c r="CS137" s="15"/>
      <c r="CT137" s="15"/>
      <c r="CU137" s="15" t="s">
        <v>359</v>
      </c>
      <c r="CV137" s="15"/>
      <c r="CW137" s="15"/>
      <c r="CX137" s="15" t="s">
        <v>188</v>
      </c>
      <c r="CY137" s="15" t="s">
        <v>188</v>
      </c>
      <c r="CZ137" s="3"/>
      <c r="DA137" s="49"/>
      <c r="DC137" s="18">
        <f t="shared" si="6"/>
        <v>0</v>
      </c>
      <c r="DD137" s="18">
        <f t="shared" si="7"/>
        <v>3</v>
      </c>
      <c r="DE137" s="18">
        <f t="shared" si="8"/>
        <v>2012</v>
      </c>
    </row>
    <row r="138" spans="1:109" x14ac:dyDescent="0.25">
      <c r="A138" s="59" t="s">
        <v>1318</v>
      </c>
      <c r="B138" s="103">
        <v>41543</v>
      </c>
      <c r="C138" s="105" t="s">
        <v>1576</v>
      </c>
      <c r="D138" s="14" t="s">
        <v>535</v>
      </c>
      <c r="E138" s="15" t="s">
        <v>188</v>
      </c>
      <c r="F138" s="15"/>
      <c r="G138" s="15"/>
      <c r="H138" s="15"/>
      <c r="I138" s="15">
        <v>38</v>
      </c>
      <c r="J138" s="15" t="s">
        <v>189</v>
      </c>
      <c r="K138" s="15" t="s">
        <v>214</v>
      </c>
      <c r="L138" s="15" t="s">
        <v>387</v>
      </c>
      <c r="M138" s="15" t="s">
        <v>1017</v>
      </c>
      <c r="N138" s="15" t="s">
        <v>1085</v>
      </c>
      <c r="O138" s="15">
        <v>12</v>
      </c>
      <c r="P138" s="15"/>
      <c r="Q138" s="15"/>
      <c r="R138" s="15"/>
      <c r="S138" s="15" t="s">
        <v>188</v>
      </c>
      <c r="T138" s="15"/>
      <c r="U138" s="15" t="s">
        <v>188</v>
      </c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>
        <v>2008</v>
      </c>
      <c r="AI138" s="1">
        <v>300000</v>
      </c>
      <c r="AJ138" s="15"/>
      <c r="AK138" s="15"/>
      <c r="AL138" s="15" t="s">
        <v>188</v>
      </c>
      <c r="AM138" s="15"/>
      <c r="AN138" s="15"/>
      <c r="AO138" s="15"/>
      <c r="AP138" s="15" t="s">
        <v>188</v>
      </c>
      <c r="AQ138" s="15"/>
      <c r="AR138" s="15"/>
      <c r="AS138" s="15"/>
      <c r="AT138" s="15" t="s">
        <v>1316</v>
      </c>
      <c r="AU138" s="1">
        <v>25000</v>
      </c>
      <c r="AV138" s="48">
        <v>0.5</v>
      </c>
      <c r="AW138" s="15">
        <v>2</v>
      </c>
      <c r="AX138" s="15">
        <v>1.6</v>
      </c>
      <c r="AY138" s="15">
        <v>2</v>
      </c>
      <c r="AZ138" s="15">
        <v>420</v>
      </c>
      <c r="BA138" s="15">
        <v>750</v>
      </c>
      <c r="BB138" s="15" t="s">
        <v>199</v>
      </c>
      <c r="BC138" s="15" t="s">
        <v>199</v>
      </c>
      <c r="BD138" s="15" t="s">
        <v>199</v>
      </c>
      <c r="BE138" s="1">
        <v>16000</v>
      </c>
      <c r="BF138" s="1">
        <v>16000</v>
      </c>
      <c r="BG138" s="1">
        <v>16000</v>
      </c>
      <c r="BH138" s="1">
        <v>70000</v>
      </c>
      <c r="BI138" s="1">
        <v>16000</v>
      </c>
      <c r="BJ138" s="15"/>
      <c r="BK138" s="15"/>
      <c r="BL138" s="15"/>
      <c r="BM138" s="15"/>
      <c r="BN138" s="15"/>
      <c r="BO138" s="15"/>
      <c r="BP138" s="15"/>
      <c r="BQ138" s="15"/>
      <c r="BR138" s="15"/>
      <c r="BS138" s="2" t="s">
        <v>560</v>
      </c>
      <c r="BT138" s="15"/>
      <c r="BU138" s="15" t="s">
        <v>188</v>
      </c>
      <c r="BV138" s="15"/>
      <c r="BW138" s="15"/>
      <c r="BX138" s="15">
        <v>2</v>
      </c>
      <c r="BY138" s="15">
        <v>3</v>
      </c>
      <c r="BZ138" s="15">
        <v>1</v>
      </c>
      <c r="CA138" s="15"/>
      <c r="CB138" s="15" t="s">
        <v>188</v>
      </c>
      <c r="CC138" s="15"/>
      <c r="CD138" s="15"/>
      <c r="CE138" s="15"/>
      <c r="CF138" s="15"/>
      <c r="CG138" s="15"/>
      <c r="CH138" s="15"/>
      <c r="CI138" s="15"/>
      <c r="CJ138" s="15"/>
      <c r="CK138" s="15" t="s">
        <v>188</v>
      </c>
      <c r="CL138" s="15"/>
      <c r="CM138" s="15"/>
      <c r="CN138" s="15"/>
      <c r="CO138" s="15"/>
      <c r="CP138" s="15" t="s">
        <v>193</v>
      </c>
      <c r="CQ138" s="15" t="s">
        <v>300</v>
      </c>
      <c r="CR138" s="15"/>
      <c r="CS138" s="15"/>
      <c r="CT138" s="15"/>
      <c r="CU138" s="15" t="s">
        <v>324</v>
      </c>
      <c r="CV138" s="15"/>
      <c r="CW138" s="15"/>
      <c r="CX138" s="15"/>
      <c r="CY138" s="15" t="s">
        <v>188</v>
      </c>
      <c r="CZ138" s="3"/>
      <c r="DA138" s="49"/>
      <c r="DC138" s="18">
        <f t="shared" si="6"/>
        <v>0</v>
      </c>
      <c r="DD138" s="18">
        <f t="shared" si="7"/>
        <v>1</v>
      </c>
      <c r="DE138" s="18">
        <f t="shared" si="8"/>
        <v>2008</v>
      </c>
    </row>
    <row r="139" spans="1:109" x14ac:dyDescent="0.25">
      <c r="A139" s="59" t="s">
        <v>1318</v>
      </c>
      <c r="B139" s="103">
        <v>41543</v>
      </c>
      <c r="C139" s="105" t="s">
        <v>1576</v>
      </c>
      <c r="D139" s="14" t="s">
        <v>536</v>
      </c>
      <c r="E139" s="15"/>
      <c r="F139" s="15"/>
      <c r="G139" s="15" t="s">
        <v>188</v>
      </c>
      <c r="H139" s="15"/>
      <c r="I139" s="15">
        <v>43</v>
      </c>
      <c r="J139" s="15" t="s">
        <v>189</v>
      </c>
      <c r="K139" s="15" t="s">
        <v>190</v>
      </c>
      <c r="L139" s="15" t="s">
        <v>419</v>
      </c>
      <c r="M139" s="15" t="s">
        <v>1047</v>
      </c>
      <c r="N139" s="15" t="s">
        <v>1084</v>
      </c>
      <c r="O139" s="15">
        <v>22</v>
      </c>
      <c r="P139" s="15"/>
      <c r="Q139" s="15"/>
      <c r="R139" s="15"/>
      <c r="S139" s="15" t="s">
        <v>188</v>
      </c>
      <c r="T139" s="15"/>
      <c r="U139" s="15" t="s">
        <v>188</v>
      </c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>
        <v>2006</v>
      </c>
      <c r="AI139" s="1" t="s">
        <v>193</v>
      </c>
      <c r="AJ139" s="15"/>
      <c r="AK139" s="15"/>
      <c r="AL139" s="15" t="s">
        <v>188</v>
      </c>
      <c r="AM139" s="15"/>
      <c r="AN139" s="15"/>
      <c r="AO139" s="15"/>
      <c r="AP139" s="15" t="s">
        <v>188</v>
      </c>
      <c r="AQ139" s="15"/>
      <c r="AR139" s="15"/>
      <c r="AS139" s="15"/>
      <c r="AT139" s="15" t="s">
        <v>1316</v>
      </c>
      <c r="AU139" s="1">
        <v>25000</v>
      </c>
      <c r="AV139" s="48">
        <v>0.1</v>
      </c>
      <c r="AW139" s="15">
        <v>2.1</v>
      </c>
      <c r="AX139" s="15">
        <v>1.9</v>
      </c>
      <c r="AY139" s="15">
        <v>2</v>
      </c>
      <c r="AZ139" s="15">
        <v>1000</v>
      </c>
      <c r="BA139" s="15">
        <v>2000</v>
      </c>
      <c r="BB139" s="15" t="s">
        <v>188</v>
      </c>
      <c r="BC139" s="15" t="s">
        <v>188</v>
      </c>
      <c r="BD139" s="15" t="s">
        <v>188</v>
      </c>
      <c r="BE139" s="1">
        <v>26000</v>
      </c>
      <c r="BF139" s="1">
        <v>60000</v>
      </c>
      <c r="BG139" s="1">
        <v>26000</v>
      </c>
      <c r="BH139" s="1">
        <v>100000</v>
      </c>
      <c r="BI139" s="1">
        <v>26000</v>
      </c>
      <c r="BJ139" s="15"/>
      <c r="BK139" s="15" t="s">
        <v>188</v>
      </c>
      <c r="BL139" s="15"/>
      <c r="BM139" s="15"/>
      <c r="BN139" s="15"/>
      <c r="BO139" s="15"/>
      <c r="BP139" s="15"/>
      <c r="BQ139" s="15"/>
      <c r="BR139" s="15"/>
      <c r="BS139" s="2"/>
      <c r="BT139" s="15"/>
      <c r="BU139" s="15" t="s">
        <v>188</v>
      </c>
      <c r="BV139" s="15" t="s">
        <v>188</v>
      </c>
      <c r="BW139" s="15"/>
      <c r="BX139" s="15">
        <v>3</v>
      </c>
      <c r="BY139" s="15">
        <v>4</v>
      </c>
      <c r="BZ139" s="15">
        <v>2</v>
      </c>
      <c r="CA139" s="15" t="s">
        <v>208</v>
      </c>
      <c r="CB139" s="15"/>
      <c r="CC139" s="15" t="s">
        <v>188</v>
      </c>
      <c r="CD139" s="15" t="s">
        <v>188</v>
      </c>
      <c r="CE139" s="15"/>
      <c r="CF139" s="15"/>
      <c r="CG139" s="15"/>
      <c r="CH139" s="15"/>
      <c r="CI139" s="15" t="s">
        <v>188</v>
      </c>
      <c r="CJ139" s="15"/>
      <c r="CK139" s="15"/>
      <c r="CL139" s="15" t="s">
        <v>188</v>
      </c>
      <c r="CM139" s="15"/>
      <c r="CN139" s="15"/>
      <c r="CO139" s="15" t="s">
        <v>188</v>
      </c>
      <c r="CP139" s="15" t="s">
        <v>202</v>
      </c>
      <c r="CQ139" s="15" t="s">
        <v>203</v>
      </c>
      <c r="CR139" s="15"/>
      <c r="CS139" s="15"/>
      <c r="CT139" s="15" t="s">
        <v>188</v>
      </c>
      <c r="CU139" s="15" t="s">
        <v>324</v>
      </c>
      <c r="CV139" s="15"/>
      <c r="CW139" s="15"/>
      <c r="CX139" s="15"/>
      <c r="CY139" s="15" t="s">
        <v>188</v>
      </c>
      <c r="CZ139" s="3"/>
      <c r="DA139" s="49" t="s">
        <v>561</v>
      </c>
      <c r="DC139" s="18">
        <f t="shared" si="6"/>
        <v>0</v>
      </c>
      <c r="DD139" s="18">
        <f t="shared" si="7"/>
        <v>3</v>
      </c>
      <c r="DE139" s="18">
        <f t="shared" si="8"/>
        <v>2006</v>
      </c>
    </row>
    <row r="140" spans="1:109" x14ac:dyDescent="0.25">
      <c r="A140" s="59" t="s">
        <v>1318</v>
      </c>
      <c r="B140" s="103">
        <v>41544</v>
      </c>
      <c r="C140" s="105" t="s">
        <v>1576</v>
      </c>
      <c r="D140" s="14" t="s">
        <v>537</v>
      </c>
      <c r="E140" s="15"/>
      <c r="F140" s="15"/>
      <c r="G140" s="15" t="s">
        <v>188</v>
      </c>
      <c r="H140" s="15"/>
      <c r="I140" s="15">
        <v>33</v>
      </c>
      <c r="J140" s="15" t="s">
        <v>189</v>
      </c>
      <c r="K140" s="15" t="s">
        <v>220</v>
      </c>
      <c r="L140" s="15" t="s">
        <v>562</v>
      </c>
      <c r="M140" s="50" t="s">
        <v>1055</v>
      </c>
      <c r="N140" s="15" t="s">
        <v>1084</v>
      </c>
      <c r="O140" s="15">
        <v>14</v>
      </c>
      <c r="P140" s="15"/>
      <c r="Q140" s="15" t="s">
        <v>188</v>
      </c>
      <c r="R140" s="15"/>
      <c r="S140" s="15"/>
      <c r="T140" s="15"/>
      <c r="U140" s="15" t="s">
        <v>188</v>
      </c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>
        <v>2002</v>
      </c>
      <c r="AI140" s="1">
        <v>1800000</v>
      </c>
      <c r="AJ140" s="15"/>
      <c r="AK140" s="15"/>
      <c r="AL140" s="15" t="s">
        <v>188</v>
      </c>
      <c r="AM140" s="15"/>
      <c r="AN140" s="15"/>
      <c r="AO140" s="15"/>
      <c r="AP140" s="15" t="s">
        <v>188</v>
      </c>
      <c r="AQ140" s="15"/>
      <c r="AR140" s="15"/>
      <c r="AS140" s="15"/>
      <c r="AT140" s="15" t="s">
        <v>322</v>
      </c>
      <c r="AU140" s="1">
        <v>2500</v>
      </c>
      <c r="AV140" s="48">
        <v>0.5</v>
      </c>
      <c r="AW140" s="15">
        <v>2.9</v>
      </c>
      <c r="AX140" s="15">
        <v>2.8</v>
      </c>
      <c r="AY140" s="15">
        <v>2</v>
      </c>
      <c r="AZ140" s="15">
        <v>360</v>
      </c>
      <c r="BA140" s="15">
        <v>1000</v>
      </c>
      <c r="BB140" s="15" t="s">
        <v>199</v>
      </c>
      <c r="BC140" s="15" t="s">
        <v>188</v>
      </c>
      <c r="BD140" s="15" t="s">
        <v>199</v>
      </c>
      <c r="BE140" s="1">
        <v>14000</v>
      </c>
      <c r="BF140" s="1">
        <v>20000</v>
      </c>
      <c r="BG140" s="1">
        <v>14000</v>
      </c>
      <c r="BH140" s="1">
        <f>2500*12*2</f>
        <v>60000</v>
      </c>
      <c r="BI140" s="1">
        <v>14000</v>
      </c>
      <c r="BJ140" s="15"/>
      <c r="BK140" s="15"/>
      <c r="BL140" s="15"/>
      <c r="BM140" s="15"/>
      <c r="BN140" s="15"/>
      <c r="BO140" s="15"/>
      <c r="BP140" s="15"/>
      <c r="BQ140" s="15"/>
      <c r="BR140" s="15"/>
      <c r="BS140" s="2" t="s">
        <v>314</v>
      </c>
      <c r="BT140" s="15"/>
      <c r="BU140" s="15"/>
      <c r="BV140" s="15" t="s">
        <v>188</v>
      </c>
      <c r="BW140" s="15"/>
      <c r="BX140" s="15">
        <v>1</v>
      </c>
      <c r="BY140" s="15">
        <v>3</v>
      </c>
      <c r="BZ140" s="15">
        <v>2</v>
      </c>
      <c r="CA140" s="15"/>
      <c r="CB140" s="15"/>
      <c r="CC140" s="15" t="s">
        <v>188</v>
      </c>
      <c r="CD140" s="15"/>
      <c r="CE140" s="15"/>
      <c r="CF140" s="15"/>
      <c r="CG140" s="15" t="s">
        <v>188</v>
      </c>
      <c r="CH140" s="15" t="s">
        <v>188</v>
      </c>
      <c r="CI140" s="15" t="s">
        <v>188</v>
      </c>
      <c r="CJ140" s="15"/>
      <c r="CK140" s="15"/>
      <c r="CL140" s="15" t="s">
        <v>188</v>
      </c>
      <c r="CM140" s="15" t="s">
        <v>188</v>
      </c>
      <c r="CN140" s="15" t="s">
        <v>299</v>
      </c>
      <c r="CO140" s="15"/>
      <c r="CP140" s="15" t="s">
        <v>193</v>
      </c>
      <c r="CQ140" s="15" t="s">
        <v>193</v>
      </c>
      <c r="CR140" s="15" t="s">
        <v>188</v>
      </c>
      <c r="CS140" s="15"/>
      <c r="CT140" s="15"/>
      <c r="CU140" s="15"/>
      <c r="CV140" s="15"/>
      <c r="CW140" s="15"/>
      <c r="CX140" s="15" t="s">
        <v>188</v>
      </c>
      <c r="CY140" s="15" t="s">
        <v>188</v>
      </c>
      <c r="CZ140" s="3"/>
      <c r="DA140" s="49"/>
      <c r="DC140" s="18">
        <f t="shared" si="6"/>
        <v>0</v>
      </c>
      <c r="DD140" s="18">
        <f t="shared" si="7"/>
        <v>3</v>
      </c>
      <c r="DE140" s="18">
        <f t="shared" si="8"/>
        <v>2002</v>
      </c>
    </row>
    <row r="141" spans="1:109" x14ac:dyDescent="0.25">
      <c r="A141" s="59" t="s">
        <v>1318</v>
      </c>
      <c r="B141" s="103">
        <v>41544</v>
      </c>
      <c r="C141" s="105" t="s">
        <v>1576</v>
      </c>
      <c r="D141" s="14" t="s">
        <v>538</v>
      </c>
      <c r="E141" s="15" t="s">
        <v>188</v>
      </c>
      <c r="F141" s="15"/>
      <c r="G141" s="15"/>
      <c r="H141" s="15"/>
      <c r="I141" s="15">
        <v>27</v>
      </c>
      <c r="J141" s="15" t="s">
        <v>189</v>
      </c>
      <c r="K141" s="15" t="s">
        <v>240</v>
      </c>
      <c r="L141" s="15" t="s">
        <v>564</v>
      </c>
      <c r="M141" s="50" t="s">
        <v>1056</v>
      </c>
      <c r="N141" s="15" t="s">
        <v>1084</v>
      </c>
      <c r="O141" s="15">
        <v>8</v>
      </c>
      <c r="P141" s="15"/>
      <c r="Q141" s="15"/>
      <c r="R141" s="15"/>
      <c r="S141" s="15" t="s">
        <v>188</v>
      </c>
      <c r="T141" s="15"/>
      <c r="U141" s="15" t="s">
        <v>188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>
        <v>1990</v>
      </c>
      <c r="AI141" s="1">
        <v>1500000</v>
      </c>
      <c r="AJ141" s="15"/>
      <c r="AK141" s="15"/>
      <c r="AL141" s="15" t="s">
        <v>188</v>
      </c>
      <c r="AM141" s="15"/>
      <c r="AN141" s="15"/>
      <c r="AO141" s="15"/>
      <c r="AP141" s="15"/>
      <c r="AQ141" s="15" t="s">
        <v>188</v>
      </c>
      <c r="AR141" s="15"/>
      <c r="AS141" s="15">
        <v>2002</v>
      </c>
      <c r="AT141" s="15" t="s">
        <v>322</v>
      </c>
      <c r="AU141" s="1">
        <v>9000</v>
      </c>
      <c r="AV141" s="48">
        <v>0</v>
      </c>
      <c r="AW141" s="15">
        <v>2.6</v>
      </c>
      <c r="AX141" s="15">
        <v>2</v>
      </c>
      <c r="AY141" s="15">
        <v>2</v>
      </c>
      <c r="AZ141" s="15">
        <v>625</v>
      </c>
      <c r="BA141" s="15">
        <v>1500</v>
      </c>
      <c r="BB141" s="15" t="s">
        <v>199</v>
      </c>
      <c r="BC141" s="15" t="s">
        <v>188</v>
      </c>
      <c r="BD141" s="15" t="s">
        <v>199</v>
      </c>
      <c r="BE141" s="1">
        <v>27000</v>
      </c>
      <c r="BF141" s="1">
        <v>54000</v>
      </c>
      <c r="BG141" s="1">
        <v>27000</v>
      </c>
      <c r="BH141" s="1" t="s">
        <v>193</v>
      </c>
      <c r="BI141" s="1">
        <v>27000</v>
      </c>
      <c r="BJ141" s="15"/>
      <c r="BK141" s="15"/>
      <c r="BL141" s="15"/>
      <c r="BM141" s="15"/>
      <c r="BN141" s="15"/>
      <c r="BO141" s="15"/>
      <c r="BP141" s="15"/>
      <c r="BQ141" s="15"/>
      <c r="BR141" s="15"/>
      <c r="BS141" s="2" t="s">
        <v>314</v>
      </c>
      <c r="BT141" s="15"/>
      <c r="BU141" s="15"/>
      <c r="BV141" s="15" t="s">
        <v>188</v>
      </c>
      <c r="BW141" s="15"/>
      <c r="BX141" s="15">
        <v>1</v>
      </c>
      <c r="BY141" s="15">
        <v>3</v>
      </c>
      <c r="BZ141" s="15">
        <v>2</v>
      </c>
      <c r="CA141" s="15"/>
      <c r="CB141" s="15" t="s">
        <v>188</v>
      </c>
      <c r="CC141" s="15"/>
      <c r="CD141" s="15"/>
      <c r="CE141" s="15"/>
      <c r="CF141" s="15"/>
      <c r="CG141" s="15"/>
      <c r="CH141" s="15"/>
      <c r="CI141" s="15"/>
      <c r="CJ141" s="15"/>
      <c r="CK141" s="15" t="s">
        <v>188</v>
      </c>
      <c r="CL141" s="15"/>
      <c r="CM141" s="15"/>
      <c r="CN141" s="15"/>
      <c r="CO141" s="15"/>
      <c r="CP141" s="15" t="s">
        <v>193</v>
      </c>
      <c r="CQ141" s="15" t="s">
        <v>300</v>
      </c>
      <c r="CR141" s="15" t="s">
        <v>188</v>
      </c>
      <c r="CS141" s="15"/>
      <c r="CT141" s="15"/>
      <c r="CU141" s="15"/>
      <c r="CV141" s="15"/>
      <c r="CW141" s="15"/>
      <c r="CX141" s="15" t="s">
        <v>188</v>
      </c>
      <c r="CY141" s="15" t="s">
        <v>188</v>
      </c>
      <c r="CZ141" s="3"/>
      <c r="DA141" s="49"/>
      <c r="DC141" s="18">
        <f t="shared" si="6"/>
        <v>0</v>
      </c>
      <c r="DD141" s="18">
        <f t="shared" si="7"/>
        <v>1</v>
      </c>
      <c r="DE141" s="18">
        <f t="shared" si="8"/>
        <v>2002</v>
      </c>
    </row>
    <row r="142" spans="1:109" x14ac:dyDescent="0.25">
      <c r="A142" s="59" t="s">
        <v>1318</v>
      </c>
      <c r="B142" s="103">
        <v>41544</v>
      </c>
      <c r="C142" s="105" t="s">
        <v>1576</v>
      </c>
      <c r="D142" s="14" t="s">
        <v>539</v>
      </c>
      <c r="E142" s="15"/>
      <c r="F142" s="15"/>
      <c r="G142" s="15"/>
      <c r="H142" s="15" t="s">
        <v>188</v>
      </c>
      <c r="I142" s="15">
        <v>35</v>
      </c>
      <c r="J142" s="15" t="s">
        <v>189</v>
      </c>
      <c r="K142" s="15" t="s">
        <v>190</v>
      </c>
      <c r="L142" s="15" t="s">
        <v>413</v>
      </c>
      <c r="M142" s="15" t="s">
        <v>1041</v>
      </c>
      <c r="N142" s="15" t="s">
        <v>1085</v>
      </c>
      <c r="O142" s="15">
        <v>17</v>
      </c>
      <c r="P142" s="15"/>
      <c r="Q142" s="15"/>
      <c r="R142" s="15"/>
      <c r="S142" s="15" t="s">
        <v>188</v>
      </c>
      <c r="T142" s="15"/>
      <c r="U142" s="15"/>
      <c r="V142" s="15"/>
      <c r="W142" s="15"/>
      <c r="X142" s="15"/>
      <c r="Y142" s="15"/>
      <c r="Z142" s="15"/>
      <c r="AA142" s="15"/>
      <c r="AB142" s="15" t="s">
        <v>188</v>
      </c>
      <c r="AC142" s="15"/>
      <c r="AD142" s="15"/>
      <c r="AE142" s="15"/>
      <c r="AF142" s="15"/>
      <c r="AG142" s="15"/>
      <c r="AH142" s="15">
        <v>2013</v>
      </c>
      <c r="AI142" s="1">
        <v>172300</v>
      </c>
      <c r="AJ142" s="15"/>
      <c r="AK142" s="15"/>
      <c r="AL142" s="15" t="s">
        <v>188</v>
      </c>
      <c r="AM142" s="15"/>
      <c r="AN142" s="15"/>
      <c r="AO142" s="15"/>
      <c r="AP142" s="15" t="s">
        <v>188</v>
      </c>
      <c r="AQ142" s="15"/>
      <c r="AR142" s="15"/>
      <c r="AS142" s="15"/>
      <c r="AT142" s="15" t="s">
        <v>198</v>
      </c>
      <c r="AU142" s="1">
        <v>8000</v>
      </c>
      <c r="AV142" s="48">
        <v>0.5</v>
      </c>
      <c r="AW142" s="15">
        <v>2.5</v>
      </c>
      <c r="AX142" s="15">
        <v>2</v>
      </c>
      <c r="AY142" s="15">
        <v>2</v>
      </c>
      <c r="AZ142" s="15">
        <v>870</v>
      </c>
      <c r="BA142" s="15">
        <v>2000</v>
      </c>
      <c r="BB142" s="15" t="s">
        <v>188</v>
      </c>
      <c r="BC142" s="15" t="s">
        <v>188</v>
      </c>
      <c r="BD142" s="15" t="s">
        <v>199</v>
      </c>
      <c r="BE142" s="1">
        <v>25000</v>
      </c>
      <c r="BF142" s="1">
        <v>25000</v>
      </c>
      <c r="BG142" s="1">
        <v>25000</v>
      </c>
      <c r="BH142" s="1" t="s">
        <v>193</v>
      </c>
      <c r="BI142" s="1">
        <v>25000</v>
      </c>
      <c r="BJ142" s="15"/>
      <c r="BK142" s="15"/>
      <c r="BL142" s="15"/>
      <c r="BM142" s="15"/>
      <c r="BN142" s="15"/>
      <c r="BO142" s="15"/>
      <c r="BP142" s="15"/>
      <c r="BQ142" s="15"/>
      <c r="BR142" s="15"/>
      <c r="BS142" s="2" t="s">
        <v>314</v>
      </c>
      <c r="BT142" s="15"/>
      <c r="BU142" s="15" t="s">
        <v>188</v>
      </c>
      <c r="BV142" s="15"/>
      <c r="BW142" s="15"/>
      <c r="BX142" s="15">
        <v>1</v>
      </c>
      <c r="BY142" s="15">
        <v>2</v>
      </c>
      <c r="BZ142" s="15">
        <v>3</v>
      </c>
      <c r="CA142" s="15"/>
      <c r="CB142" s="15"/>
      <c r="CC142" s="15" t="s">
        <v>188</v>
      </c>
      <c r="CD142" s="15"/>
      <c r="CE142" s="15"/>
      <c r="CF142" s="15"/>
      <c r="CG142" s="15"/>
      <c r="CH142" s="15" t="s">
        <v>188</v>
      </c>
      <c r="CI142" s="15" t="s">
        <v>188</v>
      </c>
      <c r="CJ142" s="15"/>
      <c r="CK142" s="15" t="s">
        <v>188</v>
      </c>
      <c r="CL142" s="15"/>
      <c r="CM142" s="15"/>
      <c r="CN142" s="15"/>
      <c r="CO142" s="15"/>
      <c r="CP142" s="15" t="s">
        <v>193</v>
      </c>
      <c r="CQ142" s="15" t="s">
        <v>193</v>
      </c>
      <c r="CR142" s="15"/>
      <c r="CS142" s="15" t="s">
        <v>188</v>
      </c>
      <c r="CT142" s="15" t="s">
        <v>188</v>
      </c>
      <c r="CU142" s="15"/>
      <c r="CV142" s="15"/>
      <c r="CW142" s="15"/>
      <c r="CX142" s="15" t="s">
        <v>188</v>
      </c>
      <c r="CY142" s="15" t="s">
        <v>188</v>
      </c>
      <c r="CZ142" s="3"/>
      <c r="DA142" s="49"/>
      <c r="DC142" s="18">
        <f t="shared" si="6"/>
        <v>0</v>
      </c>
      <c r="DD142" s="18">
        <f t="shared" si="7"/>
        <v>7</v>
      </c>
      <c r="DE142" s="18">
        <f t="shared" si="8"/>
        <v>2013</v>
      </c>
    </row>
    <row r="143" spans="1:109" x14ac:dyDescent="0.25">
      <c r="A143" s="59" t="s">
        <v>1318</v>
      </c>
      <c r="B143" s="103">
        <v>41544</v>
      </c>
      <c r="C143" s="105" t="s">
        <v>1576</v>
      </c>
      <c r="D143" s="14" t="s">
        <v>540</v>
      </c>
      <c r="E143" s="15"/>
      <c r="F143" s="15" t="s">
        <v>188</v>
      </c>
      <c r="G143" s="15"/>
      <c r="H143" s="15"/>
      <c r="I143" s="15">
        <v>24</v>
      </c>
      <c r="J143" s="15" t="s">
        <v>189</v>
      </c>
      <c r="K143" s="15" t="s">
        <v>190</v>
      </c>
      <c r="L143" s="15" t="s">
        <v>394</v>
      </c>
      <c r="M143" s="15" t="s">
        <v>1027</v>
      </c>
      <c r="N143" s="15" t="s">
        <v>1085</v>
      </c>
      <c r="O143" s="15">
        <v>5</v>
      </c>
      <c r="P143" s="15" t="s">
        <v>188</v>
      </c>
      <c r="Q143" s="15"/>
      <c r="R143" s="15"/>
      <c r="S143" s="15"/>
      <c r="T143" s="15"/>
      <c r="U143" s="15"/>
      <c r="V143" s="15"/>
      <c r="W143" s="15"/>
      <c r="X143" s="15"/>
      <c r="Y143" s="15" t="s">
        <v>188</v>
      </c>
      <c r="Z143" s="15"/>
      <c r="AA143" s="15"/>
      <c r="AB143" s="15"/>
      <c r="AC143" s="15"/>
      <c r="AD143" s="15"/>
      <c r="AE143" s="15"/>
      <c r="AF143" s="15"/>
      <c r="AG143" s="15"/>
      <c r="AH143" s="15">
        <v>2004</v>
      </c>
      <c r="AI143" s="1">
        <v>300000</v>
      </c>
      <c r="AJ143" s="15"/>
      <c r="AK143" s="15"/>
      <c r="AL143" s="15" t="s">
        <v>188</v>
      </c>
      <c r="AM143" s="15"/>
      <c r="AN143" s="15"/>
      <c r="AO143" s="15"/>
      <c r="AP143" s="15" t="s">
        <v>188</v>
      </c>
      <c r="AQ143" s="15"/>
      <c r="AR143" s="15"/>
      <c r="AS143" s="15"/>
      <c r="AT143" s="15" t="s">
        <v>390</v>
      </c>
      <c r="AU143" s="1">
        <v>2000</v>
      </c>
      <c r="AV143" s="48">
        <v>0.5</v>
      </c>
      <c r="AW143" s="15">
        <v>3</v>
      </c>
      <c r="AX143" s="15">
        <v>2.5</v>
      </c>
      <c r="AY143" s="15">
        <v>2</v>
      </c>
      <c r="AZ143" s="15">
        <v>280</v>
      </c>
      <c r="BA143" s="15">
        <v>800</v>
      </c>
      <c r="BB143" s="15" t="s">
        <v>199</v>
      </c>
      <c r="BC143" s="15" t="s">
        <v>199</v>
      </c>
      <c r="BD143" s="15" t="s">
        <v>188</v>
      </c>
      <c r="BE143" s="1">
        <v>4000</v>
      </c>
      <c r="BF143" s="1">
        <v>2000</v>
      </c>
      <c r="BG143" s="1">
        <v>2000</v>
      </c>
      <c r="BH143" s="1" t="s">
        <v>193</v>
      </c>
      <c r="BI143" s="1">
        <v>2000</v>
      </c>
      <c r="BJ143" s="15"/>
      <c r="BK143" s="15"/>
      <c r="BL143" s="15"/>
      <c r="BM143" s="15"/>
      <c r="BN143" s="15"/>
      <c r="BO143" s="15"/>
      <c r="BP143" s="15"/>
      <c r="BQ143" s="15"/>
      <c r="BR143" s="15" t="s">
        <v>188</v>
      </c>
      <c r="BS143" s="2"/>
      <c r="BT143" s="15"/>
      <c r="BU143" s="15"/>
      <c r="BV143" s="15" t="s">
        <v>188</v>
      </c>
      <c r="BW143" s="15"/>
      <c r="BX143" s="15">
        <v>2</v>
      </c>
      <c r="BY143" s="15">
        <v>3</v>
      </c>
      <c r="BZ143" s="15">
        <v>1</v>
      </c>
      <c r="CA143" s="15"/>
      <c r="CB143" s="15" t="s">
        <v>188</v>
      </c>
      <c r="CC143" s="15"/>
      <c r="CD143" s="15"/>
      <c r="CE143" s="15"/>
      <c r="CF143" s="15"/>
      <c r="CG143" s="15"/>
      <c r="CH143" s="15"/>
      <c r="CI143" s="15"/>
      <c r="CJ143" s="15"/>
      <c r="CK143" s="15" t="s">
        <v>188</v>
      </c>
      <c r="CL143" s="15"/>
      <c r="CM143" s="15"/>
      <c r="CN143" s="15"/>
      <c r="CO143" s="15"/>
      <c r="CP143" s="15" t="s">
        <v>193</v>
      </c>
      <c r="CQ143" s="15" t="s">
        <v>193</v>
      </c>
      <c r="CR143" s="15" t="s">
        <v>188</v>
      </c>
      <c r="CS143" s="15"/>
      <c r="CT143" s="15"/>
      <c r="CU143" s="15"/>
      <c r="CV143" s="15" t="s">
        <v>188</v>
      </c>
      <c r="CW143" s="15" t="s">
        <v>270</v>
      </c>
      <c r="CX143" s="15"/>
      <c r="CY143" s="15"/>
      <c r="CZ143" s="3"/>
      <c r="DA143" s="49"/>
      <c r="DC143" s="18">
        <f t="shared" si="6"/>
        <v>0</v>
      </c>
      <c r="DD143" s="18">
        <f t="shared" si="7"/>
        <v>2</v>
      </c>
      <c r="DE143" s="18">
        <f t="shared" si="8"/>
        <v>2004</v>
      </c>
    </row>
    <row r="144" spans="1:109" x14ac:dyDescent="0.25">
      <c r="A144" s="59" t="s">
        <v>1318</v>
      </c>
      <c r="B144" s="103">
        <v>41544</v>
      </c>
      <c r="C144" s="105" t="s">
        <v>1576</v>
      </c>
      <c r="D144" s="14" t="s">
        <v>541</v>
      </c>
      <c r="E144" s="15"/>
      <c r="F144" s="15" t="s">
        <v>188</v>
      </c>
      <c r="G144" s="15"/>
      <c r="H144" s="15"/>
      <c r="I144" s="15">
        <v>28</v>
      </c>
      <c r="J144" s="15" t="s">
        <v>189</v>
      </c>
      <c r="K144" s="15" t="s">
        <v>196</v>
      </c>
      <c r="L144" s="15" t="s">
        <v>423</v>
      </c>
      <c r="M144" s="15" t="s">
        <v>1049</v>
      </c>
      <c r="N144" s="15" t="s">
        <v>1085</v>
      </c>
      <c r="O144" s="15">
        <v>2</v>
      </c>
      <c r="P144" s="15" t="s">
        <v>188</v>
      </c>
      <c r="Q144" s="15"/>
      <c r="R144" s="15"/>
      <c r="S144" s="15"/>
      <c r="T144" s="15"/>
      <c r="U144" s="15" t="s">
        <v>188</v>
      </c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>
        <v>1999</v>
      </c>
      <c r="AI144" s="1" t="s">
        <v>193</v>
      </c>
      <c r="AJ144" s="15" t="s">
        <v>188</v>
      </c>
      <c r="AK144" s="15"/>
      <c r="AL144" s="15"/>
      <c r="AM144" s="15"/>
      <c r="AN144" s="15"/>
      <c r="AO144" s="15" t="s">
        <v>188</v>
      </c>
      <c r="AP144" s="15"/>
      <c r="AQ144" s="15"/>
      <c r="AR144" s="15"/>
      <c r="AS144" s="15"/>
      <c r="AT144" s="15" t="s">
        <v>233</v>
      </c>
      <c r="AU144" s="1">
        <v>3500</v>
      </c>
      <c r="AV144" s="48">
        <v>0.5</v>
      </c>
      <c r="AW144" s="15">
        <v>3</v>
      </c>
      <c r="AX144" s="15">
        <v>2</v>
      </c>
      <c r="AY144" s="15">
        <v>1</v>
      </c>
      <c r="AZ144" s="15">
        <v>150</v>
      </c>
      <c r="BA144" s="15">
        <v>600</v>
      </c>
      <c r="BB144" s="15" t="s">
        <v>199</v>
      </c>
      <c r="BC144" s="15" t="s">
        <v>199</v>
      </c>
      <c r="BD144" s="15" t="s">
        <v>199</v>
      </c>
      <c r="BE144" s="1">
        <v>21000</v>
      </c>
      <c r="BF144" s="1">
        <v>21000</v>
      </c>
      <c r="BG144" s="1">
        <v>21000</v>
      </c>
      <c r="BH144" s="1" t="s">
        <v>193</v>
      </c>
      <c r="BI144" s="1" t="s">
        <v>234</v>
      </c>
      <c r="BJ144" s="15"/>
      <c r="BK144" s="15"/>
      <c r="BL144" s="15"/>
      <c r="BM144" s="15"/>
      <c r="BN144" s="15"/>
      <c r="BO144" s="15"/>
      <c r="BP144" s="15"/>
      <c r="BQ144" s="15"/>
      <c r="BR144" s="15"/>
      <c r="BS144" s="2" t="s">
        <v>314</v>
      </c>
      <c r="BT144" s="15"/>
      <c r="BU144" s="15" t="s">
        <v>188</v>
      </c>
      <c r="BV144" s="15"/>
      <c r="BW144" s="15"/>
      <c r="BX144" s="15">
        <v>1</v>
      </c>
      <c r="BY144" s="15">
        <v>3</v>
      </c>
      <c r="BZ144" s="15">
        <v>2</v>
      </c>
      <c r="CA144" s="15"/>
      <c r="CB144" s="15" t="s">
        <v>188</v>
      </c>
      <c r="CC144" s="15"/>
      <c r="CD144" s="15"/>
      <c r="CE144" s="15"/>
      <c r="CF144" s="15"/>
      <c r="CG144" s="15"/>
      <c r="CH144" s="15"/>
      <c r="CI144" s="15"/>
      <c r="CJ144" s="15"/>
      <c r="CK144" s="15" t="s">
        <v>188</v>
      </c>
      <c r="CL144" s="15"/>
      <c r="CM144" s="15"/>
      <c r="CN144" s="15"/>
      <c r="CO144" s="15"/>
      <c r="CP144" s="15" t="s">
        <v>193</v>
      </c>
      <c r="CQ144" s="15" t="s">
        <v>300</v>
      </c>
      <c r="CR144" s="15" t="s">
        <v>188</v>
      </c>
      <c r="CS144" s="15"/>
      <c r="CT144" s="15"/>
      <c r="CU144" s="15"/>
      <c r="CV144" s="15"/>
      <c r="CW144" s="15"/>
      <c r="CX144" s="15"/>
      <c r="CY144" s="15" t="s">
        <v>188</v>
      </c>
      <c r="CZ144" s="3"/>
      <c r="DA144" s="49"/>
      <c r="DC144" s="18">
        <f t="shared" si="6"/>
        <v>0</v>
      </c>
      <c r="DD144" s="18">
        <f t="shared" si="7"/>
        <v>2</v>
      </c>
      <c r="DE144" s="18">
        <f t="shared" si="8"/>
        <v>1999</v>
      </c>
    </row>
    <row r="145" spans="1:109" x14ac:dyDescent="0.25">
      <c r="A145" s="59" t="s">
        <v>1318</v>
      </c>
      <c r="B145" s="103">
        <v>41544</v>
      </c>
      <c r="C145" s="105" t="s">
        <v>1576</v>
      </c>
      <c r="D145" s="14" t="s">
        <v>542</v>
      </c>
      <c r="E145" s="15"/>
      <c r="F145" s="15"/>
      <c r="G145" s="15" t="s">
        <v>188</v>
      </c>
      <c r="H145" s="15"/>
      <c r="I145" s="15">
        <v>37</v>
      </c>
      <c r="J145" s="15" t="s">
        <v>189</v>
      </c>
      <c r="K145" s="15" t="s">
        <v>190</v>
      </c>
      <c r="L145" s="15" t="s">
        <v>405</v>
      </c>
      <c r="M145" s="15" t="s">
        <v>1037</v>
      </c>
      <c r="N145" s="15" t="s">
        <v>1085</v>
      </c>
      <c r="O145" s="15">
        <v>17</v>
      </c>
      <c r="P145" s="15"/>
      <c r="Q145" s="15"/>
      <c r="R145" s="15" t="s">
        <v>188</v>
      </c>
      <c r="S145" s="15"/>
      <c r="T145" s="15"/>
      <c r="U145" s="15"/>
      <c r="V145" s="15"/>
      <c r="W145" s="15"/>
      <c r="X145" s="15"/>
      <c r="Y145" s="15"/>
      <c r="Z145" s="15"/>
      <c r="AA145" s="15"/>
      <c r="AB145" s="15" t="s">
        <v>188</v>
      </c>
      <c r="AC145" s="15"/>
      <c r="AD145" s="15"/>
      <c r="AE145" s="15"/>
      <c r="AF145" s="15"/>
      <c r="AG145" s="15"/>
      <c r="AH145" s="15">
        <v>2013</v>
      </c>
      <c r="AI145" s="1">
        <v>72300</v>
      </c>
      <c r="AJ145" s="15"/>
      <c r="AK145" s="15"/>
      <c r="AL145" s="15" t="s">
        <v>188</v>
      </c>
      <c r="AM145" s="15"/>
      <c r="AN145" s="15"/>
      <c r="AO145" s="15"/>
      <c r="AP145" s="15" t="s">
        <v>188</v>
      </c>
      <c r="AQ145" s="15"/>
      <c r="AR145" s="15"/>
      <c r="AS145" s="15"/>
      <c r="AT145" s="15" t="s">
        <v>322</v>
      </c>
      <c r="AU145" s="1">
        <v>8000</v>
      </c>
      <c r="AV145" s="48">
        <v>0.5</v>
      </c>
      <c r="AW145" s="15">
        <v>2.5</v>
      </c>
      <c r="AX145" s="15">
        <v>2.4</v>
      </c>
      <c r="AY145" s="15">
        <v>2</v>
      </c>
      <c r="AZ145" s="15">
        <v>830</v>
      </c>
      <c r="BA145" s="15">
        <v>2000</v>
      </c>
      <c r="BB145" s="15" t="s">
        <v>188</v>
      </c>
      <c r="BC145" s="15" t="s">
        <v>188</v>
      </c>
      <c r="BD145" s="15" t="s">
        <v>199</v>
      </c>
      <c r="BE145" s="1">
        <v>25000</v>
      </c>
      <c r="BF145" s="1">
        <v>25000</v>
      </c>
      <c r="BG145" s="1">
        <v>25000</v>
      </c>
      <c r="BH145" s="1">
        <v>100000</v>
      </c>
      <c r="BI145" s="1">
        <v>25000</v>
      </c>
      <c r="BJ145" s="15"/>
      <c r="BK145" s="15"/>
      <c r="BL145" s="15"/>
      <c r="BM145" s="15"/>
      <c r="BN145" s="15"/>
      <c r="BO145" s="15"/>
      <c r="BP145" s="15"/>
      <c r="BQ145" s="15"/>
      <c r="BR145" s="15"/>
      <c r="BS145" s="2" t="s">
        <v>565</v>
      </c>
      <c r="BT145" s="15"/>
      <c r="BU145" s="15" t="s">
        <v>188</v>
      </c>
      <c r="BV145" s="15"/>
      <c r="BW145" s="15"/>
      <c r="BX145" s="15">
        <v>1</v>
      </c>
      <c r="BY145" s="15">
        <v>3</v>
      </c>
      <c r="BZ145" s="15">
        <v>2</v>
      </c>
      <c r="CA145" s="15"/>
      <c r="CB145" s="15"/>
      <c r="CC145" s="15" t="s">
        <v>188</v>
      </c>
      <c r="CD145" s="15"/>
      <c r="CE145" s="15"/>
      <c r="CF145" s="15"/>
      <c r="CG145" s="15" t="s">
        <v>188</v>
      </c>
      <c r="CH145" s="15" t="s">
        <v>188</v>
      </c>
      <c r="CI145" s="15" t="s">
        <v>188</v>
      </c>
      <c r="CJ145" s="15"/>
      <c r="CK145" s="15" t="s">
        <v>188</v>
      </c>
      <c r="CL145" s="15"/>
      <c r="CM145" s="15"/>
      <c r="CN145" s="15"/>
      <c r="CO145" s="15"/>
      <c r="CP145" s="15" t="s">
        <v>193</v>
      </c>
      <c r="CQ145" s="15" t="s">
        <v>209</v>
      </c>
      <c r="CR145" s="15" t="s">
        <v>188</v>
      </c>
      <c r="CS145" s="15"/>
      <c r="CT145" s="15"/>
      <c r="CU145" s="15"/>
      <c r="CV145" s="15"/>
      <c r="CW145" s="15"/>
      <c r="CX145" s="15"/>
      <c r="CY145" s="15" t="s">
        <v>188</v>
      </c>
      <c r="CZ145" s="3"/>
      <c r="DA145" s="49"/>
      <c r="DC145" s="18">
        <f t="shared" si="6"/>
        <v>0</v>
      </c>
      <c r="DD145" s="18">
        <f t="shared" si="7"/>
        <v>3</v>
      </c>
      <c r="DE145" s="18">
        <f t="shared" si="8"/>
        <v>2013</v>
      </c>
    </row>
    <row r="146" spans="1:109" x14ac:dyDescent="0.25">
      <c r="A146" s="59" t="s">
        <v>1318</v>
      </c>
      <c r="B146" s="103">
        <v>41544</v>
      </c>
      <c r="C146" s="105" t="s">
        <v>1576</v>
      </c>
      <c r="D146" s="14" t="s">
        <v>543</v>
      </c>
      <c r="E146" s="15"/>
      <c r="F146" s="15" t="s">
        <v>188</v>
      </c>
      <c r="G146" s="15"/>
      <c r="H146" s="15"/>
      <c r="I146" s="15">
        <v>25</v>
      </c>
      <c r="J146" s="15" t="s">
        <v>189</v>
      </c>
      <c r="K146" s="15" t="s">
        <v>214</v>
      </c>
      <c r="L146" s="15" t="s">
        <v>395</v>
      </c>
      <c r="M146" s="15" t="s">
        <v>1022</v>
      </c>
      <c r="N146" s="15" t="s">
        <v>1085</v>
      </c>
      <c r="O146" s="15">
        <v>6</v>
      </c>
      <c r="P146" s="15" t="s">
        <v>188</v>
      </c>
      <c r="Q146" s="15"/>
      <c r="R146" s="15"/>
      <c r="S146" s="15"/>
      <c r="T146" s="15"/>
      <c r="U146" s="15"/>
      <c r="V146" s="15" t="s">
        <v>188</v>
      </c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>
        <v>2009</v>
      </c>
      <c r="AI146" s="1">
        <v>300000</v>
      </c>
      <c r="AJ146" s="15"/>
      <c r="AK146" s="15"/>
      <c r="AL146" s="15" t="s">
        <v>188</v>
      </c>
      <c r="AM146" s="15"/>
      <c r="AN146" s="15"/>
      <c r="AO146" s="15"/>
      <c r="AP146" s="15" t="s">
        <v>188</v>
      </c>
      <c r="AQ146" s="15"/>
      <c r="AR146" s="15"/>
      <c r="AS146" s="15"/>
      <c r="AT146" s="15" t="s">
        <v>322</v>
      </c>
      <c r="AU146" s="1">
        <v>3000</v>
      </c>
      <c r="AV146" s="48">
        <v>0.5</v>
      </c>
      <c r="AW146" s="15">
        <v>2.2999999999999998</v>
      </c>
      <c r="AX146" s="15">
        <v>2</v>
      </c>
      <c r="AY146" s="15">
        <v>2</v>
      </c>
      <c r="AZ146" s="15">
        <v>450</v>
      </c>
      <c r="BA146" s="15">
        <v>1000</v>
      </c>
      <c r="BB146" s="15" t="s">
        <v>199</v>
      </c>
      <c r="BC146" s="15" t="s">
        <v>188</v>
      </c>
      <c r="BD146" s="15" t="s">
        <v>199</v>
      </c>
      <c r="BE146" s="1">
        <v>18000</v>
      </c>
      <c r="BF146" s="1">
        <v>18000</v>
      </c>
      <c r="BG146" s="1">
        <v>18000</v>
      </c>
      <c r="BH146" s="1" t="s">
        <v>193</v>
      </c>
      <c r="BI146" s="1">
        <v>18000</v>
      </c>
      <c r="BJ146" s="15"/>
      <c r="BK146" s="15"/>
      <c r="BL146" s="15"/>
      <c r="BM146" s="15"/>
      <c r="BN146" s="15"/>
      <c r="BO146" s="15"/>
      <c r="BP146" s="15"/>
      <c r="BQ146" s="15" t="s">
        <v>188</v>
      </c>
      <c r="BR146" s="15"/>
      <c r="BS146" s="2"/>
      <c r="BT146" s="15"/>
      <c r="BU146" s="15" t="s">
        <v>188</v>
      </c>
      <c r="BV146" s="15"/>
      <c r="BW146" s="15"/>
      <c r="BX146" s="15">
        <v>2</v>
      </c>
      <c r="BY146" s="15">
        <v>1</v>
      </c>
      <c r="BZ146" s="15">
        <v>3</v>
      </c>
      <c r="CA146" s="15"/>
      <c r="CB146" s="15"/>
      <c r="CC146" s="15" t="s">
        <v>188</v>
      </c>
      <c r="CD146" s="15"/>
      <c r="CE146" s="15"/>
      <c r="CF146" s="15"/>
      <c r="CG146" s="15" t="s">
        <v>188</v>
      </c>
      <c r="CH146" s="15" t="s">
        <v>188</v>
      </c>
      <c r="CI146" s="15"/>
      <c r="CJ146" s="15"/>
      <c r="CK146" s="15" t="s">
        <v>188</v>
      </c>
      <c r="CL146" s="15"/>
      <c r="CM146" s="15"/>
      <c r="CN146" s="15"/>
      <c r="CO146" s="15"/>
      <c r="CP146" s="15" t="s">
        <v>193</v>
      </c>
      <c r="CQ146" s="15" t="s">
        <v>209</v>
      </c>
      <c r="CR146" s="15" t="s">
        <v>188</v>
      </c>
      <c r="CS146" s="15"/>
      <c r="CT146" s="15"/>
      <c r="CU146" s="15"/>
      <c r="CV146" s="15"/>
      <c r="CW146" s="15"/>
      <c r="CX146" s="15"/>
      <c r="CY146" s="15" t="s">
        <v>188</v>
      </c>
      <c r="CZ146" s="3"/>
      <c r="DA146" s="49"/>
      <c r="DC146" s="18">
        <f t="shared" si="6"/>
        <v>0</v>
      </c>
      <c r="DD146" s="18">
        <f t="shared" si="7"/>
        <v>2</v>
      </c>
      <c r="DE146" s="18">
        <f t="shared" si="8"/>
        <v>2009</v>
      </c>
    </row>
    <row r="147" spans="1:109" x14ac:dyDescent="0.25">
      <c r="A147" s="59" t="s">
        <v>1318</v>
      </c>
      <c r="B147" s="103">
        <v>41544</v>
      </c>
      <c r="C147" s="105" t="s">
        <v>1576</v>
      </c>
      <c r="D147" s="14" t="s">
        <v>544</v>
      </c>
      <c r="E147" s="15"/>
      <c r="F147" s="15"/>
      <c r="G147" s="15" t="s">
        <v>188</v>
      </c>
      <c r="H147" s="15"/>
      <c r="I147" s="15">
        <v>49</v>
      </c>
      <c r="J147" s="15" t="s">
        <v>189</v>
      </c>
      <c r="K147" s="15" t="s">
        <v>190</v>
      </c>
      <c r="L147" s="15" t="s">
        <v>563</v>
      </c>
      <c r="M147" s="15" t="s">
        <v>1057</v>
      </c>
      <c r="N147" s="15" t="s">
        <v>1084</v>
      </c>
      <c r="O147" s="15">
        <v>25</v>
      </c>
      <c r="P147" s="15"/>
      <c r="Q147" s="15"/>
      <c r="R147" s="15"/>
      <c r="S147" s="15" t="s">
        <v>188</v>
      </c>
      <c r="T147" s="15"/>
      <c r="U147" s="15"/>
      <c r="V147" s="15"/>
      <c r="W147" s="15"/>
      <c r="X147" s="15" t="s">
        <v>188</v>
      </c>
      <c r="Y147" s="15"/>
      <c r="Z147" s="15"/>
      <c r="AA147" s="15"/>
      <c r="AB147" s="15"/>
      <c r="AC147" s="15"/>
      <c r="AD147" s="15"/>
      <c r="AE147" s="15"/>
      <c r="AF147" s="15"/>
      <c r="AG147" s="15"/>
      <c r="AH147" s="15">
        <v>2013</v>
      </c>
      <c r="AI147" s="1">
        <v>400000</v>
      </c>
      <c r="AJ147" s="15"/>
      <c r="AK147" s="15"/>
      <c r="AL147" s="15" t="s">
        <v>188</v>
      </c>
      <c r="AM147" s="15"/>
      <c r="AN147" s="15"/>
      <c r="AO147" s="15"/>
      <c r="AP147" s="15" t="s">
        <v>188</v>
      </c>
      <c r="AQ147" s="15"/>
      <c r="AR147" s="15"/>
      <c r="AS147" s="15"/>
      <c r="AT147" s="15" t="s">
        <v>390</v>
      </c>
      <c r="AU147" s="1">
        <v>3000</v>
      </c>
      <c r="AV147" s="48">
        <v>0.5</v>
      </c>
      <c r="AW147" s="15">
        <v>2.8</v>
      </c>
      <c r="AX147" s="15">
        <v>2.5</v>
      </c>
      <c r="AY147" s="15">
        <v>2</v>
      </c>
      <c r="AZ147" s="15">
        <v>380</v>
      </c>
      <c r="BA147" s="15">
        <v>1000</v>
      </c>
      <c r="BB147" s="15" t="s">
        <v>188</v>
      </c>
      <c r="BC147" s="15" t="s">
        <v>188</v>
      </c>
      <c r="BD147" s="15" t="s">
        <v>199</v>
      </c>
      <c r="BE147" s="1">
        <v>18000</v>
      </c>
      <c r="BF147" s="1">
        <v>9000</v>
      </c>
      <c r="BG147" s="1">
        <v>18000</v>
      </c>
      <c r="BH147" s="1">
        <f>3000*12*2.5</f>
        <v>90000</v>
      </c>
      <c r="BI147" s="1">
        <v>18000</v>
      </c>
      <c r="BJ147" s="15"/>
      <c r="BK147" s="15"/>
      <c r="BL147" s="15"/>
      <c r="BM147" s="15"/>
      <c r="BN147" s="15"/>
      <c r="BO147" s="15"/>
      <c r="BP147" s="15"/>
      <c r="BQ147" s="15" t="s">
        <v>188</v>
      </c>
      <c r="BR147" s="15"/>
      <c r="BS147" s="2"/>
      <c r="BT147" s="15"/>
      <c r="BU147" s="15" t="s">
        <v>188</v>
      </c>
      <c r="BV147" s="15"/>
      <c r="BW147" s="15"/>
      <c r="BX147" s="15">
        <v>3</v>
      </c>
      <c r="BY147" s="15">
        <v>2</v>
      </c>
      <c r="BZ147" s="15">
        <v>1</v>
      </c>
      <c r="CA147" s="15"/>
      <c r="CB147" s="15"/>
      <c r="CC147" s="15" t="s">
        <v>188</v>
      </c>
      <c r="CD147" s="15"/>
      <c r="CE147" s="15" t="s">
        <v>188</v>
      </c>
      <c r="CF147" s="15"/>
      <c r="CG147" s="15" t="s">
        <v>188</v>
      </c>
      <c r="CH147" s="15" t="s">
        <v>188</v>
      </c>
      <c r="CI147" s="15" t="s">
        <v>188</v>
      </c>
      <c r="CJ147" s="15"/>
      <c r="CK147" s="15" t="s">
        <v>188</v>
      </c>
      <c r="CL147" s="15"/>
      <c r="CM147" s="15"/>
      <c r="CN147" s="15"/>
      <c r="CO147" s="15"/>
      <c r="CP147" s="15" t="s">
        <v>193</v>
      </c>
      <c r="CQ147" s="15" t="s">
        <v>300</v>
      </c>
      <c r="CR147" s="15"/>
      <c r="CS147" s="15"/>
      <c r="CT147" s="15"/>
      <c r="CU147" s="15" t="s">
        <v>556</v>
      </c>
      <c r="CV147" s="15"/>
      <c r="CW147" s="15"/>
      <c r="CX147" s="15"/>
      <c r="CY147" s="15" t="s">
        <v>188</v>
      </c>
      <c r="CZ147" s="3"/>
      <c r="DA147" s="49"/>
      <c r="DC147" s="18">
        <f t="shared" si="6"/>
        <v>0</v>
      </c>
      <c r="DD147" s="18">
        <f t="shared" si="7"/>
        <v>3</v>
      </c>
      <c r="DE147" s="18">
        <f t="shared" si="8"/>
        <v>2013</v>
      </c>
    </row>
    <row r="148" spans="1:109" x14ac:dyDescent="0.25">
      <c r="A148" s="59" t="s">
        <v>1318</v>
      </c>
      <c r="B148" s="103">
        <v>41544</v>
      </c>
      <c r="C148" s="105" t="s">
        <v>1576</v>
      </c>
      <c r="D148" s="14" t="s">
        <v>545</v>
      </c>
      <c r="E148" s="15"/>
      <c r="F148" s="15"/>
      <c r="G148" s="15" t="s">
        <v>188</v>
      </c>
      <c r="H148" s="15"/>
      <c r="I148" s="15">
        <v>51</v>
      </c>
      <c r="J148" s="15" t="s">
        <v>189</v>
      </c>
      <c r="K148" s="15" t="s">
        <v>196</v>
      </c>
      <c r="L148" s="15" t="s">
        <v>590</v>
      </c>
      <c r="M148" s="15" t="s">
        <v>1138</v>
      </c>
      <c r="N148" s="15" t="s">
        <v>1084</v>
      </c>
      <c r="O148" s="15">
        <v>33</v>
      </c>
      <c r="P148" s="15"/>
      <c r="Q148" s="15" t="s">
        <v>188</v>
      </c>
      <c r="R148" s="15"/>
      <c r="S148" s="15"/>
      <c r="T148" s="15"/>
      <c r="U148" s="15"/>
      <c r="V148" s="15"/>
      <c r="W148" s="15"/>
      <c r="X148" s="15" t="s">
        <v>188</v>
      </c>
      <c r="Y148" s="15"/>
      <c r="Z148" s="15"/>
      <c r="AA148" s="15"/>
      <c r="AB148" s="15"/>
      <c r="AC148" s="15"/>
      <c r="AD148" s="15"/>
      <c r="AE148" s="15"/>
      <c r="AF148" s="15"/>
      <c r="AG148" s="15"/>
      <c r="AH148" s="15">
        <v>2007</v>
      </c>
      <c r="AI148" s="1">
        <v>900000</v>
      </c>
      <c r="AJ148" s="15"/>
      <c r="AK148" s="15"/>
      <c r="AL148" s="15" t="s">
        <v>188</v>
      </c>
      <c r="AM148" s="15"/>
      <c r="AN148" s="15"/>
      <c r="AO148" s="15"/>
      <c r="AP148" s="15" t="s">
        <v>188</v>
      </c>
      <c r="AQ148" s="15"/>
      <c r="AR148" s="15"/>
      <c r="AS148" s="15"/>
      <c r="AT148" s="15" t="s">
        <v>198</v>
      </c>
      <c r="AU148" s="1">
        <v>1500</v>
      </c>
      <c r="AV148" s="48">
        <v>0.5</v>
      </c>
      <c r="AW148" s="15">
        <v>3.1</v>
      </c>
      <c r="AX148" s="15">
        <v>2.8</v>
      </c>
      <c r="AY148" s="15">
        <v>2</v>
      </c>
      <c r="AZ148" s="15">
        <v>240</v>
      </c>
      <c r="BA148" s="15">
        <v>700</v>
      </c>
      <c r="BB148" s="15" t="s">
        <v>199</v>
      </c>
      <c r="BC148" s="15" t="s">
        <v>188</v>
      </c>
      <c r="BD148" s="15" t="s">
        <v>199</v>
      </c>
      <c r="BE148" s="1">
        <v>7500</v>
      </c>
      <c r="BF148" s="1">
        <v>4500</v>
      </c>
      <c r="BG148" s="1">
        <v>7500</v>
      </c>
      <c r="BH148" s="1">
        <v>90000</v>
      </c>
      <c r="BI148" s="1">
        <v>7500</v>
      </c>
      <c r="BJ148" s="15" t="s">
        <v>188</v>
      </c>
      <c r="BK148" s="15"/>
      <c r="BL148" s="15"/>
      <c r="BM148" s="15"/>
      <c r="BN148" s="15"/>
      <c r="BO148" s="15"/>
      <c r="BP148" s="15"/>
      <c r="BQ148" s="15"/>
      <c r="BR148" s="15"/>
      <c r="BS148" s="2"/>
      <c r="BT148" s="15"/>
      <c r="BU148" s="15" t="s">
        <v>188</v>
      </c>
      <c r="BV148" s="15"/>
      <c r="BW148" s="15"/>
      <c r="BX148" s="15">
        <v>1</v>
      </c>
      <c r="BY148" s="15">
        <v>2</v>
      </c>
      <c r="BZ148" s="15">
        <v>3</v>
      </c>
      <c r="CA148" s="15"/>
      <c r="CB148" s="15"/>
      <c r="CC148" s="15" t="s">
        <v>188</v>
      </c>
      <c r="CD148" s="15"/>
      <c r="CE148" s="15"/>
      <c r="CF148" s="15"/>
      <c r="CG148" s="15"/>
      <c r="CH148" s="15" t="s">
        <v>188</v>
      </c>
      <c r="CI148" s="15" t="s">
        <v>188</v>
      </c>
      <c r="CJ148" s="15"/>
      <c r="CK148" s="15" t="s">
        <v>188</v>
      </c>
      <c r="CL148" s="15"/>
      <c r="CM148" s="15"/>
      <c r="CN148" s="15"/>
      <c r="CO148" s="15"/>
      <c r="CP148" s="15" t="s">
        <v>193</v>
      </c>
      <c r="CQ148" s="15" t="s">
        <v>209</v>
      </c>
      <c r="CR148" s="15" t="s">
        <v>188</v>
      </c>
      <c r="CS148" s="15"/>
      <c r="CT148" s="15"/>
      <c r="CU148" s="15"/>
      <c r="CV148" s="15"/>
      <c r="CW148" s="15"/>
      <c r="CX148" s="15" t="s">
        <v>188</v>
      </c>
      <c r="CY148" s="15" t="s">
        <v>188</v>
      </c>
      <c r="CZ148" s="3"/>
      <c r="DA148" s="49"/>
      <c r="DC148" s="18">
        <f t="shared" si="6"/>
        <v>0</v>
      </c>
      <c r="DD148" s="18">
        <f t="shared" si="7"/>
        <v>3</v>
      </c>
      <c r="DE148" s="18">
        <f t="shared" si="8"/>
        <v>2007</v>
      </c>
    </row>
    <row r="149" spans="1:109" x14ac:dyDescent="0.25">
      <c r="A149" s="59" t="s">
        <v>1318</v>
      </c>
      <c r="B149" s="103">
        <v>41544</v>
      </c>
      <c r="C149" s="105" t="s">
        <v>1576</v>
      </c>
      <c r="D149" s="14" t="s">
        <v>546</v>
      </c>
      <c r="E149" s="15"/>
      <c r="F149" s="15"/>
      <c r="G149" s="15"/>
      <c r="H149" s="15" t="s">
        <v>188</v>
      </c>
      <c r="I149" s="15">
        <v>54</v>
      </c>
      <c r="J149" s="15" t="s">
        <v>189</v>
      </c>
      <c r="K149" s="15" t="s">
        <v>190</v>
      </c>
      <c r="L149" s="15" t="s">
        <v>551</v>
      </c>
      <c r="M149" s="15" t="s">
        <v>1051</v>
      </c>
      <c r="N149" s="15" t="s">
        <v>1088</v>
      </c>
      <c r="O149" s="15">
        <v>30</v>
      </c>
      <c r="P149" s="15"/>
      <c r="Q149" s="15"/>
      <c r="R149" s="15" t="s">
        <v>188</v>
      </c>
      <c r="S149" s="15"/>
      <c r="T149" s="15"/>
      <c r="U149" s="15"/>
      <c r="V149" s="15"/>
      <c r="W149" s="15"/>
      <c r="X149" s="15" t="s">
        <v>188</v>
      </c>
      <c r="Y149" s="15"/>
      <c r="Z149" s="15"/>
      <c r="AA149" s="15"/>
      <c r="AB149" s="15"/>
      <c r="AC149" s="15"/>
      <c r="AD149" s="15"/>
      <c r="AE149" s="15"/>
      <c r="AF149" s="15"/>
      <c r="AG149" s="15"/>
      <c r="AH149" s="15">
        <v>2010</v>
      </c>
      <c r="AI149" s="1">
        <v>70000</v>
      </c>
      <c r="AJ149" s="15"/>
      <c r="AK149" s="15"/>
      <c r="AL149" s="15" t="s">
        <v>188</v>
      </c>
      <c r="AM149" s="15"/>
      <c r="AN149" s="15"/>
      <c r="AO149" s="15"/>
      <c r="AP149" s="15" t="s">
        <v>188</v>
      </c>
      <c r="AQ149" s="15"/>
      <c r="AR149" s="15"/>
      <c r="AS149" s="15"/>
      <c r="AT149" s="15" t="s">
        <v>328</v>
      </c>
      <c r="AU149" s="1">
        <v>2000</v>
      </c>
      <c r="AV149" s="48">
        <v>0.5</v>
      </c>
      <c r="AW149" s="15">
        <v>2.2000000000000002</v>
      </c>
      <c r="AX149" s="15">
        <v>2</v>
      </c>
      <c r="AY149" s="15">
        <v>2</v>
      </c>
      <c r="AZ149" s="15">
        <v>710</v>
      </c>
      <c r="BA149" s="15">
        <v>1500</v>
      </c>
      <c r="BB149" s="15" t="s">
        <v>188</v>
      </c>
      <c r="BC149" s="15" t="s">
        <v>188</v>
      </c>
      <c r="BD149" s="15" t="s">
        <v>199</v>
      </c>
      <c r="BE149" s="1">
        <v>12000</v>
      </c>
      <c r="BF149" s="1">
        <v>60000</v>
      </c>
      <c r="BG149" s="1">
        <v>12000</v>
      </c>
      <c r="BH149" s="1">
        <v>100000</v>
      </c>
      <c r="BI149" s="1">
        <v>12000</v>
      </c>
      <c r="BJ149" s="15"/>
      <c r="BK149" s="15"/>
      <c r="BL149" s="15"/>
      <c r="BM149" s="15"/>
      <c r="BN149" s="15"/>
      <c r="BO149" s="15"/>
      <c r="BP149" s="15"/>
      <c r="BQ149" s="15" t="s">
        <v>188</v>
      </c>
      <c r="BR149" s="15"/>
      <c r="BS149" s="2"/>
      <c r="BT149" s="15"/>
      <c r="BU149" s="15" t="s">
        <v>188</v>
      </c>
      <c r="BV149" s="15"/>
      <c r="BW149" s="15"/>
      <c r="BX149" s="15">
        <v>3</v>
      </c>
      <c r="BY149" s="15">
        <v>4</v>
      </c>
      <c r="BZ149" s="15">
        <v>2</v>
      </c>
      <c r="CA149" s="15" t="s">
        <v>566</v>
      </c>
      <c r="CB149" s="15"/>
      <c r="CC149" s="15" t="s">
        <v>188</v>
      </c>
      <c r="CD149" s="15" t="s">
        <v>188</v>
      </c>
      <c r="CE149" s="15" t="s">
        <v>188</v>
      </c>
      <c r="CF149" s="15" t="s">
        <v>188</v>
      </c>
      <c r="CG149" s="15" t="s">
        <v>188</v>
      </c>
      <c r="CH149" s="15" t="s">
        <v>188</v>
      </c>
      <c r="CI149" s="15" t="s">
        <v>188</v>
      </c>
      <c r="CJ149" s="15"/>
      <c r="CK149" s="15" t="s">
        <v>188</v>
      </c>
      <c r="CL149" s="15"/>
      <c r="CM149" s="15"/>
      <c r="CN149" s="15"/>
      <c r="CO149" s="15"/>
      <c r="CP149" s="15" t="s">
        <v>193</v>
      </c>
      <c r="CQ149" s="15" t="s">
        <v>309</v>
      </c>
      <c r="CR149" s="15"/>
      <c r="CS149" s="15" t="s">
        <v>188</v>
      </c>
      <c r="CT149" s="15" t="s">
        <v>188</v>
      </c>
      <c r="CU149" s="15"/>
      <c r="CV149" s="15" t="s">
        <v>188</v>
      </c>
      <c r="CW149" s="15" t="s">
        <v>270</v>
      </c>
      <c r="CX149" s="15"/>
      <c r="CY149" s="15"/>
      <c r="CZ149" s="3"/>
      <c r="DA149" s="49"/>
      <c r="DC149" s="18">
        <f t="shared" si="6"/>
        <v>0</v>
      </c>
      <c r="DD149" s="18">
        <f t="shared" si="7"/>
        <v>7</v>
      </c>
      <c r="DE149" s="18">
        <f t="shared" si="8"/>
        <v>2010</v>
      </c>
    </row>
    <row r="150" spans="1:109" x14ac:dyDescent="0.25">
      <c r="A150" s="59" t="s">
        <v>1318</v>
      </c>
      <c r="B150" s="103">
        <v>41544</v>
      </c>
      <c r="C150" s="105" t="s">
        <v>1576</v>
      </c>
      <c r="D150" s="14" t="s">
        <v>547</v>
      </c>
      <c r="E150" s="15"/>
      <c r="F150" s="15"/>
      <c r="G150" s="15"/>
      <c r="H150" s="15" t="s">
        <v>188</v>
      </c>
      <c r="I150" s="15">
        <v>50</v>
      </c>
      <c r="J150" s="15" t="s">
        <v>189</v>
      </c>
      <c r="K150" s="15" t="s">
        <v>196</v>
      </c>
      <c r="L150" s="15" t="s">
        <v>410</v>
      </c>
      <c r="M150" s="15" t="s">
        <v>1026</v>
      </c>
      <c r="N150" s="15" t="s">
        <v>1084</v>
      </c>
      <c r="O150" s="15">
        <v>25</v>
      </c>
      <c r="P150" s="15" t="s">
        <v>188</v>
      </c>
      <c r="Q150" s="15"/>
      <c r="R150" s="15"/>
      <c r="S150" s="15"/>
      <c r="T150" s="15"/>
      <c r="U150" s="15" t="s">
        <v>188</v>
      </c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>
        <v>2002</v>
      </c>
      <c r="AI150" s="1">
        <v>800000</v>
      </c>
      <c r="AJ150" s="15"/>
      <c r="AK150" s="15"/>
      <c r="AL150" s="15" t="s">
        <v>188</v>
      </c>
      <c r="AM150" s="15"/>
      <c r="AN150" s="15"/>
      <c r="AO150" s="15" t="s">
        <v>188</v>
      </c>
      <c r="AP150" s="15"/>
      <c r="AQ150" s="15"/>
      <c r="AR150" s="15"/>
      <c r="AS150" s="15"/>
      <c r="AT150" s="15" t="s">
        <v>322</v>
      </c>
      <c r="AU150" s="1">
        <v>2000</v>
      </c>
      <c r="AV150" s="48">
        <v>0.2</v>
      </c>
      <c r="AW150" s="15">
        <v>3</v>
      </c>
      <c r="AX150" s="15">
        <v>2.7</v>
      </c>
      <c r="AY150" s="15">
        <v>2</v>
      </c>
      <c r="AZ150" s="15">
        <v>410</v>
      </c>
      <c r="BA150" s="15">
        <v>1200</v>
      </c>
      <c r="BB150" s="15" t="s">
        <v>199</v>
      </c>
      <c r="BC150" s="15" t="s">
        <v>188</v>
      </c>
      <c r="BD150" s="15" t="s">
        <v>199</v>
      </c>
      <c r="BE150" s="1">
        <v>8000</v>
      </c>
      <c r="BF150" s="1">
        <v>6000</v>
      </c>
      <c r="BG150" s="1">
        <v>8000</v>
      </c>
      <c r="BH150" s="1">
        <v>72000</v>
      </c>
      <c r="BI150" s="1">
        <v>8000</v>
      </c>
      <c r="BJ150" s="15"/>
      <c r="BK150" s="15"/>
      <c r="BL150" s="15"/>
      <c r="BM150" s="15"/>
      <c r="BN150" s="15" t="s">
        <v>188</v>
      </c>
      <c r="BO150" s="15"/>
      <c r="BP150" s="15"/>
      <c r="BQ150" s="15"/>
      <c r="BR150" s="15"/>
      <c r="BS150" s="2"/>
      <c r="BT150" s="15"/>
      <c r="BU150" s="15" t="s">
        <v>188</v>
      </c>
      <c r="BV150" s="15"/>
      <c r="BW150" s="15"/>
      <c r="BX150" s="15">
        <v>2</v>
      </c>
      <c r="BY150" s="15">
        <v>3</v>
      </c>
      <c r="BZ150" s="15">
        <v>1</v>
      </c>
      <c r="CA150" s="15"/>
      <c r="CB150" s="15"/>
      <c r="CC150" s="15" t="s">
        <v>188</v>
      </c>
      <c r="CD150" s="15"/>
      <c r="CE150" s="15"/>
      <c r="CF150" s="15"/>
      <c r="CG150" s="15"/>
      <c r="CH150" s="15" t="s">
        <v>188</v>
      </c>
      <c r="CI150" s="15" t="s">
        <v>188</v>
      </c>
      <c r="CJ150" s="15"/>
      <c r="CK150" s="15" t="s">
        <v>188</v>
      </c>
      <c r="CL150" s="15"/>
      <c r="CM150" s="15"/>
      <c r="CN150" s="15"/>
      <c r="CO150" s="15"/>
      <c r="CP150" s="15" t="s">
        <v>193</v>
      </c>
      <c r="CQ150" s="15" t="s">
        <v>306</v>
      </c>
      <c r="CR150" s="15" t="s">
        <v>188</v>
      </c>
      <c r="CS150" s="15"/>
      <c r="CT150" s="15"/>
      <c r="CU150" s="15"/>
      <c r="CV150" s="15"/>
      <c r="CW150" s="15"/>
      <c r="CX150" s="15"/>
      <c r="CY150" s="15" t="s">
        <v>188</v>
      </c>
      <c r="CZ150" s="3"/>
      <c r="DA150" s="49"/>
      <c r="DC150" s="18">
        <f t="shared" si="6"/>
        <v>0</v>
      </c>
      <c r="DD150" s="18">
        <f t="shared" si="7"/>
        <v>7</v>
      </c>
      <c r="DE150" s="18">
        <f t="shared" si="8"/>
        <v>2002</v>
      </c>
    </row>
    <row r="151" spans="1:109" x14ac:dyDescent="0.25">
      <c r="A151" s="59" t="s">
        <v>1318</v>
      </c>
      <c r="B151" s="103">
        <v>41544</v>
      </c>
      <c r="C151" s="105" t="s">
        <v>1576</v>
      </c>
      <c r="D151" s="14" t="s">
        <v>573</v>
      </c>
      <c r="E151" s="15"/>
      <c r="F151" s="15" t="s">
        <v>188</v>
      </c>
      <c r="G151" s="15"/>
      <c r="H151" s="15"/>
      <c r="I151" s="15">
        <v>33</v>
      </c>
      <c r="J151" s="15" t="s">
        <v>189</v>
      </c>
      <c r="K151" s="15" t="s">
        <v>220</v>
      </c>
      <c r="L151" s="15" t="s">
        <v>594</v>
      </c>
      <c r="M151" s="15" t="s">
        <v>1018</v>
      </c>
      <c r="N151" s="15" t="s">
        <v>1085</v>
      </c>
      <c r="O151" s="15">
        <v>12</v>
      </c>
      <c r="P151" s="15"/>
      <c r="Q151" s="15"/>
      <c r="R151" s="15"/>
      <c r="S151" s="15" t="s">
        <v>188</v>
      </c>
      <c r="T151" s="15"/>
      <c r="U151" s="15" t="s">
        <v>188</v>
      </c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>
        <v>2006</v>
      </c>
      <c r="AI151" s="1">
        <v>560000</v>
      </c>
      <c r="AJ151" s="15"/>
      <c r="AK151" s="15"/>
      <c r="AL151" s="15" t="s">
        <v>188</v>
      </c>
      <c r="AM151" s="15"/>
      <c r="AN151" s="15"/>
      <c r="AO151" s="15"/>
      <c r="AP151" s="15" t="s">
        <v>188</v>
      </c>
      <c r="AQ151" s="15"/>
      <c r="AR151" s="15"/>
      <c r="AS151" s="15"/>
      <c r="AT151" s="15" t="s">
        <v>266</v>
      </c>
      <c r="AU151" s="1">
        <v>15000</v>
      </c>
      <c r="AV151" s="48">
        <v>0.05</v>
      </c>
      <c r="AW151" s="15">
        <v>3.5</v>
      </c>
      <c r="AX151" s="15">
        <v>3.2</v>
      </c>
      <c r="AY151" s="15">
        <v>2</v>
      </c>
      <c r="AZ151" s="15">
        <v>790</v>
      </c>
      <c r="BA151" s="15">
        <v>2700</v>
      </c>
      <c r="BB151" s="15" t="s">
        <v>188</v>
      </c>
      <c r="BC151" s="15" t="s">
        <v>188</v>
      </c>
      <c r="BD151" s="15" t="s">
        <v>199</v>
      </c>
      <c r="BE151" s="1">
        <v>30000</v>
      </c>
      <c r="BF151" s="1" t="s">
        <v>193</v>
      </c>
      <c r="BG151" s="1">
        <v>30000</v>
      </c>
      <c r="BH151" s="1" t="s">
        <v>193</v>
      </c>
      <c r="BI151" s="1">
        <v>30000</v>
      </c>
      <c r="BJ151" s="15"/>
      <c r="BK151" s="15"/>
      <c r="BL151" s="15"/>
      <c r="BM151" s="15"/>
      <c r="BN151" s="15"/>
      <c r="BO151" s="15"/>
      <c r="BP151" s="15"/>
      <c r="BQ151" s="15"/>
      <c r="BR151" s="15"/>
      <c r="BS151" s="2" t="s">
        <v>567</v>
      </c>
      <c r="BT151" s="15"/>
      <c r="BU151" s="15" t="s">
        <v>188</v>
      </c>
      <c r="BV151" s="15"/>
      <c r="BW151" s="15"/>
      <c r="BX151" s="15">
        <v>1</v>
      </c>
      <c r="BY151" s="15">
        <v>2</v>
      </c>
      <c r="BZ151" s="15">
        <v>3</v>
      </c>
      <c r="CA151" s="15"/>
      <c r="CB151" s="15"/>
      <c r="CC151" s="15" t="s">
        <v>188</v>
      </c>
      <c r="CD151" s="15"/>
      <c r="CE151" s="15"/>
      <c r="CF151" s="15"/>
      <c r="CG151" s="15"/>
      <c r="CH151" s="15"/>
      <c r="CI151" s="15" t="s">
        <v>188</v>
      </c>
      <c r="CJ151" s="15"/>
      <c r="CK151" s="15" t="s">
        <v>188</v>
      </c>
      <c r="CL151" s="15"/>
      <c r="CM151" s="15"/>
      <c r="CN151" s="15"/>
      <c r="CO151" s="15"/>
      <c r="CP151" s="15" t="s">
        <v>193</v>
      </c>
      <c r="CQ151" s="15" t="s">
        <v>209</v>
      </c>
      <c r="CR151" s="15" t="s">
        <v>188</v>
      </c>
      <c r="CS151" s="15"/>
      <c r="CT151" s="15"/>
      <c r="CU151" s="15"/>
      <c r="CV151" s="15"/>
      <c r="CW151" s="15"/>
      <c r="CX151" s="15" t="s">
        <v>188</v>
      </c>
      <c r="CY151" s="15" t="s">
        <v>188</v>
      </c>
      <c r="CZ151" s="3"/>
      <c r="DA151" s="49"/>
      <c r="DC151" s="18">
        <f t="shared" si="6"/>
        <v>0</v>
      </c>
      <c r="DD151" s="18">
        <f t="shared" si="7"/>
        <v>2</v>
      </c>
      <c r="DE151" s="18">
        <f t="shared" si="8"/>
        <v>2006</v>
      </c>
    </row>
    <row r="152" spans="1:109" x14ac:dyDescent="0.25">
      <c r="A152" s="59" t="s">
        <v>1318</v>
      </c>
      <c r="B152" s="103">
        <v>41544</v>
      </c>
      <c r="C152" s="105" t="s">
        <v>1576</v>
      </c>
      <c r="D152" s="14" t="s">
        <v>574</v>
      </c>
      <c r="E152" s="15"/>
      <c r="F152" s="15"/>
      <c r="G152" s="15" t="s">
        <v>188</v>
      </c>
      <c r="H152" s="15"/>
      <c r="I152" s="15">
        <v>50</v>
      </c>
      <c r="J152" s="15" t="s">
        <v>189</v>
      </c>
      <c r="K152" s="15" t="s">
        <v>196</v>
      </c>
      <c r="L152" s="15" t="s">
        <v>563</v>
      </c>
      <c r="M152" s="15" t="s">
        <v>1057</v>
      </c>
      <c r="N152" s="15" t="s">
        <v>1085</v>
      </c>
      <c r="O152" s="15">
        <v>20</v>
      </c>
      <c r="P152" s="15" t="s">
        <v>188</v>
      </c>
      <c r="Q152" s="15"/>
      <c r="R152" s="15"/>
      <c r="S152" s="15"/>
      <c r="T152" s="15"/>
      <c r="U152" s="15"/>
      <c r="V152" s="15"/>
      <c r="W152" s="15"/>
      <c r="X152" s="15"/>
      <c r="Y152" s="15" t="s">
        <v>188</v>
      </c>
      <c r="Z152" s="15"/>
      <c r="AA152" s="15"/>
      <c r="AB152" s="15"/>
      <c r="AC152" s="15"/>
      <c r="AD152" s="15"/>
      <c r="AE152" s="15"/>
      <c r="AF152" s="15"/>
      <c r="AG152" s="15"/>
      <c r="AH152" s="15">
        <v>1991</v>
      </c>
      <c r="AI152" s="1">
        <v>500000</v>
      </c>
      <c r="AJ152" s="15"/>
      <c r="AK152" s="15"/>
      <c r="AL152" s="15" t="s">
        <v>188</v>
      </c>
      <c r="AM152" s="15"/>
      <c r="AN152" s="15"/>
      <c r="AO152" s="15"/>
      <c r="AP152" s="15"/>
      <c r="AQ152" s="15"/>
      <c r="AR152" s="15" t="s">
        <v>188</v>
      </c>
      <c r="AS152" s="15">
        <v>2000</v>
      </c>
      <c r="AT152" s="15" t="s">
        <v>322</v>
      </c>
      <c r="AU152" s="1">
        <v>2000</v>
      </c>
      <c r="AV152" s="48">
        <v>0.5</v>
      </c>
      <c r="AW152" s="15">
        <v>3</v>
      </c>
      <c r="AX152" s="15">
        <v>2.5</v>
      </c>
      <c r="AY152" s="15">
        <v>2</v>
      </c>
      <c r="AZ152" s="15">
        <v>460</v>
      </c>
      <c r="BA152" s="15">
        <v>1300</v>
      </c>
      <c r="BB152" s="15" t="s">
        <v>199</v>
      </c>
      <c r="BC152" s="15" t="s">
        <v>188</v>
      </c>
      <c r="BD152" s="15" t="s">
        <v>199</v>
      </c>
      <c r="BE152" s="1">
        <v>6000</v>
      </c>
      <c r="BF152" s="1">
        <v>12000</v>
      </c>
      <c r="BG152" s="1">
        <v>6000</v>
      </c>
      <c r="BH152" s="1">
        <v>72000</v>
      </c>
      <c r="BI152" s="1">
        <v>6000</v>
      </c>
      <c r="BJ152" s="15"/>
      <c r="BK152" s="15"/>
      <c r="BL152" s="15"/>
      <c r="BM152" s="15"/>
      <c r="BN152" s="15"/>
      <c r="BO152" s="15"/>
      <c r="BP152" s="15"/>
      <c r="BQ152" s="15"/>
      <c r="BR152" s="15" t="s">
        <v>188</v>
      </c>
      <c r="BS152" s="2"/>
      <c r="BT152" s="15"/>
      <c r="BU152" s="15" t="s">
        <v>188</v>
      </c>
      <c r="BV152" s="15"/>
      <c r="BW152" s="15"/>
      <c r="BX152" s="15">
        <v>2</v>
      </c>
      <c r="BY152" s="15">
        <v>3</v>
      </c>
      <c r="BZ152" s="15">
        <v>1</v>
      </c>
      <c r="CA152" s="15"/>
      <c r="CB152" s="15"/>
      <c r="CC152" s="15" t="s">
        <v>188</v>
      </c>
      <c r="CD152" s="15"/>
      <c r="CE152" s="15"/>
      <c r="CF152" s="15"/>
      <c r="CG152" s="15" t="s">
        <v>188</v>
      </c>
      <c r="CH152" s="15"/>
      <c r="CI152" s="15" t="s">
        <v>188</v>
      </c>
      <c r="CJ152" s="15"/>
      <c r="CK152" s="15" t="s">
        <v>188</v>
      </c>
      <c r="CL152" s="15"/>
      <c r="CM152" s="15"/>
      <c r="CN152" s="15"/>
      <c r="CO152" s="15"/>
      <c r="CP152" s="15" t="s">
        <v>193</v>
      </c>
      <c r="CQ152" s="15" t="s">
        <v>309</v>
      </c>
      <c r="CR152" s="15"/>
      <c r="CS152" s="15"/>
      <c r="CT152" s="15"/>
      <c r="CU152" s="15" t="s">
        <v>324</v>
      </c>
      <c r="CV152" s="15"/>
      <c r="CW152" s="15"/>
      <c r="CX152" s="15"/>
      <c r="CY152" s="15" t="s">
        <v>188</v>
      </c>
      <c r="CZ152" s="3"/>
      <c r="DA152" s="49"/>
      <c r="DC152" s="18">
        <f t="shared" si="6"/>
        <v>0</v>
      </c>
      <c r="DD152" s="18">
        <f t="shared" si="7"/>
        <v>3</v>
      </c>
      <c r="DE152" s="18">
        <f t="shared" si="8"/>
        <v>2000</v>
      </c>
    </row>
    <row r="153" spans="1:109" x14ac:dyDescent="0.25">
      <c r="A153" s="59" t="s">
        <v>1318</v>
      </c>
      <c r="B153" s="103">
        <v>41544</v>
      </c>
      <c r="C153" s="105" t="s">
        <v>1576</v>
      </c>
      <c r="D153" s="14" t="s">
        <v>575</v>
      </c>
      <c r="E153" s="15"/>
      <c r="F153" s="15"/>
      <c r="G153" s="15" t="s">
        <v>188</v>
      </c>
      <c r="H153" s="15"/>
      <c r="I153" s="15">
        <v>33</v>
      </c>
      <c r="J153" s="15" t="s">
        <v>189</v>
      </c>
      <c r="K153" s="15" t="s">
        <v>190</v>
      </c>
      <c r="L153" s="15" t="s">
        <v>562</v>
      </c>
      <c r="M153" s="15" t="s">
        <v>1055</v>
      </c>
      <c r="N153" s="15" t="s">
        <v>1084</v>
      </c>
      <c r="O153" s="15">
        <v>5</v>
      </c>
      <c r="P153" s="15" t="s">
        <v>188</v>
      </c>
      <c r="Q153" s="15"/>
      <c r="R153" s="15"/>
      <c r="S153" s="15"/>
      <c r="T153" s="15"/>
      <c r="U153" s="15"/>
      <c r="V153" s="15"/>
      <c r="W153" s="15"/>
      <c r="X153" s="15" t="s">
        <v>188</v>
      </c>
      <c r="Y153" s="15"/>
      <c r="Z153" s="15"/>
      <c r="AA153" s="15"/>
      <c r="AB153" s="15"/>
      <c r="AC153" s="15"/>
      <c r="AD153" s="15"/>
      <c r="AE153" s="15"/>
      <c r="AF153" s="15"/>
      <c r="AG153" s="15"/>
      <c r="AH153" s="15">
        <v>2010</v>
      </c>
      <c r="AI153" s="1">
        <v>750000</v>
      </c>
      <c r="AJ153" s="15"/>
      <c r="AK153" s="15"/>
      <c r="AL153" s="15" t="s">
        <v>188</v>
      </c>
      <c r="AM153" s="15"/>
      <c r="AN153" s="15"/>
      <c r="AO153" s="15" t="s">
        <v>188</v>
      </c>
      <c r="AP153" s="15"/>
      <c r="AQ153" s="15"/>
      <c r="AR153" s="15"/>
      <c r="AS153" s="15"/>
      <c r="AT153" s="15" t="s">
        <v>193</v>
      </c>
      <c r="AU153" s="1">
        <v>3000</v>
      </c>
      <c r="AV153" s="48">
        <v>0.3</v>
      </c>
      <c r="AW153" s="15">
        <v>2.8</v>
      </c>
      <c r="AX153" s="15">
        <v>2.1</v>
      </c>
      <c r="AY153" s="15">
        <v>2</v>
      </c>
      <c r="AZ153" s="15">
        <v>400</v>
      </c>
      <c r="BA153" s="15">
        <v>1000</v>
      </c>
      <c r="BB153" s="15" t="s">
        <v>199</v>
      </c>
      <c r="BC153" s="15" t="s">
        <v>188</v>
      </c>
      <c r="BD153" s="15" t="s">
        <v>199</v>
      </c>
      <c r="BE153" s="1">
        <v>12000</v>
      </c>
      <c r="BF153" s="1">
        <v>9000</v>
      </c>
      <c r="BG153" s="1">
        <v>12000</v>
      </c>
      <c r="BH153" s="1">
        <v>100000</v>
      </c>
      <c r="BI153" s="1">
        <v>12000</v>
      </c>
      <c r="BJ153" s="15"/>
      <c r="BK153" s="15" t="s">
        <v>188</v>
      </c>
      <c r="BL153" s="15"/>
      <c r="BM153" s="15"/>
      <c r="BN153" s="15"/>
      <c r="BO153" s="15"/>
      <c r="BP153" s="15"/>
      <c r="BQ153" s="15"/>
      <c r="BR153" s="15"/>
      <c r="BS153" s="2"/>
      <c r="BT153" s="15"/>
      <c r="BU153" s="15"/>
      <c r="BV153" s="15" t="s">
        <v>188</v>
      </c>
      <c r="BW153" s="15"/>
      <c r="BX153" s="15">
        <v>3</v>
      </c>
      <c r="BY153" s="15">
        <v>4</v>
      </c>
      <c r="BZ153" s="15">
        <v>2</v>
      </c>
      <c r="CA153" s="15" t="s">
        <v>208</v>
      </c>
      <c r="CB153" s="15" t="s">
        <v>188</v>
      </c>
      <c r="CC153" s="15"/>
      <c r="CD153" s="15"/>
      <c r="CE153" s="15"/>
      <c r="CF153" s="15"/>
      <c r="CG153" s="15"/>
      <c r="CH153" s="15"/>
      <c r="CI153" s="15"/>
      <c r="CJ153" s="15"/>
      <c r="CK153" s="15" t="s">
        <v>188</v>
      </c>
      <c r="CL153" s="15"/>
      <c r="CM153" s="15"/>
      <c r="CN153" s="15"/>
      <c r="CO153" s="15"/>
      <c r="CP153" s="15" t="s">
        <v>193</v>
      </c>
      <c r="CQ153" s="15" t="s">
        <v>300</v>
      </c>
      <c r="CR153" s="15" t="s">
        <v>188</v>
      </c>
      <c r="CS153" s="15"/>
      <c r="CT153" s="15"/>
      <c r="CU153" s="15"/>
      <c r="CV153" s="15"/>
      <c r="CW153" s="15"/>
      <c r="CX153" s="15"/>
      <c r="CY153" s="15" t="s">
        <v>188</v>
      </c>
      <c r="CZ153" s="3"/>
      <c r="DA153" s="49"/>
      <c r="DC153" s="18">
        <f t="shared" si="6"/>
        <v>0</v>
      </c>
      <c r="DD153" s="18">
        <f t="shared" si="7"/>
        <v>3</v>
      </c>
      <c r="DE153" s="18">
        <f t="shared" si="8"/>
        <v>2010</v>
      </c>
    </row>
    <row r="154" spans="1:109" x14ac:dyDescent="0.25">
      <c r="A154" s="59" t="s">
        <v>1318</v>
      </c>
      <c r="B154" s="103">
        <v>41544</v>
      </c>
      <c r="C154" s="105" t="s">
        <v>1576</v>
      </c>
      <c r="D154" s="14" t="s">
        <v>576</v>
      </c>
      <c r="E154" s="15"/>
      <c r="F154" s="15"/>
      <c r="G154" s="15" t="s">
        <v>188</v>
      </c>
      <c r="H154" s="15"/>
      <c r="I154" s="15">
        <v>24</v>
      </c>
      <c r="J154" s="15" t="s">
        <v>189</v>
      </c>
      <c r="K154" s="15" t="s">
        <v>190</v>
      </c>
      <c r="L154" s="15" t="s">
        <v>388</v>
      </c>
      <c r="M154" s="15" t="s">
        <v>1020</v>
      </c>
      <c r="N154" s="15" t="s">
        <v>1085</v>
      </c>
      <c r="O154" s="15">
        <v>3</v>
      </c>
      <c r="P154" s="15" t="s">
        <v>188</v>
      </c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 t="s">
        <v>188</v>
      </c>
      <c r="AG154" s="15"/>
      <c r="AH154" s="15">
        <v>1989</v>
      </c>
      <c r="AI154" s="1">
        <v>1200000</v>
      </c>
      <c r="AJ154" s="15"/>
      <c r="AK154" s="15"/>
      <c r="AL154" s="15" t="s">
        <v>188</v>
      </c>
      <c r="AM154" s="15"/>
      <c r="AN154" s="15"/>
      <c r="AO154" s="15"/>
      <c r="AP154" s="15" t="s">
        <v>188</v>
      </c>
      <c r="AQ154" s="15"/>
      <c r="AR154" s="15"/>
      <c r="AS154" s="15"/>
      <c r="AT154" s="15" t="s">
        <v>211</v>
      </c>
      <c r="AU154" s="1">
        <v>2500</v>
      </c>
      <c r="AV154" s="48">
        <v>0.5</v>
      </c>
      <c r="AW154" s="15">
        <v>3</v>
      </c>
      <c r="AX154" s="15">
        <v>2.5</v>
      </c>
      <c r="AY154" s="15">
        <v>2</v>
      </c>
      <c r="AZ154" s="15">
        <v>500</v>
      </c>
      <c r="BA154" s="15">
        <v>1400</v>
      </c>
      <c r="BB154" s="15" t="s">
        <v>199</v>
      </c>
      <c r="BC154" s="15" t="s">
        <v>199</v>
      </c>
      <c r="BD154" s="15" t="s">
        <v>199</v>
      </c>
      <c r="BE154" s="1">
        <v>15000</v>
      </c>
      <c r="BF154" s="1">
        <v>12500</v>
      </c>
      <c r="BG154" s="1">
        <v>15000</v>
      </c>
      <c r="BH154" s="1">
        <v>60000</v>
      </c>
      <c r="BI154" s="1">
        <v>15000</v>
      </c>
      <c r="BJ154" s="15"/>
      <c r="BK154" s="15"/>
      <c r="BL154" s="15"/>
      <c r="BM154" s="15" t="s">
        <v>188</v>
      </c>
      <c r="BN154" s="15"/>
      <c r="BO154" s="15"/>
      <c r="BP154" s="15"/>
      <c r="BQ154" s="15"/>
      <c r="BR154" s="15"/>
      <c r="BS154" s="2"/>
      <c r="BT154" s="15"/>
      <c r="BU154" s="15"/>
      <c r="BV154" s="15" t="s">
        <v>188</v>
      </c>
      <c r="BW154" s="15"/>
      <c r="BX154" s="15">
        <v>1</v>
      </c>
      <c r="BY154" s="15">
        <v>3</v>
      </c>
      <c r="BZ154" s="15">
        <v>2</v>
      </c>
      <c r="CA154" s="15"/>
      <c r="CB154" s="15" t="s">
        <v>188</v>
      </c>
      <c r="CC154" s="15"/>
      <c r="CD154" s="15"/>
      <c r="CE154" s="15"/>
      <c r="CF154" s="15"/>
      <c r="CG154" s="15"/>
      <c r="CH154" s="15"/>
      <c r="CI154" s="15"/>
      <c r="CJ154" s="15"/>
      <c r="CK154" s="15" t="s">
        <v>188</v>
      </c>
      <c r="CL154" s="15"/>
      <c r="CM154" s="15"/>
      <c r="CN154" s="15"/>
      <c r="CO154" s="15"/>
      <c r="CP154" s="15" t="s">
        <v>193</v>
      </c>
      <c r="CQ154" s="15" t="s">
        <v>193</v>
      </c>
      <c r="CR154" s="15" t="s">
        <v>188</v>
      </c>
      <c r="CS154" s="15"/>
      <c r="CT154" s="15"/>
      <c r="CU154" s="15"/>
      <c r="CV154" s="15" t="s">
        <v>188</v>
      </c>
      <c r="CW154" s="15" t="s">
        <v>306</v>
      </c>
      <c r="CX154" s="15"/>
      <c r="CY154" s="15"/>
      <c r="CZ154" s="3"/>
      <c r="DA154" s="49"/>
      <c r="DC154" s="18">
        <f t="shared" si="6"/>
        <v>0</v>
      </c>
      <c r="DD154" s="18">
        <f t="shared" si="7"/>
        <v>3</v>
      </c>
      <c r="DE154" s="18">
        <f t="shared" si="8"/>
        <v>1989</v>
      </c>
    </row>
    <row r="155" spans="1:109" x14ac:dyDescent="0.25">
      <c r="A155" s="59" t="s">
        <v>1318</v>
      </c>
      <c r="B155" s="103">
        <v>41544</v>
      </c>
      <c r="C155" s="105" t="s">
        <v>1576</v>
      </c>
      <c r="D155" s="14" t="s">
        <v>577</v>
      </c>
      <c r="E155" s="15"/>
      <c r="F155" s="15"/>
      <c r="G155" s="15"/>
      <c r="H155" s="15" t="s">
        <v>188</v>
      </c>
      <c r="I155" s="15">
        <v>32</v>
      </c>
      <c r="J155" s="15" t="s">
        <v>189</v>
      </c>
      <c r="K155" s="15" t="s">
        <v>190</v>
      </c>
      <c r="L155" s="15" t="s">
        <v>399</v>
      </c>
      <c r="M155" s="15" t="s">
        <v>1033</v>
      </c>
      <c r="N155" s="15" t="s">
        <v>1085</v>
      </c>
      <c r="O155" s="15">
        <v>15</v>
      </c>
      <c r="P155" s="15"/>
      <c r="Q155" s="15" t="s">
        <v>188</v>
      </c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 t="s">
        <v>188</v>
      </c>
      <c r="AG155" s="15"/>
      <c r="AH155" s="15">
        <v>1994</v>
      </c>
      <c r="AI155" s="1" t="s">
        <v>193</v>
      </c>
      <c r="AJ155" s="15"/>
      <c r="AK155" s="15"/>
      <c r="AL155" s="15" t="s">
        <v>188</v>
      </c>
      <c r="AM155" s="15"/>
      <c r="AN155" s="15"/>
      <c r="AO155" s="15"/>
      <c r="AP155" s="15" t="s">
        <v>188</v>
      </c>
      <c r="AQ155" s="15"/>
      <c r="AR155" s="15"/>
      <c r="AS155" s="15"/>
      <c r="AT155" s="15" t="s">
        <v>1316</v>
      </c>
      <c r="AU155" s="1">
        <v>15000</v>
      </c>
      <c r="AV155" s="48">
        <v>0.5</v>
      </c>
      <c r="AW155" s="15">
        <v>3</v>
      </c>
      <c r="AX155" s="15">
        <v>2.5</v>
      </c>
      <c r="AY155" s="15">
        <v>2</v>
      </c>
      <c r="AZ155" s="15">
        <v>1430</v>
      </c>
      <c r="BA155" s="15">
        <v>4000</v>
      </c>
      <c r="BB155" s="15" t="s">
        <v>199</v>
      </c>
      <c r="BC155" s="15" t="s">
        <v>199</v>
      </c>
      <c r="BD155" s="15" t="s">
        <v>199</v>
      </c>
      <c r="BE155" s="1">
        <v>25000</v>
      </c>
      <c r="BF155" s="1">
        <v>30000</v>
      </c>
      <c r="BG155" s="1">
        <v>25000</v>
      </c>
      <c r="BH155" s="1">
        <v>72000</v>
      </c>
      <c r="BI155" s="1">
        <v>10000</v>
      </c>
      <c r="BJ155" s="15"/>
      <c r="BK155" s="15"/>
      <c r="BL155" s="15"/>
      <c r="BM155" s="15"/>
      <c r="BN155" s="15"/>
      <c r="BO155" s="15"/>
      <c r="BP155" s="15"/>
      <c r="BQ155" s="15"/>
      <c r="BR155" s="15"/>
      <c r="BS155" s="2" t="s">
        <v>314</v>
      </c>
      <c r="BT155" s="15"/>
      <c r="BU155" s="15"/>
      <c r="BV155" s="15" t="s">
        <v>188</v>
      </c>
      <c r="BW155" s="15"/>
      <c r="BX155" s="15">
        <v>2</v>
      </c>
      <c r="BY155" s="15">
        <v>3</v>
      </c>
      <c r="BZ155" s="15">
        <v>1</v>
      </c>
      <c r="CA155" s="15"/>
      <c r="CB155" s="15"/>
      <c r="CC155" s="15" t="s">
        <v>188</v>
      </c>
      <c r="CD155" s="15"/>
      <c r="CE155" s="15" t="s">
        <v>188</v>
      </c>
      <c r="CF155" s="15" t="s">
        <v>188</v>
      </c>
      <c r="CG155" s="15" t="s">
        <v>188</v>
      </c>
      <c r="CH155" s="15" t="s">
        <v>188</v>
      </c>
      <c r="CI155" s="15" t="s">
        <v>188</v>
      </c>
      <c r="CJ155" s="15"/>
      <c r="CK155" s="15" t="s">
        <v>188</v>
      </c>
      <c r="CL155" s="15"/>
      <c r="CM155" s="15"/>
      <c r="CN155" s="15"/>
      <c r="CO155" s="15"/>
      <c r="CP155" s="15" t="s">
        <v>193</v>
      </c>
      <c r="CQ155" s="15" t="s">
        <v>193</v>
      </c>
      <c r="CR155" s="15" t="s">
        <v>188</v>
      </c>
      <c r="CS155" s="15"/>
      <c r="CT155" s="15"/>
      <c r="CU155" s="15"/>
      <c r="CV155" s="15"/>
      <c r="CW155" s="15"/>
      <c r="CX155" s="15"/>
      <c r="CY155" s="15" t="s">
        <v>188</v>
      </c>
      <c r="CZ155" s="3"/>
      <c r="DA155" s="49"/>
      <c r="DC155" s="18">
        <f t="shared" si="6"/>
        <v>0</v>
      </c>
      <c r="DD155" s="18">
        <f t="shared" si="7"/>
        <v>7</v>
      </c>
      <c r="DE155" s="18">
        <f t="shared" si="8"/>
        <v>1994</v>
      </c>
    </row>
    <row r="156" spans="1:109" x14ac:dyDescent="0.25">
      <c r="A156" s="59" t="s">
        <v>1318</v>
      </c>
      <c r="B156" s="103">
        <v>41544</v>
      </c>
      <c r="C156" s="105" t="s">
        <v>1576</v>
      </c>
      <c r="D156" s="14" t="s">
        <v>578</v>
      </c>
      <c r="E156" s="15"/>
      <c r="F156" s="15"/>
      <c r="G156" s="15" t="s">
        <v>188</v>
      </c>
      <c r="H156" s="15"/>
      <c r="I156" s="15">
        <v>54</v>
      </c>
      <c r="J156" s="15" t="s">
        <v>189</v>
      </c>
      <c r="K156" s="15" t="s">
        <v>196</v>
      </c>
      <c r="L156" s="15" t="s">
        <v>591</v>
      </c>
      <c r="M156" s="15" t="s">
        <v>1058</v>
      </c>
      <c r="N156" s="15" t="s">
        <v>1085</v>
      </c>
      <c r="O156" s="15">
        <v>32</v>
      </c>
      <c r="P156" s="15" t="s">
        <v>188</v>
      </c>
      <c r="Q156" s="15"/>
      <c r="R156" s="15"/>
      <c r="S156" s="15"/>
      <c r="T156" s="15"/>
      <c r="U156" s="15"/>
      <c r="V156" s="15"/>
      <c r="W156" s="15"/>
      <c r="X156" s="15"/>
      <c r="Y156" s="15" t="s">
        <v>188</v>
      </c>
      <c r="Z156" s="15"/>
      <c r="AA156" s="15"/>
      <c r="AB156" s="15"/>
      <c r="AC156" s="15"/>
      <c r="AD156" s="15"/>
      <c r="AE156" s="15"/>
      <c r="AF156" s="15"/>
      <c r="AG156" s="15"/>
      <c r="AH156" s="15">
        <v>2011</v>
      </c>
      <c r="AI156" s="1">
        <v>265000</v>
      </c>
      <c r="AJ156" s="15"/>
      <c r="AK156" s="15"/>
      <c r="AL156" s="15" t="s">
        <v>188</v>
      </c>
      <c r="AM156" s="15"/>
      <c r="AN156" s="15"/>
      <c r="AO156" s="15"/>
      <c r="AP156" s="15" t="s">
        <v>188</v>
      </c>
      <c r="AQ156" s="15"/>
      <c r="AR156" s="15"/>
      <c r="AS156" s="15"/>
      <c r="AT156" s="15" t="s">
        <v>390</v>
      </c>
      <c r="AU156" s="1">
        <v>10000</v>
      </c>
      <c r="AV156" s="48">
        <v>0.5</v>
      </c>
      <c r="AW156" s="15">
        <v>3.2</v>
      </c>
      <c r="AX156" s="15">
        <v>2.5</v>
      </c>
      <c r="AY156" s="15">
        <v>2</v>
      </c>
      <c r="AZ156" s="15">
        <v>710</v>
      </c>
      <c r="BA156" s="15">
        <v>2000</v>
      </c>
      <c r="BB156" s="15" t="s">
        <v>188</v>
      </c>
      <c r="BC156" s="15" t="s">
        <v>188</v>
      </c>
      <c r="BD156" s="15" t="s">
        <v>199</v>
      </c>
      <c r="BE156" s="1">
        <v>40000</v>
      </c>
      <c r="BF156" s="1">
        <v>40000</v>
      </c>
      <c r="BG156" s="1">
        <v>40000</v>
      </c>
      <c r="BH156" s="1">
        <v>120000</v>
      </c>
      <c r="BI156" s="1">
        <v>40000</v>
      </c>
      <c r="BJ156" s="15" t="s">
        <v>188</v>
      </c>
      <c r="BK156" s="15"/>
      <c r="BL156" s="15"/>
      <c r="BM156" s="15"/>
      <c r="BN156" s="15"/>
      <c r="BO156" s="15"/>
      <c r="BP156" s="15"/>
      <c r="BQ156" s="15"/>
      <c r="BR156" s="15"/>
      <c r="BS156" s="2"/>
      <c r="BT156" s="15"/>
      <c r="BU156" s="15" t="s">
        <v>188</v>
      </c>
      <c r="BV156" s="15"/>
      <c r="BW156" s="15"/>
      <c r="BX156" s="15">
        <v>3</v>
      </c>
      <c r="BY156" s="15">
        <v>4</v>
      </c>
      <c r="BZ156" s="15">
        <v>2</v>
      </c>
      <c r="CA156" s="15" t="s">
        <v>208</v>
      </c>
      <c r="CB156" s="15"/>
      <c r="CC156" s="15" t="s">
        <v>188</v>
      </c>
      <c r="CD156" s="15"/>
      <c r="CE156" s="15"/>
      <c r="CF156" s="15"/>
      <c r="CG156" s="15"/>
      <c r="CH156" s="15" t="s">
        <v>188</v>
      </c>
      <c r="CI156" s="15" t="s">
        <v>188</v>
      </c>
      <c r="CJ156" s="15"/>
      <c r="CK156" s="15" t="s">
        <v>188</v>
      </c>
      <c r="CL156" s="15"/>
      <c r="CM156" s="15"/>
      <c r="CN156" s="15"/>
      <c r="CO156" s="15"/>
      <c r="CP156" s="15" t="s">
        <v>193</v>
      </c>
      <c r="CQ156" s="15" t="s">
        <v>209</v>
      </c>
      <c r="CR156" s="15"/>
      <c r="CS156" s="15"/>
      <c r="CT156" s="15" t="s">
        <v>188</v>
      </c>
      <c r="CU156" s="15"/>
      <c r="CV156" s="15"/>
      <c r="CW156" s="15"/>
      <c r="CX156" s="15" t="s">
        <v>188</v>
      </c>
      <c r="CY156" s="15"/>
      <c r="CZ156" s="3"/>
      <c r="DA156" s="49"/>
      <c r="DC156" s="18">
        <f t="shared" si="6"/>
        <v>0</v>
      </c>
      <c r="DD156" s="18">
        <f t="shared" si="7"/>
        <v>3</v>
      </c>
      <c r="DE156" s="18">
        <f t="shared" si="8"/>
        <v>2011</v>
      </c>
    </row>
    <row r="157" spans="1:109" x14ac:dyDescent="0.25">
      <c r="A157" s="59" t="s">
        <v>1318</v>
      </c>
      <c r="B157" s="103">
        <v>41544</v>
      </c>
      <c r="C157" s="105" t="s">
        <v>1576</v>
      </c>
      <c r="D157" s="14" t="s">
        <v>579</v>
      </c>
      <c r="E157" s="15" t="s">
        <v>188</v>
      </c>
      <c r="F157" s="15"/>
      <c r="G157" s="15"/>
      <c r="H157" s="15"/>
      <c r="I157" s="15">
        <v>30</v>
      </c>
      <c r="J157" s="15" t="s">
        <v>189</v>
      </c>
      <c r="K157" s="15" t="s">
        <v>190</v>
      </c>
      <c r="L157" s="15" t="s">
        <v>592</v>
      </c>
      <c r="M157" s="15" t="s">
        <v>1059</v>
      </c>
      <c r="N157" s="15" t="s">
        <v>1085</v>
      </c>
      <c r="O157" s="15">
        <v>7</v>
      </c>
      <c r="P157" s="15" t="s">
        <v>188</v>
      </c>
      <c r="Q157" s="15"/>
      <c r="R157" s="15"/>
      <c r="S157" s="15"/>
      <c r="T157" s="15"/>
      <c r="U157" s="15" t="s">
        <v>188</v>
      </c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>
        <v>1990</v>
      </c>
      <c r="AI157" s="1">
        <v>1200000</v>
      </c>
      <c r="AJ157" s="15"/>
      <c r="AK157" s="15"/>
      <c r="AL157" s="15" t="s">
        <v>188</v>
      </c>
      <c r="AM157" s="15"/>
      <c r="AN157" s="15"/>
      <c r="AO157" s="15"/>
      <c r="AP157" s="15" t="s">
        <v>188</v>
      </c>
      <c r="AQ157" s="15"/>
      <c r="AR157" s="15"/>
      <c r="AS157" s="15"/>
      <c r="AT157" s="15" t="s">
        <v>322</v>
      </c>
      <c r="AU157" s="1">
        <v>1500</v>
      </c>
      <c r="AV157" s="48">
        <v>0.3</v>
      </c>
      <c r="AW157" s="15">
        <v>3.5</v>
      </c>
      <c r="AX157" s="15">
        <v>3</v>
      </c>
      <c r="AY157" s="15">
        <v>1</v>
      </c>
      <c r="AZ157" s="15">
        <v>200</v>
      </c>
      <c r="BA157" s="15">
        <v>700</v>
      </c>
      <c r="BB157" s="15" t="s">
        <v>199</v>
      </c>
      <c r="BC157" s="15" t="s">
        <v>199</v>
      </c>
      <c r="BD157" s="15" t="s">
        <v>199</v>
      </c>
      <c r="BE157" s="1">
        <v>10000</v>
      </c>
      <c r="BF157" s="1">
        <v>6000</v>
      </c>
      <c r="BG157" s="1">
        <v>10000</v>
      </c>
      <c r="BH157" s="1">
        <v>120000</v>
      </c>
      <c r="BI157" s="1">
        <v>10000</v>
      </c>
      <c r="BJ157" s="15"/>
      <c r="BK157" s="15"/>
      <c r="BL157" s="15"/>
      <c r="BM157" s="15" t="s">
        <v>188</v>
      </c>
      <c r="BN157" s="15"/>
      <c r="BO157" s="15"/>
      <c r="BP157" s="15"/>
      <c r="BQ157" s="15"/>
      <c r="BR157" s="15"/>
      <c r="BS157" s="2"/>
      <c r="BT157" s="15"/>
      <c r="BU157" s="15"/>
      <c r="BV157" s="15" t="s">
        <v>188</v>
      </c>
      <c r="BW157" s="15"/>
      <c r="BX157" s="15">
        <v>3</v>
      </c>
      <c r="BY157" s="15">
        <v>2</v>
      </c>
      <c r="BZ157" s="15">
        <v>1</v>
      </c>
      <c r="CA157" s="15"/>
      <c r="CB157" s="15" t="s">
        <v>188</v>
      </c>
      <c r="CC157" s="15"/>
      <c r="CD157" s="15"/>
      <c r="CE157" s="15"/>
      <c r="CF157" s="15"/>
      <c r="CG157" s="15"/>
      <c r="CH157" s="15"/>
      <c r="CI157" s="15"/>
      <c r="CJ157" s="15"/>
      <c r="CK157" s="15" t="s">
        <v>188</v>
      </c>
      <c r="CL157" s="15"/>
      <c r="CM157" s="15"/>
      <c r="CN157" s="15"/>
      <c r="CO157" s="15"/>
      <c r="CP157" s="15" t="s">
        <v>193</v>
      </c>
      <c r="CQ157" s="15" t="s">
        <v>300</v>
      </c>
      <c r="CR157" s="15" t="s">
        <v>188</v>
      </c>
      <c r="CS157" s="15"/>
      <c r="CT157" s="15"/>
      <c r="CU157" s="15"/>
      <c r="CV157" s="15"/>
      <c r="CW157" s="15"/>
      <c r="CX157" s="15" t="s">
        <v>188</v>
      </c>
      <c r="CY157" s="15"/>
      <c r="CZ157" s="3"/>
      <c r="DA157" s="49"/>
      <c r="DC157" s="18">
        <f t="shared" si="6"/>
        <v>0</v>
      </c>
      <c r="DD157" s="18">
        <f t="shared" si="7"/>
        <v>1</v>
      </c>
      <c r="DE157" s="18">
        <f t="shared" si="8"/>
        <v>1990</v>
      </c>
    </row>
    <row r="158" spans="1:109" x14ac:dyDescent="0.25">
      <c r="A158" s="59" t="s">
        <v>1318</v>
      </c>
      <c r="B158" s="103">
        <v>41544</v>
      </c>
      <c r="C158" s="105" t="s">
        <v>1576</v>
      </c>
      <c r="D158" s="14" t="s">
        <v>580</v>
      </c>
      <c r="E158" s="15"/>
      <c r="F158" s="15" t="s">
        <v>188</v>
      </c>
      <c r="G158" s="15"/>
      <c r="H158" s="15"/>
      <c r="I158" s="15">
        <v>30</v>
      </c>
      <c r="J158" s="15" t="s">
        <v>189</v>
      </c>
      <c r="K158" s="15" t="s">
        <v>190</v>
      </c>
      <c r="L158" s="15" t="s">
        <v>593</v>
      </c>
      <c r="M158" s="50" t="s">
        <v>1060</v>
      </c>
      <c r="N158" s="15" t="s">
        <v>1084</v>
      </c>
      <c r="O158" s="15">
        <v>10</v>
      </c>
      <c r="P158" s="15" t="s">
        <v>188</v>
      </c>
      <c r="Q158" s="15"/>
      <c r="R158" s="15"/>
      <c r="S158" s="15"/>
      <c r="T158" s="15"/>
      <c r="U158" s="15" t="s">
        <v>188</v>
      </c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>
        <v>1980</v>
      </c>
      <c r="AI158" s="1">
        <v>1500000</v>
      </c>
      <c r="AJ158" s="15"/>
      <c r="AK158" s="15"/>
      <c r="AL158" s="15" t="s">
        <v>188</v>
      </c>
      <c r="AM158" s="15"/>
      <c r="AN158" s="15"/>
      <c r="AO158" s="15"/>
      <c r="AP158" s="15"/>
      <c r="AQ158" s="15"/>
      <c r="AR158" s="15" t="s">
        <v>188</v>
      </c>
      <c r="AS158" s="15">
        <v>1998</v>
      </c>
      <c r="AT158" s="15" t="s">
        <v>390</v>
      </c>
      <c r="AU158" s="1">
        <v>2000</v>
      </c>
      <c r="AV158" s="48">
        <v>0.3</v>
      </c>
      <c r="AW158" s="15">
        <v>3</v>
      </c>
      <c r="AX158" s="15">
        <v>2.5</v>
      </c>
      <c r="AY158" s="15">
        <v>2</v>
      </c>
      <c r="AZ158" s="15">
        <v>360</v>
      </c>
      <c r="BA158" s="15">
        <v>1000</v>
      </c>
      <c r="BB158" s="15" t="s">
        <v>199</v>
      </c>
      <c r="BC158" s="15" t="s">
        <v>188</v>
      </c>
      <c r="BD158" s="15" t="s">
        <v>199</v>
      </c>
      <c r="BE158" s="1">
        <v>4000</v>
      </c>
      <c r="BF158" s="1">
        <v>24000</v>
      </c>
      <c r="BG158" s="1">
        <v>4000</v>
      </c>
      <c r="BH158" s="1">
        <v>24000</v>
      </c>
      <c r="BI158" s="1">
        <v>4000</v>
      </c>
      <c r="BJ158" s="15"/>
      <c r="BK158" s="15"/>
      <c r="BL158" s="15"/>
      <c r="BM158" s="15" t="s">
        <v>188</v>
      </c>
      <c r="BN158" s="15"/>
      <c r="BO158" s="15"/>
      <c r="BP158" s="15"/>
      <c r="BQ158" s="15"/>
      <c r="BR158" s="15"/>
      <c r="BS158" s="2"/>
      <c r="BT158" s="15"/>
      <c r="BU158" s="15" t="s">
        <v>188</v>
      </c>
      <c r="BV158" s="15"/>
      <c r="BW158" s="15"/>
      <c r="BX158" s="15">
        <v>1</v>
      </c>
      <c r="BY158" s="15">
        <v>3</v>
      </c>
      <c r="BZ158" s="15">
        <v>2</v>
      </c>
      <c r="CA158" s="15"/>
      <c r="CB158" s="15"/>
      <c r="CC158" s="15" t="s">
        <v>188</v>
      </c>
      <c r="CD158" s="15"/>
      <c r="CE158" s="15"/>
      <c r="CF158" s="15"/>
      <c r="CG158" s="15"/>
      <c r="CH158" s="15" t="s">
        <v>188</v>
      </c>
      <c r="CI158" s="15" t="s">
        <v>188</v>
      </c>
      <c r="CJ158" s="15"/>
      <c r="CK158" s="15" t="s">
        <v>188</v>
      </c>
      <c r="CL158" s="15"/>
      <c r="CM158" s="15"/>
      <c r="CN158" s="15"/>
      <c r="CO158" s="15"/>
      <c r="CP158" s="15" t="s">
        <v>193</v>
      </c>
      <c r="CQ158" s="15" t="s">
        <v>309</v>
      </c>
      <c r="CR158" s="15"/>
      <c r="CS158" s="15"/>
      <c r="CT158" s="15" t="s">
        <v>188</v>
      </c>
      <c r="CU158" s="15" t="s">
        <v>324</v>
      </c>
      <c r="CV158" s="15"/>
      <c r="CW158" s="15"/>
      <c r="CX158" s="15"/>
      <c r="CY158" s="15"/>
      <c r="CZ158" s="3" t="s">
        <v>570</v>
      </c>
      <c r="DA158" s="49"/>
      <c r="DC158" s="18">
        <f t="shared" si="6"/>
        <v>0</v>
      </c>
      <c r="DD158" s="18">
        <f t="shared" si="7"/>
        <v>2</v>
      </c>
      <c r="DE158" s="18">
        <f t="shared" si="8"/>
        <v>1998</v>
      </c>
    </row>
    <row r="159" spans="1:109" x14ac:dyDescent="0.25">
      <c r="A159" s="59" t="s">
        <v>1318</v>
      </c>
      <c r="B159" s="103">
        <v>41544</v>
      </c>
      <c r="C159" s="105" t="s">
        <v>1576</v>
      </c>
      <c r="D159" s="14" t="s">
        <v>581</v>
      </c>
      <c r="E159" s="15"/>
      <c r="F159" s="15"/>
      <c r="G159" s="15"/>
      <c r="H159" s="15" t="s">
        <v>188</v>
      </c>
      <c r="I159" s="15">
        <v>29</v>
      </c>
      <c r="J159" s="15" t="s">
        <v>189</v>
      </c>
      <c r="K159" s="15" t="s">
        <v>190</v>
      </c>
      <c r="L159" s="15" t="s">
        <v>594</v>
      </c>
      <c r="M159" s="15" t="s">
        <v>1018</v>
      </c>
      <c r="N159" s="15" t="s">
        <v>1085</v>
      </c>
      <c r="O159" s="15">
        <v>11</v>
      </c>
      <c r="P159" s="15" t="s">
        <v>188</v>
      </c>
      <c r="Q159" s="15"/>
      <c r="R159" s="15"/>
      <c r="S159" s="15"/>
      <c r="T159" s="15"/>
      <c r="U159" s="15"/>
      <c r="V159" s="15"/>
      <c r="W159" s="15"/>
      <c r="X159" s="15" t="s">
        <v>188</v>
      </c>
      <c r="Y159" s="15"/>
      <c r="Z159" s="15"/>
      <c r="AA159" s="15"/>
      <c r="AB159" s="15"/>
      <c r="AC159" s="15"/>
      <c r="AD159" s="15"/>
      <c r="AE159" s="15"/>
      <c r="AF159" s="15"/>
      <c r="AG159" s="15"/>
      <c r="AH159" s="15">
        <v>2010</v>
      </c>
      <c r="AI159" s="1">
        <v>750000</v>
      </c>
      <c r="AJ159" s="15"/>
      <c r="AK159" s="15"/>
      <c r="AL159" s="15" t="s">
        <v>188</v>
      </c>
      <c r="AM159" s="15"/>
      <c r="AN159" s="15"/>
      <c r="AO159" s="15"/>
      <c r="AP159" s="15" t="s">
        <v>188</v>
      </c>
      <c r="AQ159" s="15"/>
      <c r="AR159" s="15"/>
      <c r="AS159" s="15"/>
      <c r="AT159" s="15" t="s">
        <v>322</v>
      </c>
      <c r="AU159" s="1">
        <v>3000</v>
      </c>
      <c r="AV159" s="48">
        <v>0.3</v>
      </c>
      <c r="AW159" s="15">
        <v>3.3</v>
      </c>
      <c r="AX159" s="15">
        <v>2.7</v>
      </c>
      <c r="AY159" s="15">
        <v>2</v>
      </c>
      <c r="AZ159" s="15">
        <v>400</v>
      </c>
      <c r="BA159" s="15">
        <v>1200</v>
      </c>
      <c r="BB159" s="15" t="s">
        <v>199</v>
      </c>
      <c r="BC159" s="15" t="s">
        <v>188</v>
      </c>
      <c r="BD159" s="15" t="s">
        <v>199</v>
      </c>
      <c r="BE159" s="1">
        <v>10000</v>
      </c>
      <c r="BF159" s="1">
        <v>15000</v>
      </c>
      <c r="BG159" s="1">
        <v>10000</v>
      </c>
      <c r="BH159" s="1">
        <v>72000</v>
      </c>
      <c r="BI159" s="1">
        <v>10000</v>
      </c>
      <c r="BJ159" s="15"/>
      <c r="BK159" s="15" t="s">
        <v>188</v>
      </c>
      <c r="BL159" s="15"/>
      <c r="BM159" s="15"/>
      <c r="BN159" s="15"/>
      <c r="BO159" s="15"/>
      <c r="BP159" s="15"/>
      <c r="BQ159" s="15"/>
      <c r="BR159" s="15"/>
      <c r="BS159" s="2"/>
      <c r="BT159" s="15"/>
      <c r="BU159" s="15"/>
      <c r="BV159" s="15" t="s">
        <v>188</v>
      </c>
      <c r="BW159" s="15"/>
      <c r="BX159" s="15">
        <v>2</v>
      </c>
      <c r="BY159" s="15">
        <v>3</v>
      </c>
      <c r="BZ159" s="15">
        <v>1</v>
      </c>
      <c r="CA159" s="15"/>
      <c r="CB159" s="15"/>
      <c r="CC159" s="15" t="s">
        <v>188</v>
      </c>
      <c r="CD159" s="15"/>
      <c r="CE159" s="15"/>
      <c r="CF159" s="15"/>
      <c r="CG159" s="15"/>
      <c r="CH159" s="15" t="s">
        <v>188</v>
      </c>
      <c r="CI159" s="15" t="s">
        <v>188</v>
      </c>
      <c r="CJ159" s="15"/>
      <c r="CK159" s="15" t="s">
        <v>188</v>
      </c>
      <c r="CL159" s="15"/>
      <c r="CM159" s="15"/>
      <c r="CN159" s="15"/>
      <c r="CO159" s="15"/>
      <c r="CP159" s="15" t="s">
        <v>193</v>
      </c>
      <c r="CQ159" s="15" t="s">
        <v>300</v>
      </c>
      <c r="CR159" s="15"/>
      <c r="CS159" s="15"/>
      <c r="CT159" s="15"/>
      <c r="CU159" s="15" t="s">
        <v>324</v>
      </c>
      <c r="CV159" s="15"/>
      <c r="CW159" s="15"/>
      <c r="CX159" s="15"/>
      <c r="CY159" s="15" t="s">
        <v>188</v>
      </c>
      <c r="CZ159" s="3"/>
      <c r="DA159" s="49"/>
      <c r="DC159" s="18">
        <f t="shared" si="6"/>
        <v>0</v>
      </c>
      <c r="DD159" s="18">
        <f t="shared" si="7"/>
        <v>7</v>
      </c>
      <c r="DE159" s="18">
        <f t="shared" si="8"/>
        <v>2010</v>
      </c>
    </row>
    <row r="160" spans="1:109" x14ac:dyDescent="0.25">
      <c r="A160" s="59" t="s">
        <v>1318</v>
      </c>
      <c r="B160" s="103">
        <v>41544</v>
      </c>
      <c r="C160" s="105" t="s">
        <v>1576</v>
      </c>
      <c r="D160" s="14" t="s">
        <v>582</v>
      </c>
      <c r="E160" s="15"/>
      <c r="F160" s="15"/>
      <c r="G160" s="15" t="s">
        <v>188</v>
      </c>
      <c r="H160" s="15"/>
      <c r="I160" s="15">
        <v>22</v>
      </c>
      <c r="J160" s="15" t="s">
        <v>189</v>
      </c>
      <c r="K160" s="15" t="s">
        <v>214</v>
      </c>
      <c r="L160" s="15" t="s">
        <v>785</v>
      </c>
      <c r="M160" s="15" t="s">
        <v>1028</v>
      </c>
      <c r="N160" s="15" t="s">
        <v>1084</v>
      </c>
      <c r="O160" s="15">
        <v>1</v>
      </c>
      <c r="P160" s="15" t="s">
        <v>188</v>
      </c>
      <c r="Q160" s="15"/>
      <c r="R160" s="15"/>
      <c r="S160" s="15"/>
      <c r="T160" s="15"/>
      <c r="U160" s="15" t="s">
        <v>188</v>
      </c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>
        <v>1997</v>
      </c>
      <c r="AI160" s="1">
        <v>1000000</v>
      </c>
      <c r="AJ160" s="15"/>
      <c r="AK160" s="15"/>
      <c r="AL160" s="15" t="s">
        <v>188</v>
      </c>
      <c r="AM160" s="15"/>
      <c r="AN160" s="15"/>
      <c r="AO160" s="15" t="s">
        <v>188</v>
      </c>
      <c r="AP160" s="15"/>
      <c r="AQ160" s="15"/>
      <c r="AR160" s="15"/>
      <c r="AS160" s="15"/>
      <c r="AT160" s="15" t="s">
        <v>193</v>
      </c>
      <c r="AU160" s="1">
        <v>1500</v>
      </c>
      <c r="AV160" s="48">
        <v>0.5</v>
      </c>
      <c r="AW160" s="15">
        <v>3</v>
      </c>
      <c r="AX160" s="15">
        <v>2.7</v>
      </c>
      <c r="AY160" s="15">
        <v>1</v>
      </c>
      <c r="AZ160" s="15">
        <v>240</v>
      </c>
      <c r="BA160" s="15">
        <v>700</v>
      </c>
      <c r="BB160" s="15" t="s">
        <v>199</v>
      </c>
      <c r="BC160" s="15" t="s">
        <v>199</v>
      </c>
      <c r="BD160" s="15" t="s">
        <v>199</v>
      </c>
      <c r="BE160" s="1">
        <v>9000</v>
      </c>
      <c r="BF160" s="1">
        <v>6000</v>
      </c>
      <c r="BG160" s="1">
        <v>9000</v>
      </c>
      <c r="BH160" s="1" t="s">
        <v>193</v>
      </c>
      <c r="BI160" s="1">
        <v>9000</v>
      </c>
      <c r="BJ160" s="15"/>
      <c r="BK160" s="15"/>
      <c r="BL160" s="15"/>
      <c r="BM160" s="15" t="s">
        <v>188</v>
      </c>
      <c r="BN160" s="15"/>
      <c r="BO160" s="15"/>
      <c r="BP160" s="15"/>
      <c r="BQ160" s="15"/>
      <c r="BR160" s="15"/>
      <c r="BS160" s="2"/>
      <c r="BT160" s="15"/>
      <c r="BU160" s="15" t="s">
        <v>188</v>
      </c>
      <c r="BV160" s="15"/>
      <c r="BW160" s="15"/>
      <c r="BX160" s="15">
        <v>1</v>
      </c>
      <c r="BY160" s="15">
        <v>3</v>
      </c>
      <c r="BZ160" s="15">
        <v>2</v>
      </c>
      <c r="CA160" s="15"/>
      <c r="CB160" s="15" t="s">
        <v>188</v>
      </c>
      <c r="CC160" s="15"/>
      <c r="CD160" s="15"/>
      <c r="CE160" s="15"/>
      <c r="CF160" s="15"/>
      <c r="CG160" s="15"/>
      <c r="CH160" s="15"/>
      <c r="CI160" s="15"/>
      <c r="CJ160" s="15"/>
      <c r="CK160" s="15" t="s">
        <v>188</v>
      </c>
      <c r="CL160" s="15"/>
      <c r="CM160" s="15"/>
      <c r="CN160" s="15"/>
      <c r="CO160" s="15"/>
      <c r="CP160" s="15" t="s">
        <v>193</v>
      </c>
      <c r="CQ160" s="15" t="s">
        <v>193</v>
      </c>
      <c r="CR160" s="15" t="s">
        <v>188</v>
      </c>
      <c r="CS160" s="15"/>
      <c r="CT160" s="15"/>
      <c r="CU160" s="15"/>
      <c r="CV160" s="15"/>
      <c r="CW160" s="15"/>
      <c r="CX160" s="15"/>
      <c r="CY160" s="15" t="s">
        <v>188</v>
      </c>
      <c r="CZ160" s="3"/>
      <c r="DA160" s="49"/>
      <c r="DC160" s="18">
        <f t="shared" si="6"/>
        <v>0</v>
      </c>
      <c r="DD160" s="18">
        <f t="shared" si="7"/>
        <v>3</v>
      </c>
      <c r="DE160" s="18">
        <f t="shared" si="8"/>
        <v>1997</v>
      </c>
    </row>
    <row r="161" spans="1:109" x14ac:dyDescent="0.25">
      <c r="A161" s="59" t="s">
        <v>1318</v>
      </c>
      <c r="B161" s="103">
        <v>41544</v>
      </c>
      <c r="C161" s="105" t="s">
        <v>1576</v>
      </c>
      <c r="D161" s="14" t="s">
        <v>583</v>
      </c>
      <c r="E161" s="15"/>
      <c r="F161" s="15" t="s">
        <v>188</v>
      </c>
      <c r="G161" s="15"/>
      <c r="H161" s="15"/>
      <c r="I161" s="15">
        <v>25</v>
      </c>
      <c r="J161" s="15" t="s">
        <v>189</v>
      </c>
      <c r="K161" s="15" t="s">
        <v>190</v>
      </c>
      <c r="L161" s="15" t="s">
        <v>595</v>
      </c>
      <c r="M161" s="15" t="s">
        <v>1061</v>
      </c>
      <c r="N161" s="15" t="s">
        <v>1085</v>
      </c>
      <c r="O161" s="15">
        <v>5</v>
      </c>
      <c r="P161" s="15" t="s">
        <v>188</v>
      </c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 t="s">
        <v>188</v>
      </c>
      <c r="AB161" s="15"/>
      <c r="AC161" s="15"/>
      <c r="AD161" s="15"/>
      <c r="AE161" s="15"/>
      <c r="AF161" s="15"/>
      <c r="AG161" s="15"/>
      <c r="AH161" s="15">
        <v>2008</v>
      </c>
      <c r="AI161" s="1">
        <v>800000</v>
      </c>
      <c r="AJ161" s="15"/>
      <c r="AK161" s="15"/>
      <c r="AL161" s="15" t="s">
        <v>188</v>
      </c>
      <c r="AM161" s="15"/>
      <c r="AN161" s="15"/>
      <c r="AO161" s="15"/>
      <c r="AP161" s="15" t="s">
        <v>188</v>
      </c>
      <c r="AQ161" s="15"/>
      <c r="AR161" s="15"/>
      <c r="AS161" s="15"/>
      <c r="AT161" s="15" t="s">
        <v>390</v>
      </c>
      <c r="AU161" s="1">
        <v>2000</v>
      </c>
      <c r="AV161" s="48">
        <v>0.5</v>
      </c>
      <c r="AW161" s="15">
        <v>3.1</v>
      </c>
      <c r="AX161" s="15">
        <v>2.8</v>
      </c>
      <c r="AY161" s="15">
        <v>1</v>
      </c>
      <c r="AZ161" s="15">
        <v>380</v>
      </c>
      <c r="BA161" s="15">
        <v>1000</v>
      </c>
      <c r="BB161" s="15" t="s">
        <v>188</v>
      </c>
      <c r="BC161" s="15" t="s">
        <v>188</v>
      </c>
      <c r="BD161" s="15" t="s">
        <v>199</v>
      </c>
      <c r="BE161" s="1">
        <v>4000</v>
      </c>
      <c r="BF161" s="1">
        <v>6000</v>
      </c>
      <c r="BG161" s="1">
        <v>4000</v>
      </c>
      <c r="BH161" s="1" t="s">
        <v>193</v>
      </c>
      <c r="BI161" s="1">
        <v>4000</v>
      </c>
      <c r="BJ161" s="15"/>
      <c r="BK161" s="15"/>
      <c r="BL161" s="15"/>
      <c r="BM161" s="15" t="s">
        <v>188</v>
      </c>
      <c r="BN161" s="15"/>
      <c r="BO161" s="15"/>
      <c r="BP161" s="15"/>
      <c r="BQ161" s="15"/>
      <c r="BR161" s="15"/>
      <c r="BS161" s="2"/>
      <c r="BT161" s="15"/>
      <c r="BU161" s="15" t="s">
        <v>188</v>
      </c>
      <c r="BV161" s="15"/>
      <c r="BW161" s="15"/>
      <c r="BX161" s="15">
        <v>3</v>
      </c>
      <c r="BY161" s="15">
        <v>1</v>
      </c>
      <c r="BZ161" s="15">
        <v>2</v>
      </c>
      <c r="CA161" s="15"/>
      <c r="CB161" s="15" t="s">
        <v>188</v>
      </c>
      <c r="CC161" s="15"/>
      <c r="CD161" s="15"/>
      <c r="CE161" s="15"/>
      <c r="CF161" s="15"/>
      <c r="CG161" s="15"/>
      <c r="CH161" s="15"/>
      <c r="CI161" s="15"/>
      <c r="CJ161" s="15"/>
      <c r="CK161" s="15" t="s">
        <v>188</v>
      </c>
      <c r="CL161" s="15"/>
      <c r="CM161" s="15"/>
      <c r="CN161" s="15"/>
      <c r="CO161" s="15"/>
      <c r="CP161" s="15" t="s">
        <v>193</v>
      </c>
      <c r="CQ161" s="15" t="s">
        <v>209</v>
      </c>
      <c r="CR161" s="15" t="s">
        <v>188</v>
      </c>
      <c r="CS161" s="15"/>
      <c r="CT161" s="15"/>
      <c r="CU161" s="15"/>
      <c r="CV161" s="15" t="s">
        <v>188</v>
      </c>
      <c r="CW161" s="15" t="s">
        <v>270</v>
      </c>
      <c r="CX161" s="15"/>
      <c r="CY161" s="15"/>
      <c r="CZ161" s="3"/>
      <c r="DA161" s="49"/>
      <c r="DC161" s="18">
        <f t="shared" si="6"/>
        <v>0</v>
      </c>
      <c r="DD161" s="18">
        <f t="shared" si="7"/>
        <v>2</v>
      </c>
      <c r="DE161" s="18">
        <f t="shared" si="8"/>
        <v>2008</v>
      </c>
    </row>
    <row r="162" spans="1:109" x14ac:dyDescent="0.25">
      <c r="A162" s="59" t="s">
        <v>1318</v>
      </c>
      <c r="B162" s="103">
        <v>41544</v>
      </c>
      <c r="C162" s="105" t="s">
        <v>1576</v>
      </c>
      <c r="D162" s="14" t="s">
        <v>584</v>
      </c>
      <c r="E162" s="15"/>
      <c r="F162" s="15"/>
      <c r="G162" s="15" t="s">
        <v>188</v>
      </c>
      <c r="H162" s="15"/>
      <c r="I162" s="15">
        <v>36</v>
      </c>
      <c r="J162" s="15" t="s">
        <v>189</v>
      </c>
      <c r="K162" s="15" t="s">
        <v>214</v>
      </c>
      <c r="L162" s="15" t="s">
        <v>596</v>
      </c>
      <c r="M162" s="15" t="s">
        <v>1062</v>
      </c>
      <c r="N162" s="15" t="s">
        <v>1088</v>
      </c>
      <c r="O162" s="15">
        <v>12</v>
      </c>
      <c r="P162" s="15"/>
      <c r="Q162" s="15"/>
      <c r="R162" s="15"/>
      <c r="S162" s="15" t="s">
        <v>188</v>
      </c>
      <c r="T162" s="15"/>
      <c r="U162" s="15" t="s">
        <v>188</v>
      </c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>
        <v>2010</v>
      </c>
      <c r="AI162" s="1">
        <v>600000</v>
      </c>
      <c r="AJ162" s="15"/>
      <c r="AK162" s="15"/>
      <c r="AL162" s="15" t="s">
        <v>188</v>
      </c>
      <c r="AM162" s="15"/>
      <c r="AN162" s="15"/>
      <c r="AO162" s="15"/>
      <c r="AP162" s="15" t="s">
        <v>188</v>
      </c>
      <c r="AQ162" s="15"/>
      <c r="AR162" s="15"/>
      <c r="AS162" s="15"/>
      <c r="AT162" s="15" t="s">
        <v>390</v>
      </c>
      <c r="AU162" s="1">
        <v>3000</v>
      </c>
      <c r="AV162" s="48">
        <v>0.5</v>
      </c>
      <c r="AW162" s="15">
        <v>3.2</v>
      </c>
      <c r="AX162" s="15">
        <v>2.5</v>
      </c>
      <c r="AY162" s="15">
        <v>2</v>
      </c>
      <c r="AZ162" s="15">
        <v>660</v>
      </c>
      <c r="BA162" s="15">
        <v>2000</v>
      </c>
      <c r="BB162" s="15" t="s">
        <v>199</v>
      </c>
      <c r="BC162" s="15" t="s">
        <v>188</v>
      </c>
      <c r="BD162" s="15" t="s">
        <v>199</v>
      </c>
      <c r="BE162" s="1">
        <v>12000</v>
      </c>
      <c r="BF162" s="1">
        <v>3000</v>
      </c>
      <c r="BG162" s="1">
        <v>12000</v>
      </c>
      <c r="BH162" s="1">
        <v>60000</v>
      </c>
      <c r="BI162" s="1">
        <v>12000</v>
      </c>
      <c r="BJ162" s="15"/>
      <c r="BK162" s="15"/>
      <c r="BL162" s="15"/>
      <c r="BM162" s="15"/>
      <c r="BN162" s="15"/>
      <c r="BO162" s="15"/>
      <c r="BP162" s="15"/>
      <c r="BQ162" s="15"/>
      <c r="BR162" s="15"/>
      <c r="BS162" s="2" t="s">
        <v>314</v>
      </c>
      <c r="BT162" s="15"/>
      <c r="BU162" s="15"/>
      <c r="BV162" s="15" t="s">
        <v>188</v>
      </c>
      <c r="BW162" s="15"/>
      <c r="BX162" s="15">
        <v>1</v>
      </c>
      <c r="BY162" s="15">
        <v>3</v>
      </c>
      <c r="BZ162" s="15">
        <v>2</v>
      </c>
      <c r="CA162" s="15"/>
      <c r="CB162" s="15"/>
      <c r="CC162" s="15" t="s">
        <v>188</v>
      </c>
      <c r="CD162" s="15"/>
      <c r="CE162" s="15"/>
      <c r="CF162" s="15"/>
      <c r="CG162" s="15" t="s">
        <v>188</v>
      </c>
      <c r="CH162" s="15"/>
      <c r="CI162" s="15" t="s">
        <v>188</v>
      </c>
      <c r="CJ162" s="15"/>
      <c r="CK162" s="15"/>
      <c r="CL162" s="15" t="s">
        <v>188</v>
      </c>
      <c r="CM162" s="15" t="s">
        <v>188</v>
      </c>
      <c r="CN162" s="15" t="s">
        <v>306</v>
      </c>
      <c r="CO162" s="15"/>
      <c r="CP162" s="15" t="s">
        <v>193</v>
      </c>
      <c r="CQ162" s="15" t="s">
        <v>203</v>
      </c>
      <c r="CR162" s="15"/>
      <c r="CS162" s="15"/>
      <c r="CT162" s="15"/>
      <c r="CU162" s="15" t="s">
        <v>324</v>
      </c>
      <c r="CV162" s="15"/>
      <c r="CW162" s="15"/>
      <c r="CX162" s="15" t="s">
        <v>188</v>
      </c>
      <c r="CY162" s="15" t="s">
        <v>188</v>
      </c>
      <c r="CZ162" s="3"/>
      <c r="DA162" s="49"/>
      <c r="DC162" s="18">
        <f t="shared" si="6"/>
        <v>0</v>
      </c>
      <c r="DD162" s="18">
        <f t="shared" si="7"/>
        <v>3</v>
      </c>
      <c r="DE162" s="18">
        <f t="shared" si="8"/>
        <v>2010</v>
      </c>
    </row>
    <row r="163" spans="1:109" x14ac:dyDescent="0.25">
      <c r="A163" s="59" t="s">
        <v>1318</v>
      </c>
      <c r="B163" s="103">
        <v>41544</v>
      </c>
      <c r="C163" s="105" t="s">
        <v>1576</v>
      </c>
      <c r="D163" s="14" t="s">
        <v>585</v>
      </c>
      <c r="E163" s="15"/>
      <c r="F163" s="15" t="s">
        <v>188</v>
      </c>
      <c r="G163" s="15"/>
      <c r="H163" s="15"/>
      <c r="I163" s="15">
        <v>32</v>
      </c>
      <c r="J163" s="15" t="s">
        <v>189</v>
      </c>
      <c r="K163" s="15" t="s">
        <v>190</v>
      </c>
      <c r="L163" s="15" t="s">
        <v>564</v>
      </c>
      <c r="M163" s="15" t="s">
        <v>1056</v>
      </c>
      <c r="N163" s="15" t="s">
        <v>1084</v>
      </c>
      <c r="O163" s="15">
        <v>8</v>
      </c>
      <c r="P163" s="15" t="s">
        <v>188</v>
      </c>
      <c r="Q163" s="15"/>
      <c r="R163" s="15"/>
      <c r="S163" s="15"/>
      <c r="T163" s="15"/>
      <c r="U163" s="15"/>
      <c r="V163" s="15"/>
      <c r="W163" s="15"/>
      <c r="X163" s="15"/>
      <c r="Y163" s="15" t="s">
        <v>188</v>
      </c>
      <c r="Z163" s="15"/>
      <c r="AA163" s="15"/>
      <c r="AB163" s="15"/>
      <c r="AC163" s="15"/>
      <c r="AD163" s="15"/>
      <c r="AE163" s="15"/>
      <c r="AF163" s="15"/>
      <c r="AG163" s="15"/>
      <c r="AH163" s="15">
        <v>2012</v>
      </c>
      <c r="AI163" s="1">
        <v>100000</v>
      </c>
      <c r="AJ163" s="15"/>
      <c r="AK163" s="15"/>
      <c r="AL163" s="15" t="s">
        <v>188</v>
      </c>
      <c r="AM163" s="15"/>
      <c r="AN163" s="15"/>
      <c r="AO163" s="15"/>
      <c r="AP163" s="15" t="s">
        <v>188</v>
      </c>
      <c r="AQ163" s="15"/>
      <c r="AR163" s="15"/>
      <c r="AS163" s="15"/>
      <c r="AT163" s="15" t="s">
        <v>198</v>
      </c>
      <c r="AU163" s="1">
        <v>1000</v>
      </c>
      <c r="AV163" s="48">
        <v>0.3</v>
      </c>
      <c r="AW163" s="15">
        <v>3</v>
      </c>
      <c r="AX163" s="15">
        <v>2.8</v>
      </c>
      <c r="AY163" s="15">
        <v>2</v>
      </c>
      <c r="AZ163" s="15">
        <v>260</v>
      </c>
      <c r="BA163" s="15">
        <v>750</v>
      </c>
      <c r="BB163" s="15" t="s">
        <v>188</v>
      </c>
      <c r="BC163" s="15" t="s">
        <v>188</v>
      </c>
      <c r="BD163" s="15" t="s">
        <v>199</v>
      </c>
      <c r="BE163" s="1">
        <v>6000</v>
      </c>
      <c r="BF163" s="1">
        <v>3000</v>
      </c>
      <c r="BG163" s="1">
        <v>6000</v>
      </c>
      <c r="BH163" s="1" t="s">
        <v>193</v>
      </c>
      <c r="BI163" s="1">
        <v>6000</v>
      </c>
      <c r="BJ163" s="15"/>
      <c r="BK163" s="15"/>
      <c r="BL163" s="15"/>
      <c r="BM163" s="15"/>
      <c r="BN163" s="15"/>
      <c r="BO163" s="15"/>
      <c r="BP163" s="15"/>
      <c r="BQ163" s="15"/>
      <c r="BR163" s="15"/>
      <c r="BS163" s="2" t="s">
        <v>568</v>
      </c>
      <c r="BT163" s="15"/>
      <c r="BU163" s="15"/>
      <c r="BV163" s="15" t="s">
        <v>188</v>
      </c>
      <c r="BW163" s="15"/>
      <c r="BX163" s="15">
        <v>1</v>
      </c>
      <c r="BY163" s="15">
        <v>2</v>
      </c>
      <c r="BZ163" s="15">
        <v>3</v>
      </c>
      <c r="CA163" s="15"/>
      <c r="CB163" s="15" t="s">
        <v>188</v>
      </c>
      <c r="CC163" s="15"/>
      <c r="CD163" s="15"/>
      <c r="CE163" s="15"/>
      <c r="CF163" s="15"/>
      <c r="CG163" s="15"/>
      <c r="CH163" s="15"/>
      <c r="CI163" s="15"/>
      <c r="CJ163" s="15"/>
      <c r="CK163" s="15" t="s">
        <v>188</v>
      </c>
      <c r="CL163" s="15"/>
      <c r="CM163" s="15"/>
      <c r="CN163" s="15"/>
      <c r="CO163" s="15"/>
      <c r="CP163" s="15" t="s">
        <v>193</v>
      </c>
      <c r="CQ163" s="15" t="s">
        <v>193</v>
      </c>
      <c r="CR163" s="15" t="s">
        <v>188</v>
      </c>
      <c r="CS163" s="15"/>
      <c r="CT163" s="15"/>
      <c r="CU163" s="15"/>
      <c r="CV163" s="15"/>
      <c r="CW163" s="15"/>
      <c r="CX163" s="15"/>
      <c r="CY163" s="15" t="s">
        <v>188</v>
      </c>
      <c r="CZ163" s="3"/>
      <c r="DA163" s="49"/>
      <c r="DC163" s="18">
        <f t="shared" si="6"/>
        <v>0</v>
      </c>
      <c r="DD163" s="18">
        <f t="shared" si="7"/>
        <v>2</v>
      </c>
      <c r="DE163" s="18">
        <f t="shared" si="8"/>
        <v>2012</v>
      </c>
    </row>
    <row r="164" spans="1:109" x14ac:dyDescent="0.25">
      <c r="A164" s="59" t="s">
        <v>1318</v>
      </c>
      <c r="B164" s="103">
        <v>41544</v>
      </c>
      <c r="C164" s="105" t="s">
        <v>1576</v>
      </c>
      <c r="D164" s="14" t="s">
        <v>586</v>
      </c>
      <c r="E164" s="15"/>
      <c r="F164" s="15"/>
      <c r="G164" s="15"/>
      <c r="H164" s="15" t="s">
        <v>188</v>
      </c>
      <c r="I164" s="15">
        <v>38</v>
      </c>
      <c r="J164" s="15" t="s">
        <v>189</v>
      </c>
      <c r="K164" s="15" t="s">
        <v>190</v>
      </c>
      <c r="L164" s="15" t="s">
        <v>399</v>
      </c>
      <c r="M164" s="15" t="s">
        <v>1033</v>
      </c>
      <c r="N164" s="15" t="s">
        <v>1085</v>
      </c>
      <c r="O164" s="15">
        <v>15</v>
      </c>
      <c r="P164" s="15" t="s">
        <v>188</v>
      </c>
      <c r="Q164" s="15"/>
      <c r="R164" s="15"/>
      <c r="S164" s="15"/>
      <c r="T164" s="15"/>
      <c r="U164" s="15" t="s">
        <v>188</v>
      </c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>
        <v>2010</v>
      </c>
      <c r="AI164" s="1">
        <v>200000</v>
      </c>
      <c r="AJ164" s="15"/>
      <c r="AK164" s="15"/>
      <c r="AL164" s="15" t="s">
        <v>188</v>
      </c>
      <c r="AM164" s="15"/>
      <c r="AN164" s="15"/>
      <c r="AO164" s="15"/>
      <c r="AP164" s="15" t="s">
        <v>188</v>
      </c>
      <c r="AQ164" s="15"/>
      <c r="AR164" s="15"/>
      <c r="AS164" s="15"/>
      <c r="AT164" s="15" t="s">
        <v>198</v>
      </c>
      <c r="AU164" s="1">
        <v>4000</v>
      </c>
      <c r="AV164" s="48">
        <v>0.5</v>
      </c>
      <c r="AW164" s="15">
        <v>5</v>
      </c>
      <c r="AX164" s="15">
        <v>3</v>
      </c>
      <c r="AY164" s="15">
        <v>1</v>
      </c>
      <c r="AZ164" s="15">
        <v>375</v>
      </c>
      <c r="BA164" s="15">
        <v>1500</v>
      </c>
      <c r="BB164" s="15" t="s">
        <v>199</v>
      </c>
      <c r="BC164" s="15" t="s">
        <v>199</v>
      </c>
      <c r="BD164" s="15" t="s">
        <v>199</v>
      </c>
      <c r="BE164" s="1">
        <v>24000</v>
      </c>
      <c r="BF164" s="1">
        <v>48000</v>
      </c>
      <c r="BG164" s="1">
        <v>24000</v>
      </c>
      <c r="BH164" s="1">
        <v>100000</v>
      </c>
      <c r="BI164" s="1">
        <v>24000</v>
      </c>
      <c r="BJ164" s="15"/>
      <c r="BK164" s="15"/>
      <c r="BL164" s="15"/>
      <c r="BM164" s="15"/>
      <c r="BN164" s="15"/>
      <c r="BO164" s="15"/>
      <c r="BP164" s="15"/>
      <c r="BQ164" s="15"/>
      <c r="BR164" s="15"/>
      <c r="BS164" s="2" t="s">
        <v>314</v>
      </c>
      <c r="BT164" s="15"/>
      <c r="BU164" s="15"/>
      <c r="BV164" s="15" t="s">
        <v>188</v>
      </c>
      <c r="BW164" s="15"/>
      <c r="BX164" s="15">
        <v>1</v>
      </c>
      <c r="BY164" s="15">
        <v>3</v>
      </c>
      <c r="BZ164" s="15">
        <v>2</v>
      </c>
      <c r="CA164" s="15"/>
      <c r="CB164" s="15" t="s">
        <v>188</v>
      </c>
      <c r="CC164" s="15"/>
      <c r="CD164" s="15"/>
      <c r="CE164" s="15"/>
      <c r="CF164" s="15"/>
      <c r="CG164" s="15"/>
      <c r="CH164" s="15"/>
      <c r="CI164" s="15"/>
      <c r="CJ164" s="15"/>
      <c r="CK164" s="15" t="s">
        <v>188</v>
      </c>
      <c r="CL164" s="15"/>
      <c r="CM164" s="15"/>
      <c r="CN164" s="15"/>
      <c r="CO164" s="15"/>
      <c r="CP164" s="15" t="s">
        <v>193</v>
      </c>
      <c r="CQ164" s="15" t="s">
        <v>300</v>
      </c>
      <c r="CR164" s="15" t="s">
        <v>188</v>
      </c>
      <c r="CS164" s="15"/>
      <c r="CT164" s="15"/>
      <c r="CU164" s="15"/>
      <c r="CV164" s="15"/>
      <c r="CW164" s="15"/>
      <c r="CX164" s="15" t="s">
        <v>188</v>
      </c>
      <c r="CY164" s="15" t="s">
        <v>188</v>
      </c>
      <c r="CZ164" s="3"/>
      <c r="DA164" s="49"/>
      <c r="DC164" s="18">
        <f t="shared" si="6"/>
        <v>0</v>
      </c>
      <c r="DD164" s="18">
        <f t="shared" si="7"/>
        <v>7</v>
      </c>
      <c r="DE164" s="18">
        <f t="shared" si="8"/>
        <v>2010</v>
      </c>
    </row>
    <row r="165" spans="1:109" x14ac:dyDescent="0.25">
      <c r="A165" s="59" t="s">
        <v>1318</v>
      </c>
      <c r="B165" s="103">
        <v>41544</v>
      </c>
      <c r="C165" s="105" t="s">
        <v>1576</v>
      </c>
      <c r="D165" s="14" t="s">
        <v>587</v>
      </c>
      <c r="E165" s="15"/>
      <c r="F165" s="15" t="s">
        <v>188</v>
      </c>
      <c r="G165" s="15"/>
      <c r="H165" s="15"/>
      <c r="I165" s="15">
        <v>59</v>
      </c>
      <c r="J165" s="15" t="s">
        <v>189</v>
      </c>
      <c r="K165" s="15" t="s">
        <v>196</v>
      </c>
      <c r="L165" s="15" t="s">
        <v>402</v>
      </c>
      <c r="M165" s="15" t="s">
        <v>1035</v>
      </c>
      <c r="N165" s="15" t="s">
        <v>1087</v>
      </c>
      <c r="O165" s="15">
        <v>40</v>
      </c>
      <c r="P165" s="15" t="s">
        <v>188</v>
      </c>
      <c r="Q165" s="15"/>
      <c r="R165" s="15"/>
      <c r="S165" s="15"/>
      <c r="T165" s="15"/>
      <c r="U165" s="15" t="s">
        <v>188</v>
      </c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>
        <v>1980</v>
      </c>
      <c r="AI165" s="1">
        <v>2000000</v>
      </c>
      <c r="AJ165" s="15"/>
      <c r="AK165" s="15"/>
      <c r="AL165" s="15" t="s">
        <v>188</v>
      </c>
      <c r="AM165" s="15"/>
      <c r="AN165" s="15"/>
      <c r="AO165" s="15" t="s">
        <v>188</v>
      </c>
      <c r="AP165" s="15"/>
      <c r="AQ165" s="15"/>
      <c r="AR165" s="15"/>
      <c r="AS165" s="15"/>
      <c r="AT165" s="15" t="s">
        <v>390</v>
      </c>
      <c r="AU165" s="1">
        <v>5000</v>
      </c>
      <c r="AV165" s="48">
        <v>0.5</v>
      </c>
      <c r="AW165" s="15">
        <v>2.5</v>
      </c>
      <c r="AX165" s="15">
        <v>2</v>
      </c>
      <c r="AY165" s="15">
        <v>2</v>
      </c>
      <c r="AZ165" s="15">
        <v>650</v>
      </c>
      <c r="BA165" s="15">
        <v>1500</v>
      </c>
      <c r="BB165" s="15" t="s">
        <v>199</v>
      </c>
      <c r="BC165" s="15" t="s">
        <v>188</v>
      </c>
      <c r="BD165" s="15" t="s">
        <v>199</v>
      </c>
      <c r="BE165" s="1">
        <v>20000</v>
      </c>
      <c r="BF165" s="1">
        <v>30000</v>
      </c>
      <c r="BG165" s="1">
        <v>20000</v>
      </c>
      <c r="BH165" s="1">
        <v>60000</v>
      </c>
      <c r="BI165" s="1">
        <v>20000</v>
      </c>
      <c r="BJ165" s="15"/>
      <c r="BK165" s="15"/>
      <c r="BL165" s="15"/>
      <c r="BM165" s="15"/>
      <c r="BN165" s="15"/>
      <c r="BO165" s="15"/>
      <c r="BP165" s="15"/>
      <c r="BQ165" s="15"/>
      <c r="BR165" s="15"/>
      <c r="BS165" s="2" t="s">
        <v>314</v>
      </c>
      <c r="BT165" s="15"/>
      <c r="BU165" s="15" t="s">
        <v>188</v>
      </c>
      <c r="BV165" s="15" t="s">
        <v>188</v>
      </c>
      <c r="BW165" s="15" t="s">
        <v>188</v>
      </c>
      <c r="BX165" s="15">
        <v>1</v>
      </c>
      <c r="BY165" s="15">
        <v>3</v>
      </c>
      <c r="BZ165" s="15">
        <v>2</v>
      </c>
      <c r="CA165" s="15"/>
      <c r="CB165" s="15"/>
      <c r="CC165" s="15" t="s">
        <v>188</v>
      </c>
      <c r="CD165" s="15"/>
      <c r="CE165" s="15" t="s">
        <v>188</v>
      </c>
      <c r="CF165" s="15"/>
      <c r="CG165" s="15"/>
      <c r="CH165" s="15" t="s">
        <v>188</v>
      </c>
      <c r="CI165" s="15" t="s">
        <v>188</v>
      </c>
      <c r="CJ165" s="15"/>
      <c r="CK165" s="15" t="s">
        <v>188</v>
      </c>
      <c r="CL165" s="15"/>
      <c r="CM165" s="15"/>
      <c r="CN165" s="15"/>
      <c r="CO165" s="15"/>
      <c r="CP165" s="15" t="s">
        <v>193</v>
      </c>
      <c r="CQ165" s="15" t="s">
        <v>193</v>
      </c>
      <c r="CR165" s="15"/>
      <c r="CS165" s="15" t="s">
        <v>188</v>
      </c>
      <c r="CT165" s="15" t="s">
        <v>188</v>
      </c>
      <c r="CU165" s="15"/>
      <c r="CV165" s="15"/>
      <c r="CW165" s="15"/>
      <c r="CX165" s="15"/>
      <c r="CY165" s="15"/>
      <c r="CZ165" s="3" t="s">
        <v>310</v>
      </c>
      <c r="DA165" s="49"/>
      <c r="DC165" s="18">
        <f t="shared" si="6"/>
        <v>0</v>
      </c>
      <c r="DD165" s="18">
        <f t="shared" si="7"/>
        <v>2</v>
      </c>
      <c r="DE165" s="18">
        <f t="shared" si="8"/>
        <v>1980</v>
      </c>
    </row>
    <row r="166" spans="1:109" x14ac:dyDescent="0.25">
      <c r="A166" s="59" t="s">
        <v>1318</v>
      </c>
      <c r="B166" s="103">
        <v>41544</v>
      </c>
      <c r="C166" s="105" t="s">
        <v>1576</v>
      </c>
      <c r="D166" s="14" t="s">
        <v>588</v>
      </c>
      <c r="E166" s="15" t="s">
        <v>188</v>
      </c>
      <c r="F166" s="15"/>
      <c r="G166" s="15"/>
      <c r="H166" s="15"/>
      <c r="I166" s="15">
        <v>45</v>
      </c>
      <c r="J166" s="15" t="s">
        <v>189</v>
      </c>
      <c r="K166" s="15" t="s">
        <v>214</v>
      </c>
      <c r="L166" s="15" t="s">
        <v>592</v>
      </c>
      <c r="M166" s="15" t="s">
        <v>1059</v>
      </c>
      <c r="N166" s="15" t="s">
        <v>1085</v>
      </c>
      <c r="O166" s="15">
        <v>15</v>
      </c>
      <c r="P166" s="15"/>
      <c r="Q166" s="15"/>
      <c r="R166" s="15" t="s">
        <v>188</v>
      </c>
      <c r="S166" s="15"/>
      <c r="T166" s="15"/>
      <c r="U166" s="15" t="s">
        <v>188</v>
      </c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>
        <v>2000</v>
      </c>
      <c r="AI166" s="1">
        <v>5000000</v>
      </c>
      <c r="AJ166" s="15"/>
      <c r="AK166" s="15"/>
      <c r="AL166" s="15" t="s">
        <v>188</v>
      </c>
      <c r="AM166" s="15"/>
      <c r="AN166" s="15"/>
      <c r="AO166" s="15"/>
      <c r="AP166" s="15" t="s">
        <v>188</v>
      </c>
      <c r="AQ166" s="15"/>
      <c r="AR166" s="15"/>
      <c r="AS166" s="15"/>
      <c r="AT166" s="15" t="s">
        <v>322</v>
      </c>
      <c r="AU166" s="1">
        <v>30000</v>
      </c>
      <c r="AV166" s="48">
        <v>0.1</v>
      </c>
      <c r="AW166" s="15">
        <v>2.2999999999999998</v>
      </c>
      <c r="AX166" s="15">
        <v>2</v>
      </c>
      <c r="AY166" s="15">
        <v>2</v>
      </c>
      <c r="AZ166" s="15">
        <v>640</v>
      </c>
      <c r="BA166" s="15">
        <v>1400</v>
      </c>
      <c r="BB166" s="15" t="s">
        <v>199</v>
      </c>
      <c r="BC166" s="15" t="s">
        <v>188</v>
      </c>
      <c r="BD166" s="15" t="s">
        <v>199</v>
      </c>
      <c r="BE166" s="1">
        <v>12000</v>
      </c>
      <c r="BF166" s="1">
        <v>20000</v>
      </c>
      <c r="BG166" s="1">
        <v>12000</v>
      </c>
      <c r="BH166" s="1">
        <v>220000</v>
      </c>
      <c r="BI166" s="1">
        <v>12000</v>
      </c>
      <c r="BJ166" s="15"/>
      <c r="BK166" s="15"/>
      <c r="BL166" s="15"/>
      <c r="BM166" s="15"/>
      <c r="BN166" s="15"/>
      <c r="BO166" s="15" t="s">
        <v>188</v>
      </c>
      <c r="BP166" s="15"/>
      <c r="BQ166" s="15"/>
      <c r="BR166" s="15"/>
      <c r="BS166" s="2"/>
      <c r="BT166" s="15"/>
      <c r="BU166" s="15" t="s">
        <v>188</v>
      </c>
      <c r="BV166" s="15"/>
      <c r="BW166" s="15"/>
      <c r="BX166" s="15">
        <v>3</v>
      </c>
      <c r="BY166" s="15">
        <v>1</v>
      </c>
      <c r="BZ166" s="15">
        <v>2</v>
      </c>
      <c r="CA166" s="15"/>
      <c r="CB166" s="15"/>
      <c r="CC166" s="15" t="s">
        <v>188</v>
      </c>
      <c r="CD166" s="15"/>
      <c r="CE166" s="15" t="s">
        <v>188</v>
      </c>
      <c r="CF166" s="15"/>
      <c r="CG166" s="15"/>
      <c r="CH166" s="15" t="s">
        <v>188</v>
      </c>
      <c r="CI166" s="15" t="s">
        <v>188</v>
      </c>
      <c r="CJ166" s="15"/>
      <c r="CK166" s="15"/>
      <c r="CL166" s="15" t="s">
        <v>188</v>
      </c>
      <c r="CM166" s="15" t="s">
        <v>188</v>
      </c>
      <c r="CN166" s="15" t="s">
        <v>569</v>
      </c>
      <c r="CO166" s="15"/>
      <c r="CP166" s="15" t="s">
        <v>571</v>
      </c>
      <c r="CQ166" s="15" t="s">
        <v>193</v>
      </c>
      <c r="CR166" s="15"/>
      <c r="CS166" s="15" t="s">
        <v>188</v>
      </c>
      <c r="CT166" s="15" t="s">
        <v>188</v>
      </c>
      <c r="CU166" s="15"/>
      <c r="CV166" s="15"/>
      <c r="CW166" s="15"/>
      <c r="CX166" s="15"/>
      <c r="CY166" s="15"/>
      <c r="CZ166" s="3" t="s">
        <v>359</v>
      </c>
      <c r="DA166" s="49"/>
      <c r="DC166" s="18">
        <f t="shared" si="6"/>
        <v>0</v>
      </c>
      <c r="DD166" s="18">
        <f t="shared" si="7"/>
        <v>1</v>
      </c>
      <c r="DE166" s="18">
        <f t="shared" si="8"/>
        <v>2000</v>
      </c>
    </row>
    <row r="167" spans="1:109" x14ac:dyDescent="0.25">
      <c r="A167" s="59" t="s">
        <v>1318</v>
      </c>
      <c r="B167" s="103">
        <v>41544</v>
      </c>
      <c r="C167" s="105" t="s">
        <v>1576</v>
      </c>
      <c r="D167" s="14" t="s">
        <v>589</v>
      </c>
      <c r="E167" s="15"/>
      <c r="F167" s="15"/>
      <c r="G167" s="15"/>
      <c r="H167" s="15" t="s">
        <v>188</v>
      </c>
      <c r="I167" s="15">
        <v>55</v>
      </c>
      <c r="J167" s="15" t="s">
        <v>189</v>
      </c>
      <c r="K167" s="15" t="s">
        <v>196</v>
      </c>
      <c r="L167" s="15" t="s">
        <v>388</v>
      </c>
      <c r="M167" s="15" t="s">
        <v>1020</v>
      </c>
      <c r="N167" s="15" t="s">
        <v>1085</v>
      </c>
      <c r="O167" s="15">
        <v>30</v>
      </c>
      <c r="P167" s="15"/>
      <c r="Q167" s="15"/>
      <c r="R167" s="15"/>
      <c r="S167" s="15" t="s">
        <v>188</v>
      </c>
      <c r="T167" s="15"/>
      <c r="U167" s="15" t="s">
        <v>188</v>
      </c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>
        <v>2010</v>
      </c>
      <c r="AI167" s="1">
        <v>300000</v>
      </c>
      <c r="AJ167" s="15"/>
      <c r="AK167" s="15"/>
      <c r="AL167" s="15" t="s">
        <v>188</v>
      </c>
      <c r="AM167" s="15"/>
      <c r="AN167" s="15"/>
      <c r="AO167" s="15"/>
      <c r="AP167" s="15" t="s">
        <v>188</v>
      </c>
      <c r="AQ167" s="15"/>
      <c r="AR167" s="15"/>
      <c r="AS167" s="15"/>
      <c r="AT167" s="15" t="s">
        <v>390</v>
      </c>
      <c r="AU167" s="1">
        <v>5000</v>
      </c>
      <c r="AV167" s="48">
        <v>0.2</v>
      </c>
      <c r="AW167" s="15">
        <v>3.5</v>
      </c>
      <c r="AX167" s="15">
        <v>3.1</v>
      </c>
      <c r="AY167" s="15">
        <v>2</v>
      </c>
      <c r="AZ167" s="15">
        <v>390</v>
      </c>
      <c r="BA167" s="15">
        <v>1300</v>
      </c>
      <c r="BB167" s="15" t="s">
        <v>188</v>
      </c>
      <c r="BC167" s="15" t="s">
        <v>188</v>
      </c>
      <c r="BD167" s="15" t="s">
        <v>199</v>
      </c>
      <c r="BE167" s="1">
        <v>15000</v>
      </c>
      <c r="BF167" s="1">
        <v>9000</v>
      </c>
      <c r="BG167" s="1">
        <v>15000</v>
      </c>
      <c r="BH167" s="1">
        <v>130000</v>
      </c>
      <c r="BI167" s="1">
        <v>15000</v>
      </c>
      <c r="BJ167" s="15"/>
      <c r="BK167" s="15"/>
      <c r="BL167" s="15"/>
      <c r="BM167" s="15"/>
      <c r="BN167" s="15"/>
      <c r="BO167" s="15"/>
      <c r="BP167" s="15"/>
      <c r="BQ167" s="15"/>
      <c r="BR167" s="15"/>
      <c r="BS167" s="2" t="s">
        <v>572</v>
      </c>
      <c r="BT167" s="15"/>
      <c r="BU167" s="15" t="s">
        <v>188</v>
      </c>
      <c r="BV167" s="15"/>
      <c r="BW167" s="15"/>
      <c r="BX167" s="15">
        <v>1</v>
      </c>
      <c r="BY167" s="15">
        <v>2</v>
      </c>
      <c r="BZ167" s="15">
        <v>3</v>
      </c>
      <c r="CA167" s="15"/>
      <c r="CB167" s="15"/>
      <c r="CC167" s="15" t="s">
        <v>188</v>
      </c>
      <c r="CD167" s="15"/>
      <c r="CE167" s="15"/>
      <c r="CF167" s="15" t="s">
        <v>188</v>
      </c>
      <c r="CG167" s="15"/>
      <c r="CH167" s="15" t="s">
        <v>188</v>
      </c>
      <c r="CI167" s="15" t="s">
        <v>188</v>
      </c>
      <c r="CJ167" s="15"/>
      <c r="CK167" s="15"/>
      <c r="CL167" s="15" t="s">
        <v>188</v>
      </c>
      <c r="CM167" s="15" t="s">
        <v>188</v>
      </c>
      <c r="CN167" s="15" t="s">
        <v>306</v>
      </c>
      <c r="CO167" s="15"/>
      <c r="CP167" s="15" t="s">
        <v>193</v>
      </c>
      <c r="CQ167" s="15" t="s">
        <v>309</v>
      </c>
      <c r="CR167" s="15"/>
      <c r="CS167" s="15"/>
      <c r="CT167" s="15"/>
      <c r="CU167" s="15" t="s">
        <v>324</v>
      </c>
      <c r="CV167" s="15"/>
      <c r="CW167" s="15"/>
      <c r="CX167" s="15"/>
      <c r="CY167" s="15" t="s">
        <v>188</v>
      </c>
      <c r="CZ167" s="3"/>
      <c r="DA167" s="49"/>
      <c r="DC167" s="18">
        <f t="shared" si="6"/>
        <v>0</v>
      </c>
      <c r="DD167" s="18">
        <f t="shared" si="7"/>
        <v>7</v>
      </c>
      <c r="DE167" s="18">
        <f t="shared" si="8"/>
        <v>2010</v>
      </c>
    </row>
    <row r="168" spans="1:109" x14ac:dyDescent="0.25">
      <c r="A168" s="59" t="s">
        <v>1318</v>
      </c>
      <c r="B168" s="103">
        <v>41544</v>
      </c>
      <c r="C168" s="105" t="s">
        <v>1576</v>
      </c>
      <c r="D168" s="14" t="s">
        <v>597</v>
      </c>
      <c r="E168" s="15"/>
      <c r="F168" s="15"/>
      <c r="G168" s="15" t="s">
        <v>188</v>
      </c>
      <c r="H168" s="15"/>
      <c r="I168" s="15">
        <v>24</v>
      </c>
      <c r="J168" s="15" t="s">
        <v>189</v>
      </c>
      <c r="K168" s="15" t="s">
        <v>214</v>
      </c>
      <c r="L168" s="15" t="s">
        <v>228</v>
      </c>
      <c r="M168" s="15" t="s">
        <v>1010</v>
      </c>
      <c r="N168" s="15" t="s">
        <v>1084</v>
      </c>
      <c r="O168" s="15">
        <v>3</v>
      </c>
      <c r="P168" s="15" t="s">
        <v>188</v>
      </c>
      <c r="Q168" s="15"/>
      <c r="R168" s="15"/>
      <c r="S168" s="15"/>
      <c r="T168" s="15"/>
      <c r="U168" s="15" t="s">
        <v>188</v>
      </c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>
        <v>2008</v>
      </c>
      <c r="AI168" s="1">
        <v>200000</v>
      </c>
      <c r="AJ168" s="15" t="s">
        <v>188</v>
      </c>
      <c r="AK168" s="15"/>
      <c r="AL168" s="15"/>
      <c r="AM168" s="15"/>
      <c r="AN168" s="15"/>
      <c r="AO168" s="15"/>
      <c r="AP168" s="15" t="s">
        <v>188</v>
      </c>
      <c r="AQ168" s="15"/>
      <c r="AR168" s="15"/>
      <c r="AS168" s="15"/>
      <c r="AT168" s="15" t="s">
        <v>233</v>
      </c>
      <c r="AU168" s="1">
        <v>1000</v>
      </c>
      <c r="AV168" s="48">
        <v>0.5</v>
      </c>
      <c r="AW168" s="15">
        <v>4</v>
      </c>
      <c r="AX168" s="15">
        <v>3.7</v>
      </c>
      <c r="AY168" s="15">
        <v>1</v>
      </c>
      <c r="AZ168" s="15">
        <v>180</v>
      </c>
      <c r="BA168" s="15">
        <v>700</v>
      </c>
      <c r="BB168" s="15" t="s">
        <v>199</v>
      </c>
      <c r="BC168" s="15" t="s">
        <v>199</v>
      </c>
      <c r="BD168" s="15" t="s">
        <v>199</v>
      </c>
      <c r="BE168" s="1">
        <v>15000</v>
      </c>
      <c r="BF168" s="1">
        <v>10000</v>
      </c>
      <c r="BG168" s="1">
        <v>15000</v>
      </c>
      <c r="BH168" s="1">
        <v>60000</v>
      </c>
      <c r="BI168" s="1">
        <v>15000</v>
      </c>
      <c r="BJ168" s="15"/>
      <c r="BK168" s="15"/>
      <c r="BL168" s="15"/>
      <c r="BM168" s="15"/>
      <c r="BN168" s="15"/>
      <c r="BO168" s="15"/>
      <c r="BP168" s="15"/>
      <c r="BQ168" s="15"/>
      <c r="BR168" s="15"/>
      <c r="BS168" s="2" t="s">
        <v>560</v>
      </c>
      <c r="BT168" s="15"/>
      <c r="BU168" s="15"/>
      <c r="BV168" s="15" t="s">
        <v>188</v>
      </c>
      <c r="BW168" s="15"/>
      <c r="BX168" s="15">
        <v>1</v>
      </c>
      <c r="BY168" s="15">
        <v>3</v>
      </c>
      <c r="BZ168" s="15">
        <v>2</v>
      </c>
      <c r="CA168" s="15"/>
      <c r="CB168" s="15" t="s">
        <v>188</v>
      </c>
      <c r="CC168" s="15"/>
      <c r="CD168" s="15"/>
      <c r="CE168" s="15"/>
      <c r="CF168" s="15"/>
      <c r="CG168" s="15"/>
      <c r="CH168" s="15"/>
      <c r="CI168" s="15"/>
      <c r="CJ168" s="15"/>
      <c r="CK168" s="15" t="s">
        <v>188</v>
      </c>
      <c r="CL168" s="15"/>
      <c r="CM168" s="15"/>
      <c r="CN168" s="15"/>
      <c r="CO168" s="15"/>
      <c r="CP168" s="15" t="s">
        <v>193</v>
      </c>
      <c r="CQ168" s="15" t="s">
        <v>300</v>
      </c>
      <c r="CR168" s="15" t="s">
        <v>188</v>
      </c>
      <c r="CS168" s="15"/>
      <c r="CT168" s="15"/>
      <c r="CU168" s="15"/>
      <c r="CV168" s="15" t="s">
        <v>188</v>
      </c>
      <c r="CW168" s="15" t="s">
        <v>599</v>
      </c>
      <c r="CX168" s="15"/>
      <c r="CY168" s="15"/>
      <c r="CZ168" s="3"/>
      <c r="DA168" s="49"/>
      <c r="DC168" s="18">
        <f t="shared" si="6"/>
        <v>0</v>
      </c>
      <c r="DD168" s="18">
        <f t="shared" si="7"/>
        <v>3</v>
      </c>
      <c r="DE168" s="18">
        <f t="shared" si="8"/>
        <v>2008</v>
      </c>
    </row>
    <row r="169" spans="1:109" x14ac:dyDescent="0.25">
      <c r="A169" s="59" t="s">
        <v>1318</v>
      </c>
      <c r="B169" s="103">
        <v>41544</v>
      </c>
      <c r="C169" s="105" t="s">
        <v>1576</v>
      </c>
      <c r="D169" s="14" t="s">
        <v>598</v>
      </c>
      <c r="E169" s="15"/>
      <c r="F169" s="15"/>
      <c r="G169" s="15" t="s">
        <v>188</v>
      </c>
      <c r="H169" s="15"/>
      <c r="I169" s="15">
        <v>37</v>
      </c>
      <c r="J169" s="15" t="s">
        <v>189</v>
      </c>
      <c r="K169" s="15" t="s">
        <v>190</v>
      </c>
      <c r="L169" s="15" t="s">
        <v>388</v>
      </c>
      <c r="M169" s="15" t="s">
        <v>1020</v>
      </c>
      <c r="N169" s="15" t="s">
        <v>1085</v>
      </c>
      <c r="O169" s="15">
        <v>15</v>
      </c>
      <c r="P169" s="15"/>
      <c r="Q169" s="15"/>
      <c r="R169" s="15" t="s">
        <v>188</v>
      </c>
      <c r="S169" s="15"/>
      <c r="T169" s="15"/>
      <c r="U169" s="15" t="s">
        <v>188</v>
      </c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>
        <v>1988</v>
      </c>
      <c r="AI169" s="1">
        <v>1200000</v>
      </c>
      <c r="AJ169" s="15"/>
      <c r="AK169" s="15"/>
      <c r="AL169" s="15" t="s">
        <v>188</v>
      </c>
      <c r="AM169" s="15"/>
      <c r="AN169" s="15"/>
      <c r="AO169" s="15" t="s">
        <v>188</v>
      </c>
      <c r="AP169" s="15"/>
      <c r="AQ169" s="15"/>
      <c r="AR169" s="15"/>
      <c r="AS169" s="15"/>
      <c r="AT169" s="15" t="s">
        <v>1316</v>
      </c>
      <c r="AU169" s="1">
        <v>2000</v>
      </c>
      <c r="AV169" s="48">
        <v>0.5</v>
      </c>
      <c r="AW169" s="15">
        <v>2.8</v>
      </c>
      <c r="AX169" s="15">
        <v>2.2999999999999998</v>
      </c>
      <c r="AY169" s="15">
        <v>2</v>
      </c>
      <c r="AZ169" s="15">
        <v>580</v>
      </c>
      <c r="BA169" s="15">
        <v>1500</v>
      </c>
      <c r="BB169" s="15" t="s">
        <v>199</v>
      </c>
      <c r="BC169" s="15" t="s">
        <v>188</v>
      </c>
      <c r="BD169" s="15" t="s">
        <v>199</v>
      </c>
      <c r="BE169" s="1">
        <v>12000</v>
      </c>
      <c r="BF169" s="1">
        <v>60000</v>
      </c>
      <c r="BG169" s="1">
        <v>12000</v>
      </c>
      <c r="BH169" s="1">
        <v>60000</v>
      </c>
      <c r="BI169" s="1">
        <v>12000</v>
      </c>
      <c r="BJ169" s="15"/>
      <c r="BK169" s="15"/>
      <c r="BL169" s="15"/>
      <c r="BM169" s="15"/>
      <c r="BN169" s="15"/>
      <c r="BO169" s="15" t="s">
        <v>188</v>
      </c>
      <c r="BP169" s="15"/>
      <c r="BQ169" s="15"/>
      <c r="BR169" s="15"/>
      <c r="BS169" s="2"/>
      <c r="BT169" s="15"/>
      <c r="BU169" s="15" t="s">
        <v>188</v>
      </c>
      <c r="BV169" s="15"/>
      <c r="BW169" s="15"/>
      <c r="BX169" s="15">
        <v>1</v>
      </c>
      <c r="BY169" s="15">
        <v>2</v>
      </c>
      <c r="BZ169" s="15">
        <v>3</v>
      </c>
      <c r="CA169" s="15"/>
      <c r="CB169" s="15" t="s">
        <v>188</v>
      </c>
      <c r="CC169" s="15"/>
      <c r="CD169" s="15"/>
      <c r="CE169" s="15"/>
      <c r="CF169" s="15"/>
      <c r="CG169" s="15"/>
      <c r="CH169" s="15"/>
      <c r="CI169" s="15"/>
      <c r="CJ169" s="15"/>
      <c r="CK169" s="15" t="s">
        <v>188</v>
      </c>
      <c r="CL169" s="15"/>
      <c r="CM169" s="15"/>
      <c r="CN169" s="15" t="s">
        <v>306</v>
      </c>
      <c r="CO169" s="15"/>
      <c r="CP169" s="15" t="s">
        <v>193</v>
      </c>
      <c r="CQ169" s="15" t="s">
        <v>193</v>
      </c>
      <c r="CR169" s="15"/>
      <c r="CS169" s="15" t="s">
        <v>188</v>
      </c>
      <c r="CT169" s="15" t="s">
        <v>188</v>
      </c>
      <c r="CU169" s="15"/>
      <c r="CV169" s="15" t="s">
        <v>188</v>
      </c>
      <c r="CW169" s="15" t="s">
        <v>270</v>
      </c>
      <c r="CX169" s="15"/>
      <c r="CY169" s="15"/>
      <c r="CZ169" s="3"/>
      <c r="DA169" s="49"/>
      <c r="DC169" s="18">
        <f t="shared" si="6"/>
        <v>0</v>
      </c>
      <c r="DD169" s="18">
        <f t="shared" si="7"/>
        <v>3</v>
      </c>
      <c r="DE169" s="18">
        <f t="shared" si="8"/>
        <v>1988</v>
      </c>
    </row>
    <row r="170" spans="1:109" x14ac:dyDescent="0.25">
      <c r="A170" s="59" t="s">
        <v>1319</v>
      </c>
      <c r="B170" s="103">
        <v>41540</v>
      </c>
      <c r="C170" s="106" t="s">
        <v>1577</v>
      </c>
      <c r="D170" s="14" t="s">
        <v>600</v>
      </c>
      <c r="E170" s="15"/>
      <c r="F170" s="15"/>
      <c r="G170" s="15" t="s">
        <v>188</v>
      </c>
      <c r="H170" s="15"/>
      <c r="I170" s="15">
        <v>36</v>
      </c>
      <c r="J170" s="15" t="s">
        <v>189</v>
      </c>
      <c r="K170" s="15" t="s">
        <v>190</v>
      </c>
      <c r="L170" s="15" t="s">
        <v>630</v>
      </c>
      <c r="M170" s="50" t="s">
        <v>1063</v>
      </c>
      <c r="N170" s="50" t="s">
        <v>1066</v>
      </c>
      <c r="O170" s="15">
        <v>22</v>
      </c>
      <c r="P170" s="15"/>
      <c r="Q170" s="15"/>
      <c r="R170" s="15"/>
      <c r="S170" s="15" t="s">
        <v>188</v>
      </c>
      <c r="T170" s="15"/>
      <c r="U170" s="15" t="s">
        <v>188</v>
      </c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>
        <v>2003</v>
      </c>
      <c r="AI170" s="1">
        <v>915203</v>
      </c>
      <c r="AJ170" s="15"/>
      <c r="AK170" s="15"/>
      <c r="AL170" s="15" t="s">
        <v>188</v>
      </c>
      <c r="AM170" s="15"/>
      <c r="AN170" s="15"/>
      <c r="AO170" s="15"/>
      <c r="AP170" s="15" t="s">
        <v>188</v>
      </c>
      <c r="AQ170" s="15"/>
      <c r="AR170" s="15"/>
      <c r="AS170" s="15"/>
      <c r="AT170" s="15" t="s">
        <v>322</v>
      </c>
      <c r="AU170" s="1">
        <v>12000</v>
      </c>
      <c r="AV170" s="48">
        <v>0</v>
      </c>
      <c r="AW170" s="15">
        <v>2.8</v>
      </c>
      <c r="AX170" s="15">
        <v>2.4</v>
      </c>
      <c r="AY170" s="15">
        <v>3</v>
      </c>
      <c r="AZ170" s="15">
        <v>1040</v>
      </c>
      <c r="BA170" s="15">
        <v>2600</v>
      </c>
      <c r="BB170" s="15" t="s">
        <v>188</v>
      </c>
      <c r="BC170" s="15" t="s">
        <v>188</v>
      </c>
      <c r="BD170" s="15" t="s">
        <v>199</v>
      </c>
      <c r="BE170" s="1">
        <v>20000</v>
      </c>
      <c r="BF170" s="1">
        <v>120000</v>
      </c>
      <c r="BG170" s="1">
        <v>20000</v>
      </c>
      <c r="BH170" s="1">
        <v>120000</v>
      </c>
      <c r="BI170" s="1" t="s">
        <v>193</v>
      </c>
      <c r="BJ170" s="15"/>
      <c r="BK170" s="15"/>
      <c r="BL170" s="15"/>
      <c r="BM170" s="15"/>
      <c r="BN170" s="15"/>
      <c r="BO170" s="15"/>
      <c r="BP170" s="15"/>
      <c r="BQ170" s="15"/>
      <c r="BR170" s="15"/>
      <c r="BS170" s="2" t="s">
        <v>631</v>
      </c>
      <c r="BT170" s="15"/>
      <c r="BU170" s="15" t="s">
        <v>188</v>
      </c>
      <c r="BV170" s="15"/>
      <c r="BW170" s="15"/>
      <c r="BX170" s="15">
        <v>1</v>
      </c>
      <c r="BY170" s="15">
        <v>3</v>
      </c>
      <c r="BZ170" s="15">
        <v>2</v>
      </c>
      <c r="CA170" s="15"/>
      <c r="CB170" s="15"/>
      <c r="CC170" s="15" t="s">
        <v>188</v>
      </c>
      <c r="CD170" s="15"/>
      <c r="CE170" s="15"/>
      <c r="CF170" s="15"/>
      <c r="CG170" s="15"/>
      <c r="CH170" s="15" t="s">
        <v>188</v>
      </c>
      <c r="CI170" s="15"/>
      <c r="CJ170" s="15"/>
      <c r="CK170" s="15" t="s">
        <v>188</v>
      </c>
      <c r="CL170" s="15"/>
      <c r="CM170" s="15"/>
      <c r="CN170" s="15"/>
      <c r="CO170" s="15"/>
      <c r="CP170" s="15" t="s">
        <v>193</v>
      </c>
      <c r="CQ170" s="15" t="s">
        <v>632</v>
      </c>
      <c r="CR170" s="15"/>
      <c r="CS170" s="15"/>
      <c r="CT170" s="15" t="s">
        <v>188</v>
      </c>
      <c r="CU170" s="15"/>
      <c r="CV170" s="15"/>
      <c r="CW170" s="15"/>
      <c r="CX170" s="15" t="s">
        <v>188</v>
      </c>
      <c r="CY170" s="15"/>
      <c r="CZ170" s="3"/>
      <c r="DA170" s="49" t="s">
        <v>649</v>
      </c>
      <c r="DC170" s="18">
        <f t="shared" si="6"/>
        <v>0</v>
      </c>
      <c r="DD170" s="18">
        <f t="shared" si="7"/>
        <v>3</v>
      </c>
      <c r="DE170" s="18">
        <f t="shared" si="8"/>
        <v>2003</v>
      </c>
    </row>
    <row r="171" spans="1:109" x14ac:dyDescent="0.25">
      <c r="A171" s="59" t="s">
        <v>1319</v>
      </c>
      <c r="B171" s="103">
        <v>41541</v>
      </c>
      <c r="C171" s="105" t="s">
        <v>1578</v>
      </c>
      <c r="D171" s="14" t="s">
        <v>601</v>
      </c>
      <c r="E171" s="15"/>
      <c r="F171" s="15"/>
      <c r="G171" s="15" t="s">
        <v>188</v>
      </c>
      <c r="H171" s="15"/>
      <c r="I171" s="15">
        <v>26</v>
      </c>
      <c r="J171" s="15" t="s">
        <v>189</v>
      </c>
      <c r="K171" s="15" t="s">
        <v>190</v>
      </c>
      <c r="L171" s="15" t="s">
        <v>630</v>
      </c>
      <c r="M171" s="15" t="s">
        <v>1063</v>
      </c>
      <c r="N171" s="50" t="s">
        <v>1066</v>
      </c>
      <c r="O171" s="15">
        <v>8</v>
      </c>
      <c r="P171" s="15"/>
      <c r="Q171" s="15" t="s">
        <v>188</v>
      </c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 t="s">
        <v>188</v>
      </c>
      <c r="AG171" s="15"/>
      <c r="AH171" s="15">
        <v>1997</v>
      </c>
      <c r="AI171" s="1">
        <v>915534</v>
      </c>
      <c r="AJ171" s="15"/>
      <c r="AK171" s="15"/>
      <c r="AL171" s="15" t="s">
        <v>188</v>
      </c>
      <c r="AM171" s="15"/>
      <c r="AN171" s="15"/>
      <c r="AO171" s="15" t="s">
        <v>188</v>
      </c>
      <c r="AP171" s="15"/>
      <c r="AQ171" s="15"/>
      <c r="AR171" s="15"/>
      <c r="AS171" s="15"/>
      <c r="AT171" s="15" t="s">
        <v>198</v>
      </c>
      <c r="AU171" s="1">
        <v>4000</v>
      </c>
      <c r="AV171" s="48">
        <v>0</v>
      </c>
      <c r="AW171" s="15">
        <v>4</v>
      </c>
      <c r="AX171" s="15">
        <v>3</v>
      </c>
      <c r="AY171" s="15">
        <v>2</v>
      </c>
      <c r="AZ171" s="15">
        <v>330</v>
      </c>
      <c r="BA171" s="15">
        <v>1000</v>
      </c>
      <c r="BB171" s="15" t="s">
        <v>199</v>
      </c>
      <c r="BC171" s="15" t="s">
        <v>199</v>
      </c>
      <c r="BD171" s="15" t="s">
        <v>199</v>
      </c>
      <c r="BE171" s="1">
        <v>20000</v>
      </c>
      <c r="BF171" s="1">
        <v>20000</v>
      </c>
      <c r="BG171" s="1">
        <v>20000</v>
      </c>
      <c r="BH171" s="1">
        <v>120000</v>
      </c>
      <c r="BI171" s="1">
        <v>20000</v>
      </c>
      <c r="BJ171" s="15"/>
      <c r="BK171" s="15"/>
      <c r="BL171" s="15"/>
      <c r="BM171" s="15"/>
      <c r="BN171" s="15"/>
      <c r="BO171" s="15" t="s">
        <v>188</v>
      </c>
      <c r="BP171" s="15"/>
      <c r="BQ171" s="15"/>
      <c r="BR171" s="15"/>
      <c r="BS171" s="2"/>
      <c r="BT171" s="15"/>
      <c r="BU171" s="15" t="s">
        <v>188</v>
      </c>
      <c r="BV171" s="15"/>
      <c r="BW171" s="15"/>
      <c r="BX171" s="15">
        <v>1</v>
      </c>
      <c r="BY171" s="15">
        <v>2</v>
      </c>
      <c r="BZ171" s="15">
        <v>3</v>
      </c>
      <c r="CA171" s="15"/>
      <c r="CB171" s="15" t="s">
        <v>188</v>
      </c>
      <c r="CC171" s="15"/>
      <c r="CD171" s="15"/>
      <c r="CE171" s="15"/>
      <c r="CF171" s="15"/>
      <c r="CG171" s="15"/>
      <c r="CH171" s="15"/>
      <c r="CI171" s="15"/>
      <c r="CJ171" s="15"/>
      <c r="CK171" s="15" t="s">
        <v>188</v>
      </c>
      <c r="CL171" s="15"/>
      <c r="CM171" s="15"/>
      <c r="CN171" s="15"/>
      <c r="CO171" s="15"/>
      <c r="CP171" s="15" t="s">
        <v>193</v>
      </c>
      <c r="CQ171" s="15" t="s">
        <v>209</v>
      </c>
      <c r="CR171" s="15" t="s">
        <v>188</v>
      </c>
      <c r="CS171" s="15"/>
      <c r="CT171" s="15"/>
      <c r="CU171" s="15"/>
      <c r="CV171" s="15"/>
      <c r="CW171" s="15"/>
      <c r="CX171" s="15"/>
      <c r="CY171" s="15" t="s">
        <v>188</v>
      </c>
      <c r="CZ171" s="3"/>
      <c r="DA171" s="49"/>
      <c r="DC171" s="18">
        <f t="shared" si="6"/>
        <v>0</v>
      </c>
      <c r="DD171" s="18">
        <f t="shared" si="7"/>
        <v>3</v>
      </c>
      <c r="DE171" s="18">
        <f t="shared" si="8"/>
        <v>1997</v>
      </c>
    </row>
    <row r="172" spans="1:109" x14ac:dyDescent="0.25">
      <c r="A172" s="59" t="s">
        <v>1319</v>
      </c>
      <c r="B172" s="103">
        <v>41541</v>
      </c>
      <c r="C172" s="105" t="s">
        <v>1578</v>
      </c>
      <c r="D172" s="14" t="s">
        <v>602</v>
      </c>
      <c r="E172" s="15"/>
      <c r="F172" s="15"/>
      <c r="G172" s="15"/>
      <c r="H172" s="15" t="s">
        <v>188</v>
      </c>
      <c r="I172" s="15">
        <v>38</v>
      </c>
      <c r="J172" s="15" t="s">
        <v>189</v>
      </c>
      <c r="K172" s="15" t="s">
        <v>196</v>
      </c>
      <c r="L172" s="15" t="s">
        <v>633</v>
      </c>
      <c r="M172" s="50" t="s">
        <v>1064</v>
      </c>
      <c r="N172" s="50" t="s">
        <v>1066</v>
      </c>
      <c r="O172" s="15">
        <v>20</v>
      </c>
      <c r="P172" s="15"/>
      <c r="Q172" s="15"/>
      <c r="R172" s="15"/>
      <c r="S172" s="15" t="s">
        <v>188</v>
      </c>
      <c r="T172" s="15"/>
      <c r="U172" s="15" t="s">
        <v>188</v>
      </c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>
        <v>2001</v>
      </c>
      <c r="AI172" s="1">
        <v>862417</v>
      </c>
      <c r="AJ172" s="15"/>
      <c r="AK172" s="15"/>
      <c r="AL172" s="15" t="s">
        <v>188</v>
      </c>
      <c r="AM172" s="15"/>
      <c r="AN172" s="15"/>
      <c r="AO172" s="15"/>
      <c r="AP172" s="15" t="s">
        <v>188</v>
      </c>
      <c r="AQ172" s="15"/>
      <c r="AR172" s="15"/>
      <c r="AS172" s="15"/>
      <c r="AT172" s="15" t="s">
        <v>266</v>
      </c>
      <c r="AU172" s="1">
        <v>9000</v>
      </c>
      <c r="AV172" s="48">
        <v>0.05</v>
      </c>
      <c r="AW172" s="15">
        <v>2.7</v>
      </c>
      <c r="AX172" s="15">
        <v>2.4</v>
      </c>
      <c r="AY172" s="15">
        <v>2</v>
      </c>
      <c r="AZ172" s="15">
        <v>850</v>
      </c>
      <c r="BA172" s="15">
        <v>2200</v>
      </c>
      <c r="BB172" s="15" t="s">
        <v>188</v>
      </c>
      <c r="BC172" s="15" t="s">
        <v>199</v>
      </c>
      <c r="BD172" s="15" t="s">
        <v>199</v>
      </c>
      <c r="BE172" s="1">
        <v>23000</v>
      </c>
      <c r="BF172" s="1">
        <v>100000</v>
      </c>
      <c r="BG172" s="1">
        <v>23000</v>
      </c>
      <c r="BH172" s="1">
        <v>100000</v>
      </c>
      <c r="BI172" s="1" t="s">
        <v>193</v>
      </c>
      <c r="BJ172" s="15"/>
      <c r="BK172" s="15"/>
      <c r="BL172" s="15"/>
      <c r="BM172" s="15"/>
      <c r="BN172" s="15" t="s">
        <v>188</v>
      </c>
      <c r="BO172" s="15"/>
      <c r="BP172" s="15"/>
      <c r="BQ172" s="15"/>
      <c r="BR172" s="15"/>
      <c r="BS172" s="2"/>
      <c r="BT172" s="15"/>
      <c r="BU172" s="15"/>
      <c r="BV172" s="15" t="s">
        <v>188</v>
      </c>
      <c r="BW172" s="15"/>
      <c r="BX172" s="15">
        <v>2</v>
      </c>
      <c r="BY172" s="15">
        <v>3</v>
      </c>
      <c r="BZ172" s="15">
        <v>4</v>
      </c>
      <c r="CA172" s="15" t="s">
        <v>208</v>
      </c>
      <c r="CB172" s="15" t="s">
        <v>188</v>
      </c>
      <c r="CC172" s="15"/>
      <c r="CD172" s="15"/>
      <c r="CE172" s="15"/>
      <c r="CF172" s="15"/>
      <c r="CG172" s="15"/>
      <c r="CH172" s="15"/>
      <c r="CI172" s="15"/>
      <c r="CJ172" s="15"/>
      <c r="CK172" s="15" t="s">
        <v>188</v>
      </c>
      <c r="CL172" s="15"/>
      <c r="CM172" s="15"/>
      <c r="CN172" s="15"/>
      <c r="CO172" s="15"/>
      <c r="CP172" s="15" t="s">
        <v>193</v>
      </c>
      <c r="CQ172" s="15" t="s">
        <v>209</v>
      </c>
      <c r="CR172" s="15"/>
      <c r="CS172" s="15"/>
      <c r="CT172" s="15" t="s">
        <v>188</v>
      </c>
      <c r="CU172" s="15"/>
      <c r="CV172" s="15"/>
      <c r="CW172" s="15"/>
      <c r="CX172" s="15" t="s">
        <v>188</v>
      </c>
      <c r="CY172" s="15"/>
      <c r="CZ172" s="3" t="s">
        <v>377</v>
      </c>
      <c r="DA172" s="49" t="s">
        <v>635</v>
      </c>
      <c r="DC172" s="18">
        <f t="shared" si="6"/>
        <v>0</v>
      </c>
      <c r="DD172" s="18">
        <f t="shared" si="7"/>
        <v>7</v>
      </c>
      <c r="DE172" s="18">
        <f t="shared" si="8"/>
        <v>2001</v>
      </c>
    </row>
    <row r="173" spans="1:109" x14ac:dyDescent="0.25">
      <c r="A173" s="59" t="s">
        <v>1319</v>
      </c>
      <c r="B173" s="103">
        <v>41541</v>
      </c>
      <c r="C173" s="105" t="s">
        <v>1578</v>
      </c>
      <c r="D173" s="14" t="s">
        <v>603</v>
      </c>
      <c r="E173" s="15"/>
      <c r="F173" s="15"/>
      <c r="G173" s="15"/>
      <c r="H173" s="15" t="s">
        <v>188</v>
      </c>
      <c r="I173" s="15">
        <v>52</v>
      </c>
      <c r="J173" s="15" t="s">
        <v>189</v>
      </c>
      <c r="K173" s="15" t="s">
        <v>445</v>
      </c>
      <c r="L173" s="15" t="s">
        <v>636</v>
      </c>
      <c r="M173" s="15" t="s">
        <v>1065</v>
      </c>
      <c r="N173" s="15" t="s">
        <v>1085</v>
      </c>
      <c r="O173" s="15">
        <v>30</v>
      </c>
      <c r="P173" s="15"/>
      <c r="Q173" s="15"/>
      <c r="R173" s="15"/>
      <c r="S173" s="15" t="s">
        <v>188</v>
      </c>
      <c r="T173" s="15"/>
      <c r="U173" s="15" t="s">
        <v>188</v>
      </c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>
        <v>2005</v>
      </c>
      <c r="AI173" s="1">
        <v>718942</v>
      </c>
      <c r="AJ173" s="15"/>
      <c r="AK173" s="15"/>
      <c r="AL173" s="15" t="s">
        <v>188</v>
      </c>
      <c r="AM173" s="15"/>
      <c r="AN173" s="15"/>
      <c r="AO173" s="15"/>
      <c r="AP173" s="15" t="s">
        <v>188</v>
      </c>
      <c r="AQ173" s="15"/>
      <c r="AR173" s="15"/>
      <c r="AS173" s="15"/>
      <c r="AT173" s="15" t="s">
        <v>266</v>
      </c>
      <c r="AU173" s="1">
        <v>12000</v>
      </c>
      <c r="AV173" s="48">
        <v>0.05</v>
      </c>
      <c r="AW173" s="15">
        <v>2.9</v>
      </c>
      <c r="AX173" s="15">
        <v>2.5</v>
      </c>
      <c r="AY173" s="15">
        <v>2</v>
      </c>
      <c r="AZ173" s="15">
        <v>920</v>
      </c>
      <c r="BA173" s="15">
        <v>2500</v>
      </c>
      <c r="BB173" s="15" t="s">
        <v>188</v>
      </c>
      <c r="BC173" s="15" t="s">
        <v>188</v>
      </c>
      <c r="BD173" s="15" t="s">
        <v>199</v>
      </c>
      <c r="BE173" s="1">
        <v>18000</v>
      </c>
      <c r="BF173" s="1">
        <v>150000</v>
      </c>
      <c r="BG173" s="1">
        <v>18000</v>
      </c>
      <c r="BH173" s="1">
        <v>100000</v>
      </c>
      <c r="BI173" s="1" t="s">
        <v>193</v>
      </c>
      <c r="BJ173" s="15"/>
      <c r="BK173" s="15"/>
      <c r="BL173" s="15"/>
      <c r="BM173" s="15"/>
      <c r="BN173" s="15"/>
      <c r="BO173" s="15"/>
      <c r="BP173" s="15" t="s">
        <v>188</v>
      </c>
      <c r="BQ173" s="15"/>
      <c r="BR173" s="15"/>
      <c r="BS173" s="2"/>
      <c r="BT173" s="15"/>
      <c r="BU173" s="15"/>
      <c r="BV173" s="15" t="s">
        <v>188</v>
      </c>
      <c r="BW173" s="15"/>
      <c r="BX173" s="15">
        <v>1</v>
      </c>
      <c r="BY173" s="15">
        <v>3</v>
      </c>
      <c r="BZ173" s="15">
        <v>2</v>
      </c>
      <c r="CA173" s="15"/>
      <c r="CB173" s="15"/>
      <c r="CC173" s="15" t="s">
        <v>188</v>
      </c>
      <c r="CD173" s="15"/>
      <c r="CE173" s="15"/>
      <c r="CF173" s="15"/>
      <c r="CG173" s="15"/>
      <c r="CH173" s="15" t="s">
        <v>188</v>
      </c>
      <c r="CI173" s="15" t="s">
        <v>188</v>
      </c>
      <c r="CJ173" s="15"/>
      <c r="CK173" s="15" t="s">
        <v>188</v>
      </c>
      <c r="CL173" s="15"/>
      <c r="CM173" s="15"/>
      <c r="CN173" s="15"/>
      <c r="CO173" s="15"/>
      <c r="CP173" s="15" t="s">
        <v>193</v>
      </c>
      <c r="CQ173" s="15" t="s">
        <v>193</v>
      </c>
      <c r="CR173" s="15"/>
      <c r="CS173" s="15" t="s">
        <v>188</v>
      </c>
      <c r="CT173" s="15"/>
      <c r="CU173" s="15"/>
      <c r="CV173" s="15"/>
      <c r="CW173" s="15"/>
      <c r="CX173" s="15"/>
      <c r="CY173" s="15" t="s">
        <v>188</v>
      </c>
      <c r="CZ173" s="3"/>
      <c r="DA173" s="49" t="s">
        <v>634</v>
      </c>
      <c r="DC173" s="18">
        <f t="shared" si="6"/>
        <v>0</v>
      </c>
      <c r="DD173" s="18">
        <f t="shared" si="7"/>
        <v>7</v>
      </c>
      <c r="DE173" s="18">
        <f t="shared" si="8"/>
        <v>2005</v>
      </c>
    </row>
    <row r="174" spans="1:109" x14ac:dyDescent="0.25">
      <c r="A174" s="59" t="s">
        <v>1319</v>
      </c>
      <c r="B174" s="103">
        <v>41541</v>
      </c>
      <c r="C174" s="105" t="s">
        <v>1578</v>
      </c>
      <c r="D174" s="14" t="s">
        <v>604</v>
      </c>
      <c r="E174" s="15"/>
      <c r="F174" s="15"/>
      <c r="G174" s="15" t="s">
        <v>188</v>
      </c>
      <c r="H174" s="15"/>
      <c r="I174" s="15">
        <v>23</v>
      </c>
      <c r="J174" s="15" t="s">
        <v>189</v>
      </c>
      <c r="K174" s="15" t="s">
        <v>214</v>
      </c>
      <c r="L174" s="15" t="s">
        <v>637</v>
      </c>
      <c r="M174" s="15" t="s">
        <v>1066</v>
      </c>
      <c r="N174" s="50" t="s">
        <v>1066</v>
      </c>
      <c r="O174" s="15">
        <v>3</v>
      </c>
      <c r="P174" s="15"/>
      <c r="Q174" s="15"/>
      <c r="R174" s="15"/>
      <c r="S174" s="15" t="s">
        <v>188</v>
      </c>
      <c r="T174" s="15"/>
      <c r="U174" s="15" t="s">
        <v>188</v>
      </c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>
        <v>2008</v>
      </c>
      <c r="AI174" s="1">
        <v>537655</v>
      </c>
      <c r="AJ174" s="15"/>
      <c r="AK174" s="15"/>
      <c r="AL174" s="15" t="s">
        <v>188</v>
      </c>
      <c r="AM174" s="15"/>
      <c r="AN174" s="15"/>
      <c r="AO174" s="15"/>
      <c r="AP174" s="15" t="s">
        <v>188</v>
      </c>
      <c r="AQ174" s="15"/>
      <c r="AR174" s="15"/>
      <c r="AS174" s="15"/>
      <c r="AT174" s="15" t="s">
        <v>322</v>
      </c>
      <c r="AU174" s="1">
        <v>10000</v>
      </c>
      <c r="AV174" s="48">
        <v>0.1</v>
      </c>
      <c r="AW174" s="15">
        <v>2.9</v>
      </c>
      <c r="AX174" s="15">
        <v>2.5</v>
      </c>
      <c r="AY174" s="15">
        <v>2</v>
      </c>
      <c r="AZ174" s="15">
        <v>850</v>
      </c>
      <c r="BA174" s="15">
        <v>2300</v>
      </c>
      <c r="BB174" s="15" t="s">
        <v>188</v>
      </c>
      <c r="BC174" s="15" t="s">
        <v>188</v>
      </c>
      <c r="BD174" s="15" t="s">
        <v>199</v>
      </c>
      <c r="BE174" s="1">
        <v>19000</v>
      </c>
      <c r="BF174" s="1">
        <v>120000</v>
      </c>
      <c r="BG174" s="1">
        <v>25000</v>
      </c>
      <c r="BH174" s="1">
        <v>120000</v>
      </c>
      <c r="BI174" s="1" t="s">
        <v>193</v>
      </c>
      <c r="BJ174" s="15"/>
      <c r="BK174" s="15"/>
      <c r="BL174" s="15"/>
      <c r="BM174" s="15"/>
      <c r="BN174" s="15"/>
      <c r="BO174" s="15"/>
      <c r="BP174" s="15"/>
      <c r="BQ174" s="15"/>
      <c r="BR174" s="15"/>
      <c r="BS174" s="2" t="s">
        <v>638</v>
      </c>
      <c r="BT174" s="15"/>
      <c r="BU174" s="15"/>
      <c r="BV174" s="15" t="s">
        <v>188</v>
      </c>
      <c r="BW174" s="15"/>
      <c r="BX174" s="15">
        <v>1</v>
      </c>
      <c r="BY174" s="15">
        <v>3</v>
      </c>
      <c r="BZ174" s="15">
        <v>2</v>
      </c>
      <c r="CA174" s="15"/>
      <c r="CB174" s="15"/>
      <c r="CC174" s="15" t="s">
        <v>188</v>
      </c>
      <c r="CD174" s="15"/>
      <c r="CE174" s="15"/>
      <c r="CF174" s="15"/>
      <c r="CG174" s="15"/>
      <c r="CH174" s="15" t="s">
        <v>188</v>
      </c>
      <c r="CI174" s="15"/>
      <c r="CJ174" s="15"/>
      <c r="CK174" s="15" t="s">
        <v>188</v>
      </c>
      <c r="CL174" s="15"/>
      <c r="CM174" s="15"/>
      <c r="CN174" s="15"/>
      <c r="CO174" s="15"/>
      <c r="CP174" s="15" t="s">
        <v>193</v>
      </c>
      <c r="CQ174" s="15" t="s">
        <v>300</v>
      </c>
      <c r="CR174" s="15" t="s">
        <v>188</v>
      </c>
      <c r="CS174" s="15"/>
      <c r="CT174" s="15"/>
      <c r="CU174" s="15"/>
      <c r="CV174" s="15"/>
      <c r="CW174" s="15"/>
      <c r="CX174" s="15" t="s">
        <v>188</v>
      </c>
      <c r="CY174" s="15"/>
      <c r="CZ174" s="3"/>
      <c r="DA174" s="49" t="s">
        <v>649</v>
      </c>
      <c r="DC174" s="18">
        <f t="shared" si="6"/>
        <v>0</v>
      </c>
      <c r="DD174" s="18">
        <f t="shared" si="7"/>
        <v>3</v>
      </c>
      <c r="DE174" s="18">
        <f t="shared" si="8"/>
        <v>2008</v>
      </c>
    </row>
    <row r="175" spans="1:109" x14ac:dyDescent="0.25">
      <c r="A175" s="59" t="s">
        <v>1319</v>
      </c>
      <c r="B175" s="103">
        <v>41541</v>
      </c>
      <c r="C175" s="105" t="s">
        <v>1578</v>
      </c>
      <c r="D175" s="14" t="s">
        <v>605</v>
      </c>
      <c r="E175" s="15"/>
      <c r="F175" s="15"/>
      <c r="G175" s="15" t="s">
        <v>188</v>
      </c>
      <c r="H175" s="15"/>
      <c r="I175" s="15">
        <v>46</v>
      </c>
      <c r="J175" s="15" t="s">
        <v>189</v>
      </c>
      <c r="K175" s="15" t="s">
        <v>190</v>
      </c>
      <c r="L175" s="15" t="s">
        <v>639</v>
      </c>
      <c r="M175" s="15" t="s">
        <v>1067</v>
      </c>
      <c r="N175" s="50" t="s">
        <v>1066</v>
      </c>
      <c r="O175" s="15">
        <v>16</v>
      </c>
      <c r="P175" s="15"/>
      <c r="Q175" s="15"/>
      <c r="R175" s="15"/>
      <c r="S175" s="15" t="s">
        <v>188</v>
      </c>
      <c r="T175" s="15"/>
      <c r="U175" s="15" t="s">
        <v>188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>
        <v>2002</v>
      </c>
      <c r="AI175" s="1">
        <v>897614</v>
      </c>
      <c r="AJ175" s="15"/>
      <c r="AK175" s="15"/>
      <c r="AL175" s="15" t="s">
        <v>188</v>
      </c>
      <c r="AM175" s="15"/>
      <c r="AN175" s="15"/>
      <c r="AO175" s="15"/>
      <c r="AP175" s="15" t="s">
        <v>188</v>
      </c>
      <c r="AQ175" s="15"/>
      <c r="AR175" s="15"/>
      <c r="AS175" s="15"/>
      <c r="AT175" s="15" t="s">
        <v>322</v>
      </c>
      <c r="AU175" s="1">
        <v>10000</v>
      </c>
      <c r="AV175" s="48">
        <v>0.05</v>
      </c>
      <c r="AW175" s="15">
        <v>2.8</v>
      </c>
      <c r="AX175" s="15">
        <v>2.5</v>
      </c>
      <c r="AY175" s="15">
        <v>2</v>
      </c>
      <c r="AZ175" s="15">
        <v>740</v>
      </c>
      <c r="BA175" s="15">
        <v>2000</v>
      </c>
      <c r="BB175" s="15" t="s">
        <v>188</v>
      </c>
      <c r="BC175" s="15" t="s">
        <v>188</v>
      </c>
      <c r="BD175" s="15" t="s">
        <v>199</v>
      </c>
      <c r="BE175" s="1">
        <v>22000</v>
      </c>
      <c r="BF175" s="1" t="s">
        <v>193</v>
      </c>
      <c r="BG175" s="1">
        <v>22000</v>
      </c>
      <c r="BH175" s="1">
        <v>120000</v>
      </c>
      <c r="BI175" s="1" t="s">
        <v>193</v>
      </c>
      <c r="BJ175" s="15"/>
      <c r="BK175" s="15"/>
      <c r="BL175" s="15"/>
      <c r="BM175" s="15"/>
      <c r="BN175" s="15"/>
      <c r="BO175" s="15"/>
      <c r="BP175" s="15"/>
      <c r="BQ175" s="15"/>
      <c r="BR175" s="15"/>
      <c r="BS175" s="2" t="s">
        <v>638</v>
      </c>
      <c r="BT175" s="15"/>
      <c r="BU175" s="15"/>
      <c r="BV175" s="15" t="s">
        <v>188</v>
      </c>
      <c r="BW175" s="15"/>
      <c r="BX175" s="15">
        <v>1</v>
      </c>
      <c r="BY175" s="15">
        <v>3</v>
      </c>
      <c r="BZ175" s="15">
        <v>2</v>
      </c>
      <c r="CA175" s="15"/>
      <c r="CB175" s="15" t="s">
        <v>188</v>
      </c>
      <c r="CC175" s="15"/>
      <c r="CD175" s="15"/>
      <c r="CE175" s="15"/>
      <c r="CF175" s="15"/>
      <c r="CG175" s="15"/>
      <c r="CH175" s="15"/>
      <c r="CI175" s="15"/>
      <c r="CJ175" s="15"/>
      <c r="CK175" s="15" t="s">
        <v>188</v>
      </c>
      <c r="CL175" s="15"/>
      <c r="CM175" s="15"/>
      <c r="CN175" s="15"/>
      <c r="CO175" s="15"/>
      <c r="CP175" s="15" t="s">
        <v>193</v>
      </c>
      <c r="CQ175" s="15" t="s">
        <v>209</v>
      </c>
      <c r="CR175" s="15" t="s">
        <v>188</v>
      </c>
      <c r="CS175" s="15"/>
      <c r="CT175" s="15"/>
      <c r="CU175" s="15"/>
      <c r="CV175" s="15"/>
      <c r="CW175" s="15"/>
      <c r="CX175" s="15" t="s">
        <v>188</v>
      </c>
      <c r="CY175" s="15" t="s">
        <v>188</v>
      </c>
      <c r="CZ175" s="3"/>
      <c r="DA175" s="49" t="s">
        <v>640</v>
      </c>
      <c r="DC175" s="18">
        <f t="shared" si="6"/>
        <v>0</v>
      </c>
      <c r="DD175" s="18">
        <f t="shared" si="7"/>
        <v>3</v>
      </c>
      <c r="DE175" s="18">
        <f t="shared" si="8"/>
        <v>2002</v>
      </c>
    </row>
    <row r="176" spans="1:109" x14ac:dyDescent="0.25">
      <c r="A176" s="59" t="s">
        <v>1319</v>
      </c>
      <c r="B176" s="103">
        <v>41541</v>
      </c>
      <c r="C176" s="105" t="s">
        <v>1559</v>
      </c>
      <c r="D176" s="14" t="s">
        <v>606</v>
      </c>
      <c r="E176" s="15"/>
      <c r="F176" s="15"/>
      <c r="G176" s="15" t="s">
        <v>188</v>
      </c>
      <c r="H176" s="15"/>
      <c r="I176" s="15">
        <v>35</v>
      </c>
      <c r="J176" s="15" t="s">
        <v>189</v>
      </c>
      <c r="K176" s="15" t="s">
        <v>190</v>
      </c>
      <c r="L176" s="15" t="s">
        <v>637</v>
      </c>
      <c r="M176" s="15" t="s">
        <v>1066</v>
      </c>
      <c r="N176" s="50" t="s">
        <v>1066</v>
      </c>
      <c r="O176" s="15">
        <v>10</v>
      </c>
      <c r="P176" s="15"/>
      <c r="Q176" s="15"/>
      <c r="R176" s="15"/>
      <c r="S176" s="15" t="s">
        <v>188</v>
      </c>
      <c r="T176" s="15"/>
      <c r="U176" s="15" t="s">
        <v>188</v>
      </c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>
        <v>2006</v>
      </c>
      <c r="AI176" s="1">
        <v>752813</v>
      </c>
      <c r="AJ176" s="15"/>
      <c r="AK176" s="15"/>
      <c r="AL176" s="15" t="s">
        <v>188</v>
      </c>
      <c r="AM176" s="15"/>
      <c r="AN176" s="15"/>
      <c r="AO176" s="15" t="s">
        <v>188</v>
      </c>
      <c r="AP176" s="15"/>
      <c r="AQ176" s="15"/>
      <c r="AR176" s="15"/>
      <c r="AS176" s="15"/>
      <c r="AT176" s="15" t="s">
        <v>193</v>
      </c>
      <c r="AU176" s="1">
        <v>10000</v>
      </c>
      <c r="AV176" s="48">
        <v>0</v>
      </c>
      <c r="AW176" s="15">
        <v>2.8</v>
      </c>
      <c r="AX176" s="15">
        <v>2.4</v>
      </c>
      <c r="AY176" s="15">
        <v>2</v>
      </c>
      <c r="AZ176" s="15">
        <v>920</v>
      </c>
      <c r="BA176" s="15">
        <v>2500</v>
      </c>
      <c r="BB176" s="15" t="s">
        <v>188</v>
      </c>
      <c r="BC176" s="15" t="s">
        <v>188</v>
      </c>
      <c r="BD176" s="15" t="s">
        <v>199</v>
      </c>
      <c r="BE176" s="1">
        <v>21000</v>
      </c>
      <c r="BF176" s="1">
        <v>150000</v>
      </c>
      <c r="BG176" s="1">
        <v>21000</v>
      </c>
      <c r="BH176" s="1">
        <v>150000</v>
      </c>
      <c r="BI176" s="1" t="s">
        <v>193</v>
      </c>
      <c r="BJ176" s="15"/>
      <c r="BK176" s="15" t="s">
        <v>188</v>
      </c>
      <c r="BL176" s="15"/>
      <c r="BM176" s="15"/>
      <c r="BN176" s="15"/>
      <c r="BO176" s="15"/>
      <c r="BP176" s="15"/>
      <c r="BQ176" s="15"/>
      <c r="BR176" s="15"/>
      <c r="BS176" s="2"/>
      <c r="BT176" s="15"/>
      <c r="BU176" s="15" t="s">
        <v>188</v>
      </c>
      <c r="BV176" s="15"/>
      <c r="BW176" s="15"/>
      <c r="BX176" s="15">
        <v>3</v>
      </c>
      <c r="BY176" s="15">
        <v>1</v>
      </c>
      <c r="BZ176" s="15">
        <v>2</v>
      </c>
      <c r="CA176" s="15"/>
      <c r="CB176" s="15" t="s">
        <v>188</v>
      </c>
      <c r="CC176" s="15"/>
      <c r="CD176" s="15"/>
      <c r="CE176" s="15"/>
      <c r="CF176" s="15"/>
      <c r="CG176" s="15"/>
      <c r="CH176" s="15"/>
      <c r="CI176" s="15"/>
      <c r="CJ176" s="15"/>
      <c r="CK176" s="15" t="s">
        <v>188</v>
      </c>
      <c r="CL176" s="15"/>
      <c r="CM176" s="15"/>
      <c r="CN176" s="15"/>
      <c r="CO176" s="15"/>
      <c r="CP176" s="15" t="s">
        <v>193</v>
      </c>
      <c r="CQ176" s="15" t="s">
        <v>193</v>
      </c>
      <c r="CR176" s="15" t="s">
        <v>188</v>
      </c>
      <c r="CS176" s="15"/>
      <c r="CT176" s="15"/>
      <c r="CU176" s="15"/>
      <c r="CV176" s="15"/>
      <c r="CW176" s="15"/>
      <c r="CX176" s="15" t="s">
        <v>188</v>
      </c>
      <c r="CY176" s="15" t="s">
        <v>188</v>
      </c>
      <c r="CZ176" s="3"/>
      <c r="DA176" s="49"/>
      <c r="DC176" s="18">
        <f t="shared" si="6"/>
        <v>0</v>
      </c>
      <c r="DD176" s="18">
        <f t="shared" si="7"/>
        <v>3</v>
      </c>
      <c r="DE176" s="18">
        <f t="shared" si="8"/>
        <v>2006</v>
      </c>
    </row>
    <row r="177" spans="1:109" x14ac:dyDescent="0.25">
      <c r="A177" s="59" t="s">
        <v>1319</v>
      </c>
      <c r="B177" s="103">
        <v>41541</v>
      </c>
      <c r="C177" s="105" t="s">
        <v>1578</v>
      </c>
      <c r="D177" s="14" t="s">
        <v>607</v>
      </c>
      <c r="E177" s="15" t="s">
        <v>188</v>
      </c>
      <c r="F177" s="15"/>
      <c r="G177" s="15"/>
      <c r="H177" s="15"/>
      <c r="I177" s="15">
        <v>39</v>
      </c>
      <c r="J177" s="15" t="s">
        <v>189</v>
      </c>
      <c r="K177" s="15" t="s">
        <v>190</v>
      </c>
      <c r="L177" s="15" t="s">
        <v>558</v>
      </c>
      <c r="M177" s="15" t="s">
        <v>1054</v>
      </c>
      <c r="N177" s="50" t="s">
        <v>1066</v>
      </c>
      <c r="O177" s="15">
        <v>19</v>
      </c>
      <c r="P177" s="15"/>
      <c r="Q177" s="15"/>
      <c r="R177" s="15"/>
      <c r="S177" s="15" t="s">
        <v>188</v>
      </c>
      <c r="T177" s="15"/>
      <c r="U177" s="15" t="s">
        <v>188</v>
      </c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>
        <v>2004</v>
      </c>
      <c r="AI177" s="1">
        <v>823617</v>
      </c>
      <c r="AJ177" s="15"/>
      <c r="AK177" s="15"/>
      <c r="AL177" s="15" t="s">
        <v>188</v>
      </c>
      <c r="AM177" s="15"/>
      <c r="AN177" s="15"/>
      <c r="AO177" s="15"/>
      <c r="AP177" s="15" t="s">
        <v>188</v>
      </c>
      <c r="AQ177" s="15"/>
      <c r="AR177" s="15"/>
      <c r="AS177" s="15"/>
      <c r="AT177" s="15" t="s">
        <v>322</v>
      </c>
      <c r="AU177" s="1">
        <v>8000</v>
      </c>
      <c r="AV177" s="48">
        <v>0</v>
      </c>
      <c r="AW177" s="15">
        <v>2.7</v>
      </c>
      <c r="AX177" s="15">
        <v>2.5</v>
      </c>
      <c r="AY177" s="15">
        <v>2</v>
      </c>
      <c r="AZ177" s="15">
        <v>1000</v>
      </c>
      <c r="BA177" s="15">
        <v>2600</v>
      </c>
      <c r="BB177" s="15" t="s">
        <v>188</v>
      </c>
      <c r="BC177" s="15" t="s">
        <v>188</v>
      </c>
      <c r="BD177" s="15" t="s">
        <v>199</v>
      </c>
      <c r="BE177" s="1">
        <v>16000</v>
      </c>
      <c r="BF177" s="1">
        <v>160000</v>
      </c>
      <c r="BG177" s="1">
        <v>24000</v>
      </c>
      <c r="BH177" s="1">
        <v>100000</v>
      </c>
      <c r="BI177" s="1" t="s">
        <v>193</v>
      </c>
      <c r="BJ177" s="15" t="s">
        <v>188</v>
      </c>
      <c r="BK177" s="15"/>
      <c r="BL177" s="15"/>
      <c r="BM177" s="15"/>
      <c r="BN177" s="15"/>
      <c r="BO177" s="15"/>
      <c r="BP177" s="15"/>
      <c r="BQ177" s="15"/>
      <c r="BR177" s="15"/>
      <c r="BS177" s="2"/>
      <c r="BT177" s="15"/>
      <c r="BU177" s="15" t="s">
        <v>188</v>
      </c>
      <c r="BV177" s="15"/>
      <c r="BW177" s="15"/>
      <c r="BX177" s="15">
        <v>3</v>
      </c>
      <c r="BY177" s="15">
        <v>2</v>
      </c>
      <c r="BZ177" s="15">
        <v>1</v>
      </c>
      <c r="CA177" s="15"/>
      <c r="CB177" s="15" t="s">
        <v>188</v>
      </c>
      <c r="CC177" s="15"/>
      <c r="CD177" s="15"/>
      <c r="CE177" s="15"/>
      <c r="CF177" s="15"/>
      <c r="CG177" s="15"/>
      <c r="CH177" s="15"/>
      <c r="CI177" s="15"/>
      <c r="CJ177" s="15"/>
      <c r="CK177" s="15" t="s">
        <v>188</v>
      </c>
      <c r="CL177" s="15"/>
      <c r="CM177" s="15"/>
      <c r="CN177" s="15"/>
      <c r="CO177" s="15"/>
      <c r="CP177" s="15" t="s">
        <v>193</v>
      </c>
      <c r="CQ177" s="15" t="s">
        <v>209</v>
      </c>
      <c r="CR177" s="15" t="s">
        <v>188</v>
      </c>
      <c r="CS177" s="15"/>
      <c r="CT177" s="15"/>
      <c r="CU177" s="15"/>
      <c r="CV177" s="15"/>
      <c r="CW177" s="15"/>
      <c r="CX177" s="15" t="s">
        <v>188</v>
      </c>
      <c r="CY177" s="15"/>
      <c r="CZ177" s="3"/>
      <c r="DA177" s="49" t="s">
        <v>649</v>
      </c>
      <c r="DC177" s="18">
        <f t="shared" si="6"/>
        <v>0</v>
      </c>
      <c r="DD177" s="18">
        <f t="shared" si="7"/>
        <v>1</v>
      </c>
      <c r="DE177" s="18">
        <f t="shared" si="8"/>
        <v>2004</v>
      </c>
    </row>
    <row r="178" spans="1:109" x14ac:dyDescent="0.25">
      <c r="A178" s="59" t="s">
        <v>1319</v>
      </c>
      <c r="B178" s="103">
        <v>41541</v>
      </c>
      <c r="C178" s="106" t="s">
        <v>1579</v>
      </c>
      <c r="D178" s="14" t="s">
        <v>608</v>
      </c>
      <c r="E178" s="15"/>
      <c r="F178" s="15"/>
      <c r="G178" s="15"/>
      <c r="H178" s="15" t="s">
        <v>188</v>
      </c>
      <c r="I178" s="15">
        <v>48</v>
      </c>
      <c r="J178" s="15" t="s">
        <v>189</v>
      </c>
      <c r="K178" s="15" t="s">
        <v>196</v>
      </c>
      <c r="L178" s="15" t="s">
        <v>637</v>
      </c>
      <c r="M178" s="50" t="s">
        <v>1066</v>
      </c>
      <c r="N178" s="50" t="s">
        <v>1066</v>
      </c>
      <c r="O178" s="15">
        <v>30</v>
      </c>
      <c r="P178" s="15"/>
      <c r="Q178" s="15"/>
      <c r="R178" s="15"/>
      <c r="S178" s="15" t="s">
        <v>188</v>
      </c>
      <c r="T178" s="15"/>
      <c r="U178" s="15" t="s">
        <v>188</v>
      </c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>
        <v>2005</v>
      </c>
      <c r="AI178" s="1">
        <v>752813</v>
      </c>
      <c r="AJ178" s="15"/>
      <c r="AK178" s="15"/>
      <c r="AL178" s="15" t="s">
        <v>188</v>
      </c>
      <c r="AM178" s="15"/>
      <c r="AN178" s="15"/>
      <c r="AO178" s="15" t="s">
        <v>188</v>
      </c>
      <c r="AP178" s="15"/>
      <c r="AQ178" s="15"/>
      <c r="AR178" s="15"/>
      <c r="AS178" s="15"/>
      <c r="AT178" s="15" t="s">
        <v>322</v>
      </c>
      <c r="AU178" s="1">
        <v>12000</v>
      </c>
      <c r="AV178" s="48">
        <v>0.1</v>
      </c>
      <c r="AW178" s="15">
        <v>2.8</v>
      </c>
      <c r="AX178" s="15">
        <v>2.5</v>
      </c>
      <c r="AY178" s="15">
        <v>2</v>
      </c>
      <c r="AZ178" s="15">
        <v>810</v>
      </c>
      <c r="BA178" s="15">
        <v>2200</v>
      </c>
      <c r="BB178" s="15" t="s">
        <v>188</v>
      </c>
      <c r="BC178" s="15" t="s">
        <v>188</v>
      </c>
      <c r="BD178" s="15" t="s">
        <v>199</v>
      </c>
      <c r="BE178" s="1">
        <v>24000</v>
      </c>
      <c r="BF178" s="1">
        <v>150000</v>
      </c>
      <c r="BG178" s="1">
        <v>24000</v>
      </c>
      <c r="BH178" s="1">
        <v>150000</v>
      </c>
      <c r="BI178" s="1" t="s">
        <v>193</v>
      </c>
      <c r="BJ178" s="15"/>
      <c r="BK178" s="15"/>
      <c r="BL178" s="15"/>
      <c r="BM178" s="15"/>
      <c r="BN178" s="15"/>
      <c r="BO178" s="15"/>
      <c r="BP178" s="15" t="s">
        <v>188</v>
      </c>
      <c r="BQ178" s="15"/>
      <c r="BR178" s="15"/>
      <c r="BS178" s="2" t="s">
        <v>567</v>
      </c>
      <c r="BT178" s="15"/>
      <c r="BU178" s="15"/>
      <c r="BV178" s="15" t="s">
        <v>188</v>
      </c>
      <c r="BW178" s="15"/>
      <c r="BX178" s="15">
        <v>2</v>
      </c>
      <c r="BY178" s="15">
        <v>3</v>
      </c>
      <c r="BZ178" s="15">
        <v>1</v>
      </c>
      <c r="CA178" s="15"/>
      <c r="CB178" s="15" t="s">
        <v>188</v>
      </c>
      <c r="CC178" s="15"/>
      <c r="CD178" s="15"/>
      <c r="CE178" s="15"/>
      <c r="CF178" s="15"/>
      <c r="CG178" s="15"/>
      <c r="CH178" s="15"/>
      <c r="CI178" s="15"/>
      <c r="CJ178" s="15"/>
      <c r="CK178" s="15" t="s">
        <v>188</v>
      </c>
      <c r="CL178" s="15"/>
      <c r="CM178" s="15"/>
      <c r="CN178" s="15"/>
      <c r="CO178" s="15"/>
      <c r="CP178" s="15" t="s">
        <v>193</v>
      </c>
      <c r="CQ178" s="15" t="s">
        <v>193</v>
      </c>
      <c r="CR178" s="15" t="s">
        <v>188</v>
      </c>
      <c r="CS178" s="15"/>
      <c r="CT178" s="15"/>
      <c r="CU178" s="15"/>
      <c r="CV178" s="15" t="s">
        <v>188</v>
      </c>
      <c r="CW178" s="15" t="s">
        <v>270</v>
      </c>
      <c r="CX178" s="15"/>
      <c r="CY178" s="15"/>
      <c r="CZ178" s="3"/>
      <c r="DA178" s="49" t="s">
        <v>634</v>
      </c>
      <c r="DC178" s="18">
        <f t="shared" si="6"/>
        <v>0</v>
      </c>
      <c r="DD178" s="18">
        <f t="shared" si="7"/>
        <v>7</v>
      </c>
      <c r="DE178" s="18">
        <f t="shared" si="8"/>
        <v>2005</v>
      </c>
    </row>
    <row r="179" spans="1:109" x14ac:dyDescent="0.25">
      <c r="A179" s="59" t="s">
        <v>1319</v>
      </c>
      <c r="B179" s="103">
        <v>41541</v>
      </c>
      <c r="C179" s="106" t="s">
        <v>1579</v>
      </c>
      <c r="D179" s="14" t="s">
        <v>609</v>
      </c>
      <c r="E179" s="15"/>
      <c r="F179" s="15"/>
      <c r="G179" s="15"/>
      <c r="H179" s="15" t="s">
        <v>188</v>
      </c>
      <c r="I179" s="15">
        <v>42</v>
      </c>
      <c r="J179" s="15" t="s">
        <v>189</v>
      </c>
      <c r="K179" s="15" t="s">
        <v>190</v>
      </c>
      <c r="L179" s="15" t="s">
        <v>641</v>
      </c>
      <c r="M179" s="15" t="s">
        <v>1068</v>
      </c>
      <c r="N179" s="15" t="s">
        <v>1066</v>
      </c>
      <c r="O179" s="15">
        <v>20</v>
      </c>
      <c r="P179" s="15"/>
      <c r="Q179" s="15"/>
      <c r="R179" s="15"/>
      <c r="S179" s="15" t="s">
        <v>188</v>
      </c>
      <c r="T179" s="15"/>
      <c r="U179" s="15" t="s">
        <v>188</v>
      </c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>
        <v>1998</v>
      </c>
      <c r="AI179" s="1">
        <v>714206</v>
      </c>
      <c r="AJ179" s="15"/>
      <c r="AK179" s="15"/>
      <c r="AL179" s="15" t="s">
        <v>188</v>
      </c>
      <c r="AM179" s="15"/>
      <c r="AN179" s="15"/>
      <c r="AO179" s="15"/>
      <c r="AP179" s="15"/>
      <c r="AQ179" s="15"/>
      <c r="AR179" s="15" t="s">
        <v>188</v>
      </c>
      <c r="AS179" s="15">
        <v>2005</v>
      </c>
      <c r="AT179" s="15" t="s">
        <v>322</v>
      </c>
      <c r="AU179" s="1">
        <v>3600</v>
      </c>
      <c r="AV179" s="48">
        <v>0.5</v>
      </c>
      <c r="AW179" s="15">
        <v>3</v>
      </c>
      <c r="AX179" s="15">
        <v>2.7</v>
      </c>
      <c r="AY179" s="15">
        <v>2</v>
      </c>
      <c r="AZ179" s="15">
        <v>670</v>
      </c>
      <c r="BA179" s="15">
        <v>2000</v>
      </c>
      <c r="BB179" s="15" t="s">
        <v>199</v>
      </c>
      <c r="BC179" s="15" t="s">
        <v>199</v>
      </c>
      <c r="BD179" s="15" t="s">
        <v>199</v>
      </c>
      <c r="BE179" s="1">
        <v>30000</v>
      </c>
      <c r="BF179" s="1" t="s">
        <v>193</v>
      </c>
      <c r="BG179" s="1">
        <v>30000</v>
      </c>
      <c r="BH179" s="1" t="s">
        <v>193</v>
      </c>
      <c r="BI179" s="1" t="s">
        <v>193</v>
      </c>
      <c r="BJ179" s="15"/>
      <c r="BK179" s="15"/>
      <c r="BL179" s="15"/>
      <c r="BM179" s="15"/>
      <c r="BN179" s="15" t="s">
        <v>188</v>
      </c>
      <c r="BO179" s="15"/>
      <c r="BP179" s="15"/>
      <c r="BQ179" s="15"/>
      <c r="BR179" s="15"/>
      <c r="BS179" s="2"/>
      <c r="BT179" s="15"/>
      <c r="BU179" s="15" t="s">
        <v>188</v>
      </c>
      <c r="BV179" s="15"/>
      <c r="BW179" s="15"/>
      <c r="BX179" s="15">
        <v>1</v>
      </c>
      <c r="BY179" s="15">
        <v>3</v>
      </c>
      <c r="BZ179" s="15">
        <v>2</v>
      </c>
      <c r="CA179" s="15"/>
      <c r="CB179" s="15" t="s">
        <v>188</v>
      </c>
      <c r="CC179" s="15"/>
      <c r="CD179" s="15"/>
      <c r="CE179" s="15"/>
      <c r="CF179" s="15"/>
      <c r="CG179" s="15"/>
      <c r="CH179" s="15"/>
      <c r="CI179" s="15"/>
      <c r="CJ179" s="15"/>
      <c r="CK179" s="15" t="s">
        <v>188</v>
      </c>
      <c r="CL179" s="15"/>
      <c r="CM179" s="15"/>
      <c r="CN179" s="15"/>
      <c r="CO179" s="15"/>
      <c r="CP179" s="15" t="s">
        <v>193</v>
      </c>
      <c r="CQ179" s="15" t="s">
        <v>193</v>
      </c>
      <c r="CR179" s="15" t="s">
        <v>188</v>
      </c>
      <c r="CS179" s="15"/>
      <c r="CT179" s="15"/>
      <c r="CU179" s="15"/>
      <c r="CV179" s="15"/>
      <c r="CW179" s="15"/>
      <c r="CX179" s="15"/>
      <c r="CY179" s="15" t="s">
        <v>188</v>
      </c>
      <c r="CZ179" s="3"/>
      <c r="DA179" s="49" t="s">
        <v>650</v>
      </c>
      <c r="DC179" s="18">
        <f t="shared" si="6"/>
        <v>0</v>
      </c>
      <c r="DD179" s="18">
        <f t="shared" si="7"/>
        <v>7</v>
      </c>
      <c r="DE179" s="18">
        <f t="shared" si="8"/>
        <v>2005</v>
      </c>
    </row>
    <row r="180" spans="1:109" x14ac:dyDescent="0.25">
      <c r="A180" s="59" t="s">
        <v>1319</v>
      </c>
      <c r="B180" s="103">
        <v>41541</v>
      </c>
      <c r="C180" s="105" t="s">
        <v>1559</v>
      </c>
      <c r="D180" s="14" t="s">
        <v>610</v>
      </c>
      <c r="E180" s="15"/>
      <c r="F180" s="15"/>
      <c r="G180" s="15"/>
      <c r="H180" s="15" t="s">
        <v>188</v>
      </c>
      <c r="I180" s="15">
        <v>28</v>
      </c>
      <c r="J180" s="15" t="s">
        <v>189</v>
      </c>
      <c r="K180" s="15" t="s">
        <v>190</v>
      </c>
      <c r="L180" s="15" t="s">
        <v>637</v>
      </c>
      <c r="M180" s="15" t="s">
        <v>1066</v>
      </c>
      <c r="N180" s="15" t="s">
        <v>1066</v>
      </c>
      <c r="O180" s="15">
        <v>10</v>
      </c>
      <c r="P180" s="15"/>
      <c r="Q180" s="15"/>
      <c r="R180" s="15"/>
      <c r="S180" s="15" t="s">
        <v>188</v>
      </c>
      <c r="T180" s="15"/>
      <c r="U180" s="15" t="s">
        <v>188</v>
      </c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>
        <v>2007</v>
      </c>
      <c r="AI180" s="1">
        <v>581334</v>
      </c>
      <c r="AJ180" s="15"/>
      <c r="AK180" s="15"/>
      <c r="AL180" s="15" t="s">
        <v>188</v>
      </c>
      <c r="AM180" s="15"/>
      <c r="AN180" s="15"/>
      <c r="AO180" s="15" t="s">
        <v>188</v>
      </c>
      <c r="AP180" s="15"/>
      <c r="AQ180" s="15"/>
      <c r="AR180" s="15"/>
      <c r="AS180" s="15"/>
      <c r="AT180" s="15" t="s">
        <v>322</v>
      </c>
      <c r="AU180" s="1">
        <v>11000</v>
      </c>
      <c r="AV180" s="48">
        <v>0</v>
      </c>
      <c r="AW180" s="15">
        <v>2.9</v>
      </c>
      <c r="AX180" s="15">
        <v>2.6</v>
      </c>
      <c r="AY180" s="15">
        <v>2</v>
      </c>
      <c r="AZ180" s="15">
        <v>800</v>
      </c>
      <c r="BA180" s="15">
        <v>2250</v>
      </c>
      <c r="BB180" s="15" t="s">
        <v>188</v>
      </c>
      <c r="BC180" s="15" t="s">
        <v>188</v>
      </c>
      <c r="BD180" s="15" t="s">
        <v>199</v>
      </c>
      <c r="BE180" s="1">
        <v>20000</v>
      </c>
      <c r="BF180" s="1">
        <v>100000</v>
      </c>
      <c r="BG180" s="1">
        <v>20000</v>
      </c>
      <c r="BH180" s="1">
        <v>100000</v>
      </c>
      <c r="BI180" s="1" t="s">
        <v>193</v>
      </c>
      <c r="BJ180" s="15"/>
      <c r="BK180" s="15"/>
      <c r="BL180" s="15"/>
      <c r="BM180" s="15"/>
      <c r="BN180" s="15" t="s">
        <v>188</v>
      </c>
      <c r="BO180" s="15"/>
      <c r="BP180" s="15"/>
      <c r="BQ180" s="15"/>
      <c r="BR180" s="15"/>
      <c r="BS180" s="2"/>
      <c r="BT180" s="15"/>
      <c r="BU180" s="15"/>
      <c r="BV180" s="15" t="s">
        <v>188</v>
      </c>
      <c r="BW180" s="15"/>
      <c r="BX180" s="15">
        <v>1</v>
      </c>
      <c r="BY180" s="15">
        <v>3</v>
      </c>
      <c r="BZ180" s="15">
        <v>2</v>
      </c>
      <c r="CA180" s="15"/>
      <c r="CB180" s="15" t="s">
        <v>188</v>
      </c>
      <c r="CC180" s="15"/>
      <c r="CD180" s="15"/>
      <c r="CE180" s="15"/>
      <c r="CF180" s="15"/>
      <c r="CG180" s="15"/>
      <c r="CH180" s="15"/>
      <c r="CI180" s="15"/>
      <c r="CJ180" s="15"/>
      <c r="CK180" s="15" t="s">
        <v>188</v>
      </c>
      <c r="CL180" s="15"/>
      <c r="CM180" s="15"/>
      <c r="CN180" s="15"/>
      <c r="CO180" s="15"/>
      <c r="CP180" s="15" t="s">
        <v>193</v>
      </c>
      <c r="CQ180" s="15" t="s">
        <v>300</v>
      </c>
      <c r="CR180" s="15"/>
      <c r="CS180" s="15"/>
      <c r="CT180" s="15" t="s">
        <v>188</v>
      </c>
      <c r="CU180" s="15"/>
      <c r="CV180" s="15"/>
      <c r="CW180" s="15"/>
      <c r="CX180" s="15" t="s">
        <v>188</v>
      </c>
      <c r="CY180" s="15"/>
      <c r="CZ180" s="3"/>
      <c r="DA180" s="49" t="s">
        <v>649</v>
      </c>
      <c r="DC180" s="18">
        <f t="shared" si="6"/>
        <v>0</v>
      </c>
      <c r="DD180" s="18">
        <f t="shared" si="7"/>
        <v>7</v>
      </c>
      <c r="DE180" s="18">
        <f t="shared" si="8"/>
        <v>2007</v>
      </c>
    </row>
    <row r="181" spans="1:109" x14ac:dyDescent="0.25">
      <c r="A181" s="59" t="s">
        <v>1320</v>
      </c>
      <c r="B181" s="103">
        <v>41542</v>
      </c>
      <c r="C181" s="106" t="s">
        <v>1560</v>
      </c>
      <c r="D181" s="14" t="s">
        <v>611</v>
      </c>
      <c r="E181" s="15"/>
      <c r="F181" s="15"/>
      <c r="G181" s="15"/>
      <c r="H181" s="15" t="s">
        <v>188</v>
      </c>
      <c r="I181" s="15">
        <v>24</v>
      </c>
      <c r="J181" s="15" t="s">
        <v>189</v>
      </c>
      <c r="K181" s="15" t="s">
        <v>214</v>
      </c>
      <c r="L181" s="15" t="s">
        <v>642</v>
      </c>
      <c r="M181" s="50" t="s">
        <v>1069</v>
      </c>
      <c r="N181" s="15" t="s">
        <v>1089</v>
      </c>
      <c r="O181" s="15">
        <v>4</v>
      </c>
      <c r="P181" s="15"/>
      <c r="Q181" s="15"/>
      <c r="R181" s="15"/>
      <c r="S181" s="15" t="s">
        <v>188</v>
      </c>
      <c r="T181" s="15"/>
      <c r="U181" s="15" t="s">
        <v>188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>
        <v>2000</v>
      </c>
      <c r="AI181" s="1">
        <v>967816</v>
      </c>
      <c r="AJ181" s="15"/>
      <c r="AK181" s="15"/>
      <c r="AL181" s="15" t="s">
        <v>188</v>
      </c>
      <c r="AM181" s="15"/>
      <c r="AN181" s="15"/>
      <c r="AO181" s="15" t="s">
        <v>188</v>
      </c>
      <c r="AP181" s="15"/>
      <c r="AQ181" s="15"/>
      <c r="AR181" s="15"/>
      <c r="AS181" s="15"/>
      <c r="AT181" s="15" t="s">
        <v>322</v>
      </c>
      <c r="AU181" s="1">
        <v>8000</v>
      </c>
      <c r="AV181" s="48">
        <v>0.1</v>
      </c>
      <c r="AW181" s="15">
        <v>2.8</v>
      </c>
      <c r="AX181" s="15">
        <v>2.4</v>
      </c>
      <c r="AY181" s="15">
        <v>2</v>
      </c>
      <c r="AZ181" s="15">
        <v>800</v>
      </c>
      <c r="BA181" s="15">
        <v>2200</v>
      </c>
      <c r="BB181" s="15" t="s">
        <v>188</v>
      </c>
      <c r="BC181" s="15" t="s">
        <v>199</v>
      </c>
      <c r="BD181" s="15" t="s">
        <v>199</v>
      </c>
      <c r="BE181" s="1">
        <v>18000</v>
      </c>
      <c r="BF181" s="1">
        <v>180000</v>
      </c>
      <c r="BG181" s="1">
        <v>36000</v>
      </c>
      <c r="BH181" s="1">
        <v>100000</v>
      </c>
      <c r="BI181" s="1" t="s">
        <v>193</v>
      </c>
      <c r="BJ181" s="15"/>
      <c r="BK181" s="15"/>
      <c r="BL181" s="15"/>
      <c r="BM181" s="15"/>
      <c r="BN181" s="15"/>
      <c r="BO181" s="15"/>
      <c r="BP181" s="15" t="s">
        <v>188</v>
      </c>
      <c r="BQ181" s="15"/>
      <c r="BR181" s="15"/>
      <c r="BS181" s="2"/>
      <c r="BT181" s="15"/>
      <c r="BU181" s="15" t="s">
        <v>188</v>
      </c>
      <c r="BV181" s="15"/>
      <c r="BW181" s="15"/>
      <c r="BX181" s="15">
        <v>1</v>
      </c>
      <c r="BY181" s="15">
        <v>3</v>
      </c>
      <c r="BZ181" s="15">
        <v>2</v>
      </c>
      <c r="CA181" s="15"/>
      <c r="CB181" s="15" t="s">
        <v>188</v>
      </c>
      <c r="CC181" s="15"/>
      <c r="CD181" s="15"/>
      <c r="CE181" s="15"/>
      <c r="CF181" s="15"/>
      <c r="CG181" s="15"/>
      <c r="CH181" s="15"/>
      <c r="CI181" s="15"/>
      <c r="CJ181" s="15"/>
      <c r="CK181" s="15" t="s">
        <v>188</v>
      </c>
      <c r="CL181" s="15"/>
      <c r="CM181" s="15"/>
      <c r="CN181" s="15"/>
      <c r="CO181" s="15"/>
      <c r="CP181" s="15" t="s">
        <v>193</v>
      </c>
      <c r="CQ181" s="15" t="s">
        <v>193</v>
      </c>
      <c r="CR181" s="15" t="s">
        <v>188</v>
      </c>
      <c r="CS181" s="15"/>
      <c r="CT181" s="15"/>
      <c r="CU181" s="15"/>
      <c r="CV181" s="15"/>
      <c r="CW181" s="15"/>
      <c r="CX181" s="15"/>
      <c r="CY181" s="15" t="s">
        <v>188</v>
      </c>
      <c r="CZ181" s="3"/>
      <c r="DA181" s="49" t="s">
        <v>643</v>
      </c>
      <c r="DC181" s="18">
        <f t="shared" si="6"/>
        <v>0</v>
      </c>
      <c r="DD181" s="18">
        <f t="shared" si="7"/>
        <v>7</v>
      </c>
      <c r="DE181" s="18">
        <f t="shared" si="8"/>
        <v>2000</v>
      </c>
    </row>
    <row r="182" spans="1:109" x14ac:dyDescent="0.25">
      <c r="A182" s="59" t="s">
        <v>1320</v>
      </c>
      <c r="B182" s="103">
        <v>41542</v>
      </c>
      <c r="C182" s="106" t="s">
        <v>1560</v>
      </c>
      <c r="D182" s="14" t="s">
        <v>612</v>
      </c>
      <c r="E182" s="15"/>
      <c r="F182" s="15"/>
      <c r="G182" s="15" t="s">
        <v>188</v>
      </c>
      <c r="H182" s="15"/>
      <c r="I182" s="15">
        <v>32</v>
      </c>
      <c r="J182" s="15" t="s">
        <v>189</v>
      </c>
      <c r="K182" s="15" t="s">
        <v>445</v>
      </c>
      <c r="L182" s="15" t="s">
        <v>644</v>
      </c>
      <c r="M182" s="50" t="s">
        <v>1070</v>
      </c>
      <c r="N182" s="15" t="s">
        <v>1089</v>
      </c>
      <c r="O182" s="15">
        <v>15</v>
      </c>
      <c r="P182" s="15"/>
      <c r="Q182" s="15"/>
      <c r="R182" s="15"/>
      <c r="S182" s="15" t="s">
        <v>188</v>
      </c>
      <c r="T182" s="15"/>
      <c r="U182" s="15" t="s">
        <v>188</v>
      </c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>
        <v>2003</v>
      </c>
      <c r="AI182" s="1">
        <v>648717</v>
      </c>
      <c r="AJ182" s="15"/>
      <c r="AK182" s="15"/>
      <c r="AL182" s="15" t="s">
        <v>188</v>
      </c>
      <c r="AM182" s="15"/>
      <c r="AN182" s="15"/>
      <c r="AO182" s="15" t="s">
        <v>188</v>
      </c>
      <c r="AP182" s="15"/>
      <c r="AQ182" s="15"/>
      <c r="AR182" s="15"/>
      <c r="AS182" s="15"/>
      <c r="AT182" s="15" t="s">
        <v>193</v>
      </c>
      <c r="AU182" s="1">
        <v>12500</v>
      </c>
      <c r="AV182" s="48">
        <v>0</v>
      </c>
      <c r="AW182" s="15">
        <v>2.9</v>
      </c>
      <c r="AX182" s="15">
        <v>2.4</v>
      </c>
      <c r="AY182" s="15">
        <v>3</v>
      </c>
      <c r="AZ182" s="15">
        <v>1100</v>
      </c>
      <c r="BA182" s="15">
        <v>3000</v>
      </c>
      <c r="BB182" s="15" t="s">
        <v>188</v>
      </c>
      <c r="BC182" s="15" t="s">
        <v>188</v>
      </c>
      <c r="BD182" s="15" t="s">
        <v>199</v>
      </c>
      <c r="BE182" s="1">
        <v>25000</v>
      </c>
      <c r="BF182" s="1">
        <v>200000</v>
      </c>
      <c r="BG182" s="1">
        <v>25000</v>
      </c>
      <c r="BH182" s="1">
        <v>200000</v>
      </c>
      <c r="BI182" s="1" t="s">
        <v>193</v>
      </c>
      <c r="BJ182" s="15"/>
      <c r="BK182" s="15"/>
      <c r="BL182" s="15"/>
      <c r="BM182" s="15"/>
      <c r="BN182" s="15"/>
      <c r="BO182" s="15"/>
      <c r="BP182" s="15"/>
      <c r="BQ182" s="15"/>
      <c r="BR182" s="15"/>
      <c r="BS182" s="2" t="s">
        <v>645</v>
      </c>
      <c r="BT182" s="15"/>
      <c r="BU182" s="15" t="s">
        <v>188</v>
      </c>
      <c r="BV182" s="15"/>
      <c r="BW182" s="15"/>
      <c r="BX182" s="15">
        <v>2</v>
      </c>
      <c r="BY182" s="15">
        <v>3</v>
      </c>
      <c r="BZ182" s="15">
        <v>1</v>
      </c>
      <c r="CA182" s="15"/>
      <c r="CB182" s="15" t="s">
        <v>188</v>
      </c>
      <c r="CC182" s="15"/>
      <c r="CD182" s="15"/>
      <c r="CE182" s="15"/>
      <c r="CF182" s="15"/>
      <c r="CG182" s="15"/>
      <c r="CH182" s="15"/>
      <c r="CI182" s="15"/>
      <c r="CJ182" s="15"/>
      <c r="CK182" s="15" t="s">
        <v>188</v>
      </c>
      <c r="CL182" s="15"/>
      <c r="CM182" s="15"/>
      <c r="CN182" s="15"/>
      <c r="CO182" s="15"/>
      <c r="CP182" s="15" t="s">
        <v>193</v>
      </c>
      <c r="CQ182" s="15" t="s">
        <v>632</v>
      </c>
      <c r="CR182" s="15" t="s">
        <v>188</v>
      </c>
      <c r="CS182" s="15"/>
      <c r="CT182" s="15"/>
      <c r="CU182" s="15"/>
      <c r="CV182" s="15"/>
      <c r="CW182" s="15"/>
      <c r="CX182" s="15" t="s">
        <v>188</v>
      </c>
      <c r="CY182" s="15" t="s">
        <v>188</v>
      </c>
      <c r="CZ182" s="3"/>
      <c r="DA182" s="49"/>
      <c r="DC182" s="18">
        <f t="shared" si="6"/>
        <v>0</v>
      </c>
      <c r="DD182" s="18">
        <f t="shared" si="7"/>
        <v>3</v>
      </c>
      <c r="DE182" s="18">
        <f t="shared" si="8"/>
        <v>2003</v>
      </c>
    </row>
    <row r="183" spans="1:109" x14ac:dyDescent="0.25">
      <c r="A183" s="59" t="s">
        <v>1320</v>
      </c>
      <c r="B183" s="103">
        <v>41542</v>
      </c>
      <c r="C183" s="106" t="s">
        <v>1560</v>
      </c>
      <c r="D183" s="14" t="s">
        <v>613</v>
      </c>
      <c r="E183" s="15" t="s">
        <v>188</v>
      </c>
      <c r="F183" s="15"/>
      <c r="G183" s="15"/>
      <c r="H183" s="15"/>
      <c r="I183" s="15">
        <v>28</v>
      </c>
      <c r="J183" s="15" t="s">
        <v>189</v>
      </c>
      <c r="K183" s="15" t="s">
        <v>190</v>
      </c>
      <c r="L183" s="15" t="s">
        <v>646</v>
      </c>
      <c r="M183" s="50" t="s">
        <v>1071</v>
      </c>
      <c r="N183" s="15" t="s">
        <v>1089</v>
      </c>
      <c r="O183" s="15">
        <v>6</v>
      </c>
      <c r="P183" s="15"/>
      <c r="Q183" s="15" t="s">
        <v>188</v>
      </c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 t="s">
        <v>188</v>
      </c>
      <c r="AG183" s="15"/>
      <c r="AH183" s="15">
        <v>2009</v>
      </c>
      <c r="AI183" s="1">
        <v>361234</v>
      </c>
      <c r="AJ183" s="15"/>
      <c r="AK183" s="15"/>
      <c r="AL183" s="15" t="s">
        <v>188</v>
      </c>
      <c r="AM183" s="15"/>
      <c r="AN183" s="15"/>
      <c r="AO183" s="15"/>
      <c r="AP183" s="15" t="s">
        <v>188</v>
      </c>
      <c r="AQ183" s="15"/>
      <c r="AR183" s="15"/>
      <c r="AS183" s="15"/>
      <c r="AT183" s="15" t="s">
        <v>322</v>
      </c>
      <c r="AU183" s="1">
        <v>8000</v>
      </c>
      <c r="AV183" s="48">
        <v>0</v>
      </c>
      <c r="AW183" s="15">
        <v>3.7</v>
      </c>
      <c r="AX183" s="15">
        <v>3.1</v>
      </c>
      <c r="AY183" s="15">
        <v>2</v>
      </c>
      <c r="AZ183" s="15">
        <v>510</v>
      </c>
      <c r="BA183" s="15">
        <v>1800</v>
      </c>
      <c r="BB183" s="15" t="s">
        <v>188</v>
      </c>
      <c r="BC183" s="15" t="s">
        <v>199</v>
      </c>
      <c r="BD183" s="15" t="s">
        <v>199</v>
      </c>
      <c r="BE183" s="1">
        <v>24000</v>
      </c>
      <c r="BF183" s="1" t="s">
        <v>193</v>
      </c>
      <c r="BG183" s="1">
        <v>24000</v>
      </c>
      <c r="BH183" s="1">
        <v>120000</v>
      </c>
      <c r="BI183" s="1" t="s">
        <v>193</v>
      </c>
      <c r="BJ183" s="15"/>
      <c r="BK183" s="15"/>
      <c r="BL183" s="15"/>
      <c r="BM183" s="15"/>
      <c r="BN183" s="15"/>
      <c r="BO183" s="15" t="s">
        <v>188</v>
      </c>
      <c r="BP183" s="15"/>
      <c r="BQ183" s="15"/>
      <c r="BR183" s="15"/>
      <c r="BS183" s="2"/>
      <c r="BT183" s="15"/>
      <c r="BU183" s="15" t="s">
        <v>188</v>
      </c>
      <c r="BV183" s="15"/>
      <c r="BW183" s="15"/>
      <c r="BX183" s="15">
        <v>3</v>
      </c>
      <c r="BY183" s="15">
        <v>2</v>
      </c>
      <c r="BZ183" s="15">
        <v>1</v>
      </c>
      <c r="CA183" s="15"/>
      <c r="CB183" s="15" t="s">
        <v>188</v>
      </c>
      <c r="CC183" s="15"/>
      <c r="CD183" s="15"/>
      <c r="CE183" s="15"/>
      <c r="CF183" s="15"/>
      <c r="CG183" s="15"/>
      <c r="CH183" s="15"/>
      <c r="CI183" s="15"/>
      <c r="CJ183" s="15"/>
      <c r="CK183" s="15" t="s">
        <v>188</v>
      </c>
      <c r="CL183" s="15"/>
      <c r="CM183" s="15"/>
      <c r="CN183" s="15"/>
      <c r="CO183" s="15"/>
      <c r="CP183" s="15" t="s">
        <v>193</v>
      </c>
      <c r="CQ183" s="15" t="s">
        <v>632</v>
      </c>
      <c r="CR183" s="15" t="s">
        <v>188</v>
      </c>
      <c r="CS183" s="15"/>
      <c r="CT183" s="15"/>
      <c r="CU183" s="15"/>
      <c r="CV183" s="15"/>
      <c r="CW183" s="15"/>
      <c r="CX183" s="15" t="s">
        <v>188</v>
      </c>
      <c r="CY183" s="15" t="s">
        <v>188</v>
      </c>
      <c r="CZ183" s="3"/>
      <c r="DA183" s="49" t="s">
        <v>647</v>
      </c>
      <c r="DC183" s="18">
        <f t="shared" si="6"/>
        <v>0</v>
      </c>
      <c r="DD183" s="18">
        <f t="shared" si="7"/>
        <v>1</v>
      </c>
      <c r="DE183" s="18">
        <f t="shared" si="8"/>
        <v>2009</v>
      </c>
    </row>
    <row r="184" spans="1:109" x14ac:dyDescent="0.25">
      <c r="A184" s="59" t="s">
        <v>1320</v>
      </c>
      <c r="B184" s="103">
        <v>41542</v>
      </c>
      <c r="C184" s="106" t="s">
        <v>1560</v>
      </c>
      <c r="D184" s="14" t="s">
        <v>614</v>
      </c>
      <c r="E184" s="15"/>
      <c r="F184" s="15"/>
      <c r="G184" s="15" t="s">
        <v>188</v>
      </c>
      <c r="H184" s="15"/>
      <c r="I184" s="15">
        <v>35</v>
      </c>
      <c r="J184" s="15" t="s">
        <v>189</v>
      </c>
      <c r="K184" s="15" t="s">
        <v>196</v>
      </c>
      <c r="L184" s="15" t="s">
        <v>648</v>
      </c>
      <c r="M184" s="50" t="s">
        <v>1072</v>
      </c>
      <c r="N184" s="15" t="s">
        <v>1089</v>
      </c>
      <c r="O184" s="15">
        <v>10</v>
      </c>
      <c r="P184" s="15"/>
      <c r="Q184" s="15"/>
      <c r="R184" s="15"/>
      <c r="S184" s="15" t="s">
        <v>188</v>
      </c>
      <c r="T184" s="15"/>
      <c r="U184" s="15"/>
      <c r="V184" s="15"/>
      <c r="W184" s="15"/>
      <c r="X184" s="15"/>
      <c r="Y184" s="15"/>
      <c r="Z184" s="15"/>
      <c r="AA184" s="15"/>
      <c r="AB184" s="15"/>
      <c r="AC184" s="15" t="s">
        <v>188</v>
      </c>
      <c r="AD184" s="15"/>
      <c r="AE184" s="15"/>
      <c r="AF184" s="15"/>
      <c r="AG184" s="15"/>
      <c r="AH184" s="15">
        <v>2007</v>
      </c>
      <c r="AI184" s="1">
        <v>298318</v>
      </c>
      <c r="AJ184" s="15"/>
      <c r="AK184" s="15"/>
      <c r="AL184" s="15" t="s">
        <v>188</v>
      </c>
      <c r="AM184" s="15"/>
      <c r="AN184" s="15"/>
      <c r="AO184" s="15"/>
      <c r="AP184" s="15" t="s">
        <v>188</v>
      </c>
      <c r="AQ184" s="15"/>
      <c r="AR184" s="15"/>
      <c r="AS184" s="15"/>
      <c r="AT184" s="15" t="s">
        <v>322</v>
      </c>
      <c r="AU184" s="1">
        <v>4000</v>
      </c>
      <c r="AV184" s="48">
        <v>0.5</v>
      </c>
      <c r="AW184" s="15">
        <v>2.6</v>
      </c>
      <c r="AX184" s="15">
        <v>2</v>
      </c>
      <c r="AY184" s="15">
        <v>2</v>
      </c>
      <c r="AZ184" s="15">
        <v>750</v>
      </c>
      <c r="BA184" s="15">
        <v>1800</v>
      </c>
      <c r="BB184" s="15" t="s">
        <v>199</v>
      </c>
      <c r="BC184" s="15" t="s">
        <v>199</v>
      </c>
      <c r="BD184" s="15" t="s">
        <v>199</v>
      </c>
      <c r="BE184" s="1">
        <v>20000</v>
      </c>
      <c r="BF184" s="1">
        <v>250000</v>
      </c>
      <c r="BG184" s="1">
        <v>20000</v>
      </c>
      <c r="BH184" s="1">
        <v>100000</v>
      </c>
      <c r="BI184" s="1" t="s">
        <v>193</v>
      </c>
      <c r="BJ184" s="15"/>
      <c r="BK184" s="15"/>
      <c r="BL184" s="15"/>
      <c r="BM184" s="15" t="s">
        <v>188</v>
      </c>
      <c r="BN184" s="15"/>
      <c r="BO184" s="15"/>
      <c r="BP184" s="15"/>
      <c r="BQ184" s="15"/>
      <c r="BR184" s="15"/>
      <c r="BS184" s="2"/>
      <c r="BT184" s="15" t="s">
        <v>188</v>
      </c>
      <c r="BU184" s="15"/>
      <c r="BV184" s="15"/>
      <c r="BW184" s="15"/>
      <c r="BX184" s="15">
        <v>2</v>
      </c>
      <c r="BY184" s="15">
        <v>3</v>
      </c>
      <c r="BZ184" s="15">
        <v>1</v>
      </c>
      <c r="CA184" s="15"/>
      <c r="CB184" s="15" t="s">
        <v>188</v>
      </c>
      <c r="CC184" s="15"/>
      <c r="CD184" s="15"/>
      <c r="CE184" s="15"/>
      <c r="CF184" s="15"/>
      <c r="CG184" s="15"/>
      <c r="CH184" s="15"/>
      <c r="CI184" s="15"/>
      <c r="CJ184" s="15"/>
      <c r="CK184" s="15" t="s">
        <v>188</v>
      </c>
      <c r="CL184" s="15"/>
      <c r="CM184" s="15"/>
      <c r="CN184" s="15"/>
      <c r="CO184" s="15"/>
      <c r="CP184" s="15" t="s">
        <v>193</v>
      </c>
      <c r="CQ184" s="15" t="s">
        <v>632</v>
      </c>
      <c r="CR184" s="15" t="s">
        <v>188</v>
      </c>
      <c r="CS184" s="15"/>
      <c r="CT184" s="15"/>
      <c r="CU184" s="15"/>
      <c r="CV184" s="15"/>
      <c r="CW184" s="15"/>
      <c r="CX184" s="15" t="s">
        <v>188</v>
      </c>
      <c r="CY184" s="15" t="s">
        <v>188</v>
      </c>
      <c r="CZ184" s="3"/>
      <c r="DA184" s="49" t="s">
        <v>649</v>
      </c>
      <c r="DC184" s="18">
        <f t="shared" si="6"/>
        <v>0</v>
      </c>
      <c r="DD184" s="18">
        <f t="shared" si="7"/>
        <v>3</v>
      </c>
      <c r="DE184" s="18">
        <f t="shared" si="8"/>
        <v>2007</v>
      </c>
    </row>
    <row r="185" spans="1:109" x14ac:dyDescent="0.25">
      <c r="A185" s="59" t="s">
        <v>1320</v>
      </c>
      <c r="B185" s="103">
        <v>41542</v>
      </c>
      <c r="C185" s="106" t="s">
        <v>1560</v>
      </c>
      <c r="D185" s="14" t="s">
        <v>615</v>
      </c>
      <c r="E185" s="15"/>
      <c r="F185" s="15" t="s">
        <v>188</v>
      </c>
      <c r="G185" s="15"/>
      <c r="H185" s="15"/>
      <c r="I185" s="15">
        <v>57</v>
      </c>
      <c r="J185" s="15" t="s">
        <v>189</v>
      </c>
      <c r="K185" s="15" t="s">
        <v>445</v>
      </c>
      <c r="L185" s="15" t="s">
        <v>642</v>
      </c>
      <c r="M185" s="50" t="s">
        <v>1069</v>
      </c>
      <c r="N185" s="15" t="s">
        <v>1089</v>
      </c>
      <c r="O185" s="15">
        <v>40</v>
      </c>
      <c r="P185" s="15"/>
      <c r="Q185" s="15"/>
      <c r="R185" s="15"/>
      <c r="S185" s="15" t="s">
        <v>188</v>
      </c>
      <c r="T185" s="15"/>
      <c r="U185" s="15" t="s">
        <v>188</v>
      </c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>
        <v>1996</v>
      </c>
      <c r="AI185" s="1">
        <v>1152317</v>
      </c>
      <c r="AJ185" s="15"/>
      <c r="AK185" s="15"/>
      <c r="AL185" s="15" t="s">
        <v>188</v>
      </c>
      <c r="AM185" s="15"/>
      <c r="AN185" s="15"/>
      <c r="AO185" s="15"/>
      <c r="AP185" s="15" t="s">
        <v>188</v>
      </c>
      <c r="AQ185" s="15"/>
      <c r="AR185" s="15"/>
      <c r="AS185" s="15"/>
      <c r="AT185" s="15" t="s">
        <v>322</v>
      </c>
      <c r="AU185" s="1">
        <v>10000</v>
      </c>
      <c r="AV185" s="48">
        <v>0</v>
      </c>
      <c r="AW185" s="15">
        <v>2.7</v>
      </c>
      <c r="AX185" s="15">
        <v>2.5</v>
      </c>
      <c r="AY185" s="15">
        <v>2</v>
      </c>
      <c r="AZ185" s="15">
        <v>1000</v>
      </c>
      <c r="BA185" s="15">
        <v>2800</v>
      </c>
      <c r="BB185" s="15" t="s">
        <v>188</v>
      </c>
      <c r="BC185" s="15" t="s">
        <v>188</v>
      </c>
      <c r="BD185" s="15" t="s">
        <v>199</v>
      </c>
      <c r="BE185" s="1">
        <v>20000</v>
      </c>
      <c r="BF185" s="1">
        <v>200000</v>
      </c>
      <c r="BG185" s="1">
        <v>20000</v>
      </c>
      <c r="BH185" s="1">
        <v>150000</v>
      </c>
      <c r="BI185" s="1" t="s">
        <v>193</v>
      </c>
      <c r="BJ185" s="15"/>
      <c r="BK185" s="15"/>
      <c r="BL185" s="15"/>
      <c r="BM185" s="15"/>
      <c r="BN185" s="15"/>
      <c r="BO185" s="15"/>
      <c r="BP185" s="15"/>
      <c r="BQ185" s="15"/>
      <c r="BR185" s="15"/>
      <c r="BS185" s="2" t="s">
        <v>314</v>
      </c>
      <c r="BT185" s="15"/>
      <c r="BU185" s="15"/>
      <c r="BV185" s="15" t="s">
        <v>188</v>
      </c>
      <c r="BW185" s="15"/>
      <c r="BX185" s="15">
        <v>2</v>
      </c>
      <c r="BY185" s="15">
        <v>4</v>
      </c>
      <c r="BZ185" s="15">
        <v>3</v>
      </c>
      <c r="CA185" s="15" t="s">
        <v>208</v>
      </c>
      <c r="CB185" s="15" t="s">
        <v>188</v>
      </c>
      <c r="CC185" s="15"/>
      <c r="CD185" s="15"/>
      <c r="CE185" s="15"/>
      <c r="CF185" s="15"/>
      <c r="CG185" s="15"/>
      <c r="CH185" s="15"/>
      <c r="CI185" s="15"/>
      <c r="CJ185" s="15"/>
      <c r="CK185" s="15" t="s">
        <v>188</v>
      </c>
      <c r="CL185" s="15"/>
      <c r="CM185" s="15"/>
      <c r="CN185" s="15"/>
      <c r="CO185" s="15"/>
      <c r="CP185" s="15" t="s">
        <v>193</v>
      </c>
      <c r="CQ185" s="15" t="s">
        <v>300</v>
      </c>
      <c r="CR185" s="15"/>
      <c r="CS185" s="15"/>
      <c r="CT185" s="15" t="s">
        <v>188</v>
      </c>
      <c r="CU185" s="15"/>
      <c r="CV185" s="15"/>
      <c r="CW185" s="15"/>
      <c r="CX185" s="15" t="s">
        <v>188</v>
      </c>
      <c r="CY185" s="15"/>
      <c r="CZ185" s="3"/>
      <c r="DA185" s="49" t="s">
        <v>651</v>
      </c>
      <c r="DC185" s="18">
        <f t="shared" si="6"/>
        <v>0</v>
      </c>
      <c r="DD185" s="18">
        <f t="shared" si="7"/>
        <v>2</v>
      </c>
      <c r="DE185" s="18">
        <f t="shared" si="8"/>
        <v>1996</v>
      </c>
    </row>
    <row r="186" spans="1:109" x14ac:dyDescent="0.25">
      <c r="A186" s="59" t="s">
        <v>1320</v>
      </c>
      <c r="B186" s="103">
        <v>41542</v>
      </c>
      <c r="C186" s="106" t="s">
        <v>1560</v>
      </c>
      <c r="D186" s="14" t="s">
        <v>616</v>
      </c>
      <c r="E186" s="15"/>
      <c r="F186" s="15"/>
      <c r="G186" s="15" t="s">
        <v>188</v>
      </c>
      <c r="H186" s="15"/>
      <c r="I186" s="15">
        <v>21</v>
      </c>
      <c r="J186" s="15" t="s">
        <v>189</v>
      </c>
      <c r="K186" s="15" t="s">
        <v>214</v>
      </c>
      <c r="L186" s="15" t="s">
        <v>648</v>
      </c>
      <c r="M186" s="50" t="s">
        <v>1072</v>
      </c>
      <c r="N186" s="15" t="s">
        <v>1089</v>
      </c>
      <c r="O186" s="15">
        <v>5</v>
      </c>
      <c r="P186" s="15"/>
      <c r="Q186" s="15" t="s">
        <v>188</v>
      </c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 t="s">
        <v>188</v>
      </c>
      <c r="AE186" s="15"/>
      <c r="AF186" s="15"/>
      <c r="AG186" s="15"/>
      <c r="AH186" s="15">
        <v>2006</v>
      </c>
      <c r="AI186" s="1">
        <v>514488</v>
      </c>
      <c r="AJ186" s="15"/>
      <c r="AK186" s="15"/>
      <c r="AL186" s="15" t="s">
        <v>188</v>
      </c>
      <c r="AM186" s="15"/>
      <c r="AN186" s="15"/>
      <c r="AO186" s="15" t="s">
        <v>188</v>
      </c>
      <c r="AP186" s="15"/>
      <c r="AQ186" s="15"/>
      <c r="AR186" s="15"/>
      <c r="AS186" s="15"/>
      <c r="AT186" s="15" t="s">
        <v>407</v>
      </c>
      <c r="AU186" s="1">
        <v>8000</v>
      </c>
      <c r="AV186" s="48">
        <v>0.2</v>
      </c>
      <c r="AW186" s="15">
        <v>4.3</v>
      </c>
      <c r="AX186" s="15">
        <v>3.7</v>
      </c>
      <c r="AY186" s="15">
        <v>2</v>
      </c>
      <c r="AZ186" s="15">
        <v>625</v>
      </c>
      <c r="BA186" s="15">
        <v>2500</v>
      </c>
      <c r="BB186" s="15" t="s">
        <v>199</v>
      </c>
      <c r="BC186" s="15" t="s">
        <v>199</v>
      </c>
      <c r="BD186" s="15" t="s">
        <v>199</v>
      </c>
      <c r="BE186" s="1">
        <v>24000</v>
      </c>
      <c r="BF186" s="1">
        <v>180000</v>
      </c>
      <c r="BG186" s="1">
        <v>24000</v>
      </c>
      <c r="BH186" s="1">
        <v>180000</v>
      </c>
      <c r="BI186" s="1" t="s">
        <v>193</v>
      </c>
      <c r="BJ186" s="15" t="s">
        <v>188</v>
      </c>
      <c r="BK186" s="15"/>
      <c r="BL186" s="15"/>
      <c r="BM186" s="15"/>
      <c r="BN186" s="15"/>
      <c r="BO186" s="15" t="s">
        <v>188</v>
      </c>
      <c r="BP186" s="15"/>
      <c r="BQ186" s="15"/>
      <c r="BR186" s="15"/>
      <c r="BS186" s="2"/>
      <c r="BT186" s="15"/>
      <c r="BU186" s="15" t="s">
        <v>188</v>
      </c>
      <c r="BV186" s="15"/>
      <c r="BW186" s="15"/>
      <c r="BX186" s="15">
        <v>3</v>
      </c>
      <c r="BY186" s="15">
        <v>1</v>
      </c>
      <c r="BZ186" s="15">
        <v>2</v>
      </c>
      <c r="CA186" s="15"/>
      <c r="CB186" s="15" t="s">
        <v>188</v>
      </c>
      <c r="CC186" s="15"/>
      <c r="CD186" s="15"/>
      <c r="CE186" s="15"/>
      <c r="CF186" s="15"/>
      <c r="CG186" s="15"/>
      <c r="CH186" s="15"/>
      <c r="CI186" s="15"/>
      <c r="CJ186" s="15"/>
      <c r="CK186" s="15" t="s">
        <v>188</v>
      </c>
      <c r="CL186" s="15"/>
      <c r="CM186" s="15"/>
      <c r="CN186" s="15"/>
      <c r="CO186" s="15"/>
      <c r="CP186" s="15" t="s">
        <v>193</v>
      </c>
      <c r="CQ186" s="15" t="s">
        <v>632</v>
      </c>
      <c r="CR186" s="15" t="s">
        <v>188</v>
      </c>
      <c r="CS186" s="15"/>
      <c r="CT186" s="15"/>
      <c r="CU186" s="15"/>
      <c r="CV186" s="15"/>
      <c r="CW186" s="15"/>
      <c r="CX186" s="15" t="s">
        <v>188</v>
      </c>
      <c r="CY186" s="15"/>
      <c r="CZ186" s="3"/>
      <c r="DA186" s="49" t="s">
        <v>652</v>
      </c>
      <c r="DC186" s="18">
        <f t="shared" si="6"/>
        <v>0</v>
      </c>
      <c r="DD186" s="18">
        <f t="shared" si="7"/>
        <v>3</v>
      </c>
      <c r="DE186" s="18">
        <f t="shared" si="8"/>
        <v>2006</v>
      </c>
    </row>
    <row r="187" spans="1:109" x14ac:dyDescent="0.25">
      <c r="A187" s="59" t="s">
        <v>1320</v>
      </c>
      <c r="B187" s="103">
        <v>41543</v>
      </c>
      <c r="C187" s="105" t="s">
        <v>1561</v>
      </c>
      <c r="D187" s="14" t="s">
        <v>617</v>
      </c>
      <c r="E187" s="15"/>
      <c r="F187" s="15"/>
      <c r="G187" s="15" t="s">
        <v>188</v>
      </c>
      <c r="H187" s="15"/>
      <c r="I187" s="15">
        <v>47</v>
      </c>
      <c r="J187" s="15" t="s">
        <v>189</v>
      </c>
      <c r="K187" s="15" t="s">
        <v>240</v>
      </c>
      <c r="L187" s="15" t="s">
        <v>653</v>
      </c>
      <c r="M187" s="50" t="s">
        <v>1073</v>
      </c>
      <c r="N187" s="15" t="s">
        <v>1089</v>
      </c>
      <c r="O187" s="15">
        <v>20</v>
      </c>
      <c r="P187" s="15"/>
      <c r="Q187" s="15"/>
      <c r="R187" s="15"/>
      <c r="S187" s="15" t="s">
        <v>188</v>
      </c>
      <c r="T187" s="15"/>
      <c r="U187" s="15"/>
      <c r="V187" s="15"/>
      <c r="W187" s="15"/>
      <c r="X187" s="15"/>
      <c r="Y187" s="15" t="s">
        <v>188</v>
      </c>
      <c r="Z187" s="15"/>
      <c r="AA187" s="15"/>
      <c r="AB187" s="15"/>
      <c r="AC187" s="15"/>
      <c r="AD187" s="15"/>
      <c r="AE187" s="15"/>
      <c r="AF187" s="15"/>
      <c r="AG187" s="15"/>
      <c r="AH187" s="15">
        <v>2008</v>
      </c>
      <c r="AI187" s="1">
        <v>603826</v>
      </c>
      <c r="AJ187" s="15"/>
      <c r="AK187" s="15"/>
      <c r="AL187" s="15" t="s">
        <v>188</v>
      </c>
      <c r="AM187" s="15"/>
      <c r="AN187" s="15"/>
      <c r="AO187" s="15"/>
      <c r="AP187" s="15" t="s">
        <v>188</v>
      </c>
      <c r="AQ187" s="15"/>
      <c r="AR187" s="15"/>
      <c r="AS187" s="15"/>
      <c r="AT187" s="15" t="s">
        <v>322</v>
      </c>
      <c r="AU187" s="1">
        <v>10000</v>
      </c>
      <c r="AV187" s="48">
        <v>0.5</v>
      </c>
      <c r="AW187" s="15">
        <v>2.9</v>
      </c>
      <c r="AX187" s="15">
        <v>2.5</v>
      </c>
      <c r="AY187" s="15">
        <v>2</v>
      </c>
      <c r="AZ187" s="15">
        <v>740</v>
      </c>
      <c r="BA187" s="15">
        <v>2000</v>
      </c>
      <c r="BB187" s="15" t="s">
        <v>188</v>
      </c>
      <c r="BC187" s="15" t="s">
        <v>188</v>
      </c>
      <c r="BD187" s="15" t="s">
        <v>199</v>
      </c>
      <c r="BE187" s="1">
        <v>25000</v>
      </c>
      <c r="BF187" s="1">
        <v>100000</v>
      </c>
      <c r="BG187" s="1">
        <v>25000</v>
      </c>
      <c r="BH187" s="1">
        <v>100000</v>
      </c>
      <c r="BI187" s="1" t="s">
        <v>193</v>
      </c>
      <c r="BJ187" s="15"/>
      <c r="BK187" s="15"/>
      <c r="BL187" s="15" t="s">
        <v>188</v>
      </c>
      <c r="BM187" s="15"/>
      <c r="BN187" s="15"/>
      <c r="BO187" s="15"/>
      <c r="BP187" s="15"/>
      <c r="BQ187" s="15"/>
      <c r="BR187" s="15" t="s">
        <v>188</v>
      </c>
      <c r="BS187" s="2"/>
      <c r="BT187" s="15"/>
      <c r="BU187" s="15"/>
      <c r="BV187" s="15" t="s">
        <v>188</v>
      </c>
      <c r="BW187" s="15"/>
      <c r="BX187" s="15">
        <v>1</v>
      </c>
      <c r="BY187" s="15">
        <v>3</v>
      </c>
      <c r="BZ187" s="15">
        <v>2</v>
      </c>
      <c r="CA187" s="15"/>
      <c r="CB187" s="15"/>
      <c r="CC187" s="15" t="s">
        <v>188</v>
      </c>
      <c r="CD187" s="15" t="s">
        <v>188</v>
      </c>
      <c r="CE187" s="15"/>
      <c r="CF187" s="15"/>
      <c r="CG187" s="15"/>
      <c r="CH187" s="15" t="s">
        <v>188</v>
      </c>
      <c r="CI187" s="15"/>
      <c r="CJ187" s="15" t="s">
        <v>654</v>
      </c>
      <c r="CK187" s="15" t="s">
        <v>188</v>
      </c>
      <c r="CL187" s="15"/>
      <c r="CM187" s="15"/>
      <c r="CN187" s="15"/>
      <c r="CO187" s="15"/>
      <c r="CP187" s="15" t="s">
        <v>193</v>
      </c>
      <c r="CQ187" s="15" t="s">
        <v>632</v>
      </c>
      <c r="CR187" s="15"/>
      <c r="CS187" s="15" t="s">
        <v>188</v>
      </c>
      <c r="CT187" s="15"/>
      <c r="CU187" s="15" t="s">
        <v>655</v>
      </c>
      <c r="CV187" s="15"/>
      <c r="CW187" s="15"/>
      <c r="CX187" s="15"/>
      <c r="CY187" s="15" t="s">
        <v>188</v>
      </c>
      <c r="CZ187" s="3"/>
      <c r="DA187" s="49" t="s">
        <v>649</v>
      </c>
      <c r="DC187" s="18">
        <f t="shared" si="6"/>
        <v>0</v>
      </c>
      <c r="DD187" s="18">
        <f t="shared" si="7"/>
        <v>3</v>
      </c>
      <c r="DE187" s="18">
        <f t="shared" si="8"/>
        <v>2008</v>
      </c>
    </row>
    <row r="188" spans="1:109" x14ac:dyDescent="0.25">
      <c r="A188" s="59" t="s">
        <v>1320</v>
      </c>
      <c r="B188" s="103">
        <v>41543</v>
      </c>
      <c r="C188" s="105" t="s">
        <v>1561</v>
      </c>
      <c r="D188" s="14" t="s">
        <v>618</v>
      </c>
      <c r="E188" s="15"/>
      <c r="F188" s="15"/>
      <c r="G188" s="15"/>
      <c r="H188" s="15" t="s">
        <v>188</v>
      </c>
      <c r="I188" s="15">
        <v>52</v>
      </c>
      <c r="J188" s="15" t="s">
        <v>189</v>
      </c>
      <c r="K188" s="15" t="s">
        <v>196</v>
      </c>
      <c r="L188" s="15" t="s">
        <v>656</v>
      </c>
      <c r="M188" s="50" t="s">
        <v>1074</v>
      </c>
      <c r="N188" s="15" t="s">
        <v>1142</v>
      </c>
      <c r="O188" s="15">
        <v>30</v>
      </c>
      <c r="P188" s="15"/>
      <c r="Q188" s="15"/>
      <c r="R188" s="15"/>
      <c r="S188" s="15" t="s">
        <v>188</v>
      </c>
      <c r="T188" s="15"/>
      <c r="U188" s="15"/>
      <c r="V188" s="15"/>
      <c r="W188" s="15"/>
      <c r="X188" s="15"/>
      <c r="Y188" s="15" t="s">
        <v>188</v>
      </c>
      <c r="Z188" s="15"/>
      <c r="AA188" s="15"/>
      <c r="AB188" s="15"/>
      <c r="AC188" s="15"/>
      <c r="AD188" s="15"/>
      <c r="AE188" s="15"/>
      <c r="AF188" s="15"/>
      <c r="AG188" s="15"/>
      <c r="AH188" s="15">
        <v>2007</v>
      </c>
      <c r="AI188" s="1">
        <v>580175</v>
      </c>
      <c r="AJ188" s="15"/>
      <c r="AK188" s="15"/>
      <c r="AL188" s="15" t="s">
        <v>188</v>
      </c>
      <c r="AM188" s="15"/>
      <c r="AN188" s="15"/>
      <c r="AO188" s="15"/>
      <c r="AP188" s="15" t="s">
        <v>188</v>
      </c>
      <c r="AQ188" s="15"/>
      <c r="AR188" s="15"/>
      <c r="AS188" s="15"/>
      <c r="AT188" s="15" t="s">
        <v>407</v>
      </c>
      <c r="AU188" s="1">
        <v>12000</v>
      </c>
      <c r="AV188" s="48">
        <v>0.5</v>
      </c>
      <c r="AW188" s="15">
        <v>2.75</v>
      </c>
      <c r="AX188" s="15">
        <v>2.5</v>
      </c>
      <c r="AY188" s="15">
        <v>2</v>
      </c>
      <c r="AZ188" s="15">
        <v>1000</v>
      </c>
      <c r="BA188" s="15">
        <v>2800</v>
      </c>
      <c r="BB188" s="15" t="s">
        <v>188</v>
      </c>
      <c r="BC188" s="15" t="s">
        <v>188</v>
      </c>
      <c r="BD188" s="15" t="s">
        <v>199</v>
      </c>
      <c r="BE188" s="1">
        <v>24000</v>
      </c>
      <c r="BF188" s="1">
        <v>120000</v>
      </c>
      <c r="BG188" s="1">
        <v>24000</v>
      </c>
      <c r="BH188" s="1">
        <v>120000</v>
      </c>
      <c r="BI188" s="1" t="s">
        <v>193</v>
      </c>
      <c r="BJ188" s="15"/>
      <c r="BK188" s="15"/>
      <c r="BL188" s="15"/>
      <c r="BM188" s="15"/>
      <c r="BN188" s="15"/>
      <c r="BO188" s="15"/>
      <c r="BP188" s="15"/>
      <c r="BQ188" s="15"/>
      <c r="BR188" s="15" t="s">
        <v>188</v>
      </c>
      <c r="BS188" s="2"/>
      <c r="BT188" s="15"/>
      <c r="BU188" s="15"/>
      <c r="BV188" s="15" t="s">
        <v>188</v>
      </c>
      <c r="BW188" s="15"/>
      <c r="BX188" s="15">
        <v>1</v>
      </c>
      <c r="BY188" s="15">
        <v>3</v>
      </c>
      <c r="BZ188" s="15">
        <v>2</v>
      </c>
      <c r="CA188" s="15"/>
      <c r="CB188" s="15" t="s">
        <v>188</v>
      </c>
      <c r="CC188" s="15"/>
      <c r="CD188" s="15"/>
      <c r="CE188" s="15"/>
      <c r="CF188" s="15"/>
      <c r="CG188" s="15"/>
      <c r="CH188" s="15"/>
      <c r="CI188" s="15"/>
      <c r="CJ188" s="15"/>
      <c r="CK188" s="15" t="s">
        <v>188</v>
      </c>
      <c r="CL188" s="15"/>
      <c r="CM188" s="15"/>
      <c r="CN188" s="15"/>
      <c r="CO188" s="15"/>
      <c r="CP188" s="15" t="s">
        <v>193</v>
      </c>
      <c r="CQ188" s="15" t="s">
        <v>209</v>
      </c>
      <c r="CR188" s="15" t="s">
        <v>188</v>
      </c>
      <c r="CS188" s="15"/>
      <c r="CT188" s="15"/>
      <c r="CU188" s="15"/>
      <c r="CV188" s="15"/>
      <c r="CW188" s="15"/>
      <c r="CX188" s="15"/>
      <c r="CY188" s="15" t="s">
        <v>188</v>
      </c>
      <c r="CZ188" s="3"/>
      <c r="DA188" s="49" t="s">
        <v>657</v>
      </c>
      <c r="DC188" s="18">
        <f t="shared" si="6"/>
        <v>0</v>
      </c>
      <c r="DD188" s="18">
        <f t="shared" si="7"/>
        <v>7</v>
      </c>
      <c r="DE188" s="18">
        <f t="shared" si="8"/>
        <v>2007</v>
      </c>
    </row>
    <row r="189" spans="1:109" x14ac:dyDescent="0.25">
      <c r="A189" s="59" t="s">
        <v>1320</v>
      </c>
      <c r="B189" s="103">
        <v>41543</v>
      </c>
      <c r="C189" s="105" t="s">
        <v>1561</v>
      </c>
      <c r="D189" s="14" t="s">
        <v>619</v>
      </c>
      <c r="E189" s="15"/>
      <c r="F189" s="15" t="s">
        <v>188</v>
      </c>
      <c r="G189" s="15"/>
      <c r="H189" s="15"/>
      <c r="I189" s="15">
        <v>23</v>
      </c>
      <c r="J189" s="15" t="s">
        <v>189</v>
      </c>
      <c r="K189" s="15" t="s">
        <v>190</v>
      </c>
      <c r="L189" s="15" t="s">
        <v>644</v>
      </c>
      <c r="M189" s="50" t="s">
        <v>1070</v>
      </c>
      <c r="N189" s="15" t="s">
        <v>1089</v>
      </c>
      <c r="O189" s="15">
        <v>3</v>
      </c>
      <c r="P189" s="15"/>
      <c r="Q189" s="15"/>
      <c r="R189" s="15"/>
      <c r="S189" s="15" t="s">
        <v>188</v>
      </c>
      <c r="T189" s="15"/>
      <c r="U189" s="15"/>
      <c r="V189" s="15"/>
      <c r="W189" s="15"/>
      <c r="X189" s="15"/>
      <c r="Y189" s="15" t="s">
        <v>188</v>
      </c>
      <c r="Z189" s="15"/>
      <c r="AA189" s="15"/>
      <c r="AB189" s="15"/>
      <c r="AC189" s="15"/>
      <c r="AD189" s="15"/>
      <c r="AE189" s="15"/>
      <c r="AF189" s="15"/>
      <c r="AG189" s="15"/>
      <c r="AH189" s="15">
        <v>2007</v>
      </c>
      <c r="AI189" s="1">
        <v>615720</v>
      </c>
      <c r="AJ189" s="15"/>
      <c r="AK189" s="15"/>
      <c r="AL189" s="15" t="s">
        <v>188</v>
      </c>
      <c r="AM189" s="15"/>
      <c r="AN189" s="15"/>
      <c r="AO189" s="15" t="s">
        <v>188</v>
      </c>
      <c r="AP189" s="15"/>
      <c r="AQ189" s="15"/>
      <c r="AR189" s="15"/>
      <c r="AS189" s="15"/>
      <c r="AT189" s="9" t="s">
        <v>266</v>
      </c>
      <c r="AU189" s="1">
        <v>10000</v>
      </c>
      <c r="AV189" s="48">
        <v>0.5</v>
      </c>
      <c r="AW189" s="15">
        <v>2.8</v>
      </c>
      <c r="AX189" s="15">
        <v>2.4</v>
      </c>
      <c r="AY189" s="15">
        <v>2</v>
      </c>
      <c r="AZ189" s="15">
        <v>760</v>
      </c>
      <c r="BA189" s="15">
        <v>2000</v>
      </c>
      <c r="BB189" s="15" t="s">
        <v>188</v>
      </c>
      <c r="BC189" s="15" t="s">
        <v>188</v>
      </c>
      <c r="BD189" s="15" t="s">
        <v>199</v>
      </c>
      <c r="BE189" s="1">
        <v>25000</v>
      </c>
      <c r="BF189" s="1">
        <v>200000</v>
      </c>
      <c r="BG189" s="1">
        <v>25000</v>
      </c>
      <c r="BH189" s="1">
        <v>100000</v>
      </c>
      <c r="BI189" s="1" t="s">
        <v>193</v>
      </c>
      <c r="BJ189" s="15"/>
      <c r="BK189" s="15"/>
      <c r="BL189" s="15" t="s">
        <v>188</v>
      </c>
      <c r="BM189" s="15"/>
      <c r="BN189" s="15"/>
      <c r="BO189" s="15"/>
      <c r="BP189" s="15"/>
      <c r="BQ189" s="15"/>
      <c r="BR189" s="15" t="s">
        <v>188</v>
      </c>
      <c r="BS189" s="2"/>
      <c r="BT189" s="15"/>
      <c r="BU189" s="15"/>
      <c r="BV189" s="15" t="s">
        <v>188</v>
      </c>
      <c r="BW189" s="15"/>
      <c r="BX189" s="15">
        <v>1</v>
      </c>
      <c r="BY189" s="15">
        <v>3</v>
      </c>
      <c r="BZ189" s="15">
        <v>2</v>
      </c>
      <c r="CA189" s="15"/>
      <c r="CB189" s="15" t="s">
        <v>188</v>
      </c>
      <c r="CC189" s="15"/>
      <c r="CD189" s="15"/>
      <c r="CE189" s="15"/>
      <c r="CF189" s="15"/>
      <c r="CG189" s="15"/>
      <c r="CH189" s="15"/>
      <c r="CI189" s="15"/>
      <c r="CJ189" s="15"/>
      <c r="CK189" s="15" t="s">
        <v>188</v>
      </c>
      <c r="CL189" s="15"/>
      <c r="CM189" s="15"/>
      <c r="CN189" s="15"/>
      <c r="CO189" s="15"/>
      <c r="CP189" s="15" t="s">
        <v>193</v>
      </c>
      <c r="CQ189" s="15" t="s">
        <v>632</v>
      </c>
      <c r="CR189" s="15"/>
      <c r="CS189" s="15"/>
      <c r="CT189" s="15" t="s">
        <v>188</v>
      </c>
      <c r="CU189" s="15"/>
      <c r="CV189" s="15"/>
      <c r="CW189" s="15"/>
      <c r="CX189" s="15" t="s">
        <v>188</v>
      </c>
      <c r="CY189" s="15"/>
      <c r="CZ189" s="3"/>
      <c r="DA189" s="49" t="s">
        <v>658</v>
      </c>
      <c r="DC189" s="18">
        <f t="shared" si="6"/>
        <v>0</v>
      </c>
      <c r="DD189" s="18">
        <f t="shared" si="7"/>
        <v>2</v>
      </c>
      <c r="DE189" s="18">
        <f t="shared" si="8"/>
        <v>2007</v>
      </c>
    </row>
    <row r="190" spans="1:109" x14ac:dyDescent="0.25">
      <c r="A190" s="59" t="s">
        <v>1320</v>
      </c>
      <c r="B190" s="103">
        <v>41543</v>
      </c>
      <c r="C190" s="105" t="s">
        <v>1561</v>
      </c>
      <c r="D190" s="14" t="s">
        <v>620</v>
      </c>
      <c r="E190" s="15"/>
      <c r="F190" s="15"/>
      <c r="G190" s="15" t="s">
        <v>188</v>
      </c>
      <c r="H190" s="15"/>
      <c r="I190" s="15">
        <v>36</v>
      </c>
      <c r="J190" s="15" t="s">
        <v>189</v>
      </c>
      <c r="K190" s="15" t="s">
        <v>445</v>
      </c>
      <c r="L190" s="15" t="s">
        <v>659</v>
      </c>
      <c r="M190" s="50" t="s">
        <v>1075</v>
      </c>
      <c r="N190" s="15" t="s">
        <v>1089</v>
      </c>
      <c r="O190" s="15">
        <v>18</v>
      </c>
      <c r="P190" s="15"/>
      <c r="Q190" s="15"/>
      <c r="R190" s="15"/>
      <c r="S190" s="15" t="s">
        <v>188</v>
      </c>
      <c r="T190" s="15"/>
      <c r="U190" s="15"/>
      <c r="V190" s="15"/>
      <c r="W190" s="15"/>
      <c r="X190" s="15"/>
      <c r="Y190" s="15" t="s">
        <v>188</v>
      </c>
      <c r="Z190" s="15"/>
      <c r="AA190" s="15"/>
      <c r="AB190" s="15"/>
      <c r="AC190" s="15"/>
      <c r="AD190" s="15"/>
      <c r="AE190" s="15"/>
      <c r="AF190" s="15"/>
      <c r="AG190" s="15"/>
      <c r="AH190" s="15">
        <v>2005</v>
      </c>
      <c r="AI190" s="1">
        <v>713384</v>
      </c>
      <c r="AJ190" s="15"/>
      <c r="AK190" s="15"/>
      <c r="AL190" s="15" t="s">
        <v>188</v>
      </c>
      <c r="AM190" s="15"/>
      <c r="AN190" s="15"/>
      <c r="AO190" s="15"/>
      <c r="AP190" s="15" t="s">
        <v>188</v>
      </c>
      <c r="AQ190" s="15"/>
      <c r="AR190" s="15"/>
      <c r="AS190" s="15"/>
      <c r="AT190" s="15" t="s">
        <v>322</v>
      </c>
      <c r="AU190" s="1">
        <v>8000</v>
      </c>
      <c r="AV190" s="48">
        <v>0.5</v>
      </c>
      <c r="AW190" s="15">
        <v>2.8</v>
      </c>
      <c r="AX190" s="15">
        <v>2.4</v>
      </c>
      <c r="AY190" s="15">
        <v>2</v>
      </c>
      <c r="AZ190" s="15">
        <v>770</v>
      </c>
      <c r="BA190" s="15">
        <v>2000</v>
      </c>
      <c r="BB190" s="15" t="s">
        <v>188</v>
      </c>
      <c r="BC190" s="15" t="s">
        <v>188</v>
      </c>
      <c r="BD190" s="15" t="s">
        <v>199</v>
      </c>
      <c r="BE190" s="1">
        <v>16000</v>
      </c>
      <c r="BF190" s="1" t="s">
        <v>193</v>
      </c>
      <c r="BG190" s="1">
        <v>24000</v>
      </c>
      <c r="BH190" s="1">
        <v>100000</v>
      </c>
      <c r="BI190" s="9" t="s">
        <v>193</v>
      </c>
      <c r="BJ190" s="15"/>
      <c r="BK190" s="15"/>
      <c r="BL190" s="15"/>
      <c r="BM190" s="15"/>
      <c r="BN190" s="15"/>
      <c r="BO190" s="15"/>
      <c r="BP190" s="15"/>
      <c r="BQ190" s="15"/>
      <c r="BR190" s="15" t="s">
        <v>188</v>
      </c>
      <c r="BS190" s="2"/>
      <c r="BT190" s="15"/>
      <c r="BU190" s="15"/>
      <c r="BV190" s="15" t="s">
        <v>188</v>
      </c>
      <c r="BW190" s="15"/>
      <c r="BX190" s="15">
        <v>1</v>
      </c>
      <c r="BY190" s="15">
        <v>3</v>
      </c>
      <c r="BZ190" s="15">
        <v>2</v>
      </c>
      <c r="CA190" s="15"/>
      <c r="CB190" s="15" t="s">
        <v>188</v>
      </c>
      <c r="CC190" s="15"/>
      <c r="CD190" s="15"/>
      <c r="CE190" s="15"/>
      <c r="CF190" s="15"/>
      <c r="CG190" s="15"/>
      <c r="CH190" s="15"/>
      <c r="CI190" s="15"/>
      <c r="CJ190" s="15"/>
      <c r="CK190" s="15" t="s">
        <v>188</v>
      </c>
      <c r="CL190" s="15"/>
      <c r="CM190" s="15"/>
      <c r="CN190" s="15"/>
      <c r="CO190" s="15"/>
      <c r="CP190" s="15" t="s">
        <v>193</v>
      </c>
      <c r="CQ190" s="15" t="s">
        <v>632</v>
      </c>
      <c r="CR190" s="15" t="s">
        <v>188</v>
      </c>
      <c r="CS190" s="15"/>
      <c r="CT190" s="15"/>
      <c r="CU190" s="15"/>
      <c r="CV190" s="15" t="s">
        <v>188</v>
      </c>
      <c r="CW190" s="15" t="s">
        <v>270</v>
      </c>
      <c r="CX190" s="15"/>
      <c r="CY190" s="15"/>
      <c r="CZ190" s="3"/>
      <c r="DA190" s="49" t="s">
        <v>649</v>
      </c>
      <c r="DC190" s="18">
        <f t="shared" si="6"/>
        <v>0</v>
      </c>
      <c r="DD190" s="18">
        <f t="shared" si="7"/>
        <v>3</v>
      </c>
      <c r="DE190" s="18">
        <f t="shared" si="8"/>
        <v>2005</v>
      </c>
    </row>
    <row r="191" spans="1:109" x14ac:dyDescent="0.25">
      <c r="A191" s="59" t="s">
        <v>1320</v>
      </c>
      <c r="B191" s="103">
        <v>41543</v>
      </c>
      <c r="C191" s="105" t="s">
        <v>1561</v>
      </c>
      <c r="D191" s="14" t="s">
        <v>621</v>
      </c>
      <c r="E191" s="15"/>
      <c r="F191" s="15"/>
      <c r="G191" s="15"/>
      <c r="H191" s="15" t="s">
        <v>188</v>
      </c>
      <c r="I191" s="15">
        <v>52</v>
      </c>
      <c r="J191" s="15" t="s">
        <v>189</v>
      </c>
      <c r="K191" s="15" t="s">
        <v>196</v>
      </c>
      <c r="L191" s="15" t="s">
        <v>660</v>
      </c>
      <c r="M191" s="50" t="s">
        <v>1076</v>
      </c>
      <c r="N191" s="15" t="s">
        <v>1090</v>
      </c>
      <c r="O191" s="15">
        <v>34</v>
      </c>
      <c r="P191" s="15"/>
      <c r="Q191" s="15"/>
      <c r="R191" s="15"/>
      <c r="S191" s="15" t="s">
        <v>188</v>
      </c>
      <c r="T191" s="15"/>
      <c r="U191" s="15"/>
      <c r="V191" s="15"/>
      <c r="W191" s="15"/>
      <c r="X191" s="15"/>
      <c r="Y191" s="15" t="s">
        <v>188</v>
      </c>
      <c r="Z191" s="15"/>
      <c r="AA191" s="15"/>
      <c r="AB191" s="15"/>
      <c r="AC191" s="15"/>
      <c r="AD191" s="15"/>
      <c r="AE191" s="15"/>
      <c r="AF191" s="15"/>
      <c r="AG191" s="15"/>
      <c r="AH191" s="15">
        <v>2005</v>
      </c>
      <c r="AI191" s="1">
        <v>816670</v>
      </c>
      <c r="AJ191" s="15"/>
      <c r="AK191" s="15"/>
      <c r="AL191" s="15" t="s">
        <v>188</v>
      </c>
      <c r="AM191" s="15"/>
      <c r="AN191" s="15"/>
      <c r="AO191" s="15"/>
      <c r="AP191" s="15" t="s">
        <v>188</v>
      </c>
      <c r="AQ191" s="15"/>
      <c r="AR191" s="15"/>
      <c r="AS191" s="15"/>
      <c r="AT191" s="15" t="s">
        <v>322</v>
      </c>
      <c r="AU191" s="1">
        <f>100000/12</f>
        <v>8333.3333333333339</v>
      </c>
      <c r="AV191" s="48">
        <v>0.5</v>
      </c>
      <c r="AW191" s="15">
        <v>2.7</v>
      </c>
      <c r="AX191" s="15">
        <v>2.4</v>
      </c>
      <c r="AY191" s="15">
        <v>2</v>
      </c>
      <c r="AZ191" s="15">
        <v>1000</v>
      </c>
      <c r="BA191" s="15">
        <v>2600</v>
      </c>
      <c r="BB191" s="15" t="s">
        <v>188</v>
      </c>
      <c r="BC191" s="15" t="s">
        <v>188</v>
      </c>
      <c r="BD191" s="15" t="s">
        <v>199</v>
      </c>
      <c r="BE191" s="1">
        <v>25000</v>
      </c>
      <c r="BF191" s="1">
        <v>100000</v>
      </c>
      <c r="BG191" s="1">
        <v>25000</v>
      </c>
      <c r="BH191" s="1">
        <v>100000</v>
      </c>
      <c r="BI191" s="1" t="s">
        <v>193</v>
      </c>
      <c r="BJ191" s="15"/>
      <c r="BK191" s="15"/>
      <c r="BL191" s="15" t="s">
        <v>188</v>
      </c>
      <c r="BM191" s="15"/>
      <c r="BN191" s="15"/>
      <c r="BO191" s="15"/>
      <c r="BP191" s="15"/>
      <c r="BQ191" s="15"/>
      <c r="BR191" s="15" t="s">
        <v>188</v>
      </c>
      <c r="BS191" s="2"/>
      <c r="BT191" s="15"/>
      <c r="BU191" s="15"/>
      <c r="BV191" s="15" t="s">
        <v>188</v>
      </c>
      <c r="BW191" s="15"/>
      <c r="BX191" s="15">
        <v>2</v>
      </c>
      <c r="BY191" s="15">
        <v>3</v>
      </c>
      <c r="BZ191" s="15">
        <v>4</v>
      </c>
      <c r="CA191" s="15" t="s">
        <v>661</v>
      </c>
      <c r="CB191" s="15" t="s">
        <v>188</v>
      </c>
      <c r="CC191" s="15"/>
      <c r="CD191" s="15"/>
      <c r="CE191" s="15"/>
      <c r="CF191" s="15"/>
      <c r="CG191" s="15"/>
      <c r="CH191" s="15"/>
      <c r="CI191" s="15"/>
      <c r="CJ191" s="15"/>
      <c r="CK191" s="15" t="s">
        <v>188</v>
      </c>
      <c r="CL191" s="15"/>
      <c r="CM191" s="15"/>
      <c r="CN191" s="15"/>
      <c r="CO191" s="15"/>
      <c r="CP191" s="15" t="s">
        <v>193</v>
      </c>
      <c r="CQ191" s="15" t="s">
        <v>193</v>
      </c>
      <c r="CR191" s="15"/>
      <c r="CS191" s="15"/>
      <c r="CT191" s="15" t="s">
        <v>188</v>
      </c>
      <c r="CU191" s="15"/>
      <c r="CV191" s="15"/>
      <c r="CW191" s="15"/>
      <c r="CX191" s="15" t="s">
        <v>188</v>
      </c>
      <c r="CY191" s="15"/>
      <c r="CZ191" s="3"/>
      <c r="DA191" s="49" t="s">
        <v>649</v>
      </c>
      <c r="DC191" s="18">
        <f t="shared" si="6"/>
        <v>0</v>
      </c>
      <c r="DD191" s="18">
        <f t="shared" si="7"/>
        <v>7</v>
      </c>
      <c r="DE191" s="18">
        <f t="shared" si="8"/>
        <v>2005</v>
      </c>
    </row>
    <row r="192" spans="1:109" x14ac:dyDescent="0.25">
      <c r="A192" s="59" t="s">
        <v>1320</v>
      </c>
      <c r="B192" s="103">
        <v>41543</v>
      </c>
      <c r="C192" s="105" t="s">
        <v>1561</v>
      </c>
      <c r="D192" s="14" t="s">
        <v>622</v>
      </c>
      <c r="E192" s="15"/>
      <c r="F192" s="15"/>
      <c r="G192" s="15" t="s">
        <v>188</v>
      </c>
      <c r="H192" s="15"/>
      <c r="I192" s="15">
        <v>31</v>
      </c>
      <c r="J192" s="15" t="s">
        <v>189</v>
      </c>
      <c r="K192" s="15" t="s">
        <v>214</v>
      </c>
      <c r="L192" s="15" t="s">
        <v>662</v>
      </c>
      <c r="M192" s="50" t="s">
        <v>1077</v>
      </c>
      <c r="N192" s="15" t="s">
        <v>1091</v>
      </c>
      <c r="O192" s="15">
        <v>10</v>
      </c>
      <c r="P192" s="15"/>
      <c r="Q192" s="15"/>
      <c r="R192" s="15"/>
      <c r="S192" s="15" t="s">
        <v>188</v>
      </c>
      <c r="T192" s="15"/>
      <c r="U192" s="15"/>
      <c r="V192" s="15"/>
      <c r="W192" s="15"/>
      <c r="X192" s="15"/>
      <c r="Y192" s="15" t="s">
        <v>188</v>
      </c>
      <c r="Z192" s="15"/>
      <c r="AA192" s="15"/>
      <c r="AB192" s="15"/>
      <c r="AC192" s="15"/>
      <c r="AD192" s="15"/>
      <c r="AE192" s="15"/>
      <c r="AF192" s="15"/>
      <c r="AG192" s="15"/>
      <c r="AH192" s="15">
        <v>2010</v>
      </c>
      <c r="AI192" s="1">
        <v>219538</v>
      </c>
      <c r="AJ192" s="15"/>
      <c r="AK192" s="15"/>
      <c r="AL192" s="15" t="s">
        <v>188</v>
      </c>
      <c r="AM192" s="15"/>
      <c r="AN192" s="15"/>
      <c r="AO192" s="15"/>
      <c r="AP192" s="15" t="s">
        <v>188</v>
      </c>
      <c r="AQ192" s="15"/>
      <c r="AR192" s="15"/>
      <c r="AS192" s="15"/>
      <c r="AT192" s="15" t="s">
        <v>266</v>
      </c>
      <c r="AU192" s="1">
        <f>80000/12</f>
        <v>6666.666666666667</v>
      </c>
      <c r="AV192" s="48">
        <v>0.5</v>
      </c>
      <c r="AW192" s="15">
        <v>2.75</v>
      </c>
      <c r="AX192" s="15">
        <v>2.4500000000000002</v>
      </c>
      <c r="AY192" s="15">
        <v>2</v>
      </c>
      <c r="AZ192" s="15">
        <v>770</v>
      </c>
      <c r="BA192" s="15">
        <v>2000</v>
      </c>
      <c r="BB192" s="15" t="s">
        <v>188</v>
      </c>
      <c r="BC192" s="15" t="s">
        <v>188</v>
      </c>
      <c r="BD192" s="15" t="s">
        <v>199</v>
      </c>
      <c r="BE192" s="1">
        <v>20000</v>
      </c>
      <c r="BF192" s="1">
        <v>160000</v>
      </c>
      <c r="BG192" s="1">
        <v>20000</v>
      </c>
      <c r="BH192" s="1">
        <v>80000</v>
      </c>
      <c r="BI192" s="1" t="s">
        <v>193</v>
      </c>
      <c r="BJ192" s="15"/>
      <c r="BK192" s="15"/>
      <c r="BL192" s="15" t="s">
        <v>188</v>
      </c>
      <c r="BM192" s="15"/>
      <c r="BN192" s="15"/>
      <c r="BO192" s="15"/>
      <c r="BP192" s="15"/>
      <c r="BQ192" s="15"/>
      <c r="BR192" s="15" t="s">
        <v>188</v>
      </c>
      <c r="BS192" s="2"/>
      <c r="BT192" s="15"/>
      <c r="BU192" s="15"/>
      <c r="BV192" s="15" t="s">
        <v>188</v>
      </c>
      <c r="BW192" s="15"/>
      <c r="BX192" s="15">
        <v>1</v>
      </c>
      <c r="BY192" s="15">
        <v>2</v>
      </c>
      <c r="BZ192" s="15">
        <v>3</v>
      </c>
      <c r="CA192" s="15"/>
      <c r="CB192" s="15" t="s">
        <v>188</v>
      </c>
      <c r="CC192" s="15"/>
      <c r="CD192" s="15"/>
      <c r="CE192" s="15"/>
      <c r="CF192" s="15"/>
      <c r="CG192" s="15"/>
      <c r="CH192" s="15"/>
      <c r="CI192" s="15"/>
      <c r="CJ192" s="15"/>
      <c r="CK192" s="15" t="s">
        <v>188</v>
      </c>
      <c r="CL192" s="15"/>
      <c r="CM192" s="15"/>
      <c r="CN192" s="15"/>
      <c r="CO192" s="15"/>
      <c r="CP192" s="15" t="s">
        <v>193</v>
      </c>
      <c r="CQ192" s="15" t="s">
        <v>632</v>
      </c>
      <c r="CR192" s="15" t="s">
        <v>188</v>
      </c>
      <c r="CS192" s="15"/>
      <c r="CT192" s="15"/>
      <c r="CU192" s="15"/>
      <c r="CV192" s="15"/>
      <c r="CW192" s="15"/>
      <c r="CX192" s="15" t="s">
        <v>188</v>
      </c>
      <c r="CY192" s="15" t="s">
        <v>188</v>
      </c>
      <c r="CZ192" s="3"/>
      <c r="DA192" s="49" t="s">
        <v>658</v>
      </c>
      <c r="DC192" s="18">
        <f t="shared" si="6"/>
        <v>0</v>
      </c>
      <c r="DD192" s="18">
        <f t="shared" si="7"/>
        <v>3</v>
      </c>
      <c r="DE192" s="18">
        <f t="shared" si="8"/>
        <v>2010</v>
      </c>
    </row>
    <row r="193" spans="1:109" x14ac:dyDescent="0.25">
      <c r="A193" s="59" t="s">
        <v>1320</v>
      </c>
      <c r="B193" s="103">
        <v>41543</v>
      </c>
      <c r="C193" s="105" t="s">
        <v>1561</v>
      </c>
      <c r="D193" s="14" t="s">
        <v>623</v>
      </c>
      <c r="E193" s="15"/>
      <c r="F193" s="15" t="s">
        <v>188</v>
      </c>
      <c r="G193" s="15"/>
      <c r="H193" s="15"/>
      <c r="I193" s="15">
        <v>28</v>
      </c>
      <c r="J193" s="15" t="s">
        <v>189</v>
      </c>
      <c r="K193" s="15" t="s">
        <v>214</v>
      </c>
      <c r="L193" s="15" t="s">
        <v>646</v>
      </c>
      <c r="M193" s="15" t="s">
        <v>1071</v>
      </c>
      <c r="N193" s="15" t="s">
        <v>1089</v>
      </c>
      <c r="O193" s="15">
        <v>10</v>
      </c>
      <c r="P193" s="15"/>
      <c r="Q193" s="15"/>
      <c r="R193" s="15"/>
      <c r="S193" s="15" t="s">
        <v>188</v>
      </c>
      <c r="T193" s="15"/>
      <c r="U193" s="15"/>
      <c r="V193" s="15"/>
      <c r="W193" s="15"/>
      <c r="X193" s="15"/>
      <c r="Y193" s="15" t="s">
        <v>188</v>
      </c>
      <c r="Z193" s="15"/>
      <c r="AA193" s="15"/>
      <c r="AB193" s="15"/>
      <c r="AC193" s="15"/>
      <c r="AD193" s="15"/>
      <c r="AE193" s="15"/>
      <c r="AF193" s="15"/>
      <c r="AG193" s="15"/>
      <c r="AH193" s="15">
        <v>2006</v>
      </c>
      <c r="AI193" s="1">
        <v>627453</v>
      </c>
      <c r="AJ193" s="15"/>
      <c r="AK193" s="15"/>
      <c r="AL193" s="15" t="s">
        <v>188</v>
      </c>
      <c r="AM193" s="15"/>
      <c r="AN193" s="15"/>
      <c r="AO193" s="15" t="s">
        <v>188</v>
      </c>
      <c r="AP193" s="15"/>
      <c r="AQ193" s="15"/>
      <c r="AR193" s="15"/>
      <c r="AS193" s="15"/>
      <c r="AT193" s="15" t="s">
        <v>322</v>
      </c>
      <c r="AU193" s="1">
        <f>100000/12</f>
        <v>8333.3333333333339</v>
      </c>
      <c r="AV193" s="48">
        <v>0.5</v>
      </c>
      <c r="AW193" s="15">
        <v>2.8</v>
      </c>
      <c r="AX193" s="15">
        <v>2.5</v>
      </c>
      <c r="AY193" s="15">
        <v>2</v>
      </c>
      <c r="AZ193" s="15">
        <v>740</v>
      </c>
      <c r="BA193" s="15">
        <v>2000</v>
      </c>
      <c r="BB193" s="15" t="s">
        <v>188</v>
      </c>
      <c r="BC193" s="15" t="s">
        <v>188</v>
      </c>
      <c r="BD193" s="15" t="s">
        <v>199</v>
      </c>
      <c r="BE193" s="1">
        <v>25000</v>
      </c>
      <c r="BF193" s="1">
        <v>100000</v>
      </c>
      <c r="BG193" s="1">
        <v>25000</v>
      </c>
      <c r="BH193" s="1">
        <v>100000</v>
      </c>
      <c r="BI193" s="1" t="s">
        <v>193</v>
      </c>
      <c r="BJ193" s="15"/>
      <c r="BK193" s="15"/>
      <c r="BL193" s="15"/>
      <c r="BM193" s="15"/>
      <c r="BN193" s="15"/>
      <c r="BO193" s="15"/>
      <c r="BP193" s="15"/>
      <c r="BQ193" s="15"/>
      <c r="BR193" s="15" t="s">
        <v>188</v>
      </c>
      <c r="BS193" s="2"/>
      <c r="BT193" s="15"/>
      <c r="BU193" s="15"/>
      <c r="BV193" s="15" t="s">
        <v>188</v>
      </c>
      <c r="BW193" s="15"/>
      <c r="BX193" s="15">
        <v>1</v>
      </c>
      <c r="BY193" s="15">
        <v>2</v>
      </c>
      <c r="BZ193" s="15">
        <v>3</v>
      </c>
      <c r="CA193" s="15"/>
      <c r="CB193" s="15" t="s">
        <v>188</v>
      </c>
      <c r="CC193" s="15"/>
      <c r="CD193" s="15"/>
      <c r="CE193" s="15"/>
      <c r="CF193" s="15"/>
      <c r="CG193" s="15"/>
      <c r="CH193" s="15"/>
      <c r="CI193" s="15"/>
      <c r="CJ193" s="15"/>
      <c r="CK193" s="15" t="s">
        <v>188</v>
      </c>
      <c r="CL193" s="15"/>
      <c r="CM193" s="15"/>
      <c r="CN193" s="15"/>
      <c r="CO193" s="15"/>
      <c r="CP193" s="15" t="s">
        <v>193</v>
      </c>
      <c r="CQ193" s="15" t="s">
        <v>632</v>
      </c>
      <c r="CR193" s="15" t="s">
        <v>188</v>
      </c>
      <c r="CS193" s="15"/>
      <c r="CT193" s="15"/>
      <c r="CU193" s="15"/>
      <c r="CV193" s="15"/>
      <c r="CW193" s="15"/>
      <c r="CX193" s="15" t="s">
        <v>188</v>
      </c>
      <c r="CY193" s="15"/>
      <c r="CZ193" s="3"/>
      <c r="DA193" s="49" t="s">
        <v>649</v>
      </c>
      <c r="DC193" s="18">
        <f t="shared" si="6"/>
        <v>0</v>
      </c>
      <c r="DD193" s="18">
        <f t="shared" si="7"/>
        <v>2</v>
      </c>
      <c r="DE193" s="18">
        <f t="shared" si="8"/>
        <v>2006</v>
      </c>
    </row>
    <row r="194" spans="1:109" x14ac:dyDescent="0.25">
      <c r="A194" s="59" t="s">
        <v>1320</v>
      </c>
      <c r="B194" s="103">
        <v>41543</v>
      </c>
      <c r="C194" s="105" t="s">
        <v>1561</v>
      </c>
      <c r="D194" s="14" t="s">
        <v>624</v>
      </c>
      <c r="E194" s="15"/>
      <c r="F194" s="15"/>
      <c r="G194" s="15"/>
      <c r="H194" s="15" t="s">
        <v>188</v>
      </c>
      <c r="I194" s="15">
        <v>46</v>
      </c>
      <c r="J194" s="15" t="s">
        <v>189</v>
      </c>
      <c r="K194" s="15" t="s">
        <v>196</v>
      </c>
      <c r="L194" s="15" t="s">
        <v>663</v>
      </c>
      <c r="M194" s="15" t="s">
        <v>1078</v>
      </c>
      <c r="N194" s="15" t="s">
        <v>1085</v>
      </c>
      <c r="O194" s="15">
        <v>25</v>
      </c>
      <c r="P194" s="15"/>
      <c r="Q194" s="15"/>
      <c r="R194" s="15"/>
      <c r="S194" s="15" t="s">
        <v>188</v>
      </c>
      <c r="T194" s="15"/>
      <c r="U194" s="15"/>
      <c r="V194" s="15"/>
      <c r="W194" s="15"/>
      <c r="X194" s="15"/>
      <c r="Y194" s="15" t="s">
        <v>188</v>
      </c>
      <c r="Z194" s="15"/>
      <c r="AA194" s="15"/>
      <c r="AB194" s="15"/>
      <c r="AC194" s="15"/>
      <c r="AD194" s="15"/>
      <c r="AE194" s="15"/>
      <c r="AF194" s="15"/>
      <c r="AG194" s="15"/>
      <c r="AH194" s="15">
        <v>2008</v>
      </c>
      <c r="AI194" s="1">
        <v>521658</v>
      </c>
      <c r="AJ194" s="15"/>
      <c r="AK194" s="15"/>
      <c r="AL194" s="15" t="s">
        <v>188</v>
      </c>
      <c r="AM194" s="15"/>
      <c r="AN194" s="15"/>
      <c r="AO194" s="15"/>
      <c r="AP194" s="15" t="s">
        <v>188</v>
      </c>
      <c r="AQ194" s="15"/>
      <c r="AR194" s="15"/>
      <c r="AS194" s="15"/>
      <c r="AT194" s="15" t="s">
        <v>322</v>
      </c>
      <c r="AU194" s="1">
        <f>100000/12</f>
        <v>8333.3333333333339</v>
      </c>
      <c r="AV194" s="48">
        <v>0.5</v>
      </c>
      <c r="AW194" s="15">
        <v>2.9</v>
      </c>
      <c r="AX194" s="15">
        <v>2.5</v>
      </c>
      <c r="AY194" s="15">
        <v>2</v>
      </c>
      <c r="AZ194" s="15">
        <v>890</v>
      </c>
      <c r="BA194" s="15">
        <v>2500</v>
      </c>
      <c r="BB194" s="15" t="s">
        <v>188</v>
      </c>
      <c r="BC194" s="15" t="s">
        <v>188</v>
      </c>
      <c r="BD194" s="15" t="s">
        <v>199</v>
      </c>
      <c r="BE194" s="1">
        <v>16000</v>
      </c>
      <c r="BF194" s="1">
        <v>160000</v>
      </c>
      <c r="BG194" s="1">
        <v>16000</v>
      </c>
      <c r="BH194" s="1">
        <v>80000</v>
      </c>
      <c r="BI194" s="1" t="s">
        <v>193</v>
      </c>
      <c r="BJ194" s="15"/>
      <c r="BK194" s="15"/>
      <c r="BL194" s="15" t="s">
        <v>188</v>
      </c>
      <c r="BM194" s="15"/>
      <c r="BN194" s="15"/>
      <c r="BO194" s="15"/>
      <c r="BP194" s="15"/>
      <c r="BQ194" s="15"/>
      <c r="BR194" s="15" t="s">
        <v>188</v>
      </c>
      <c r="BS194" s="2"/>
      <c r="BT194" s="15"/>
      <c r="BU194" s="15"/>
      <c r="BV194" s="15" t="s">
        <v>188</v>
      </c>
      <c r="BW194" s="15"/>
      <c r="BX194" s="15">
        <v>1</v>
      </c>
      <c r="BY194" s="15">
        <v>3</v>
      </c>
      <c r="BZ194" s="15">
        <v>2</v>
      </c>
      <c r="CA194" s="15"/>
      <c r="CB194" s="15"/>
      <c r="CC194" s="15" t="s">
        <v>188</v>
      </c>
      <c r="CD194" s="15"/>
      <c r="CE194" s="15"/>
      <c r="CF194" s="15"/>
      <c r="CG194" s="15"/>
      <c r="CH194" s="15" t="s">
        <v>188</v>
      </c>
      <c r="CI194" s="15"/>
      <c r="CJ194" s="15"/>
      <c r="CK194" s="15" t="s">
        <v>188</v>
      </c>
      <c r="CL194" s="15"/>
      <c r="CM194" s="15"/>
      <c r="CN194" s="15"/>
      <c r="CO194" s="15"/>
      <c r="CP194" s="15" t="s">
        <v>193</v>
      </c>
      <c r="CQ194" s="15" t="s">
        <v>632</v>
      </c>
      <c r="CR194" s="15"/>
      <c r="CS194" s="15"/>
      <c r="CT194" s="15"/>
      <c r="CU194" s="15" t="s">
        <v>655</v>
      </c>
      <c r="CV194" s="15"/>
      <c r="CW194" s="15"/>
      <c r="CX194" s="15" t="s">
        <v>188</v>
      </c>
      <c r="CY194" s="15"/>
      <c r="CZ194" s="3"/>
      <c r="DA194" s="49" t="s">
        <v>649</v>
      </c>
      <c r="DC194" s="18">
        <f t="shared" si="6"/>
        <v>0</v>
      </c>
      <c r="DD194" s="18">
        <f t="shared" si="7"/>
        <v>7</v>
      </c>
      <c r="DE194" s="18">
        <f t="shared" si="8"/>
        <v>2008</v>
      </c>
    </row>
    <row r="195" spans="1:109" x14ac:dyDescent="0.25">
      <c r="A195" s="59" t="s">
        <v>1320</v>
      </c>
      <c r="B195" s="103">
        <v>41543</v>
      </c>
      <c r="C195" s="105" t="s">
        <v>1561</v>
      </c>
      <c r="D195" s="14" t="s">
        <v>625</v>
      </c>
      <c r="E195" s="15"/>
      <c r="F195" s="15"/>
      <c r="G195" s="15"/>
      <c r="H195" s="15" t="s">
        <v>188</v>
      </c>
      <c r="I195" s="15">
        <v>62</v>
      </c>
      <c r="J195" s="15" t="s">
        <v>189</v>
      </c>
      <c r="K195" s="15" t="s">
        <v>445</v>
      </c>
      <c r="L195" s="15" t="s">
        <v>664</v>
      </c>
      <c r="M195" s="15" t="s">
        <v>1079</v>
      </c>
      <c r="N195" s="15" t="s">
        <v>1089</v>
      </c>
      <c r="O195" s="15">
        <v>45</v>
      </c>
      <c r="P195" s="15"/>
      <c r="Q195" s="15"/>
      <c r="R195" s="15"/>
      <c r="S195" s="15" t="s">
        <v>188</v>
      </c>
      <c r="T195" s="15"/>
      <c r="U195" s="15"/>
      <c r="V195" s="15"/>
      <c r="W195" s="15"/>
      <c r="X195" s="15"/>
      <c r="Y195" s="15" t="s">
        <v>188</v>
      </c>
      <c r="Z195" s="15"/>
      <c r="AA195" s="15"/>
      <c r="AB195" s="15"/>
      <c r="AC195" s="15"/>
      <c r="AD195" s="15"/>
      <c r="AE195" s="15"/>
      <c r="AF195" s="15"/>
      <c r="AG195" s="15"/>
      <c r="AH195" s="15">
        <v>2009</v>
      </c>
      <c r="AI195" s="1">
        <v>437611</v>
      </c>
      <c r="AJ195" s="15"/>
      <c r="AK195" s="15"/>
      <c r="AL195" s="15" t="s">
        <v>188</v>
      </c>
      <c r="AM195" s="15"/>
      <c r="AN195" s="15"/>
      <c r="AO195" s="15"/>
      <c r="AP195" s="15" t="s">
        <v>188</v>
      </c>
      <c r="AQ195" s="15"/>
      <c r="AR195" s="15"/>
      <c r="AS195" s="15"/>
      <c r="AT195" s="15" t="s">
        <v>266</v>
      </c>
      <c r="AU195" s="1">
        <f>120000/12</f>
        <v>10000</v>
      </c>
      <c r="AV195" s="48">
        <v>0.5</v>
      </c>
      <c r="AW195" s="15">
        <v>2.9</v>
      </c>
      <c r="AX195" s="15">
        <v>2.6</v>
      </c>
      <c r="AY195" s="15">
        <v>2</v>
      </c>
      <c r="AZ195" s="15">
        <v>1050</v>
      </c>
      <c r="BA195" s="15">
        <v>2800</v>
      </c>
      <c r="BB195" s="15" t="s">
        <v>188</v>
      </c>
      <c r="BC195" s="15" t="s">
        <v>188</v>
      </c>
      <c r="BD195" s="15" t="s">
        <v>199</v>
      </c>
      <c r="BE195" s="1">
        <v>18000</v>
      </c>
      <c r="BF195" s="1">
        <v>200000</v>
      </c>
      <c r="BG195" s="1">
        <v>36000</v>
      </c>
      <c r="BH195" s="1">
        <v>100000</v>
      </c>
      <c r="BI195" s="1" t="s">
        <v>193</v>
      </c>
      <c r="BJ195" s="15"/>
      <c r="BK195" s="15"/>
      <c r="BL195" s="15" t="s">
        <v>188</v>
      </c>
      <c r="BM195" s="15"/>
      <c r="BN195" s="15"/>
      <c r="BO195" s="15"/>
      <c r="BP195" s="15"/>
      <c r="BQ195" s="15"/>
      <c r="BR195" s="15" t="s">
        <v>188</v>
      </c>
      <c r="BS195" s="2"/>
      <c r="BT195" s="15"/>
      <c r="BU195" s="15"/>
      <c r="BV195" s="15" t="s">
        <v>188</v>
      </c>
      <c r="BW195" s="15"/>
      <c r="BX195" s="15">
        <v>1</v>
      </c>
      <c r="BY195" s="15">
        <v>2</v>
      </c>
      <c r="BZ195" s="15">
        <v>3</v>
      </c>
      <c r="CA195" s="15"/>
      <c r="CB195" s="15"/>
      <c r="CC195" s="15" t="s">
        <v>188</v>
      </c>
      <c r="CD195" s="15"/>
      <c r="CE195" s="15"/>
      <c r="CF195" s="15"/>
      <c r="CG195" s="15"/>
      <c r="CH195" s="15" t="s">
        <v>188</v>
      </c>
      <c r="CI195" s="15" t="s">
        <v>188</v>
      </c>
      <c r="CJ195" s="15"/>
      <c r="CK195" s="15" t="s">
        <v>188</v>
      </c>
      <c r="CL195" s="15"/>
      <c r="CM195" s="15"/>
      <c r="CN195" s="15"/>
      <c r="CO195" s="15"/>
      <c r="CP195" s="15" t="s">
        <v>193</v>
      </c>
      <c r="CQ195" s="15" t="s">
        <v>632</v>
      </c>
      <c r="CR195" s="15"/>
      <c r="CS195" s="15" t="s">
        <v>188</v>
      </c>
      <c r="CT195" s="15"/>
      <c r="CU195" s="15"/>
      <c r="CV195" s="15"/>
      <c r="CW195" s="15"/>
      <c r="CX195" s="15"/>
      <c r="CY195" s="15" t="s">
        <v>188</v>
      </c>
      <c r="CZ195" s="3"/>
      <c r="DA195" s="49" t="s">
        <v>658</v>
      </c>
      <c r="DC195" s="18">
        <f t="shared" si="6"/>
        <v>0</v>
      </c>
      <c r="DD195" s="18">
        <f t="shared" si="7"/>
        <v>7</v>
      </c>
      <c r="DE195" s="18">
        <f t="shared" si="8"/>
        <v>2009</v>
      </c>
    </row>
    <row r="196" spans="1:109" x14ac:dyDescent="0.25">
      <c r="A196" s="59" t="s">
        <v>1320</v>
      </c>
      <c r="B196" s="103">
        <v>41543</v>
      </c>
      <c r="C196" s="105" t="s">
        <v>1561</v>
      </c>
      <c r="D196" s="14" t="s">
        <v>626</v>
      </c>
      <c r="E196" s="15"/>
      <c r="F196" s="15" t="s">
        <v>188</v>
      </c>
      <c r="G196" s="15"/>
      <c r="H196" s="15"/>
      <c r="I196" s="15">
        <v>33</v>
      </c>
      <c r="J196" s="15" t="s">
        <v>189</v>
      </c>
      <c r="K196" s="15" t="s">
        <v>190</v>
      </c>
      <c r="L196" s="15" t="s">
        <v>644</v>
      </c>
      <c r="M196" s="15" t="s">
        <v>1070</v>
      </c>
      <c r="N196" s="15" t="s">
        <v>1089</v>
      </c>
      <c r="O196" s="15">
        <v>8</v>
      </c>
      <c r="P196" s="15"/>
      <c r="Q196" s="15"/>
      <c r="R196" s="15"/>
      <c r="S196" s="15" t="s">
        <v>188</v>
      </c>
      <c r="T196" s="15"/>
      <c r="U196" s="15"/>
      <c r="V196" s="15"/>
      <c r="W196" s="15"/>
      <c r="X196" s="15"/>
      <c r="Y196" s="15" t="s">
        <v>188</v>
      </c>
      <c r="Z196" s="15"/>
      <c r="AA196" s="15"/>
      <c r="AB196" s="15"/>
      <c r="AC196" s="15"/>
      <c r="AD196" s="15"/>
      <c r="AE196" s="15"/>
      <c r="AF196" s="15"/>
      <c r="AG196" s="15"/>
      <c r="AH196" s="15">
        <v>2007</v>
      </c>
      <c r="AI196" s="1">
        <v>678814</v>
      </c>
      <c r="AJ196" s="15"/>
      <c r="AK196" s="15"/>
      <c r="AL196" s="15" t="s">
        <v>188</v>
      </c>
      <c r="AM196" s="15"/>
      <c r="AN196" s="15"/>
      <c r="AO196" s="15"/>
      <c r="AP196" s="15" t="s">
        <v>188</v>
      </c>
      <c r="AQ196" s="15"/>
      <c r="AR196" s="15"/>
      <c r="AS196" s="15"/>
      <c r="AT196" s="15" t="s">
        <v>322</v>
      </c>
      <c r="AU196" s="1">
        <v>10000</v>
      </c>
      <c r="AV196" s="48">
        <v>0.5</v>
      </c>
      <c r="AW196" s="15">
        <v>2.8</v>
      </c>
      <c r="AX196" s="15">
        <v>2.5</v>
      </c>
      <c r="AY196" s="15">
        <v>2</v>
      </c>
      <c r="AZ196" s="15">
        <v>850</v>
      </c>
      <c r="BA196" s="15">
        <v>2200</v>
      </c>
      <c r="BB196" s="15" t="s">
        <v>188</v>
      </c>
      <c r="BC196" s="15" t="s">
        <v>188</v>
      </c>
      <c r="BD196" s="15" t="s">
        <v>199</v>
      </c>
      <c r="BE196" s="1">
        <v>20000</v>
      </c>
      <c r="BF196" s="1">
        <v>180000</v>
      </c>
      <c r="BG196" s="1">
        <v>20000</v>
      </c>
      <c r="BH196" s="1">
        <v>120000</v>
      </c>
      <c r="BI196" s="1" t="s">
        <v>193</v>
      </c>
      <c r="BJ196" s="15"/>
      <c r="BK196" s="15"/>
      <c r="BL196" s="15" t="s">
        <v>188</v>
      </c>
      <c r="BM196" s="15"/>
      <c r="BN196" s="15"/>
      <c r="BO196" s="15"/>
      <c r="BP196" s="15"/>
      <c r="BQ196" s="15"/>
      <c r="BR196" s="15" t="s">
        <v>188</v>
      </c>
      <c r="BS196" s="2"/>
      <c r="BT196" s="15"/>
      <c r="BU196" s="15"/>
      <c r="BV196" s="15" t="s">
        <v>188</v>
      </c>
      <c r="BW196" s="15"/>
      <c r="BX196" s="15">
        <v>3</v>
      </c>
      <c r="BY196" s="15">
        <v>2</v>
      </c>
      <c r="BZ196" s="15">
        <v>1</v>
      </c>
      <c r="CA196" s="15"/>
      <c r="CB196" s="15" t="s">
        <v>188</v>
      </c>
      <c r="CC196" s="15"/>
      <c r="CD196" s="15"/>
      <c r="CE196" s="15"/>
      <c r="CF196" s="15"/>
      <c r="CG196" s="15"/>
      <c r="CH196" s="15"/>
      <c r="CI196" s="15"/>
      <c r="CJ196" s="15"/>
      <c r="CK196" s="15" t="s">
        <v>188</v>
      </c>
      <c r="CL196" s="15"/>
      <c r="CM196" s="15"/>
      <c r="CN196" s="15"/>
      <c r="CO196" s="15"/>
      <c r="CP196" s="15" t="s">
        <v>193</v>
      </c>
      <c r="CQ196" s="15" t="s">
        <v>632</v>
      </c>
      <c r="CR196" s="15" t="s">
        <v>188</v>
      </c>
      <c r="CS196" s="15"/>
      <c r="CT196" s="15"/>
      <c r="CU196" s="15"/>
      <c r="CV196" s="15" t="s">
        <v>188</v>
      </c>
      <c r="CW196" s="15" t="s">
        <v>270</v>
      </c>
      <c r="CX196" s="15"/>
      <c r="CY196" s="15"/>
      <c r="CZ196" s="3"/>
      <c r="DA196" s="49" t="s">
        <v>649</v>
      </c>
      <c r="DC196" s="18">
        <f t="shared" si="6"/>
        <v>0</v>
      </c>
      <c r="DD196" s="18">
        <f t="shared" si="7"/>
        <v>2</v>
      </c>
      <c r="DE196" s="18">
        <f t="shared" si="8"/>
        <v>2007</v>
      </c>
    </row>
    <row r="197" spans="1:109" x14ac:dyDescent="0.25">
      <c r="A197" s="59" t="s">
        <v>1320</v>
      </c>
      <c r="B197" s="103">
        <v>41543</v>
      </c>
      <c r="C197" s="105" t="s">
        <v>1561</v>
      </c>
      <c r="D197" s="14" t="s">
        <v>627</v>
      </c>
      <c r="E197" s="15"/>
      <c r="F197" s="15" t="s">
        <v>188</v>
      </c>
      <c r="G197" s="15"/>
      <c r="H197" s="15"/>
      <c r="I197" s="15">
        <v>41</v>
      </c>
      <c r="J197" s="15" t="s">
        <v>189</v>
      </c>
      <c r="K197" s="15" t="s">
        <v>445</v>
      </c>
      <c r="L197" s="15" t="s">
        <v>653</v>
      </c>
      <c r="M197" s="15" t="s">
        <v>1073</v>
      </c>
      <c r="N197" s="15" t="s">
        <v>1089</v>
      </c>
      <c r="O197" s="15">
        <v>15</v>
      </c>
      <c r="P197" s="15"/>
      <c r="Q197" s="15"/>
      <c r="R197" s="15"/>
      <c r="S197" s="15" t="s">
        <v>188</v>
      </c>
      <c r="T197" s="15"/>
      <c r="U197" s="15"/>
      <c r="V197" s="15"/>
      <c r="W197" s="15"/>
      <c r="X197" s="15"/>
      <c r="Y197" s="15" t="s">
        <v>188</v>
      </c>
      <c r="Z197" s="15"/>
      <c r="AA197" s="15"/>
      <c r="AB197" s="15"/>
      <c r="AC197" s="15"/>
      <c r="AD197" s="15"/>
      <c r="AE197" s="15"/>
      <c r="AF197" s="15"/>
      <c r="AG197" s="15"/>
      <c r="AH197" s="15">
        <v>2006</v>
      </c>
      <c r="AI197" s="1">
        <v>742821</v>
      </c>
      <c r="AJ197" s="15"/>
      <c r="AK197" s="15"/>
      <c r="AL197" s="15" t="s">
        <v>188</v>
      </c>
      <c r="AM197" s="15"/>
      <c r="AN197" s="15"/>
      <c r="AO197" s="15" t="s">
        <v>188</v>
      </c>
      <c r="AP197" s="15"/>
      <c r="AQ197" s="15"/>
      <c r="AR197" s="15"/>
      <c r="AS197" s="15"/>
      <c r="AT197" s="15" t="s">
        <v>193</v>
      </c>
      <c r="AU197" s="1">
        <v>12000</v>
      </c>
      <c r="AV197" s="48">
        <v>0.5</v>
      </c>
      <c r="AW197" s="15">
        <v>2.7</v>
      </c>
      <c r="AX197" s="15">
        <v>2.4</v>
      </c>
      <c r="AY197" s="15">
        <v>2</v>
      </c>
      <c r="AZ197" s="15">
        <v>1000</v>
      </c>
      <c r="BA197" s="15">
        <v>2600</v>
      </c>
      <c r="BB197" s="15" t="s">
        <v>188</v>
      </c>
      <c r="BC197" s="15" t="s">
        <v>188</v>
      </c>
      <c r="BD197" s="15" t="s">
        <v>199</v>
      </c>
      <c r="BE197" s="1">
        <v>24000</v>
      </c>
      <c r="BF197" s="1" t="s">
        <v>193</v>
      </c>
      <c r="BG197" s="1">
        <v>24000</v>
      </c>
      <c r="BH197" s="1">
        <v>100000</v>
      </c>
      <c r="BI197" s="1" t="s">
        <v>193</v>
      </c>
      <c r="BJ197" s="15"/>
      <c r="BK197" s="15"/>
      <c r="BL197" s="15"/>
      <c r="BM197" s="15"/>
      <c r="BN197" s="15"/>
      <c r="BO197" s="15"/>
      <c r="BP197" s="15"/>
      <c r="BQ197" s="15"/>
      <c r="BR197" s="15" t="s">
        <v>188</v>
      </c>
      <c r="BS197" s="2"/>
      <c r="BT197" s="15"/>
      <c r="BU197" s="15"/>
      <c r="BV197" s="15" t="s">
        <v>188</v>
      </c>
      <c r="BW197" s="15"/>
      <c r="BX197" s="15">
        <v>1</v>
      </c>
      <c r="BY197" s="15">
        <v>3</v>
      </c>
      <c r="BZ197" s="15">
        <v>2</v>
      </c>
      <c r="CA197" s="15"/>
      <c r="CB197" s="15" t="s">
        <v>188</v>
      </c>
      <c r="CC197" s="15"/>
      <c r="CD197" s="15"/>
      <c r="CE197" s="15"/>
      <c r="CF197" s="15"/>
      <c r="CG197" s="15"/>
      <c r="CH197" s="15"/>
      <c r="CI197" s="15"/>
      <c r="CJ197" s="15"/>
      <c r="CK197" s="15" t="s">
        <v>188</v>
      </c>
      <c r="CL197" s="15"/>
      <c r="CM197" s="15"/>
      <c r="CN197" s="15"/>
      <c r="CO197" s="15"/>
      <c r="CP197" s="15" t="s">
        <v>193</v>
      </c>
      <c r="CQ197" s="15" t="s">
        <v>632</v>
      </c>
      <c r="CR197" s="15" t="s">
        <v>188</v>
      </c>
      <c r="CS197" s="15"/>
      <c r="CT197" s="15"/>
      <c r="CU197" s="15"/>
      <c r="CV197" s="15"/>
      <c r="CW197" s="15"/>
      <c r="CX197" s="15" t="s">
        <v>188</v>
      </c>
      <c r="CY197" s="15" t="s">
        <v>188</v>
      </c>
      <c r="CZ197" s="3"/>
      <c r="DA197" s="49"/>
      <c r="DC197" s="18">
        <f t="shared" si="6"/>
        <v>0</v>
      </c>
      <c r="DD197" s="18">
        <f t="shared" si="7"/>
        <v>2</v>
      </c>
      <c r="DE197" s="18">
        <f t="shared" si="8"/>
        <v>2006</v>
      </c>
    </row>
    <row r="198" spans="1:109" x14ac:dyDescent="0.25">
      <c r="A198" s="59" t="s">
        <v>1320</v>
      </c>
      <c r="B198" s="103">
        <v>41543</v>
      </c>
      <c r="C198" s="105" t="s">
        <v>1561</v>
      </c>
      <c r="D198" s="55" t="s">
        <v>628</v>
      </c>
      <c r="E198" s="15"/>
      <c r="F198" s="15"/>
      <c r="G198" s="15" t="s">
        <v>188</v>
      </c>
      <c r="H198" s="15"/>
      <c r="I198" s="15">
        <v>24</v>
      </c>
      <c r="J198" s="15" t="s">
        <v>189</v>
      </c>
      <c r="K198" s="15" t="s">
        <v>447</v>
      </c>
      <c r="L198" s="15" t="s">
        <v>665</v>
      </c>
      <c r="M198" s="50" t="s">
        <v>1080</v>
      </c>
      <c r="N198" s="15" t="s">
        <v>1092</v>
      </c>
      <c r="O198" s="15">
        <v>5</v>
      </c>
      <c r="P198" s="15"/>
      <c r="Q198" s="15"/>
      <c r="R198" s="15"/>
      <c r="S198" s="15" t="s">
        <v>188</v>
      </c>
      <c r="T198" s="15"/>
      <c r="U198" s="15"/>
      <c r="V198" s="15"/>
      <c r="W198" s="15"/>
      <c r="X198" s="15"/>
      <c r="Y198" s="15" t="s">
        <v>188</v>
      </c>
      <c r="Z198" s="15"/>
      <c r="AA198" s="15"/>
      <c r="AB198" s="15"/>
      <c r="AC198" s="15"/>
      <c r="AD198" s="15"/>
      <c r="AE198" s="15"/>
      <c r="AF198" s="15"/>
      <c r="AG198" s="15"/>
      <c r="AH198" s="15">
        <v>2007</v>
      </c>
      <c r="AI198" s="1">
        <v>466213</v>
      </c>
      <c r="AJ198" s="15"/>
      <c r="AK198" s="15"/>
      <c r="AL198" s="15" t="s">
        <v>188</v>
      </c>
      <c r="AM198" s="15"/>
      <c r="AN198" s="15"/>
      <c r="AO198" s="15" t="s">
        <v>188</v>
      </c>
      <c r="AP198" s="15"/>
      <c r="AQ198" s="15"/>
      <c r="AR198" s="15"/>
      <c r="AS198" s="15"/>
      <c r="AT198" s="15" t="s">
        <v>266</v>
      </c>
      <c r="AU198" s="1">
        <v>10000</v>
      </c>
      <c r="AV198" s="48">
        <v>0.5</v>
      </c>
      <c r="AW198" s="15">
        <v>2.85</v>
      </c>
      <c r="AX198" s="15">
        <v>2.4</v>
      </c>
      <c r="AY198" s="15">
        <v>2</v>
      </c>
      <c r="AZ198" s="15">
        <v>920</v>
      </c>
      <c r="BA198" s="15">
        <v>2500</v>
      </c>
      <c r="BB198" s="15" t="s">
        <v>188</v>
      </c>
      <c r="BC198" s="15" t="s">
        <v>188</v>
      </c>
      <c r="BD198" s="15" t="s">
        <v>199</v>
      </c>
      <c r="BE198" s="1">
        <v>16000</v>
      </c>
      <c r="BF198" s="1">
        <v>180000</v>
      </c>
      <c r="BG198" s="1">
        <v>25000</v>
      </c>
      <c r="BH198" s="1">
        <v>100000</v>
      </c>
      <c r="BI198" s="1" t="s">
        <v>193</v>
      </c>
      <c r="BJ198" s="15"/>
      <c r="BK198" s="15"/>
      <c r="BL198" s="15" t="s">
        <v>188</v>
      </c>
      <c r="BM198" s="15"/>
      <c r="BN198" s="15"/>
      <c r="BO198" s="15"/>
      <c r="BP198" s="15"/>
      <c r="BQ198" s="15"/>
      <c r="BR198" s="15" t="s">
        <v>188</v>
      </c>
      <c r="BS198" s="2"/>
      <c r="BT198" s="15"/>
      <c r="BU198" s="15"/>
      <c r="BV198" s="15" t="s">
        <v>188</v>
      </c>
      <c r="BW198" s="15"/>
      <c r="BX198" s="15">
        <v>2</v>
      </c>
      <c r="BY198" s="15">
        <v>3</v>
      </c>
      <c r="BZ198" s="15">
        <v>4</v>
      </c>
      <c r="CA198" s="15" t="s">
        <v>661</v>
      </c>
      <c r="CB198" s="15" t="s">
        <v>188</v>
      </c>
      <c r="CC198" s="15"/>
      <c r="CD198" s="15"/>
      <c r="CE198" s="15"/>
      <c r="CF198" s="15"/>
      <c r="CG198" s="15"/>
      <c r="CH198" s="15"/>
      <c r="CI198" s="15"/>
      <c r="CJ198" s="15"/>
      <c r="CK198" s="15" t="s">
        <v>188</v>
      </c>
      <c r="CL198" s="15"/>
      <c r="CM198" s="15"/>
      <c r="CN198" s="15"/>
      <c r="CO198" s="15"/>
      <c r="CP198" s="15" t="s">
        <v>193</v>
      </c>
      <c r="CQ198" s="15" t="s">
        <v>632</v>
      </c>
      <c r="CR198" s="15" t="s">
        <v>188</v>
      </c>
      <c r="CS198" s="15"/>
      <c r="CT198" s="15"/>
      <c r="CU198" s="15"/>
      <c r="CV198" s="15"/>
      <c r="CW198" s="15"/>
      <c r="CX198" s="15" t="s">
        <v>188</v>
      </c>
      <c r="CY198" s="15" t="s">
        <v>188</v>
      </c>
      <c r="CZ198" s="3"/>
      <c r="DA198" s="49" t="s">
        <v>658</v>
      </c>
      <c r="DC198" s="18">
        <f t="shared" si="6"/>
        <v>0</v>
      </c>
      <c r="DD198" s="18">
        <f t="shared" si="7"/>
        <v>3</v>
      </c>
      <c r="DE198" s="18">
        <f t="shared" si="8"/>
        <v>2007</v>
      </c>
    </row>
    <row r="199" spans="1:109" x14ac:dyDescent="0.25">
      <c r="A199" s="59" t="s">
        <v>1320</v>
      </c>
      <c r="B199" s="103">
        <v>41543</v>
      </c>
      <c r="C199" s="105" t="s">
        <v>1561</v>
      </c>
      <c r="D199" s="14" t="s">
        <v>629</v>
      </c>
      <c r="E199" s="15" t="s">
        <v>188</v>
      </c>
      <c r="F199" s="15"/>
      <c r="G199" s="15"/>
      <c r="H199" s="15"/>
      <c r="I199" s="15">
        <v>36</v>
      </c>
      <c r="J199" s="15" t="s">
        <v>189</v>
      </c>
      <c r="K199" s="15" t="s">
        <v>214</v>
      </c>
      <c r="L199" s="15" t="s">
        <v>646</v>
      </c>
      <c r="M199" s="15" t="s">
        <v>1071</v>
      </c>
      <c r="N199" s="15" t="s">
        <v>1089</v>
      </c>
      <c r="O199" s="15">
        <v>10</v>
      </c>
      <c r="P199" s="15"/>
      <c r="Q199" s="15"/>
      <c r="R199" s="15"/>
      <c r="S199" s="15" t="s">
        <v>188</v>
      </c>
      <c r="T199" s="15"/>
      <c r="U199" s="15"/>
      <c r="V199" s="15"/>
      <c r="W199" s="15"/>
      <c r="X199" s="15"/>
      <c r="Y199" s="15" t="s">
        <v>188</v>
      </c>
      <c r="Z199" s="15"/>
      <c r="AA199" s="15"/>
      <c r="AB199" s="15"/>
      <c r="AC199" s="15"/>
      <c r="AD199" s="15"/>
      <c r="AE199" s="15"/>
      <c r="AF199" s="15"/>
      <c r="AG199" s="15"/>
      <c r="AH199" s="15">
        <v>2008</v>
      </c>
      <c r="AI199" s="1">
        <v>379858</v>
      </c>
      <c r="AJ199" s="15"/>
      <c r="AK199" s="15"/>
      <c r="AL199" s="15" t="s">
        <v>188</v>
      </c>
      <c r="AM199" s="15"/>
      <c r="AN199" s="15"/>
      <c r="AO199" s="15"/>
      <c r="AP199" s="15" t="s">
        <v>188</v>
      </c>
      <c r="AQ199" s="15"/>
      <c r="AR199" s="15"/>
      <c r="AS199" s="15"/>
      <c r="AT199" s="15" t="s">
        <v>322</v>
      </c>
      <c r="AU199" s="1">
        <v>8500</v>
      </c>
      <c r="AV199" s="48">
        <v>0.5</v>
      </c>
      <c r="AW199" s="15">
        <v>2.8</v>
      </c>
      <c r="AX199" s="15">
        <v>2.4</v>
      </c>
      <c r="AY199" s="15">
        <v>3</v>
      </c>
      <c r="AZ199" s="15">
        <v>1150</v>
      </c>
      <c r="BA199" s="15">
        <v>3000</v>
      </c>
      <c r="BB199" s="15" t="s">
        <v>188</v>
      </c>
      <c r="BC199" s="15" t="s">
        <v>188</v>
      </c>
      <c r="BD199" s="15" t="s">
        <v>199</v>
      </c>
      <c r="BE199" s="1">
        <v>17000</v>
      </c>
      <c r="BF199" s="1">
        <v>120000</v>
      </c>
      <c r="BG199" s="1">
        <v>21000</v>
      </c>
      <c r="BH199" s="1">
        <v>120000</v>
      </c>
      <c r="BI199" s="1" t="s">
        <v>193</v>
      </c>
      <c r="BJ199" s="15"/>
      <c r="BK199" s="15"/>
      <c r="BL199" s="15" t="s">
        <v>188</v>
      </c>
      <c r="BM199" s="15"/>
      <c r="BN199" s="15"/>
      <c r="BO199" s="15"/>
      <c r="BP199" s="15"/>
      <c r="BQ199" s="15"/>
      <c r="BR199" s="15" t="s">
        <v>188</v>
      </c>
      <c r="BS199" s="2"/>
      <c r="BT199" s="15"/>
      <c r="BU199" s="15"/>
      <c r="BV199" s="15" t="s">
        <v>188</v>
      </c>
      <c r="BW199" s="15"/>
      <c r="BX199" s="15">
        <v>1</v>
      </c>
      <c r="BY199" s="15">
        <v>3</v>
      </c>
      <c r="BZ199" s="15">
        <v>2</v>
      </c>
      <c r="CA199" s="15"/>
      <c r="CB199" s="15" t="s">
        <v>188</v>
      </c>
      <c r="CC199" s="15"/>
      <c r="CD199" s="15"/>
      <c r="CE199" s="15"/>
      <c r="CF199" s="15"/>
      <c r="CG199" s="15"/>
      <c r="CH199" s="15"/>
      <c r="CI199" s="15"/>
      <c r="CJ199" s="15"/>
      <c r="CK199" s="15" t="s">
        <v>188</v>
      </c>
      <c r="CL199" s="15"/>
      <c r="CM199" s="15"/>
      <c r="CN199" s="15"/>
      <c r="CO199" s="15"/>
      <c r="CP199" s="15" t="s">
        <v>193</v>
      </c>
      <c r="CQ199" s="15" t="s">
        <v>632</v>
      </c>
      <c r="CR199" s="15" t="s">
        <v>188</v>
      </c>
      <c r="CS199" s="15"/>
      <c r="CT199" s="15"/>
      <c r="CU199" s="15"/>
      <c r="CV199" s="15"/>
      <c r="CW199" s="15"/>
      <c r="CX199" s="15" t="s">
        <v>188</v>
      </c>
      <c r="CY199" s="15" t="s">
        <v>188</v>
      </c>
      <c r="CZ199" s="3"/>
      <c r="DA199" s="49" t="s">
        <v>649</v>
      </c>
      <c r="DC199" s="18">
        <f t="shared" si="6"/>
        <v>0</v>
      </c>
      <c r="DD199" s="18">
        <f t="shared" si="7"/>
        <v>1</v>
      </c>
      <c r="DE199" s="18">
        <f t="shared" si="8"/>
        <v>2008</v>
      </c>
    </row>
    <row r="200" spans="1:109" x14ac:dyDescent="0.25">
      <c r="A200" s="59" t="s">
        <v>1318</v>
      </c>
      <c r="B200" s="103">
        <v>41547</v>
      </c>
      <c r="C200" s="105" t="s">
        <v>1576</v>
      </c>
      <c r="D200" s="14" t="s">
        <v>666</v>
      </c>
      <c r="E200" s="15"/>
      <c r="F200" s="15" t="s">
        <v>188</v>
      </c>
      <c r="G200" s="15"/>
      <c r="H200" s="15"/>
      <c r="I200" s="15">
        <v>51</v>
      </c>
      <c r="J200" s="15" t="s">
        <v>189</v>
      </c>
      <c r="K200" s="15" t="s">
        <v>214</v>
      </c>
      <c r="L200" s="15" t="s">
        <v>405</v>
      </c>
      <c r="M200" s="15" t="s">
        <v>1037</v>
      </c>
      <c r="N200" s="15" t="s">
        <v>1085</v>
      </c>
      <c r="O200" s="15">
        <v>30</v>
      </c>
      <c r="P200" s="15"/>
      <c r="Q200" s="15"/>
      <c r="R200" s="15" t="s">
        <v>188</v>
      </c>
      <c r="S200" s="15"/>
      <c r="T200" s="15"/>
      <c r="U200" s="15" t="s">
        <v>188</v>
      </c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>
        <v>2010</v>
      </c>
      <c r="AI200" s="1">
        <v>180000</v>
      </c>
      <c r="AJ200" s="15"/>
      <c r="AK200" s="15"/>
      <c r="AL200" s="15" t="s">
        <v>188</v>
      </c>
      <c r="AM200" s="15"/>
      <c r="AN200" s="15"/>
      <c r="AO200" s="15"/>
      <c r="AP200" s="15" t="s">
        <v>188</v>
      </c>
      <c r="AQ200" s="15"/>
      <c r="AR200" s="15"/>
      <c r="AS200" s="15"/>
      <c r="AT200" s="15" t="s">
        <v>1316</v>
      </c>
      <c r="AU200" s="1">
        <v>5000</v>
      </c>
      <c r="AV200" s="48">
        <v>0.5</v>
      </c>
      <c r="AW200" s="15">
        <v>3.5</v>
      </c>
      <c r="AX200" s="15">
        <v>2.8</v>
      </c>
      <c r="AY200" s="15">
        <v>3</v>
      </c>
      <c r="AZ200" s="15">
        <v>625</v>
      </c>
      <c r="BA200" s="15">
        <v>2000</v>
      </c>
      <c r="BB200" s="15" t="s">
        <v>188</v>
      </c>
      <c r="BC200" s="15" t="s">
        <v>188</v>
      </c>
      <c r="BD200" s="15" t="s">
        <v>188</v>
      </c>
      <c r="BE200" s="1">
        <v>20000</v>
      </c>
      <c r="BF200" s="1">
        <v>60000</v>
      </c>
      <c r="BG200" s="1">
        <v>20000</v>
      </c>
      <c r="BH200" s="1">
        <v>90000</v>
      </c>
      <c r="BI200" s="1">
        <v>20000</v>
      </c>
      <c r="BJ200" s="15"/>
      <c r="BK200" s="15"/>
      <c r="BL200" s="15"/>
      <c r="BM200" s="15"/>
      <c r="BN200" s="15"/>
      <c r="BO200" s="15" t="s">
        <v>188</v>
      </c>
      <c r="BP200" s="15"/>
      <c r="BQ200" s="15"/>
      <c r="BR200" s="15"/>
      <c r="BS200" s="2"/>
      <c r="BT200" s="15"/>
      <c r="BU200" s="15" t="s">
        <v>188</v>
      </c>
      <c r="BV200" s="15"/>
      <c r="BW200" s="15"/>
      <c r="BX200" s="15">
        <v>3</v>
      </c>
      <c r="BY200" s="15">
        <v>4</v>
      </c>
      <c r="BZ200" s="15">
        <v>2</v>
      </c>
      <c r="CA200" s="15" t="s">
        <v>208</v>
      </c>
      <c r="CB200" s="15"/>
      <c r="CC200" s="15" t="s">
        <v>188</v>
      </c>
      <c r="CD200" s="15"/>
      <c r="CE200" s="15"/>
      <c r="CF200" s="15" t="s">
        <v>188</v>
      </c>
      <c r="CG200" s="15" t="s">
        <v>188</v>
      </c>
      <c r="CH200" s="15" t="s">
        <v>188</v>
      </c>
      <c r="CI200" s="15" t="s">
        <v>188</v>
      </c>
      <c r="CJ200" s="15"/>
      <c r="CK200" s="15"/>
      <c r="CL200" s="15" t="s">
        <v>188</v>
      </c>
      <c r="CM200" s="15" t="s">
        <v>188</v>
      </c>
      <c r="CN200" s="15" t="s">
        <v>667</v>
      </c>
      <c r="CO200" s="15"/>
      <c r="CP200" s="15" t="s">
        <v>668</v>
      </c>
      <c r="CQ200" s="15" t="s">
        <v>309</v>
      </c>
      <c r="CR200" s="15"/>
      <c r="CS200" s="15"/>
      <c r="CT200" s="15"/>
      <c r="CU200" s="15" t="s">
        <v>324</v>
      </c>
      <c r="CV200" s="15" t="s">
        <v>188</v>
      </c>
      <c r="CW200" s="15" t="s">
        <v>270</v>
      </c>
      <c r="CX200" s="15"/>
      <c r="CY200" s="15"/>
      <c r="CZ200" s="3"/>
      <c r="DA200" s="49"/>
      <c r="DC200" s="18">
        <f t="shared" ref="DC200:DC263" si="9">IF(AX200&gt;AW200,1,0)</f>
        <v>0</v>
      </c>
      <c r="DD200" s="18">
        <f t="shared" ref="DD200:DD263" si="10">IF(E200="X",1,(IF(F200="X",2,(IF(G200="X",3,7)))))</f>
        <v>2</v>
      </c>
      <c r="DE200" s="18">
        <f t="shared" ref="DE200:DE263" si="11">IF(AS200&gt;AH200,AS200,AH200)</f>
        <v>2010</v>
      </c>
    </row>
    <row r="201" spans="1:109" x14ac:dyDescent="0.25">
      <c r="A201" s="59" t="s">
        <v>1318</v>
      </c>
      <c r="B201" s="103">
        <v>41547</v>
      </c>
      <c r="C201" s="105" t="s">
        <v>1576</v>
      </c>
      <c r="D201" s="14" t="s">
        <v>670</v>
      </c>
      <c r="E201" s="15" t="s">
        <v>188</v>
      </c>
      <c r="F201" s="15"/>
      <c r="G201" s="15"/>
      <c r="H201" s="15"/>
      <c r="I201" s="15">
        <v>31</v>
      </c>
      <c r="J201" s="15" t="s">
        <v>189</v>
      </c>
      <c r="K201" s="15" t="s">
        <v>190</v>
      </c>
      <c r="L201" s="15" t="s">
        <v>671</v>
      </c>
      <c r="M201" s="15" t="s">
        <v>1081</v>
      </c>
      <c r="N201" s="15" t="s">
        <v>1085</v>
      </c>
      <c r="O201" s="15">
        <v>8</v>
      </c>
      <c r="P201" s="15"/>
      <c r="Q201" s="15"/>
      <c r="R201" s="15"/>
      <c r="S201" s="15" t="s">
        <v>188</v>
      </c>
      <c r="T201" s="15"/>
      <c r="U201" s="15" t="s">
        <v>188</v>
      </c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>
        <v>1981</v>
      </c>
      <c r="AI201" s="1">
        <v>2500000</v>
      </c>
      <c r="AJ201" s="15"/>
      <c r="AK201" s="15"/>
      <c r="AL201" s="15" t="s">
        <v>188</v>
      </c>
      <c r="AM201" s="15"/>
      <c r="AN201" s="15"/>
      <c r="AO201" s="15"/>
      <c r="AP201" s="15" t="s">
        <v>188</v>
      </c>
      <c r="AQ201" s="15"/>
      <c r="AR201" s="15"/>
      <c r="AS201" s="15"/>
      <c r="AT201" s="15" t="s">
        <v>390</v>
      </c>
      <c r="AU201" s="1">
        <v>4000</v>
      </c>
      <c r="AV201" s="48">
        <v>0.1</v>
      </c>
      <c r="AW201" s="15">
        <v>3</v>
      </c>
      <c r="AX201" s="15">
        <v>2.5</v>
      </c>
      <c r="AY201" s="15">
        <v>2</v>
      </c>
      <c r="AZ201" s="15">
        <v>430</v>
      </c>
      <c r="BA201" s="15">
        <v>1200</v>
      </c>
      <c r="BB201" s="15" t="s">
        <v>199</v>
      </c>
      <c r="BC201" s="15" t="s">
        <v>199</v>
      </c>
      <c r="BD201" s="15" t="s">
        <v>199</v>
      </c>
      <c r="BE201" s="1">
        <v>20000</v>
      </c>
      <c r="BF201" s="1">
        <v>6000</v>
      </c>
      <c r="BG201" s="1">
        <v>20000</v>
      </c>
      <c r="BH201" s="1">
        <v>200000</v>
      </c>
      <c r="BI201" s="1">
        <v>20000</v>
      </c>
      <c r="BJ201" s="15"/>
      <c r="BK201" s="15"/>
      <c r="BL201" s="15"/>
      <c r="BM201" s="15" t="s">
        <v>188</v>
      </c>
      <c r="BN201" s="15" t="s">
        <v>188</v>
      </c>
      <c r="BO201" s="15"/>
      <c r="BP201" s="15"/>
      <c r="BQ201" s="15"/>
      <c r="BR201" s="15"/>
      <c r="BS201" s="2"/>
      <c r="BT201" s="15"/>
      <c r="BU201" s="15" t="s">
        <v>188</v>
      </c>
      <c r="BV201" s="15"/>
      <c r="BW201" s="15"/>
      <c r="BX201" s="15">
        <v>3</v>
      </c>
      <c r="BY201" s="15">
        <v>2</v>
      </c>
      <c r="BZ201" s="15">
        <v>1</v>
      </c>
      <c r="CA201" s="15"/>
      <c r="CB201" s="15"/>
      <c r="CC201" s="15" t="s">
        <v>188</v>
      </c>
      <c r="CD201" s="15"/>
      <c r="CE201" s="15"/>
      <c r="CF201" s="15"/>
      <c r="CG201" s="15"/>
      <c r="CH201" s="15" t="s">
        <v>188</v>
      </c>
      <c r="CI201" s="15" t="s">
        <v>188</v>
      </c>
      <c r="CJ201" s="15"/>
      <c r="CK201" s="15" t="s">
        <v>188</v>
      </c>
      <c r="CL201" s="15"/>
      <c r="CM201" s="15"/>
      <c r="CN201" s="15"/>
      <c r="CO201" s="15"/>
      <c r="CP201" s="15" t="s">
        <v>193</v>
      </c>
      <c r="CQ201" s="15" t="s">
        <v>632</v>
      </c>
      <c r="CR201" s="15"/>
      <c r="CS201" s="15" t="s">
        <v>188</v>
      </c>
      <c r="CT201" s="15"/>
      <c r="CU201" s="15"/>
      <c r="CV201" s="15" t="s">
        <v>188</v>
      </c>
      <c r="CW201" s="15" t="s">
        <v>270</v>
      </c>
      <c r="CX201" s="15"/>
      <c r="CY201" s="15"/>
      <c r="CZ201" s="3"/>
      <c r="DA201" s="49"/>
      <c r="DC201" s="18">
        <f t="shared" si="9"/>
        <v>0</v>
      </c>
      <c r="DD201" s="18">
        <f t="shared" si="10"/>
        <v>1</v>
      </c>
      <c r="DE201" s="18">
        <f t="shared" si="11"/>
        <v>1981</v>
      </c>
    </row>
    <row r="202" spans="1:109" x14ac:dyDescent="0.25">
      <c r="A202" s="59" t="s">
        <v>1318</v>
      </c>
      <c r="B202" s="103">
        <v>41547</v>
      </c>
      <c r="C202" s="105" t="s">
        <v>1576</v>
      </c>
      <c r="D202" s="14" t="s">
        <v>672</v>
      </c>
      <c r="E202" s="15"/>
      <c r="F202" s="15"/>
      <c r="G202" s="15" t="s">
        <v>188</v>
      </c>
      <c r="H202" s="15"/>
      <c r="I202" s="15">
        <v>24</v>
      </c>
      <c r="J202" s="15" t="s">
        <v>189</v>
      </c>
      <c r="K202" s="15" t="s">
        <v>214</v>
      </c>
      <c r="L202" s="15" t="s">
        <v>399</v>
      </c>
      <c r="M202" s="15" t="s">
        <v>1033</v>
      </c>
      <c r="N202" s="15" t="s">
        <v>1085</v>
      </c>
      <c r="O202" s="15">
        <v>3</v>
      </c>
      <c r="P202" s="15"/>
      <c r="Q202" s="15" t="s">
        <v>188</v>
      </c>
      <c r="R202" s="15"/>
      <c r="S202" s="15"/>
      <c r="T202" s="15"/>
      <c r="U202" s="15" t="s">
        <v>188</v>
      </c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>
        <v>2009</v>
      </c>
      <c r="AI202" s="1">
        <v>480000</v>
      </c>
      <c r="AJ202" s="15"/>
      <c r="AK202" s="15"/>
      <c r="AL202" s="15" t="s">
        <v>188</v>
      </c>
      <c r="AM202" s="15"/>
      <c r="AN202" s="15"/>
      <c r="AO202" s="15"/>
      <c r="AP202" s="15" t="s">
        <v>188</v>
      </c>
      <c r="AQ202" s="15"/>
      <c r="AR202" s="15"/>
      <c r="AS202" s="15"/>
      <c r="AT202" s="15" t="s">
        <v>237</v>
      </c>
      <c r="AU202" s="1">
        <v>10000</v>
      </c>
      <c r="AV202" s="48">
        <v>0.5</v>
      </c>
      <c r="AW202" s="15">
        <v>4.2</v>
      </c>
      <c r="AX202" s="15">
        <v>4</v>
      </c>
      <c r="AY202" s="15">
        <v>2</v>
      </c>
      <c r="AZ202" s="15">
        <v>600</v>
      </c>
      <c r="BA202" s="15">
        <v>2500</v>
      </c>
      <c r="BB202" s="15" t="s">
        <v>188</v>
      </c>
      <c r="BC202" s="15" t="s">
        <v>199</v>
      </c>
      <c r="BD202" s="15" t="s">
        <v>199</v>
      </c>
      <c r="BE202" s="1">
        <v>40000</v>
      </c>
      <c r="BF202" s="1">
        <v>40000</v>
      </c>
      <c r="BG202" s="1">
        <v>40000</v>
      </c>
      <c r="BH202" s="1">
        <v>120000</v>
      </c>
      <c r="BI202" s="1">
        <v>40000</v>
      </c>
      <c r="BJ202" s="15"/>
      <c r="BK202" s="15"/>
      <c r="BL202" s="15"/>
      <c r="BM202" s="15"/>
      <c r="BN202" s="15"/>
      <c r="BO202" s="15"/>
      <c r="BP202" s="15"/>
      <c r="BQ202" s="15"/>
      <c r="BR202" s="15"/>
      <c r="BS202" s="2" t="s">
        <v>673</v>
      </c>
      <c r="BT202" s="15"/>
      <c r="BU202" s="15" t="s">
        <v>188</v>
      </c>
      <c r="BV202" s="15"/>
      <c r="BW202" s="15"/>
      <c r="BX202" s="15">
        <v>1</v>
      </c>
      <c r="BY202" s="15">
        <v>3</v>
      </c>
      <c r="BZ202" s="15">
        <v>2</v>
      </c>
      <c r="CA202" s="15"/>
      <c r="CB202" s="15"/>
      <c r="CC202" s="15" t="s">
        <v>188</v>
      </c>
      <c r="CD202" s="15"/>
      <c r="CE202" s="15" t="s">
        <v>188</v>
      </c>
      <c r="CF202" s="15"/>
      <c r="CG202" s="15" t="s">
        <v>188</v>
      </c>
      <c r="CH202" s="15" t="s">
        <v>188</v>
      </c>
      <c r="CI202" s="15" t="s">
        <v>188</v>
      </c>
      <c r="CJ202" s="15"/>
      <c r="CK202" s="15" t="s">
        <v>188</v>
      </c>
      <c r="CL202" s="15"/>
      <c r="CM202" s="15"/>
      <c r="CN202" s="15"/>
      <c r="CO202" s="15"/>
      <c r="CP202" s="15" t="s">
        <v>193</v>
      </c>
      <c r="CQ202" s="15" t="s">
        <v>632</v>
      </c>
      <c r="CR202" s="15"/>
      <c r="CS202" s="15"/>
      <c r="CT202" s="15" t="s">
        <v>188</v>
      </c>
      <c r="CU202" s="15"/>
      <c r="CV202" s="15"/>
      <c r="CW202" s="15"/>
      <c r="CX202" s="15" t="s">
        <v>188</v>
      </c>
      <c r="CY202" s="15"/>
      <c r="CZ202" s="3"/>
      <c r="DA202" s="49"/>
      <c r="DC202" s="18">
        <f t="shared" si="9"/>
        <v>0</v>
      </c>
      <c r="DD202" s="18">
        <f t="shared" si="10"/>
        <v>3</v>
      </c>
      <c r="DE202" s="18">
        <f t="shared" si="11"/>
        <v>2009</v>
      </c>
    </row>
    <row r="203" spans="1:109" x14ac:dyDescent="0.25">
      <c r="A203" s="59" t="s">
        <v>1318</v>
      </c>
      <c r="B203" s="103">
        <v>41547</v>
      </c>
      <c r="C203" s="105" t="s">
        <v>1576</v>
      </c>
      <c r="D203" s="14" t="s">
        <v>674</v>
      </c>
      <c r="E203" s="15"/>
      <c r="F203" s="15"/>
      <c r="G203" s="15"/>
      <c r="H203" s="15" t="s">
        <v>188</v>
      </c>
      <c r="I203" s="15">
        <v>54</v>
      </c>
      <c r="J203" s="15" t="s">
        <v>189</v>
      </c>
      <c r="K203" s="15" t="s">
        <v>220</v>
      </c>
      <c r="L203" s="15" t="s">
        <v>591</v>
      </c>
      <c r="M203" s="15" t="s">
        <v>1058</v>
      </c>
      <c r="N203" s="15" t="s">
        <v>1085</v>
      </c>
      <c r="O203" s="15">
        <v>30</v>
      </c>
      <c r="P203" s="15" t="s">
        <v>188</v>
      </c>
      <c r="Q203" s="15"/>
      <c r="R203" s="15"/>
      <c r="S203" s="15"/>
      <c r="T203" s="15"/>
      <c r="U203" s="15"/>
      <c r="V203" s="15"/>
      <c r="W203" s="15"/>
      <c r="X203" s="15" t="s">
        <v>188</v>
      </c>
      <c r="Y203" s="15"/>
      <c r="Z203" s="15"/>
      <c r="AA203" s="15"/>
      <c r="AB203" s="15"/>
      <c r="AC203" s="15"/>
      <c r="AD203" s="15"/>
      <c r="AE203" s="15"/>
      <c r="AF203" s="15"/>
      <c r="AG203" s="15"/>
      <c r="AH203" s="15">
        <v>2005</v>
      </c>
      <c r="AI203" s="1">
        <v>450000</v>
      </c>
      <c r="AJ203" s="15"/>
      <c r="AK203" s="15"/>
      <c r="AL203" s="15" t="s">
        <v>188</v>
      </c>
      <c r="AM203" s="15"/>
      <c r="AN203" s="15"/>
      <c r="AO203" s="15"/>
      <c r="AP203" s="15" t="s">
        <v>188</v>
      </c>
      <c r="AQ203" s="15"/>
      <c r="AR203" s="15"/>
      <c r="AS203" s="15"/>
      <c r="AT203" s="15" t="s">
        <v>328</v>
      </c>
      <c r="AU203" s="1">
        <v>24000</v>
      </c>
      <c r="AV203" s="48">
        <v>0.5</v>
      </c>
      <c r="AW203" s="15">
        <v>3.2</v>
      </c>
      <c r="AX203" s="15">
        <v>3</v>
      </c>
      <c r="AY203" s="15">
        <v>1</v>
      </c>
      <c r="AZ203" s="15">
        <v>550</v>
      </c>
      <c r="BA203" s="15">
        <v>1700</v>
      </c>
      <c r="BB203" s="15" t="s">
        <v>188</v>
      </c>
      <c r="BC203" s="15" t="s">
        <v>199</v>
      </c>
      <c r="BD203" s="15" t="s">
        <v>188</v>
      </c>
      <c r="BE203" s="1">
        <v>36000</v>
      </c>
      <c r="BF203" s="1">
        <v>30000</v>
      </c>
      <c r="BG203" s="1">
        <v>36000</v>
      </c>
      <c r="BH203" s="1">
        <v>200000</v>
      </c>
      <c r="BI203" s="1">
        <v>36000</v>
      </c>
      <c r="BJ203" s="15" t="s">
        <v>188</v>
      </c>
      <c r="BK203" s="15"/>
      <c r="BL203" s="15"/>
      <c r="BM203" s="15"/>
      <c r="BN203" s="15"/>
      <c r="BO203" s="15"/>
      <c r="BP203" s="15"/>
      <c r="BQ203" s="15" t="s">
        <v>188</v>
      </c>
      <c r="BR203" s="15"/>
      <c r="BS203" s="2"/>
      <c r="BT203" s="15"/>
      <c r="BU203" s="15" t="s">
        <v>188</v>
      </c>
      <c r="BV203" s="15"/>
      <c r="BW203" s="15"/>
      <c r="BX203" s="15">
        <v>2</v>
      </c>
      <c r="BY203" s="15">
        <v>3</v>
      </c>
      <c r="BZ203" s="15">
        <v>1</v>
      </c>
      <c r="CA203" s="15"/>
      <c r="CB203" s="15"/>
      <c r="CC203" s="15" t="s">
        <v>188</v>
      </c>
      <c r="CD203" s="15"/>
      <c r="CE203" s="15"/>
      <c r="CF203" s="15"/>
      <c r="CG203" s="15" t="s">
        <v>188</v>
      </c>
      <c r="CH203" s="15"/>
      <c r="CI203" s="15" t="s">
        <v>188</v>
      </c>
      <c r="CJ203" s="15"/>
      <c r="CK203" s="15"/>
      <c r="CL203" s="15" t="s">
        <v>188</v>
      </c>
      <c r="CM203" s="15" t="s">
        <v>188</v>
      </c>
      <c r="CN203" s="15" t="s">
        <v>675</v>
      </c>
      <c r="CO203" s="15"/>
      <c r="CP203" s="15" t="s">
        <v>668</v>
      </c>
      <c r="CQ203" s="15" t="s">
        <v>632</v>
      </c>
      <c r="CR203" s="15"/>
      <c r="CS203" s="15"/>
      <c r="CT203" s="15"/>
      <c r="CU203" s="15" t="s">
        <v>324</v>
      </c>
      <c r="CV203" s="15" t="s">
        <v>188</v>
      </c>
      <c r="CW203" s="15" t="s">
        <v>695</v>
      </c>
      <c r="CX203" s="15"/>
      <c r="CY203" s="15"/>
      <c r="CZ203" s="3"/>
      <c r="DA203" s="49"/>
      <c r="DC203" s="18">
        <f t="shared" si="9"/>
        <v>0</v>
      </c>
      <c r="DD203" s="18">
        <f t="shared" si="10"/>
        <v>7</v>
      </c>
      <c r="DE203" s="18">
        <f t="shared" si="11"/>
        <v>2005</v>
      </c>
    </row>
    <row r="204" spans="1:109" x14ac:dyDescent="0.25">
      <c r="A204" s="59" t="s">
        <v>1318</v>
      </c>
      <c r="B204" s="103">
        <v>41547</v>
      </c>
      <c r="C204" s="105" t="s">
        <v>1576</v>
      </c>
      <c r="D204" s="14" t="s">
        <v>676</v>
      </c>
      <c r="E204" s="15"/>
      <c r="F204" s="15"/>
      <c r="G204" s="15"/>
      <c r="H204" s="15" t="s">
        <v>188</v>
      </c>
      <c r="I204" s="15">
        <v>38</v>
      </c>
      <c r="J204" s="15" t="s">
        <v>189</v>
      </c>
      <c r="K204" s="15" t="s">
        <v>190</v>
      </c>
      <c r="L204" s="15" t="s">
        <v>396</v>
      </c>
      <c r="M204" s="50" t="s">
        <v>1029</v>
      </c>
      <c r="N204" s="15" t="s">
        <v>1085</v>
      </c>
      <c r="O204" s="15">
        <v>20</v>
      </c>
      <c r="P204" s="15"/>
      <c r="Q204" s="15"/>
      <c r="R204" s="15"/>
      <c r="S204" s="15" t="s">
        <v>188</v>
      </c>
      <c r="T204" s="15"/>
      <c r="U204" s="15" t="s">
        <v>188</v>
      </c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>
        <v>2003</v>
      </c>
      <c r="AI204" s="1" t="s">
        <v>269</v>
      </c>
      <c r="AJ204" s="15"/>
      <c r="AK204" s="15"/>
      <c r="AL204" s="15" t="s">
        <v>188</v>
      </c>
      <c r="AM204" s="15"/>
      <c r="AN204" s="15"/>
      <c r="AO204" s="15"/>
      <c r="AP204" s="15" t="s">
        <v>188</v>
      </c>
      <c r="AQ204" s="15"/>
      <c r="AR204" s="15"/>
      <c r="AS204" s="15"/>
      <c r="AT204" s="15" t="s">
        <v>266</v>
      </c>
      <c r="AU204" s="1">
        <v>4000</v>
      </c>
      <c r="AV204" s="48">
        <v>0.5</v>
      </c>
      <c r="AW204" s="15">
        <v>2.5</v>
      </c>
      <c r="AX204" s="15">
        <v>2.2000000000000002</v>
      </c>
      <c r="AY204" s="15">
        <v>2</v>
      </c>
      <c r="AZ204" s="15">
        <v>1050</v>
      </c>
      <c r="BA204" s="15">
        <v>2500</v>
      </c>
      <c r="BB204" s="15" t="s">
        <v>199</v>
      </c>
      <c r="BC204" s="15" t="s">
        <v>188</v>
      </c>
      <c r="BD204" s="15" t="s">
        <v>199</v>
      </c>
      <c r="BE204" s="1">
        <v>10000</v>
      </c>
      <c r="BF204" s="1">
        <v>10000</v>
      </c>
      <c r="BG204" s="1">
        <v>10000</v>
      </c>
      <c r="BH204" s="1" t="s">
        <v>193</v>
      </c>
      <c r="BI204" s="1">
        <v>10000</v>
      </c>
      <c r="BJ204" s="15" t="s">
        <v>188</v>
      </c>
      <c r="BK204" s="15"/>
      <c r="BL204" s="15"/>
      <c r="BM204" s="15"/>
      <c r="BN204" s="15"/>
      <c r="BO204" s="15"/>
      <c r="BP204" s="15"/>
      <c r="BQ204" s="15"/>
      <c r="BR204" s="15"/>
      <c r="BS204" s="2"/>
      <c r="BT204" s="15"/>
      <c r="BU204" s="15"/>
      <c r="BV204" s="15" t="s">
        <v>188</v>
      </c>
      <c r="BW204" s="15"/>
      <c r="BX204" s="15">
        <v>2</v>
      </c>
      <c r="BY204" s="15">
        <v>4</v>
      </c>
      <c r="BZ204" s="15">
        <v>3</v>
      </c>
      <c r="CA204" s="15" t="s">
        <v>208</v>
      </c>
      <c r="CB204" s="15" t="s">
        <v>188</v>
      </c>
      <c r="CC204" s="15"/>
      <c r="CD204" s="15"/>
      <c r="CE204" s="15"/>
      <c r="CF204" s="15"/>
      <c r="CG204" s="15"/>
      <c r="CH204" s="15"/>
      <c r="CI204" s="15"/>
      <c r="CJ204" s="15"/>
      <c r="CK204" s="15" t="s">
        <v>188</v>
      </c>
      <c r="CL204" s="15"/>
      <c r="CM204" s="15"/>
      <c r="CN204" s="15"/>
      <c r="CO204" s="15"/>
      <c r="CP204" s="15" t="s">
        <v>193</v>
      </c>
      <c r="CQ204" s="15" t="s">
        <v>632</v>
      </c>
      <c r="CR204" s="15" t="s">
        <v>188</v>
      </c>
      <c r="CS204" s="15"/>
      <c r="CT204" s="15"/>
      <c r="CU204" s="15"/>
      <c r="CV204" s="15"/>
      <c r="CW204" s="15"/>
      <c r="CX204" s="15"/>
      <c r="CY204" s="15" t="s">
        <v>188</v>
      </c>
      <c r="CZ204" s="3"/>
      <c r="DA204" s="49"/>
      <c r="DC204" s="18">
        <f t="shared" si="9"/>
        <v>0</v>
      </c>
      <c r="DD204" s="18">
        <f t="shared" si="10"/>
        <v>7</v>
      </c>
      <c r="DE204" s="18">
        <f t="shared" si="11"/>
        <v>2003</v>
      </c>
    </row>
    <row r="205" spans="1:109" x14ac:dyDescent="0.25">
      <c r="A205" s="59" t="s">
        <v>1318</v>
      </c>
      <c r="B205" s="103">
        <v>41547</v>
      </c>
      <c r="C205" s="105" t="s">
        <v>1576</v>
      </c>
      <c r="D205" s="14" t="s">
        <v>677</v>
      </c>
      <c r="E205" s="15"/>
      <c r="F205" s="15"/>
      <c r="G205" s="15" t="s">
        <v>188</v>
      </c>
      <c r="H205" s="15"/>
      <c r="I205" s="15">
        <v>19</v>
      </c>
      <c r="J205" s="15" t="s">
        <v>189</v>
      </c>
      <c r="K205" s="15" t="s">
        <v>190</v>
      </c>
      <c r="L205" s="15" t="s">
        <v>414</v>
      </c>
      <c r="M205" s="15" t="s">
        <v>1042</v>
      </c>
      <c r="N205" s="15" t="s">
        <v>1085</v>
      </c>
      <c r="O205" s="15">
        <v>2</v>
      </c>
      <c r="P205" s="15" t="s">
        <v>188</v>
      </c>
      <c r="Q205" s="15"/>
      <c r="R205" s="15"/>
      <c r="S205" s="15"/>
      <c r="T205" s="15"/>
      <c r="U205" s="15" t="s">
        <v>188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>
        <v>2000</v>
      </c>
      <c r="AI205" s="1" t="s">
        <v>269</v>
      </c>
      <c r="AJ205" s="15"/>
      <c r="AK205" s="15"/>
      <c r="AL205" s="15" t="s">
        <v>188</v>
      </c>
      <c r="AM205" s="15"/>
      <c r="AN205" s="15"/>
      <c r="AO205" s="15"/>
      <c r="AP205" s="15" t="s">
        <v>188</v>
      </c>
      <c r="AQ205" s="15"/>
      <c r="AR205" s="15"/>
      <c r="AS205" s="15"/>
      <c r="AT205" s="15" t="s">
        <v>266</v>
      </c>
      <c r="AU205" s="1">
        <v>30000</v>
      </c>
      <c r="AV205" s="48">
        <v>0.5</v>
      </c>
      <c r="AW205" s="15" t="s">
        <v>193</v>
      </c>
      <c r="AX205" s="15" t="s">
        <v>193</v>
      </c>
      <c r="AY205" s="15">
        <v>2</v>
      </c>
      <c r="AZ205" s="15">
        <v>350</v>
      </c>
      <c r="BA205" s="15">
        <v>1500</v>
      </c>
      <c r="BB205" s="15" t="s">
        <v>188</v>
      </c>
      <c r="BC205" s="15" t="s">
        <v>188</v>
      </c>
      <c r="BD205" s="15" t="s">
        <v>188</v>
      </c>
      <c r="BE205" s="1" t="s">
        <v>193</v>
      </c>
      <c r="BF205" s="1" t="s">
        <v>193</v>
      </c>
      <c r="BG205" s="1" t="s">
        <v>193</v>
      </c>
      <c r="BH205" s="1" t="s">
        <v>193</v>
      </c>
      <c r="BI205" s="1" t="s">
        <v>193</v>
      </c>
      <c r="BJ205" s="15"/>
      <c r="BK205" s="15"/>
      <c r="BL205" s="15"/>
      <c r="BM205" s="15"/>
      <c r="BN205" s="15"/>
      <c r="BO205" s="15"/>
      <c r="BP205" s="15"/>
      <c r="BQ205" s="15"/>
      <c r="BR205" s="15"/>
      <c r="BS205" s="2" t="s">
        <v>678</v>
      </c>
      <c r="BT205" s="15"/>
      <c r="BU205" s="15"/>
      <c r="BV205" s="15" t="s">
        <v>188</v>
      </c>
      <c r="BW205" s="15"/>
      <c r="BX205" s="15">
        <v>3</v>
      </c>
      <c r="BY205" s="15">
        <v>4</v>
      </c>
      <c r="BZ205" s="15">
        <v>2</v>
      </c>
      <c r="CA205" s="15" t="s">
        <v>208</v>
      </c>
      <c r="CB205" s="15"/>
      <c r="CC205" s="15" t="s">
        <v>188</v>
      </c>
      <c r="CD205" s="15"/>
      <c r="CE205" s="15"/>
      <c r="CF205" s="15" t="s">
        <v>188</v>
      </c>
      <c r="CG205" s="15" t="s">
        <v>188</v>
      </c>
      <c r="CH205" s="15" t="s">
        <v>188</v>
      </c>
      <c r="CI205" s="15" t="s">
        <v>188</v>
      </c>
      <c r="CJ205" s="15"/>
      <c r="CK205" s="15"/>
      <c r="CL205" s="15" t="s">
        <v>188</v>
      </c>
      <c r="CM205" s="15" t="s">
        <v>188</v>
      </c>
      <c r="CN205" s="15" t="s">
        <v>669</v>
      </c>
      <c r="CO205" s="15"/>
      <c r="CP205" s="15" t="s">
        <v>193</v>
      </c>
      <c r="CQ205" s="15" t="s">
        <v>632</v>
      </c>
      <c r="CR205" s="15" t="s">
        <v>188</v>
      </c>
      <c r="CS205" s="15"/>
      <c r="CT205" s="15"/>
      <c r="CU205" s="15"/>
      <c r="CV205" s="15"/>
      <c r="CW205" s="15"/>
      <c r="CX205" s="15"/>
      <c r="CY205" s="15" t="s">
        <v>188</v>
      </c>
      <c r="CZ205" s="3"/>
      <c r="DA205" s="49"/>
      <c r="DC205" s="18">
        <f t="shared" si="9"/>
        <v>0</v>
      </c>
      <c r="DD205" s="18">
        <f t="shared" si="10"/>
        <v>3</v>
      </c>
      <c r="DE205" s="18">
        <f t="shared" si="11"/>
        <v>2000</v>
      </c>
    </row>
    <row r="206" spans="1:109" x14ac:dyDescent="0.25">
      <c r="A206" s="59" t="s">
        <v>1318</v>
      </c>
      <c r="B206" s="103">
        <v>41547</v>
      </c>
      <c r="C206" s="105" t="s">
        <v>1576</v>
      </c>
      <c r="D206" s="14" t="s">
        <v>679</v>
      </c>
      <c r="E206" s="15"/>
      <c r="F206" s="15"/>
      <c r="G206" s="15"/>
      <c r="H206" s="15" t="s">
        <v>188</v>
      </c>
      <c r="I206" s="15">
        <v>29</v>
      </c>
      <c r="J206" s="15" t="s">
        <v>189</v>
      </c>
      <c r="K206" s="15" t="s">
        <v>214</v>
      </c>
      <c r="L206" s="15" t="s">
        <v>399</v>
      </c>
      <c r="M206" s="15" t="s">
        <v>1033</v>
      </c>
      <c r="N206" s="15" t="s">
        <v>1085</v>
      </c>
      <c r="O206" s="15">
        <v>5</v>
      </c>
      <c r="P206" s="15"/>
      <c r="Q206" s="15"/>
      <c r="R206" s="15"/>
      <c r="S206" s="15" t="s">
        <v>188</v>
      </c>
      <c r="T206" s="15"/>
      <c r="U206" s="15"/>
      <c r="V206" s="15"/>
      <c r="W206" s="15"/>
      <c r="X206" s="15"/>
      <c r="Y206" s="15"/>
      <c r="Z206" s="15"/>
      <c r="AA206" s="15"/>
      <c r="AB206" s="15" t="s">
        <v>188</v>
      </c>
      <c r="AC206" s="15"/>
      <c r="AD206" s="15"/>
      <c r="AE206" s="15"/>
      <c r="AF206" s="15"/>
      <c r="AG206" s="15"/>
      <c r="AH206" s="15">
        <v>2009</v>
      </c>
      <c r="AI206" s="1">
        <v>350000</v>
      </c>
      <c r="AJ206" s="15"/>
      <c r="AK206" s="15"/>
      <c r="AL206" s="15" t="s">
        <v>188</v>
      </c>
      <c r="AM206" s="15"/>
      <c r="AN206" s="15"/>
      <c r="AO206" s="15"/>
      <c r="AP206" s="15" t="s">
        <v>188</v>
      </c>
      <c r="AQ206" s="15"/>
      <c r="AR206" s="15"/>
      <c r="AS206" s="15"/>
      <c r="AT206" s="15" t="s">
        <v>390</v>
      </c>
      <c r="AU206" s="1">
        <v>8000</v>
      </c>
      <c r="AV206" s="48">
        <v>0.2</v>
      </c>
      <c r="AW206" s="15">
        <v>1.9</v>
      </c>
      <c r="AX206" s="15">
        <v>1.3</v>
      </c>
      <c r="AY206" s="15">
        <v>2</v>
      </c>
      <c r="AZ206" s="15">
        <v>940</v>
      </c>
      <c r="BA206" s="15">
        <v>1500</v>
      </c>
      <c r="BB206" s="15" t="s">
        <v>188</v>
      </c>
      <c r="BC206" s="15" t="s">
        <v>188</v>
      </c>
      <c r="BD206" s="15" t="s">
        <v>199</v>
      </c>
      <c r="BE206" s="1">
        <v>13000</v>
      </c>
      <c r="BF206" s="1">
        <v>8000</v>
      </c>
      <c r="BG206" s="1">
        <v>13000</v>
      </c>
      <c r="BH206" s="1">
        <v>100000</v>
      </c>
      <c r="BI206" s="1">
        <v>13000</v>
      </c>
      <c r="BJ206" s="15"/>
      <c r="BK206" s="15"/>
      <c r="BL206" s="15"/>
      <c r="BM206" s="15" t="s">
        <v>188</v>
      </c>
      <c r="BN206" s="15"/>
      <c r="BO206" s="15"/>
      <c r="BP206" s="15"/>
      <c r="BQ206" s="15"/>
      <c r="BR206" s="15"/>
      <c r="BS206" s="2"/>
      <c r="BT206" s="15"/>
      <c r="BU206" s="15" t="s">
        <v>188</v>
      </c>
      <c r="BV206" s="15"/>
      <c r="BW206" s="15"/>
      <c r="BX206" s="15">
        <v>1</v>
      </c>
      <c r="BY206" s="15">
        <v>3</v>
      </c>
      <c r="BZ206" s="15">
        <v>2</v>
      </c>
      <c r="CA206" s="15"/>
      <c r="CB206" s="15"/>
      <c r="CC206" s="15" t="s">
        <v>188</v>
      </c>
      <c r="CD206" s="15"/>
      <c r="CE206" s="15" t="s">
        <v>188</v>
      </c>
      <c r="CF206" s="15"/>
      <c r="CG206" s="15"/>
      <c r="CH206" s="15" t="s">
        <v>188</v>
      </c>
      <c r="CI206" s="15" t="s">
        <v>188</v>
      </c>
      <c r="CJ206" s="15"/>
      <c r="CK206" s="15" t="s">
        <v>188</v>
      </c>
      <c r="CL206" s="15"/>
      <c r="CM206" s="15"/>
      <c r="CN206" s="15"/>
      <c r="CO206" s="15"/>
      <c r="CP206" s="15" t="s">
        <v>193</v>
      </c>
      <c r="CQ206" s="15" t="s">
        <v>632</v>
      </c>
      <c r="CR206" s="15"/>
      <c r="CS206" s="15"/>
      <c r="CT206" s="15"/>
      <c r="CU206" s="15" t="s">
        <v>556</v>
      </c>
      <c r="CV206" s="15"/>
      <c r="CW206" s="15"/>
      <c r="CX206" s="15"/>
      <c r="CY206" s="15" t="s">
        <v>188</v>
      </c>
      <c r="CZ206" s="3"/>
      <c r="DA206" s="49"/>
      <c r="DC206" s="18">
        <f t="shared" si="9"/>
        <v>0</v>
      </c>
      <c r="DD206" s="18">
        <f t="shared" si="10"/>
        <v>7</v>
      </c>
      <c r="DE206" s="18">
        <f t="shared" si="11"/>
        <v>2009</v>
      </c>
    </row>
    <row r="207" spans="1:109" x14ac:dyDescent="0.25">
      <c r="A207" s="59" t="s">
        <v>1318</v>
      </c>
      <c r="B207" s="103">
        <v>41547</v>
      </c>
      <c r="C207" s="105" t="s">
        <v>1576</v>
      </c>
      <c r="D207" s="14" t="s">
        <v>680</v>
      </c>
      <c r="E207" s="15"/>
      <c r="F207" s="15"/>
      <c r="G207" s="15" t="s">
        <v>188</v>
      </c>
      <c r="H207" s="15"/>
      <c r="I207" s="15">
        <v>25</v>
      </c>
      <c r="J207" s="15" t="s">
        <v>189</v>
      </c>
      <c r="K207" s="15" t="s">
        <v>214</v>
      </c>
      <c r="L207" s="15" t="s">
        <v>591</v>
      </c>
      <c r="M207" s="15" t="s">
        <v>1058</v>
      </c>
      <c r="N207" s="15" t="s">
        <v>1085</v>
      </c>
      <c r="O207" s="15">
        <v>3</v>
      </c>
      <c r="P207" s="15"/>
      <c r="Q207" s="15" t="s">
        <v>188</v>
      </c>
      <c r="R207" s="15"/>
      <c r="S207" s="15"/>
      <c r="T207" s="15"/>
      <c r="U207" s="15" t="s">
        <v>188</v>
      </c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>
        <v>2010</v>
      </c>
      <c r="AI207" s="1">
        <v>400000</v>
      </c>
      <c r="AJ207" s="15"/>
      <c r="AK207" s="15"/>
      <c r="AL207" s="15" t="s">
        <v>188</v>
      </c>
      <c r="AM207" s="15"/>
      <c r="AN207" s="15"/>
      <c r="AO207" s="15"/>
      <c r="AP207" s="15" t="s">
        <v>188</v>
      </c>
      <c r="AQ207" s="15"/>
      <c r="AR207" s="15"/>
      <c r="AS207" s="15"/>
      <c r="AT207" s="15" t="s">
        <v>322</v>
      </c>
      <c r="AU207" s="1">
        <v>8000</v>
      </c>
      <c r="AV207" s="48">
        <v>0.5</v>
      </c>
      <c r="AW207" s="15">
        <v>2.6</v>
      </c>
      <c r="AX207" s="15">
        <v>2.2000000000000002</v>
      </c>
      <c r="AY207" s="15">
        <v>2</v>
      </c>
      <c r="AZ207" s="15">
        <v>460</v>
      </c>
      <c r="BA207" s="15">
        <v>1100</v>
      </c>
      <c r="BB207" s="15" t="s">
        <v>199</v>
      </c>
      <c r="BC207" s="15" t="s">
        <v>188</v>
      </c>
      <c r="BD207" s="15" t="s">
        <v>199</v>
      </c>
      <c r="BE207" s="1">
        <v>15000</v>
      </c>
      <c r="BF207" s="1">
        <v>13000</v>
      </c>
      <c r="BG207" s="1">
        <v>15000</v>
      </c>
      <c r="BH207" s="1" t="s">
        <v>193</v>
      </c>
      <c r="BI207" s="1">
        <v>15000</v>
      </c>
      <c r="BJ207" s="15"/>
      <c r="BK207" s="15"/>
      <c r="BL207" s="15"/>
      <c r="BM207" s="15"/>
      <c r="BN207" s="15" t="s">
        <v>188</v>
      </c>
      <c r="BO207" s="15"/>
      <c r="BP207" s="15"/>
      <c r="BQ207" s="15"/>
      <c r="BR207" s="15"/>
      <c r="BS207" s="2"/>
      <c r="BT207" s="15"/>
      <c r="BU207" s="15" t="s">
        <v>188</v>
      </c>
      <c r="BV207" s="15"/>
      <c r="BW207" s="15"/>
      <c r="BX207" s="15">
        <v>2</v>
      </c>
      <c r="BY207" s="15">
        <v>4</v>
      </c>
      <c r="BZ207" s="15">
        <v>3</v>
      </c>
      <c r="CA207" s="15" t="s">
        <v>208</v>
      </c>
      <c r="CB207" s="15" t="s">
        <v>188</v>
      </c>
      <c r="CC207" s="15"/>
      <c r="CD207" s="15"/>
      <c r="CE207" s="15"/>
      <c r="CF207" s="15"/>
      <c r="CG207" s="15"/>
      <c r="CH207" s="15"/>
      <c r="CI207" s="15"/>
      <c r="CJ207" s="15"/>
      <c r="CK207" s="15" t="s">
        <v>188</v>
      </c>
      <c r="CL207" s="15"/>
      <c r="CM207" s="15"/>
      <c r="CN207" s="15"/>
      <c r="CO207" s="15"/>
      <c r="CP207" s="15" t="s">
        <v>193</v>
      </c>
      <c r="CQ207" s="15" t="s">
        <v>632</v>
      </c>
      <c r="CR207" s="15"/>
      <c r="CS207" s="15"/>
      <c r="CT207" s="15"/>
      <c r="CU207" s="15" t="s">
        <v>310</v>
      </c>
      <c r="CV207" s="15"/>
      <c r="CW207" s="15"/>
      <c r="CX207" s="15"/>
      <c r="CY207" s="15" t="s">
        <v>188</v>
      </c>
      <c r="CZ207" s="3"/>
      <c r="DA207" s="49"/>
      <c r="DC207" s="18">
        <f t="shared" si="9"/>
        <v>0</v>
      </c>
      <c r="DD207" s="18">
        <f t="shared" si="10"/>
        <v>3</v>
      </c>
      <c r="DE207" s="18">
        <f t="shared" si="11"/>
        <v>2010</v>
      </c>
    </row>
    <row r="208" spans="1:109" x14ac:dyDescent="0.25">
      <c r="A208" s="59" t="s">
        <v>1318</v>
      </c>
      <c r="B208" s="103">
        <v>41547</v>
      </c>
      <c r="C208" s="105" t="s">
        <v>1576</v>
      </c>
      <c r="D208" s="14" t="s">
        <v>681</v>
      </c>
      <c r="E208" s="15"/>
      <c r="F208" s="15"/>
      <c r="G208" s="15" t="s">
        <v>188</v>
      </c>
      <c r="H208" s="15"/>
      <c r="I208" s="15">
        <v>36</v>
      </c>
      <c r="J208" s="15" t="s">
        <v>189</v>
      </c>
      <c r="K208" s="15" t="s">
        <v>190</v>
      </c>
      <c r="L208" s="15" t="s">
        <v>399</v>
      </c>
      <c r="M208" s="15" t="s">
        <v>1033</v>
      </c>
      <c r="N208" s="15" t="s">
        <v>1085</v>
      </c>
      <c r="O208" s="15">
        <v>16</v>
      </c>
      <c r="P208" s="15"/>
      <c r="Q208" s="15"/>
      <c r="R208" s="15"/>
      <c r="S208" s="15" t="s">
        <v>188</v>
      </c>
      <c r="T208" s="15"/>
      <c r="U208" s="15"/>
      <c r="V208" s="15"/>
      <c r="W208" s="15"/>
      <c r="X208" s="15"/>
      <c r="Y208" s="15"/>
      <c r="Z208" s="15"/>
      <c r="AA208" s="15"/>
      <c r="AB208" s="15" t="s">
        <v>188</v>
      </c>
      <c r="AC208" s="15"/>
      <c r="AD208" s="15"/>
      <c r="AE208" s="15"/>
      <c r="AF208" s="15"/>
      <c r="AG208" s="15"/>
      <c r="AH208" s="15">
        <v>2012</v>
      </c>
      <c r="AI208" s="1">
        <v>350000</v>
      </c>
      <c r="AJ208" s="15"/>
      <c r="AK208" s="15"/>
      <c r="AL208" s="15" t="s">
        <v>188</v>
      </c>
      <c r="AM208" s="15"/>
      <c r="AN208" s="15"/>
      <c r="AO208" s="15"/>
      <c r="AP208" s="15" t="s">
        <v>188</v>
      </c>
      <c r="AQ208" s="15"/>
      <c r="AR208" s="15"/>
      <c r="AS208" s="15"/>
      <c r="AT208" s="15" t="s">
        <v>322</v>
      </c>
      <c r="AU208" s="1">
        <v>18000</v>
      </c>
      <c r="AV208" s="48">
        <v>0</v>
      </c>
      <c r="AW208" s="15">
        <v>2.1</v>
      </c>
      <c r="AX208" s="15">
        <v>1.6</v>
      </c>
      <c r="AY208" s="15">
        <v>2</v>
      </c>
      <c r="AZ208" s="15">
        <v>1050</v>
      </c>
      <c r="BA208" s="15">
        <v>2000</v>
      </c>
      <c r="BB208" s="15" t="s">
        <v>188</v>
      </c>
      <c r="BC208" s="15" t="s">
        <v>188</v>
      </c>
      <c r="BD208" s="15" t="s">
        <v>188</v>
      </c>
      <c r="BE208" s="1">
        <v>15000</v>
      </c>
      <c r="BF208" s="1">
        <v>18000</v>
      </c>
      <c r="BG208" s="1">
        <v>15000</v>
      </c>
      <c r="BH208" s="1" t="s">
        <v>193</v>
      </c>
      <c r="BI208" s="1">
        <v>15000</v>
      </c>
      <c r="BJ208" s="15"/>
      <c r="BK208" s="15"/>
      <c r="BL208" s="15"/>
      <c r="BM208" s="15" t="s">
        <v>188</v>
      </c>
      <c r="BN208" s="15" t="s">
        <v>188</v>
      </c>
      <c r="BO208" s="15"/>
      <c r="BP208" s="15"/>
      <c r="BQ208" s="15"/>
      <c r="BR208" s="15"/>
      <c r="BS208" s="2"/>
      <c r="BT208" s="15"/>
      <c r="BU208" s="15" t="s">
        <v>188</v>
      </c>
      <c r="BV208" s="15"/>
      <c r="BW208" s="15"/>
      <c r="BX208" s="15">
        <v>1</v>
      </c>
      <c r="BY208" s="15">
        <v>3</v>
      </c>
      <c r="BZ208" s="15">
        <v>2</v>
      </c>
      <c r="CA208" s="15"/>
      <c r="CB208" s="15"/>
      <c r="CC208" s="15" t="s">
        <v>188</v>
      </c>
      <c r="CD208" s="15" t="s">
        <v>188</v>
      </c>
      <c r="CE208" s="15" t="s">
        <v>188</v>
      </c>
      <c r="CF208" s="15"/>
      <c r="CG208" s="15" t="s">
        <v>188</v>
      </c>
      <c r="CH208" s="15" t="s">
        <v>188</v>
      </c>
      <c r="CI208" s="15"/>
      <c r="CJ208" s="15"/>
      <c r="CK208" s="15" t="s">
        <v>188</v>
      </c>
      <c r="CL208" s="15"/>
      <c r="CM208" s="15"/>
      <c r="CN208" s="15"/>
      <c r="CO208" s="15"/>
      <c r="CP208" s="15" t="s">
        <v>193</v>
      </c>
      <c r="CQ208" s="15" t="s">
        <v>209</v>
      </c>
      <c r="CR208" s="15"/>
      <c r="CS208" s="15"/>
      <c r="CT208" s="15" t="s">
        <v>188</v>
      </c>
      <c r="CU208" s="15"/>
      <c r="CV208" s="15"/>
      <c r="CW208" s="15"/>
      <c r="CX208" s="15" t="s">
        <v>188</v>
      </c>
      <c r="CY208" s="15"/>
      <c r="CZ208" s="3"/>
      <c r="DA208" s="49"/>
      <c r="DC208" s="18">
        <f t="shared" si="9"/>
        <v>0</v>
      </c>
      <c r="DD208" s="18">
        <f t="shared" si="10"/>
        <v>3</v>
      </c>
      <c r="DE208" s="18">
        <f t="shared" si="11"/>
        <v>2012</v>
      </c>
    </row>
    <row r="209" spans="1:109" x14ac:dyDescent="0.25">
      <c r="A209" s="59" t="s">
        <v>1318</v>
      </c>
      <c r="B209" s="103">
        <v>41547</v>
      </c>
      <c r="C209" s="105" t="s">
        <v>1576</v>
      </c>
      <c r="D209" s="14" t="s">
        <v>682</v>
      </c>
      <c r="E209" s="15"/>
      <c r="F209" s="15"/>
      <c r="G209" s="15"/>
      <c r="H209" s="15" t="s">
        <v>188</v>
      </c>
      <c r="I209" s="15">
        <v>43</v>
      </c>
      <c r="J209" s="15" t="s">
        <v>189</v>
      </c>
      <c r="K209" s="15" t="s">
        <v>190</v>
      </c>
      <c r="L209" s="15" t="s">
        <v>594</v>
      </c>
      <c r="M209" s="15" t="s">
        <v>1018</v>
      </c>
      <c r="N209" s="15" t="s">
        <v>1085</v>
      </c>
      <c r="O209" s="15">
        <v>20</v>
      </c>
      <c r="P209" s="15"/>
      <c r="Q209" s="15"/>
      <c r="R209" s="15"/>
      <c r="S209" s="15" t="s">
        <v>188</v>
      </c>
      <c r="T209" s="15"/>
      <c r="U209" s="15" t="s">
        <v>188</v>
      </c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>
        <v>2010</v>
      </c>
      <c r="AI209" s="1">
        <v>350000</v>
      </c>
      <c r="AJ209" s="15"/>
      <c r="AK209" s="15"/>
      <c r="AL209" s="15" t="s">
        <v>188</v>
      </c>
      <c r="AM209" s="15"/>
      <c r="AN209" s="15"/>
      <c r="AO209" s="15"/>
      <c r="AP209" s="15" t="s">
        <v>188</v>
      </c>
      <c r="AQ209" s="15"/>
      <c r="AR209" s="15"/>
      <c r="AS209" s="15"/>
      <c r="AT209" s="15" t="s">
        <v>390</v>
      </c>
      <c r="AU209" s="1">
        <v>6000</v>
      </c>
      <c r="AV209" s="48">
        <v>0.3</v>
      </c>
      <c r="AW209" s="15">
        <v>2.5</v>
      </c>
      <c r="AX209" s="15">
        <v>2.1</v>
      </c>
      <c r="AY209" s="15">
        <v>2</v>
      </c>
      <c r="AZ209" s="15">
        <v>540</v>
      </c>
      <c r="BA209" s="15">
        <v>1300</v>
      </c>
      <c r="BB209" s="15" t="s">
        <v>188</v>
      </c>
      <c r="BC209" s="15" t="s">
        <v>188</v>
      </c>
      <c r="BD209" s="15" t="s">
        <v>199</v>
      </c>
      <c r="BE209" s="1">
        <v>14000</v>
      </c>
      <c r="BF209" s="1">
        <v>8000</v>
      </c>
      <c r="BG209" s="1">
        <v>14000</v>
      </c>
      <c r="BH209" s="1">
        <f>AU209*24</f>
        <v>144000</v>
      </c>
      <c r="BI209" s="1">
        <v>14000</v>
      </c>
      <c r="BJ209" s="15"/>
      <c r="BK209" s="15"/>
      <c r="BL209" s="15"/>
      <c r="BM209" s="15" t="s">
        <v>188</v>
      </c>
      <c r="BN209" s="15" t="s">
        <v>188</v>
      </c>
      <c r="BO209" s="15"/>
      <c r="BP209" s="15"/>
      <c r="BQ209" s="15"/>
      <c r="BR209" s="15"/>
      <c r="BS209" s="2"/>
      <c r="BT209" s="15"/>
      <c r="BU209" s="15"/>
      <c r="BV209" s="15" t="s">
        <v>188</v>
      </c>
      <c r="BW209" s="15"/>
      <c r="BX209" s="15">
        <v>1</v>
      </c>
      <c r="BY209" s="15">
        <v>2</v>
      </c>
      <c r="BZ209" s="15">
        <v>3</v>
      </c>
      <c r="CA209" s="15"/>
      <c r="CB209" s="15"/>
      <c r="CC209" s="15" t="s">
        <v>188</v>
      </c>
      <c r="CD209" s="15"/>
      <c r="CE209" s="15" t="s">
        <v>188</v>
      </c>
      <c r="CF209" s="15"/>
      <c r="CG209" s="15"/>
      <c r="CH209" s="15" t="s">
        <v>188</v>
      </c>
      <c r="CI209" s="15" t="s">
        <v>188</v>
      </c>
      <c r="CJ209" s="15"/>
      <c r="CK209" s="15"/>
      <c r="CL209" s="15" t="s">
        <v>188</v>
      </c>
      <c r="CM209" s="15" t="s">
        <v>188</v>
      </c>
      <c r="CN209" s="15" t="s">
        <v>669</v>
      </c>
      <c r="CO209" s="15"/>
      <c r="CP209" s="15" t="s">
        <v>193</v>
      </c>
      <c r="CQ209" s="15" t="s">
        <v>309</v>
      </c>
      <c r="CR209" s="15"/>
      <c r="CS209" s="15" t="s">
        <v>188</v>
      </c>
      <c r="CT209" s="15"/>
      <c r="CU209" s="15"/>
      <c r="CV209" s="15" t="s">
        <v>188</v>
      </c>
      <c r="CW209" s="15" t="s">
        <v>695</v>
      </c>
      <c r="CX209" s="15"/>
      <c r="CY209" s="15"/>
      <c r="CZ209" s="3"/>
      <c r="DA209" s="49"/>
      <c r="DC209" s="18">
        <f t="shared" si="9"/>
        <v>0</v>
      </c>
      <c r="DD209" s="18">
        <f t="shared" si="10"/>
        <v>7</v>
      </c>
      <c r="DE209" s="18">
        <f t="shared" si="11"/>
        <v>2010</v>
      </c>
    </row>
    <row r="210" spans="1:109" x14ac:dyDescent="0.25">
      <c r="A210" s="59" t="s">
        <v>1318</v>
      </c>
      <c r="B210" s="103">
        <v>41547</v>
      </c>
      <c r="C210" s="105" t="s">
        <v>1576</v>
      </c>
      <c r="D210" s="14" t="s">
        <v>683</v>
      </c>
      <c r="E210" s="15"/>
      <c r="F210" s="15"/>
      <c r="G210" s="15"/>
      <c r="H210" s="15" t="s">
        <v>188</v>
      </c>
      <c r="I210" s="15">
        <v>27</v>
      </c>
      <c r="J210" s="15" t="s">
        <v>189</v>
      </c>
      <c r="K210" s="15" t="s">
        <v>214</v>
      </c>
      <c r="L210" s="15" t="s">
        <v>749</v>
      </c>
      <c r="M210" s="15" t="s">
        <v>1082</v>
      </c>
      <c r="N210" s="15" t="s">
        <v>1084</v>
      </c>
      <c r="O210" s="15">
        <v>6</v>
      </c>
      <c r="P210" s="15"/>
      <c r="Q210" s="15" t="s">
        <v>188</v>
      </c>
      <c r="R210" s="15"/>
      <c r="S210" s="15"/>
      <c r="T210" s="15"/>
      <c r="U210" s="15"/>
      <c r="V210" s="15"/>
      <c r="W210" s="15"/>
      <c r="X210" s="15"/>
      <c r="Y210" s="15"/>
      <c r="Z210" s="15"/>
      <c r="AA210" s="15" t="s">
        <v>188</v>
      </c>
      <c r="AB210" s="15"/>
      <c r="AC210" s="15"/>
      <c r="AD210" s="15"/>
      <c r="AE210" s="15"/>
      <c r="AF210" s="15"/>
      <c r="AG210" s="15"/>
      <c r="AH210" s="15">
        <v>1979</v>
      </c>
      <c r="AI210" s="1">
        <v>835000</v>
      </c>
      <c r="AJ210" s="15"/>
      <c r="AK210" s="15"/>
      <c r="AL210" s="15" t="s">
        <v>188</v>
      </c>
      <c r="AM210" s="15"/>
      <c r="AN210" s="15"/>
      <c r="AO210" s="15"/>
      <c r="AP210" s="15"/>
      <c r="AQ210" s="15" t="s">
        <v>188</v>
      </c>
      <c r="AR210" s="15"/>
      <c r="AS210" s="15">
        <v>1990</v>
      </c>
      <c r="AT210" s="15" t="s">
        <v>322</v>
      </c>
      <c r="AU210" s="1">
        <v>10000</v>
      </c>
      <c r="AV210" s="48">
        <v>0</v>
      </c>
      <c r="AW210" s="15">
        <v>3.5</v>
      </c>
      <c r="AX210" s="15">
        <v>3</v>
      </c>
      <c r="AY210" s="15">
        <v>1</v>
      </c>
      <c r="AZ210" s="15">
        <v>300</v>
      </c>
      <c r="BA210" s="15">
        <v>1200</v>
      </c>
      <c r="BB210" s="15" t="s">
        <v>199</v>
      </c>
      <c r="BC210" s="15" t="s">
        <v>199</v>
      </c>
      <c r="BD210" s="15" t="s">
        <v>188</v>
      </c>
      <c r="BE210" s="1">
        <v>25000</v>
      </c>
      <c r="BF210" s="1">
        <v>35000</v>
      </c>
      <c r="BG210" s="1">
        <v>25000</v>
      </c>
      <c r="BH210" s="1">
        <v>150000</v>
      </c>
      <c r="BI210" s="1">
        <v>25000</v>
      </c>
      <c r="BJ210" s="15"/>
      <c r="BK210" s="15"/>
      <c r="BL210" s="15"/>
      <c r="BM210" s="15" t="s">
        <v>188</v>
      </c>
      <c r="BN210" s="15"/>
      <c r="BO210" s="15"/>
      <c r="BP210" s="15"/>
      <c r="BQ210" s="15"/>
      <c r="BR210" s="15"/>
      <c r="BS210" s="2"/>
      <c r="BT210" s="15"/>
      <c r="BU210" s="15" t="s">
        <v>188</v>
      </c>
      <c r="BV210" s="15"/>
      <c r="BW210" s="15"/>
      <c r="BX210" s="15">
        <v>1</v>
      </c>
      <c r="BY210" s="15">
        <v>3</v>
      </c>
      <c r="BZ210" s="15">
        <v>2</v>
      </c>
      <c r="CA210" s="15"/>
      <c r="CB210" s="15"/>
      <c r="CC210" s="15" t="s">
        <v>188</v>
      </c>
      <c r="CD210" s="15"/>
      <c r="CE210" s="15"/>
      <c r="CF210" s="15"/>
      <c r="CG210" s="15" t="s">
        <v>188</v>
      </c>
      <c r="CH210" s="15" t="s">
        <v>188</v>
      </c>
      <c r="CI210" s="15" t="s">
        <v>188</v>
      </c>
      <c r="CJ210" s="15"/>
      <c r="CK210" s="15" t="s">
        <v>188</v>
      </c>
      <c r="CL210" s="15"/>
      <c r="CM210" s="15"/>
      <c r="CN210" s="15"/>
      <c r="CO210" s="15"/>
      <c r="CP210" s="15" t="s">
        <v>193</v>
      </c>
      <c r="CQ210" s="15" t="s">
        <v>309</v>
      </c>
      <c r="CR210" s="15" t="s">
        <v>188</v>
      </c>
      <c r="CS210" s="15"/>
      <c r="CT210" s="15"/>
      <c r="CU210" s="15"/>
      <c r="CV210" s="15"/>
      <c r="CW210" s="15"/>
      <c r="CX210" s="15"/>
      <c r="CY210" s="15" t="s">
        <v>188</v>
      </c>
      <c r="CZ210" s="3"/>
      <c r="DA210" s="49"/>
      <c r="DC210" s="18">
        <f t="shared" si="9"/>
        <v>0</v>
      </c>
      <c r="DD210" s="18">
        <f t="shared" si="10"/>
        <v>7</v>
      </c>
      <c r="DE210" s="18">
        <f t="shared" si="11"/>
        <v>1990</v>
      </c>
    </row>
    <row r="211" spans="1:109" x14ac:dyDescent="0.25">
      <c r="A211" s="59" t="s">
        <v>1318</v>
      </c>
      <c r="B211" s="103">
        <v>41547</v>
      </c>
      <c r="C211" s="105" t="s">
        <v>1576</v>
      </c>
      <c r="D211" s="14" t="s">
        <v>684</v>
      </c>
      <c r="E211" s="15"/>
      <c r="F211" s="15"/>
      <c r="G211" s="15"/>
      <c r="H211" s="15" t="s">
        <v>188</v>
      </c>
      <c r="I211" s="15">
        <v>37</v>
      </c>
      <c r="J211" s="15" t="s">
        <v>189</v>
      </c>
      <c r="K211" s="15" t="s">
        <v>190</v>
      </c>
      <c r="L211" s="15" t="s">
        <v>414</v>
      </c>
      <c r="M211" s="15" t="s">
        <v>1042</v>
      </c>
      <c r="N211" s="15" t="s">
        <v>1085</v>
      </c>
      <c r="O211" s="15">
        <v>18</v>
      </c>
      <c r="P211" s="15"/>
      <c r="Q211" s="15"/>
      <c r="R211" s="15"/>
      <c r="S211" s="15" t="s">
        <v>188</v>
      </c>
      <c r="T211" s="15"/>
      <c r="U211" s="15" t="s">
        <v>188</v>
      </c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>
        <v>2008</v>
      </c>
      <c r="AI211" s="1">
        <v>600000</v>
      </c>
      <c r="AJ211" s="15"/>
      <c r="AK211" s="15"/>
      <c r="AL211" s="15" t="s">
        <v>188</v>
      </c>
      <c r="AM211" s="15"/>
      <c r="AN211" s="15"/>
      <c r="AO211" s="15"/>
      <c r="AP211" s="15" t="s">
        <v>188</v>
      </c>
      <c r="AQ211" s="15"/>
      <c r="AR211" s="15"/>
      <c r="AS211" s="15"/>
      <c r="AT211" s="15" t="s">
        <v>322</v>
      </c>
      <c r="AU211" s="1">
        <v>16000</v>
      </c>
      <c r="AV211" s="48">
        <v>0.3</v>
      </c>
      <c r="AW211" s="15">
        <v>2.6</v>
      </c>
      <c r="AX211" s="15">
        <v>2.2999999999999998</v>
      </c>
      <c r="AY211" s="15">
        <v>2</v>
      </c>
      <c r="AZ211" s="15">
        <v>800</v>
      </c>
      <c r="BA211" s="15">
        <v>2000</v>
      </c>
      <c r="BB211" s="15" t="s">
        <v>188</v>
      </c>
      <c r="BC211" s="15" t="s">
        <v>188</v>
      </c>
      <c r="BD211" s="15" t="s">
        <v>199</v>
      </c>
      <c r="BE211" s="1">
        <v>20000</v>
      </c>
      <c r="BF211" s="1">
        <v>50000</v>
      </c>
      <c r="BG211" s="1">
        <v>30000</v>
      </c>
      <c r="BH211" s="1" t="s">
        <v>193</v>
      </c>
      <c r="BI211" s="1">
        <v>30000</v>
      </c>
      <c r="BJ211" s="15"/>
      <c r="BK211" s="15"/>
      <c r="BL211" s="15"/>
      <c r="BM211" s="15"/>
      <c r="BN211" s="15"/>
      <c r="BO211" s="15"/>
      <c r="BP211" s="15"/>
      <c r="BQ211" s="15"/>
      <c r="BR211" s="15"/>
      <c r="BS211" s="2" t="s">
        <v>314</v>
      </c>
      <c r="BT211" s="15"/>
      <c r="BU211" s="15"/>
      <c r="BV211" s="15" t="s">
        <v>188</v>
      </c>
      <c r="BW211" s="15"/>
      <c r="BX211" s="15">
        <v>1</v>
      </c>
      <c r="BY211" s="15">
        <v>2</v>
      </c>
      <c r="BZ211" s="15">
        <v>3</v>
      </c>
      <c r="CA211" s="15"/>
      <c r="CB211" s="15"/>
      <c r="CC211" s="15" t="s">
        <v>188</v>
      </c>
      <c r="CD211" s="15"/>
      <c r="CE211" s="15"/>
      <c r="CF211" s="15"/>
      <c r="CG211" s="15"/>
      <c r="CH211" s="15" t="s">
        <v>188</v>
      </c>
      <c r="CI211" s="15" t="s">
        <v>188</v>
      </c>
      <c r="CJ211" s="15"/>
      <c r="CK211" s="15"/>
      <c r="CL211" s="15" t="s">
        <v>188</v>
      </c>
      <c r="CM211" s="15" t="s">
        <v>188</v>
      </c>
      <c r="CN211" s="15" t="s">
        <v>669</v>
      </c>
      <c r="CO211" s="15"/>
      <c r="CP211" s="15" t="s">
        <v>668</v>
      </c>
      <c r="CQ211" s="15" t="s">
        <v>309</v>
      </c>
      <c r="CR211" s="15" t="s">
        <v>188</v>
      </c>
      <c r="CS211" s="15"/>
      <c r="CT211" s="15"/>
      <c r="CU211" s="15"/>
      <c r="CV211" s="15"/>
      <c r="CW211" s="15"/>
      <c r="CX211" s="15" t="s">
        <v>188</v>
      </c>
      <c r="CY211" s="15" t="s">
        <v>188</v>
      </c>
      <c r="CZ211" s="3"/>
      <c r="DA211" s="49"/>
      <c r="DC211" s="18">
        <f t="shared" si="9"/>
        <v>0</v>
      </c>
      <c r="DD211" s="18">
        <f t="shared" si="10"/>
        <v>7</v>
      </c>
      <c r="DE211" s="18">
        <f t="shared" si="11"/>
        <v>2008</v>
      </c>
    </row>
    <row r="212" spans="1:109" x14ac:dyDescent="0.25">
      <c r="A212" s="59" t="s">
        <v>1318</v>
      </c>
      <c r="B212" s="103">
        <v>41547</v>
      </c>
      <c r="C212" s="105" t="s">
        <v>1576</v>
      </c>
      <c r="D212" s="14" t="s">
        <v>685</v>
      </c>
      <c r="E212" s="15"/>
      <c r="F212" s="15"/>
      <c r="G212" s="15" t="s">
        <v>188</v>
      </c>
      <c r="H212" s="15"/>
      <c r="I212" s="15">
        <v>33</v>
      </c>
      <c r="J212" s="15" t="s">
        <v>189</v>
      </c>
      <c r="K212" s="15" t="s">
        <v>214</v>
      </c>
      <c r="L212" s="15" t="s">
        <v>594</v>
      </c>
      <c r="M212" s="15" t="s">
        <v>1018</v>
      </c>
      <c r="N212" s="15" t="s">
        <v>1085</v>
      </c>
      <c r="O212" s="15">
        <v>5</v>
      </c>
      <c r="P212" s="15" t="s">
        <v>188</v>
      </c>
      <c r="Q212" s="15"/>
      <c r="R212" s="15"/>
      <c r="S212" s="15"/>
      <c r="T212" s="15"/>
      <c r="U212" s="15" t="s">
        <v>188</v>
      </c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>
        <v>2011</v>
      </c>
      <c r="AI212" s="1">
        <v>150000</v>
      </c>
      <c r="AJ212" s="15"/>
      <c r="AK212" s="15"/>
      <c r="AL212" s="15" t="s">
        <v>188</v>
      </c>
      <c r="AM212" s="15"/>
      <c r="AN212" s="15"/>
      <c r="AO212" s="15"/>
      <c r="AP212" s="15" t="s">
        <v>188</v>
      </c>
      <c r="AQ212" s="15"/>
      <c r="AR212" s="15"/>
      <c r="AS212" s="15"/>
      <c r="AT212" s="15" t="s">
        <v>193</v>
      </c>
      <c r="AU212" s="1">
        <v>20000</v>
      </c>
      <c r="AV212" s="48">
        <v>0.5</v>
      </c>
      <c r="AW212" s="15">
        <v>2</v>
      </c>
      <c r="AX212" s="15">
        <v>1.5</v>
      </c>
      <c r="AY212" s="15">
        <v>1</v>
      </c>
      <c r="AZ212" s="15">
        <v>485</v>
      </c>
      <c r="BA212" s="15">
        <v>1000</v>
      </c>
      <c r="BB212" s="15" t="s">
        <v>199</v>
      </c>
      <c r="BC212" s="15" t="s">
        <v>188</v>
      </c>
      <c r="BD212" s="15" t="s">
        <v>188</v>
      </c>
      <c r="BE212" s="1">
        <v>15000</v>
      </c>
      <c r="BF212" s="1">
        <v>20000</v>
      </c>
      <c r="BG212" s="1">
        <v>30000</v>
      </c>
      <c r="BH212" s="1">
        <v>50000</v>
      </c>
      <c r="BI212" s="1">
        <v>30000</v>
      </c>
      <c r="BJ212" s="15"/>
      <c r="BK212" s="15"/>
      <c r="BL212" s="15"/>
      <c r="BM212" s="15"/>
      <c r="BN212" s="15"/>
      <c r="BO212" s="15"/>
      <c r="BP212" s="15"/>
      <c r="BQ212" s="15"/>
      <c r="BR212" s="15"/>
      <c r="BS212" s="2" t="s">
        <v>331</v>
      </c>
      <c r="BT212" s="15"/>
      <c r="BU212" s="15" t="s">
        <v>188</v>
      </c>
      <c r="BV212" s="15"/>
      <c r="BW212" s="15"/>
      <c r="BX212" s="15">
        <v>3</v>
      </c>
      <c r="BY212" s="15">
        <v>2</v>
      </c>
      <c r="BZ212" s="15">
        <v>4</v>
      </c>
      <c r="CA212" s="15" t="s">
        <v>208</v>
      </c>
      <c r="CB212" s="15"/>
      <c r="CC212" s="15" t="s">
        <v>188</v>
      </c>
      <c r="CD212" s="15"/>
      <c r="CE212" s="15" t="s">
        <v>188</v>
      </c>
      <c r="CF212" s="15"/>
      <c r="CG212" s="15"/>
      <c r="CH212" s="15"/>
      <c r="CI212" s="15" t="s">
        <v>188</v>
      </c>
      <c r="CJ212" s="15"/>
      <c r="CK212" s="15" t="s">
        <v>188</v>
      </c>
      <c r="CL212" s="15"/>
      <c r="CM212" s="15"/>
      <c r="CN212" s="15"/>
      <c r="CO212" s="15"/>
      <c r="CP212" s="15" t="s">
        <v>193</v>
      </c>
      <c r="CQ212" s="15" t="s">
        <v>300</v>
      </c>
      <c r="CR212" s="15"/>
      <c r="CS212" s="15" t="s">
        <v>188</v>
      </c>
      <c r="CT212" s="15"/>
      <c r="CU212" s="15"/>
      <c r="CV212" s="15"/>
      <c r="CW212" s="15"/>
      <c r="CX212" s="15"/>
      <c r="CY212" s="15"/>
      <c r="CZ212" s="3" t="s">
        <v>324</v>
      </c>
      <c r="DA212" s="49" t="s">
        <v>686</v>
      </c>
      <c r="DC212" s="18">
        <f t="shared" si="9"/>
        <v>0</v>
      </c>
      <c r="DD212" s="18">
        <f t="shared" si="10"/>
        <v>3</v>
      </c>
      <c r="DE212" s="18">
        <f t="shared" si="11"/>
        <v>2011</v>
      </c>
    </row>
    <row r="213" spans="1:109" x14ac:dyDescent="0.25">
      <c r="A213" s="59" t="s">
        <v>1318</v>
      </c>
      <c r="B213" s="103">
        <v>41548</v>
      </c>
      <c r="C213" s="105" t="s">
        <v>1576</v>
      </c>
      <c r="D213" s="14" t="s">
        <v>687</v>
      </c>
      <c r="E213" s="15"/>
      <c r="F213" s="15"/>
      <c r="G213" s="15"/>
      <c r="H213" s="15" t="s">
        <v>188</v>
      </c>
      <c r="I213" s="15">
        <v>24</v>
      </c>
      <c r="J213" s="15" t="s">
        <v>189</v>
      </c>
      <c r="K213" s="15" t="s">
        <v>214</v>
      </c>
      <c r="L213" s="15" t="s">
        <v>399</v>
      </c>
      <c r="M213" s="15" t="s">
        <v>1033</v>
      </c>
      <c r="N213" s="15" t="s">
        <v>1085</v>
      </c>
      <c r="O213" s="15">
        <v>5</v>
      </c>
      <c r="P213" s="15"/>
      <c r="Q213" s="15"/>
      <c r="R213" s="15"/>
      <c r="S213" s="15" t="s">
        <v>188</v>
      </c>
      <c r="T213" s="15"/>
      <c r="U213" s="15" t="s">
        <v>188</v>
      </c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>
        <v>2004</v>
      </c>
      <c r="AI213" s="1">
        <v>500000</v>
      </c>
      <c r="AJ213" s="15"/>
      <c r="AK213" s="15"/>
      <c r="AL213" s="15" t="s">
        <v>188</v>
      </c>
      <c r="AM213" s="15"/>
      <c r="AN213" s="15"/>
      <c r="AO213" s="15"/>
      <c r="AP213" s="15" t="s">
        <v>188</v>
      </c>
      <c r="AQ213" s="15"/>
      <c r="AR213" s="15"/>
      <c r="AS213" s="15"/>
      <c r="AT213" s="15" t="s">
        <v>1316</v>
      </c>
      <c r="AU213" s="1">
        <v>5000</v>
      </c>
      <c r="AV213" s="48">
        <v>0.5</v>
      </c>
      <c r="AW213" s="15">
        <v>3.2</v>
      </c>
      <c r="AX213" s="15">
        <v>3</v>
      </c>
      <c r="AY213" s="15">
        <v>2</v>
      </c>
      <c r="AZ213" s="15">
        <v>580</v>
      </c>
      <c r="BA213" s="15">
        <v>1800</v>
      </c>
      <c r="BB213" s="15" t="s">
        <v>188</v>
      </c>
      <c r="BC213" s="15" t="s">
        <v>188</v>
      </c>
      <c r="BD213" s="15" t="s">
        <v>188</v>
      </c>
      <c r="BE213" s="1">
        <v>20000</v>
      </c>
      <c r="BF213" s="1">
        <v>60000</v>
      </c>
      <c r="BG213" s="1">
        <v>30000</v>
      </c>
      <c r="BH213" s="1">
        <v>60000</v>
      </c>
      <c r="BI213" s="1">
        <v>30000</v>
      </c>
      <c r="BJ213" s="15"/>
      <c r="BK213" s="15"/>
      <c r="BL213" s="15"/>
      <c r="BM213" s="15"/>
      <c r="BN213" s="15"/>
      <c r="BO213" s="15"/>
      <c r="BP213" s="15"/>
      <c r="BQ213" s="15"/>
      <c r="BR213" s="15"/>
      <c r="BS213" s="2" t="s">
        <v>314</v>
      </c>
      <c r="BT213" s="15"/>
      <c r="BU213" s="15"/>
      <c r="BV213" s="15" t="s">
        <v>188</v>
      </c>
      <c r="BW213" s="15"/>
      <c r="BX213" s="15">
        <v>1</v>
      </c>
      <c r="BY213" s="15">
        <v>3</v>
      </c>
      <c r="BZ213" s="15">
        <v>2</v>
      </c>
      <c r="CA213" s="15"/>
      <c r="CB213" s="15"/>
      <c r="CC213" s="15" t="s">
        <v>188</v>
      </c>
      <c r="CD213" s="15"/>
      <c r="CE213" s="15"/>
      <c r="CF213" s="15"/>
      <c r="CG213" s="15"/>
      <c r="CH213" s="15" t="s">
        <v>188</v>
      </c>
      <c r="CI213" s="15" t="s">
        <v>188</v>
      </c>
      <c r="CJ213" s="15"/>
      <c r="CK213" s="15" t="s">
        <v>188</v>
      </c>
      <c r="CL213" s="15"/>
      <c r="CM213" s="15"/>
      <c r="CN213" s="15"/>
      <c r="CO213" s="15"/>
      <c r="CP213" s="15" t="s">
        <v>193</v>
      </c>
      <c r="CQ213" s="15" t="s">
        <v>300</v>
      </c>
      <c r="CR213" s="15"/>
      <c r="CS213" s="15"/>
      <c r="CT213" s="15"/>
      <c r="CU213" s="15" t="s">
        <v>324</v>
      </c>
      <c r="CV213" s="15"/>
      <c r="CW213" s="15"/>
      <c r="CX213" s="15"/>
      <c r="CY213" s="15" t="s">
        <v>188</v>
      </c>
      <c r="CZ213" s="3"/>
      <c r="DA213" s="49"/>
      <c r="DC213" s="18">
        <f t="shared" si="9"/>
        <v>0</v>
      </c>
      <c r="DD213" s="18">
        <f t="shared" si="10"/>
        <v>7</v>
      </c>
      <c r="DE213" s="18">
        <f t="shared" si="11"/>
        <v>2004</v>
      </c>
    </row>
    <row r="214" spans="1:109" x14ac:dyDescent="0.25">
      <c r="A214" s="59" t="s">
        <v>1318</v>
      </c>
      <c r="B214" s="103">
        <v>41548</v>
      </c>
      <c r="C214" s="105" t="s">
        <v>1576</v>
      </c>
      <c r="D214" s="14" t="s">
        <v>688</v>
      </c>
      <c r="E214" s="15"/>
      <c r="F214" s="15"/>
      <c r="G214" s="15"/>
      <c r="H214" s="15" t="s">
        <v>188</v>
      </c>
      <c r="I214" s="15">
        <v>40</v>
      </c>
      <c r="J214" s="15" t="s">
        <v>189</v>
      </c>
      <c r="K214" s="15" t="s">
        <v>190</v>
      </c>
      <c r="L214" s="15" t="s">
        <v>414</v>
      </c>
      <c r="M214" s="15" t="s">
        <v>1042</v>
      </c>
      <c r="N214" s="15" t="s">
        <v>1085</v>
      </c>
      <c r="O214" s="15">
        <v>19</v>
      </c>
      <c r="P214" s="15"/>
      <c r="Q214" s="15" t="s">
        <v>188</v>
      </c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 t="s">
        <v>188</v>
      </c>
      <c r="AC214" s="15"/>
      <c r="AD214" s="15"/>
      <c r="AE214" s="15"/>
      <c r="AF214" s="15"/>
      <c r="AG214" s="15"/>
      <c r="AH214" s="15">
        <v>1987</v>
      </c>
      <c r="AI214" s="1" t="s">
        <v>269</v>
      </c>
      <c r="AJ214" s="15"/>
      <c r="AK214" s="15"/>
      <c r="AL214" s="15" t="s">
        <v>188</v>
      </c>
      <c r="AM214" s="15"/>
      <c r="AN214" s="15"/>
      <c r="AO214" s="15"/>
      <c r="AP214" s="15"/>
      <c r="AQ214" s="15" t="s">
        <v>188</v>
      </c>
      <c r="AR214" s="15"/>
      <c r="AS214" s="15">
        <v>2000</v>
      </c>
      <c r="AT214" s="15" t="s">
        <v>322</v>
      </c>
      <c r="AU214" s="1">
        <v>2000</v>
      </c>
      <c r="AV214" s="48">
        <v>0.5</v>
      </c>
      <c r="AW214" s="15">
        <v>3.5</v>
      </c>
      <c r="AX214" s="15">
        <v>3</v>
      </c>
      <c r="AY214" s="15">
        <v>1</v>
      </c>
      <c r="AZ214" s="15">
        <v>600</v>
      </c>
      <c r="BA214" s="15">
        <v>2000</v>
      </c>
      <c r="BB214" s="15" t="s">
        <v>199</v>
      </c>
      <c r="BC214" s="15" t="s">
        <v>188</v>
      </c>
      <c r="BD214" s="15" t="s">
        <v>199</v>
      </c>
      <c r="BE214" s="1">
        <v>10000</v>
      </c>
      <c r="BF214" s="1" t="s">
        <v>193</v>
      </c>
      <c r="BG214" s="1">
        <v>12000</v>
      </c>
      <c r="BH214" s="1">
        <v>200000</v>
      </c>
      <c r="BI214" s="1">
        <v>12000</v>
      </c>
      <c r="BJ214" s="15"/>
      <c r="BK214" s="15"/>
      <c r="BL214" s="15"/>
      <c r="BM214" s="15" t="s">
        <v>188</v>
      </c>
      <c r="BN214" s="15" t="s">
        <v>188</v>
      </c>
      <c r="BO214" s="15"/>
      <c r="BP214" s="15"/>
      <c r="BQ214" s="15"/>
      <c r="BR214" s="15"/>
      <c r="BS214" s="2"/>
      <c r="BT214" s="15"/>
      <c r="BU214" s="15" t="s">
        <v>188</v>
      </c>
      <c r="BV214" s="15"/>
      <c r="BW214" s="15"/>
      <c r="BX214" s="15">
        <v>2</v>
      </c>
      <c r="BY214" s="15">
        <v>4</v>
      </c>
      <c r="BZ214" s="15">
        <v>3</v>
      </c>
      <c r="CA214" s="15" t="s">
        <v>208</v>
      </c>
      <c r="CB214" s="15" t="s">
        <v>188</v>
      </c>
      <c r="CC214" s="15"/>
      <c r="CD214" s="15"/>
      <c r="CE214" s="15"/>
      <c r="CF214" s="15"/>
      <c r="CG214" s="15"/>
      <c r="CH214" s="15"/>
      <c r="CI214" s="15"/>
      <c r="CJ214" s="15"/>
      <c r="CK214" s="15"/>
      <c r="CL214" s="15" t="s">
        <v>188</v>
      </c>
      <c r="CM214" s="15" t="s">
        <v>188</v>
      </c>
      <c r="CN214" s="15" t="s">
        <v>669</v>
      </c>
      <c r="CO214" s="15"/>
      <c r="CP214" s="15" t="s">
        <v>668</v>
      </c>
      <c r="CQ214" s="15" t="s">
        <v>309</v>
      </c>
      <c r="CR214" s="15" t="s">
        <v>188</v>
      </c>
      <c r="CS214" s="15"/>
      <c r="CT214" s="15"/>
      <c r="CU214" s="15"/>
      <c r="CV214" s="15"/>
      <c r="CW214" s="15"/>
      <c r="CX214" s="15"/>
      <c r="CY214" s="15" t="s">
        <v>188</v>
      </c>
      <c r="CZ214" s="3"/>
      <c r="DA214" s="49"/>
      <c r="DC214" s="18">
        <f t="shared" si="9"/>
        <v>0</v>
      </c>
      <c r="DD214" s="18">
        <f t="shared" si="10"/>
        <v>7</v>
      </c>
      <c r="DE214" s="18">
        <f t="shared" si="11"/>
        <v>2000</v>
      </c>
    </row>
    <row r="215" spans="1:109" x14ac:dyDescent="0.25">
      <c r="A215" s="59" t="s">
        <v>1318</v>
      </c>
      <c r="B215" s="103">
        <v>41548</v>
      </c>
      <c r="C215" s="105" t="s">
        <v>1576</v>
      </c>
      <c r="D215" s="14" t="s">
        <v>689</v>
      </c>
      <c r="E215" s="15"/>
      <c r="F215" s="15"/>
      <c r="G215" s="15" t="s">
        <v>188</v>
      </c>
      <c r="H215" s="15"/>
      <c r="I215" s="15">
        <v>45</v>
      </c>
      <c r="J215" s="15" t="s">
        <v>189</v>
      </c>
      <c r="K215" s="15" t="s">
        <v>220</v>
      </c>
      <c r="L215" s="15" t="s">
        <v>395</v>
      </c>
      <c r="M215" s="15" t="s">
        <v>1022</v>
      </c>
      <c r="N215" s="15" t="s">
        <v>1085</v>
      </c>
      <c r="O215" s="15">
        <v>15</v>
      </c>
      <c r="P215" s="15" t="s">
        <v>188</v>
      </c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 t="s">
        <v>188</v>
      </c>
      <c r="AB215" s="15"/>
      <c r="AC215" s="15"/>
      <c r="AD215" s="15"/>
      <c r="AE215" s="15"/>
      <c r="AF215" s="15"/>
      <c r="AG215" s="15"/>
      <c r="AH215" s="15">
        <v>1978</v>
      </c>
      <c r="AI215" s="1">
        <v>1500000</v>
      </c>
      <c r="AJ215" s="15"/>
      <c r="AK215" s="15"/>
      <c r="AL215" s="15" t="s">
        <v>188</v>
      </c>
      <c r="AM215" s="15"/>
      <c r="AN215" s="15"/>
      <c r="AO215" s="15"/>
      <c r="AP215" s="15" t="s">
        <v>188</v>
      </c>
      <c r="AQ215" s="15"/>
      <c r="AR215" s="15" t="s">
        <v>188</v>
      </c>
      <c r="AS215" s="15">
        <v>1990</v>
      </c>
      <c r="AT215" s="15" t="s">
        <v>211</v>
      </c>
      <c r="AU215" s="1">
        <v>3500</v>
      </c>
      <c r="AV215" s="48">
        <v>0.2</v>
      </c>
      <c r="AW215" s="15">
        <v>3</v>
      </c>
      <c r="AX215" s="15">
        <v>2.5</v>
      </c>
      <c r="AY215" s="15">
        <v>2</v>
      </c>
      <c r="AZ215" s="15">
        <v>430</v>
      </c>
      <c r="BA215" s="15">
        <v>1200</v>
      </c>
      <c r="BB215" s="15" t="s">
        <v>199</v>
      </c>
      <c r="BC215" s="15" t="s">
        <v>199</v>
      </c>
      <c r="BD215" s="15" t="s">
        <v>199</v>
      </c>
      <c r="BE215" s="1">
        <v>10000</v>
      </c>
      <c r="BF215" s="1">
        <v>21000</v>
      </c>
      <c r="BG215" s="1">
        <v>12000</v>
      </c>
      <c r="BH215" s="1">
        <v>84000</v>
      </c>
      <c r="BI215" s="1">
        <v>12000</v>
      </c>
      <c r="BJ215" s="15"/>
      <c r="BK215" s="15"/>
      <c r="BL215" s="15"/>
      <c r="BM215" s="15" t="s">
        <v>188</v>
      </c>
      <c r="BN215" s="15"/>
      <c r="BO215" s="15"/>
      <c r="BP215" s="15"/>
      <c r="BQ215" s="15"/>
      <c r="BR215" s="15"/>
      <c r="BS215" s="2"/>
      <c r="BT215" s="15"/>
      <c r="BU215" s="15" t="s">
        <v>188</v>
      </c>
      <c r="BV215" s="15"/>
      <c r="BW215" s="15"/>
      <c r="BX215" s="15">
        <v>2</v>
      </c>
      <c r="BY215" s="15">
        <v>4</v>
      </c>
      <c r="BZ215" s="15">
        <v>3</v>
      </c>
      <c r="CA215" s="15" t="s">
        <v>208</v>
      </c>
      <c r="CB215" s="15"/>
      <c r="CC215" s="15" t="s">
        <v>188</v>
      </c>
      <c r="CD215" s="15"/>
      <c r="CE215" s="15"/>
      <c r="CF215" s="15"/>
      <c r="CG215" s="15"/>
      <c r="CH215" s="15" t="s">
        <v>188</v>
      </c>
      <c r="CI215" s="15" t="s">
        <v>188</v>
      </c>
      <c r="CJ215" s="15"/>
      <c r="CK215" s="15" t="s">
        <v>188</v>
      </c>
      <c r="CL215" s="15"/>
      <c r="CM215" s="15"/>
      <c r="CN215" s="15"/>
      <c r="CO215" s="15"/>
      <c r="CP215" s="15" t="s">
        <v>193</v>
      </c>
      <c r="CQ215" s="15" t="s">
        <v>300</v>
      </c>
      <c r="CR215" s="15"/>
      <c r="CS215" s="15" t="s">
        <v>188</v>
      </c>
      <c r="CT215" s="15" t="s">
        <v>188</v>
      </c>
      <c r="CU215" s="15"/>
      <c r="CV215" s="15" t="s">
        <v>188</v>
      </c>
      <c r="CW215" s="15" t="s">
        <v>270</v>
      </c>
      <c r="CX215" s="15"/>
      <c r="CY215" s="15"/>
      <c r="CZ215" s="3"/>
      <c r="DA215" s="49"/>
      <c r="DC215" s="18">
        <f t="shared" si="9"/>
        <v>0</v>
      </c>
      <c r="DD215" s="18">
        <f t="shared" si="10"/>
        <v>3</v>
      </c>
      <c r="DE215" s="18">
        <f t="shared" si="11"/>
        <v>1990</v>
      </c>
    </row>
    <row r="216" spans="1:109" x14ac:dyDescent="0.25">
      <c r="A216" s="59" t="s">
        <v>1318</v>
      </c>
      <c r="B216" s="103">
        <v>41548</v>
      </c>
      <c r="C216" s="105" t="s">
        <v>1576</v>
      </c>
      <c r="D216" s="14" t="s">
        <v>690</v>
      </c>
      <c r="E216" s="15" t="s">
        <v>188</v>
      </c>
      <c r="F216" s="15"/>
      <c r="G216" s="15"/>
      <c r="H216" s="15"/>
      <c r="I216" s="15">
        <v>38</v>
      </c>
      <c r="J216" s="15" t="s">
        <v>189</v>
      </c>
      <c r="K216" s="15" t="s">
        <v>214</v>
      </c>
      <c r="L216" s="15" t="s">
        <v>404</v>
      </c>
      <c r="M216" s="15" t="s">
        <v>1036</v>
      </c>
      <c r="N216" s="15" t="s">
        <v>1085</v>
      </c>
      <c r="O216" s="15">
        <v>10</v>
      </c>
      <c r="P216" s="15"/>
      <c r="Q216" s="15"/>
      <c r="R216" s="15"/>
      <c r="S216" s="15" t="s">
        <v>188</v>
      </c>
      <c r="T216" s="15"/>
      <c r="U216" s="15" t="s">
        <v>188</v>
      </c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>
        <v>2009</v>
      </c>
      <c r="AI216" s="1">
        <v>500000</v>
      </c>
      <c r="AJ216" s="15"/>
      <c r="AK216" s="15"/>
      <c r="AL216" s="15" t="s">
        <v>188</v>
      </c>
      <c r="AM216" s="15"/>
      <c r="AN216" s="15"/>
      <c r="AO216" s="15"/>
      <c r="AP216" s="15" t="s">
        <v>188</v>
      </c>
      <c r="AQ216" s="15"/>
      <c r="AR216" s="15"/>
      <c r="AS216" s="15"/>
      <c r="AT216" s="15" t="s">
        <v>198</v>
      </c>
      <c r="AU216" s="1">
        <v>10000</v>
      </c>
      <c r="AV216" s="48">
        <v>0.5</v>
      </c>
      <c r="AW216" s="15">
        <v>3</v>
      </c>
      <c r="AX216" s="15">
        <v>2.5</v>
      </c>
      <c r="AY216" s="15">
        <v>3</v>
      </c>
      <c r="AZ216" s="15">
        <v>1100</v>
      </c>
      <c r="BA216" s="15">
        <v>3000</v>
      </c>
      <c r="BB216" s="15" t="s">
        <v>199</v>
      </c>
      <c r="BC216" s="15" t="s">
        <v>188</v>
      </c>
      <c r="BD216" s="15" t="s">
        <v>199</v>
      </c>
      <c r="BE216" s="1">
        <v>8000</v>
      </c>
      <c r="BF216" s="1">
        <v>80000</v>
      </c>
      <c r="BG216" s="1">
        <v>20000</v>
      </c>
      <c r="BH216" s="1">
        <v>200000</v>
      </c>
      <c r="BI216" s="1">
        <v>20000</v>
      </c>
      <c r="BJ216" s="15"/>
      <c r="BK216" s="15"/>
      <c r="BL216" s="15"/>
      <c r="BM216" s="15"/>
      <c r="BN216" s="15" t="s">
        <v>188</v>
      </c>
      <c r="BO216" s="15"/>
      <c r="BP216" s="15"/>
      <c r="BQ216" s="15"/>
      <c r="BR216" s="15"/>
      <c r="BS216" s="2"/>
      <c r="BT216" s="15"/>
      <c r="BU216" s="15" t="s">
        <v>188</v>
      </c>
      <c r="BV216" s="15"/>
      <c r="BW216" s="15"/>
      <c r="BX216" s="15">
        <v>2</v>
      </c>
      <c r="BY216" s="15">
        <v>4</v>
      </c>
      <c r="BZ216" s="15">
        <v>3</v>
      </c>
      <c r="CA216" s="15" t="s">
        <v>208</v>
      </c>
      <c r="CB216" s="15"/>
      <c r="CC216" s="15" t="s">
        <v>188</v>
      </c>
      <c r="CD216" s="15"/>
      <c r="CE216" s="15"/>
      <c r="CF216" s="15"/>
      <c r="CG216" s="15"/>
      <c r="CH216" s="15" t="s">
        <v>188</v>
      </c>
      <c r="CI216" s="15" t="s">
        <v>188</v>
      </c>
      <c r="CJ216" s="15"/>
      <c r="CK216" s="15"/>
      <c r="CL216" s="15" t="s">
        <v>188</v>
      </c>
      <c r="CM216" s="15" t="s">
        <v>188</v>
      </c>
      <c r="CN216" s="15" t="s">
        <v>306</v>
      </c>
      <c r="CO216" s="15"/>
      <c r="CP216" s="15" t="s">
        <v>193</v>
      </c>
      <c r="CQ216" s="15" t="s">
        <v>300</v>
      </c>
      <c r="CR216" s="15"/>
      <c r="CS216" s="15" t="s">
        <v>188</v>
      </c>
      <c r="CT216" s="15" t="s">
        <v>188</v>
      </c>
      <c r="CU216" s="15"/>
      <c r="CV216" s="15" t="s">
        <v>188</v>
      </c>
      <c r="CW216" s="15" t="s">
        <v>270</v>
      </c>
      <c r="CX216" s="15"/>
      <c r="CY216" s="15"/>
      <c r="CZ216" s="3"/>
      <c r="DA216" s="49"/>
      <c r="DC216" s="18">
        <f t="shared" si="9"/>
        <v>0</v>
      </c>
      <c r="DD216" s="18">
        <f t="shared" si="10"/>
        <v>1</v>
      </c>
      <c r="DE216" s="18">
        <f t="shared" si="11"/>
        <v>2009</v>
      </c>
    </row>
    <row r="217" spans="1:109" x14ac:dyDescent="0.25">
      <c r="A217" s="59" t="s">
        <v>1318</v>
      </c>
      <c r="B217" s="103">
        <v>41548</v>
      </c>
      <c r="C217" s="105" t="s">
        <v>1576</v>
      </c>
      <c r="D217" s="14" t="s">
        <v>691</v>
      </c>
      <c r="E217" s="15"/>
      <c r="F217" s="15"/>
      <c r="G217" s="15"/>
      <c r="H217" s="15" t="s">
        <v>188</v>
      </c>
      <c r="I217" s="15">
        <v>36</v>
      </c>
      <c r="J217" s="15" t="s">
        <v>189</v>
      </c>
      <c r="K217" s="15" t="s">
        <v>196</v>
      </c>
      <c r="L217" s="15" t="s">
        <v>671</v>
      </c>
      <c r="M217" s="15" t="s">
        <v>1081</v>
      </c>
      <c r="N217" s="15" t="s">
        <v>1085</v>
      </c>
      <c r="O217" s="15">
        <v>10</v>
      </c>
      <c r="P217" s="15"/>
      <c r="Q217" s="15"/>
      <c r="R217" s="15"/>
      <c r="S217" s="15" t="s">
        <v>188</v>
      </c>
      <c r="T217" s="15"/>
      <c r="U217" s="15" t="s">
        <v>188</v>
      </c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>
        <v>2011</v>
      </c>
      <c r="AI217" s="1">
        <v>200000</v>
      </c>
      <c r="AJ217" s="15"/>
      <c r="AK217" s="15"/>
      <c r="AL217" s="15" t="s">
        <v>188</v>
      </c>
      <c r="AM217" s="15"/>
      <c r="AN217" s="15"/>
      <c r="AO217" s="15"/>
      <c r="AP217" s="15" t="s">
        <v>188</v>
      </c>
      <c r="AQ217" s="15"/>
      <c r="AR217" s="15"/>
      <c r="AS217" s="15"/>
      <c r="AT217" s="15" t="s">
        <v>390</v>
      </c>
      <c r="AU217" s="1">
        <v>15000</v>
      </c>
      <c r="AV217" s="48">
        <v>0.5</v>
      </c>
      <c r="AW217" s="15">
        <v>3</v>
      </c>
      <c r="AX217" s="15">
        <v>2.7</v>
      </c>
      <c r="AY217" s="15">
        <v>3</v>
      </c>
      <c r="AZ217" s="15">
        <v>860</v>
      </c>
      <c r="BA217" s="15">
        <v>2500</v>
      </c>
      <c r="BB217" s="15" t="s">
        <v>188</v>
      </c>
      <c r="BC217" s="15" t="s">
        <v>188</v>
      </c>
      <c r="BD217" s="15" t="s">
        <v>188</v>
      </c>
      <c r="BE217" s="1">
        <v>20000</v>
      </c>
      <c r="BF217" s="1">
        <v>28000</v>
      </c>
      <c r="BG217" s="1">
        <v>40000</v>
      </c>
      <c r="BH217" s="1">
        <v>23000</v>
      </c>
      <c r="BI217" s="1">
        <v>40000</v>
      </c>
      <c r="BJ217" s="15"/>
      <c r="BK217" s="15"/>
      <c r="BL217" s="15"/>
      <c r="BM217" s="15"/>
      <c r="BN217" s="15"/>
      <c r="BO217" s="15"/>
      <c r="BP217" s="15"/>
      <c r="BQ217" s="15"/>
      <c r="BR217" s="15" t="s">
        <v>188</v>
      </c>
      <c r="BS217" s="2"/>
      <c r="BT217" s="15"/>
      <c r="BU217" s="15" t="s">
        <v>188</v>
      </c>
      <c r="BV217" s="15"/>
      <c r="BW217" s="15"/>
      <c r="BX217" s="15">
        <v>3</v>
      </c>
      <c r="BY217" s="15">
        <v>4</v>
      </c>
      <c r="BZ217" s="15">
        <v>2</v>
      </c>
      <c r="CA217" s="15" t="s">
        <v>208</v>
      </c>
      <c r="CB217" s="15"/>
      <c r="CC217" s="15" t="s">
        <v>188</v>
      </c>
      <c r="CD217" s="15"/>
      <c r="CE217" s="15" t="s">
        <v>188</v>
      </c>
      <c r="CF217" s="15" t="s">
        <v>188</v>
      </c>
      <c r="CG217" s="15" t="s">
        <v>188</v>
      </c>
      <c r="CH217" s="15" t="s">
        <v>188</v>
      </c>
      <c r="CI217" s="15" t="s">
        <v>188</v>
      </c>
      <c r="CJ217" s="15"/>
      <c r="CK217" s="15" t="s">
        <v>188</v>
      </c>
      <c r="CL217" s="15"/>
      <c r="CM217" s="15"/>
      <c r="CN217" s="15"/>
      <c r="CO217" s="15"/>
      <c r="CP217" s="15" t="s">
        <v>193</v>
      </c>
      <c r="CQ217" s="15" t="s">
        <v>632</v>
      </c>
      <c r="CR217" s="15"/>
      <c r="CS217" s="15"/>
      <c r="CT217" s="15"/>
      <c r="CU217" s="15" t="s">
        <v>324</v>
      </c>
      <c r="CV217" s="15" t="s">
        <v>188</v>
      </c>
      <c r="CW217" s="15" t="s">
        <v>270</v>
      </c>
      <c r="CX217" s="15"/>
      <c r="CY217" s="15"/>
      <c r="CZ217" s="3"/>
      <c r="DA217" s="49"/>
      <c r="DC217" s="18">
        <f t="shared" si="9"/>
        <v>0</v>
      </c>
      <c r="DD217" s="18">
        <f t="shared" si="10"/>
        <v>7</v>
      </c>
      <c r="DE217" s="18">
        <f t="shared" si="11"/>
        <v>2011</v>
      </c>
    </row>
    <row r="218" spans="1:109" x14ac:dyDescent="0.25">
      <c r="A218" s="59" t="s">
        <v>1318</v>
      </c>
      <c r="B218" s="103">
        <v>41548</v>
      </c>
      <c r="C218" s="105" t="s">
        <v>1576</v>
      </c>
      <c r="D218" s="14" t="s">
        <v>692</v>
      </c>
      <c r="E218" s="15"/>
      <c r="F218" s="15"/>
      <c r="G218" s="15"/>
      <c r="H218" s="15" t="s">
        <v>188</v>
      </c>
      <c r="I218" s="15">
        <v>33</v>
      </c>
      <c r="J218" s="15" t="s">
        <v>189</v>
      </c>
      <c r="K218" s="15" t="s">
        <v>190</v>
      </c>
      <c r="L218" s="15" t="s">
        <v>385</v>
      </c>
      <c r="M218" s="15" t="s">
        <v>1016</v>
      </c>
      <c r="N218" s="15" t="s">
        <v>1084</v>
      </c>
      <c r="O218" s="15">
        <v>10</v>
      </c>
      <c r="P218" s="15"/>
      <c r="Q218" s="15" t="s">
        <v>188</v>
      </c>
      <c r="R218" s="15"/>
      <c r="S218" s="15"/>
      <c r="T218" s="15"/>
      <c r="U218" s="15"/>
      <c r="V218" s="15"/>
      <c r="W218" s="15"/>
      <c r="X218" s="15" t="s">
        <v>188</v>
      </c>
      <c r="Y218" s="15"/>
      <c r="Z218" s="15"/>
      <c r="AA218" s="15"/>
      <c r="AB218" s="15"/>
      <c r="AC218" s="15"/>
      <c r="AD218" s="15"/>
      <c r="AE218" s="15"/>
      <c r="AF218" s="15"/>
      <c r="AG218" s="15"/>
      <c r="AH218" s="15">
        <v>2013</v>
      </c>
      <c r="AI218" s="1">
        <v>300000</v>
      </c>
      <c r="AJ218" s="15"/>
      <c r="AK218" s="15"/>
      <c r="AL218" s="15" t="s">
        <v>188</v>
      </c>
      <c r="AM218" s="15"/>
      <c r="AN218" s="15"/>
      <c r="AO218" s="15"/>
      <c r="AP218" s="15" t="s">
        <v>188</v>
      </c>
      <c r="AQ218" s="15"/>
      <c r="AR218" s="15"/>
      <c r="AS218" s="15"/>
      <c r="AT218" s="15" t="s">
        <v>198</v>
      </c>
      <c r="AU218" s="1">
        <v>20000</v>
      </c>
      <c r="AV218" s="48">
        <v>0.1</v>
      </c>
      <c r="AW218" s="15">
        <v>3</v>
      </c>
      <c r="AX218" s="15">
        <v>2.5</v>
      </c>
      <c r="AY218" s="15">
        <v>2</v>
      </c>
      <c r="AZ218" s="15">
        <v>710</v>
      </c>
      <c r="BA218" s="15">
        <v>2000</v>
      </c>
      <c r="BB218" s="15" t="s">
        <v>188</v>
      </c>
      <c r="BC218" s="15" t="s">
        <v>188</v>
      </c>
      <c r="BD218" s="15" t="s">
        <v>188</v>
      </c>
      <c r="BE218" s="1">
        <v>40000</v>
      </c>
      <c r="BF218" s="1">
        <v>20000</v>
      </c>
      <c r="BG218" s="1">
        <v>40000</v>
      </c>
      <c r="BH218" s="1">
        <v>240000</v>
      </c>
      <c r="BI218" s="1">
        <v>40000</v>
      </c>
      <c r="BJ218" s="15"/>
      <c r="BK218" s="15"/>
      <c r="BL218" s="15"/>
      <c r="BM218" s="15"/>
      <c r="BN218" s="15"/>
      <c r="BO218" s="15"/>
      <c r="BP218" s="15"/>
      <c r="BQ218" s="15" t="s">
        <v>188</v>
      </c>
      <c r="BR218" s="15"/>
      <c r="BS218" s="2"/>
      <c r="BT218" s="15" t="s">
        <v>188</v>
      </c>
      <c r="BU218" s="15"/>
      <c r="BV218" s="15"/>
      <c r="BW218" s="15"/>
      <c r="BX218" s="15">
        <v>2</v>
      </c>
      <c r="BY218" s="15">
        <v>3</v>
      </c>
      <c r="BZ218" s="15">
        <v>1</v>
      </c>
      <c r="CA218" s="15"/>
      <c r="CB218" s="15"/>
      <c r="CC218" s="15" t="s">
        <v>188</v>
      </c>
      <c r="CD218" s="15"/>
      <c r="CE218" s="15"/>
      <c r="CF218" s="15"/>
      <c r="CG218" s="15"/>
      <c r="CH218" s="15" t="s">
        <v>188</v>
      </c>
      <c r="CI218" s="15" t="s">
        <v>188</v>
      </c>
      <c r="CJ218" s="15"/>
      <c r="CK218" s="15" t="s">
        <v>188</v>
      </c>
      <c r="CL218" s="15"/>
      <c r="CM218" s="15"/>
      <c r="CN218" s="15" t="s">
        <v>306</v>
      </c>
      <c r="CO218" s="15"/>
      <c r="CP218" s="15" t="s">
        <v>193</v>
      </c>
      <c r="CQ218" s="15" t="s">
        <v>193</v>
      </c>
      <c r="CR218" s="15" t="s">
        <v>188</v>
      </c>
      <c r="CS218" s="15"/>
      <c r="CT218" s="15"/>
      <c r="CU218" s="15"/>
      <c r="CV218" s="15" t="s">
        <v>188</v>
      </c>
      <c r="CW218" s="15" t="s">
        <v>270</v>
      </c>
      <c r="CX218" s="15"/>
      <c r="CY218" s="15"/>
      <c r="CZ218" s="3"/>
      <c r="DA218" s="49" t="s">
        <v>696</v>
      </c>
      <c r="DC218" s="18">
        <f t="shared" si="9"/>
        <v>0</v>
      </c>
      <c r="DD218" s="18">
        <f t="shared" si="10"/>
        <v>7</v>
      </c>
      <c r="DE218" s="18">
        <f t="shared" si="11"/>
        <v>2013</v>
      </c>
    </row>
    <row r="219" spans="1:109" x14ac:dyDescent="0.25">
      <c r="A219" s="59" t="s">
        <v>1318</v>
      </c>
      <c r="B219" s="103">
        <v>41548</v>
      </c>
      <c r="C219" s="105" t="s">
        <v>1576</v>
      </c>
      <c r="D219" s="14" t="s">
        <v>693</v>
      </c>
      <c r="E219" s="15"/>
      <c r="F219" s="15"/>
      <c r="G219" s="15"/>
      <c r="H219" s="15" t="s">
        <v>188</v>
      </c>
      <c r="I219" s="15">
        <v>27</v>
      </c>
      <c r="J219" s="15" t="s">
        <v>189</v>
      </c>
      <c r="K219" s="15" t="s">
        <v>190</v>
      </c>
      <c r="L219" s="15" t="s">
        <v>399</v>
      </c>
      <c r="M219" s="15" t="s">
        <v>1033</v>
      </c>
      <c r="N219" s="15" t="s">
        <v>1085</v>
      </c>
      <c r="O219" s="15">
        <v>4</v>
      </c>
      <c r="P219" s="15"/>
      <c r="Q219" s="15" t="s">
        <v>188</v>
      </c>
      <c r="R219" s="15"/>
      <c r="S219" s="15"/>
      <c r="T219" s="15"/>
      <c r="U219" s="15" t="s">
        <v>188</v>
      </c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>
        <v>2005</v>
      </c>
      <c r="AI219" s="1">
        <v>1400000</v>
      </c>
      <c r="AJ219" s="15"/>
      <c r="AK219" s="15"/>
      <c r="AL219" s="15" t="s">
        <v>188</v>
      </c>
      <c r="AM219" s="15"/>
      <c r="AN219" s="15"/>
      <c r="AO219" s="15"/>
      <c r="AP219" s="15" t="s">
        <v>188</v>
      </c>
      <c r="AQ219" s="15"/>
      <c r="AR219" s="15"/>
      <c r="AS219" s="15"/>
      <c r="AT219" s="15" t="s">
        <v>198</v>
      </c>
      <c r="AU219" s="1">
        <v>15000</v>
      </c>
      <c r="AV219" s="48">
        <v>0.5</v>
      </c>
      <c r="AW219" s="15">
        <v>3</v>
      </c>
      <c r="AX219" s="15">
        <v>2.8</v>
      </c>
      <c r="AY219" s="15">
        <v>2</v>
      </c>
      <c r="AZ219" s="15">
        <v>410</v>
      </c>
      <c r="BA219" s="15">
        <v>1200</v>
      </c>
      <c r="BB219" s="15" t="s">
        <v>199</v>
      </c>
      <c r="BC219" s="15" t="s">
        <v>188</v>
      </c>
      <c r="BD219" s="15" t="s">
        <v>188</v>
      </c>
      <c r="BE219" s="1">
        <v>20000</v>
      </c>
      <c r="BF219" s="1">
        <v>10000</v>
      </c>
      <c r="BG219" s="1">
        <v>20000</v>
      </c>
      <c r="BH219" s="1">
        <v>180000</v>
      </c>
      <c r="BI219" s="1">
        <v>20000</v>
      </c>
      <c r="BJ219" s="15"/>
      <c r="BK219" s="15"/>
      <c r="BL219" s="15"/>
      <c r="BM219" s="15"/>
      <c r="BN219" s="15"/>
      <c r="BO219" s="15"/>
      <c r="BP219" s="15"/>
      <c r="BQ219" s="15"/>
      <c r="BR219" s="15"/>
      <c r="BS219" s="2" t="s">
        <v>694</v>
      </c>
      <c r="BT219" s="15"/>
      <c r="BU219" s="15" t="s">
        <v>188</v>
      </c>
      <c r="BV219" s="15"/>
      <c r="BW219" s="15"/>
      <c r="BX219" s="15">
        <v>2</v>
      </c>
      <c r="BY219" s="15">
        <v>3</v>
      </c>
      <c r="BZ219" s="15">
        <v>1</v>
      </c>
      <c r="CA219" s="15"/>
      <c r="CB219" s="15"/>
      <c r="CC219" s="15" t="s">
        <v>188</v>
      </c>
      <c r="CD219" s="15"/>
      <c r="CE219" s="15"/>
      <c r="CF219" s="15"/>
      <c r="CG219" s="15" t="s">
        <v>188</v>
      </c>
      <c r="CH219" s="15" t="s">
        <v>188</v>
      </c>
      <c r="CI219" s="15" t="s">
        <v>188</v>
      </c>
      <c r="CJ219" s="15"/>
      <c r="CK219" s="15" t="s">
        <v>188</v>
      </c>
      <c r="CL219" s="15"/>
      <c r="CM219" s="15"/>
      <c r="CN219" s="15"/>
      <c r="CO219" s="15"/>
      <c r="CP219" s="15" t="s">
        <v>193</v>
      </c>
      <c r="CQ219" s="15" t="s">
        <v>193</v>
      </c>
      <c r="CR219" s="15"/>
      <c r="CS219" s="15" t="s">
        <v>188</v>
      </c>
      <c r="CT219" s="15" t="s">
        <v>188</v>
      </c>
      <c r="CU219" s="15"/>
      <c r="CV219" s="15" t="s">
        <v>188</v>
      </c>
      <c r="CW219" s="15" t="s">
        <v>270</v>
      </c>
      <c r="CX219" s="15"/>
      <c r="CY219" s="15"/>
      <c r="CZ219" s="3"/>
      <c r="DA219" s="49"/>
      <c r="DC219" s="18">
        <f t="shared" si="9"/>
        <v>0</v>
      </c>
      <c r="DD219" s="18">
        <f t="shared" si="10"/>
        <v>7</v>
      </c>
      <c r="DE219" s="18">
        <f t="shared" si="11"/>
        <v>2005</v>
      </c>
    </row>
    <row r="220" spans="1:109" x14ac:dyDescent="0.25">
      <c r="A220" s="59" t="s">
        <v>1318</v>
      </c>
      <c r="B220" s="103">
        <v>41548</v>
      </c>
      <c r="C220" s="105" t="s">
        <v>1576</v>
      </c>
      <c r="D220" s="14" t="s">
        <v>697</v>
      </c>
      <c r="E220" s="15"/>
      <c r="F220" s="15"/>
      <c r="G220" s="15" t="s">
        <v>188</v>
      </c>
      <c r="H220" s="15"/>
      <c r="I220" s="15">
        <v>32</v>
      </c>
      <c r="J220" s="15" t="s">
        <v>189</v>
      </c>
      <c r="K220" s="15" t="s">
        <v>196</v>
      </c>
      <c r="L220" s="15" t="s">
        <v>393</v>
      </c>
      <c r="M220" s="15" t="s">
        <v>1025</v>
      </c>
      <c r="N220" s="15" t="s">
        <v>1084</v>
      </c>
      <c r="O220" s="15">
        <v>15</v>
      </c>
      <c r="P220" s="15" t="s">
        <v>188</v>
      </c>
      <c r="Q220" s="15"/>
      <c r="R220" s="15"/>
      <c r="S220" s="15"/>
      <c r="T220" s="15"/>
      <c r="U220" s="15" t="s">
        <v>188</v>
      </c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>
        <v>2010</v>
      </c>
      <c r="AI220" s="1">
        <v>600000</v>
      </c>
      <c r="AJ220" s="15"/>
      <c r="AK220" s="15"/>
      <c r="AL220" s="15" t="s">
        <v>188</v>
      </c>
      <c r="AM220" s="15"/>
      <c r="AN220" s="15"/>
      <c r="AO220" s="15"/>
      <c r="AP220" s="15" t="s">
        <v>188</v>
      </c>
      <c r="AQ220" s="15"/>
      <c r="AR220" s="15"/>
      <c r="AS220" s="15"/>
      <c r="AT220" s="15" t="s">
        <v>266</v>
      </c>
      <c r="AU220" s="1">
        <v>4000</v>
      </c>
      <c r="AV220" s="48">
        <v>0.5</v>
      </c>
      <c r="AW220" s="15">
        <v>2.8</v>
      </c>
      <c r="AX220" s="15">
        <v>2.5</v>
      </c>
      <c r="AY220" s="15">
        <v>2</v>
      </c>
      <c r="AZ220" s="15">
        <v>770</v>
      </c>
      <c r="BA220" s="15">
        <v>2000</v>
      </c>
      <c r="BB220" s="15" t="s">
        <v>188</v>
      </c>
      <c r="BC220" s="15" t="s">
        <v>188</v>
      </c>
      <c r="BD220" s="15" t="s">
        <v>199</v>
      </c>
      <c r="BE220" s="1">
        <v>8000</v>
      </c>
      <c r="BF220" s="1">
        <v>6000</v>
      </c>
      <c r="BG220" s="1">
        <v>17000</v>
      </c>
      <c r="BH220" s="1">
        <v>130000</v>
      </c>
      <c r="BI220" s="1">
        <v>17000</v>
      </c>
      <c r="BJ220" s="15"/>
      <c r="BK220" s="15"/>
      <c r="BL220" s="15"/>
      <c r="BM220" s="15"/>
      <c r="BN220" s="15" t="s">
        <v>188</v>
      </c>
      <c r="BO220" s="15"/>
      <c r="BP220" s="15"/>
      <c r="BQ220" s="15"/>
      <c r="BR220" s="15"/>
      <c r="BS220" s="2" t="s">
        <v>314</v>
      </c>
      <c r="BT220" s="15"/>
      <c r="BU220" s="15" t="s">
        <v>188</v>
      </c>
      <c r="BV220" s="15"/>
      <c r="BW220" s="15"/>
      <c r="BX220" s="15">
        <v>2</v>
      </c>
      <c r="BY220" s="15">
        <v>1</v>
      </c>
      <c r="BZ220" s="15">
        <v>3</v>
      </c>
      <c r="CA220" s="15"/>
      <c r="CB220" s="15"/>
      <c r="CC220" s="15" t="s">
        <v>188</v>
      </c>
      <c r="CD220" s="15"/>
      <c r="CE220" s="15" t="s">
        <v>188</v>
      </c>
      <c r="CF220" s="15"/>
      <c r="CG220" s="15"/>
      <c r="CH220" s="15" t="s">
        <v>188</v>
      </c>
      <c r="CI220" s="15" t="s">
        <v>188</v>
      </c>
      <c r="CJ220" s="15"/>
      <c r="CK220" s="15"/>
      <c r="CL220" s="15" t="s">
        <v>188</v>
      </c>
      <c r="CM220" s="15" t="s">
        <v>188</v>
      </c>
      <c r="CN220" s="15" t="s">
        <v>306</v>
      </c>
      <c r="CO220" s="15"/>
      <c r="CP220" s="15" t="s">
        <v>698</v>
      </c>
      <c r="CQ220" s="15" t="s">
        <v>338</v>
      </c>
      <c r="CR220" s="15" t="s">
        <v>188</v>
      </c>
      <c r="CS220" s="15"/>
      <c r="CT220" s="15"/>
      <c r="CU220" s="15"/>
      <c r="CV220" s="15"/>
      <c r="CW220" s="15"/>
      <c r="CX220" s="15"/>
      <c r="CY220" s="15" t="s">
        <v>188</v>
      </c>
      <c r="CZ220" s="3"/>
      <c r="DA220" s="49"/>
      <c r="DC220" s="18">
        <f t="shared" si="9"/>
        <v>0</v>
      </c>
      <c r="DD220" s="18">
        <f t="shared" si="10"/>
        <v>3</v>
      </c>
      <c r="DE220" s="18">
        <f t="shared" si="11"/>
        <v>2010</v>
      </c>
    </row>
    <row r="221" spans="1:109" x14ac:dyDescent="0.25">
      <c r="A221" s="59" t="s">
        <v>1318</v>
      </c>
      <c r="B221" s="103">
        <v>41548</v>
      </c>
      <c r="C221" s="105" t="s">
        <v>1576</v>
      </c>
      <c r="D221" s="14" t="s">
        <v>699</v>
      </c>
      <c r="E221" s="15"/>
      <c r="F221" s="15" t="s">
        <v>188</v>
      </c>
      <c r="G221" s="15"/>
      <c r="H221" s="15"/>
      <c r="I221" s="15">
        <v>32</v>
      </c>
      <c r="J221" s="15" t="s">
        <v>189</v>
      </c>
      <c r="K221" s="15" t="s">
        <v>214</v>
      </c>
      <c r="L221" s="15" t="s">
        <v>551</v>
      </c>
      <c r="M221" s="15" t="s">
        <v>1051</v>
      </c>
      <c r="N221" s="15" t="s">
        <v>1088</v>
      </c>
      <c r="O221" s="15">
        <v>15</v>
      </c>
      <c r="P221" s="15"/>
      <c r="Q221" s="15"/>
      <c r="R221" s="15" t="s">
        <v>188</v>
      </c>
      <c r="S221" s="15"/>
      <c r="T221" s="15"/>
      <c r="U221" s="15"/>
      <c r="V221" s="15"/>
      <c r="W221" s="15" t="s">
        <v>188</v>
      </c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>
        <v>2010</v>
      </c>
      <c r="AI221" s="1">
        <v>100000</v>
      </c>
      <c r="AJ221" s="15"/>
      <c r="AK221" s="15"/>
      <c r="AL221" s="15" t="s">
        <v>188</v>
      </c>
      <c r="AM221" s="15"/>
      <c r="AN221" s="15"/>
      <c r="AO221" s="15"/>
      <c r="AP221" s="15" t="s">
        <v>188</v>
      </c>
      <c r="AQ221" s="15"/>
      <c r="AR221" s="15"/>
      <c r="AS221" s="15"/>
      <c r="AT221" s="15" t="s">
        <v>198</v>
      </c>
      <c r="AU221" s="1">
        <v>2500</v>
      </c>
      <c r="AV221" s="48">
        <v>0.2</v>
      </c>
      <c r="AW221" s="15">
        <v>2.8</v>
      </c>
      <c r="AX221" s="15">
        <v>2</v>
      </c>
      <c r="AY221" s="15">
        <v>3</v>
      </c>
      <c r="AZ221" s="15">
        <v>800</v>
      </c>
      <c r="BA221" s="15">
        <v>2000</v>
      </c>
      <c r="BB221" s="15" t="s">
        <v>188</v>
      </c>
      <c r="BC221" s="15" t="s">
        <v>188</v>
      </c>
      <c r="BD221" s="15" t="s">
        <v>188</v>
      </c>
      <c r="BE221" s="1">
        <v>7000</v>
      </c>
      <c r="BF221" s="1">
        <v>9000</v>
      </c>
      <c r="BG221" s="1">
        <v>19000</v>
      </c>
      <c r="BH221" s="1">
        <f>2*12*AU221</f>
        <v>60000</v>
      </c>
      <c r="BI221" s="1">
        <v>19000</v>
      </c>
      <c r="BJ221" s="15"/>
      <c r="BK221" s="15" t="s">
        <v>188</v>
      </c>
      <c r="BL221" s="15"/>
      <c r="BM221" s="15"/>
      <c r="BN221" s="15" t="s">
        <v>188</v>
      </c>
      <c r="BO221" s="15"/>
      <c r="BP221" s="15"/>
      <c r="BQ221" s="15"/>
      <c r="BR221" s="15"/>
      <c r="BS221" s="2"/>
      <c r="BT221" s="15"/>
      <c r="BU221" s="15"/>
      <c r="BV221" s="15"/>
      <c r="BW221" s="15" t="s">
        <v>188</v>
      </c>
      <c r="BX221" s="15">
        <v>3</v>
      </c>
      <c r="BY221" s="15">
        <v>2</v>
      </c>
      <c r="BZ221" s="15">
        <v>4</v>
      </c>
      <c r="CA221" s="15" t="s">
        <v>208</v>
      </c>
      <c r="CB221" s="15"/>
      <c r="CC221" s="15" t="s">
        <v>188</v>
      </c>
      <c r="CD221" s="15"/>
      <c r="CE221" s="15" t="s">
        <v>188</v>
      </c>
      <c r="CF221" s="15"/>
      <c r="CG221" s="15" t="s">
        <v>188</v>
      </c>
      <c r="CH221" s="15" t="s">
        <v>188</v>
      </c>
      <c r="CI221" s="15" t="s">
        <v>188</v>
      </c>
      <c r="CJ221" s="15"/>
      <c r="CK221" s="15"/>
      <c r="CL221" s="15" t="s">
        <v>188</v>
      </c>
      <c r="CM221" s="15" t="s">
        <v>188</v>
      </c>
      <c r="CN221" s="15" t="s">
        <v>675</v>
      </c>
      <c r="CO221" s="15"/>
      <c r="CP221" s="15" t="s">
        <v>700</v>
      </c>
      <c r="CQ221" s="15" t="s">
        <v>300</v>
      </c>
      <c r="CR221" s="15"/>
      <c r="CS221" s="15" t="s">
        <v>188</v>
      </c>
      <c r="CT221" s="15" t="s">
        <v>188</v>
      </c>
      <c r="CU221" s="15"/>
      <c r="CV221" s="15" t="s">
        <v>188</v>
      </c>
      <c r="CW221" s="15" t="s">
        <v>270</v>
      </c>
      <c r="CX221" s="15"/>
      <c r="CY221" s="15"/>
      <c r="CZ221" s="3"/>
      <c r="DA221" s="49"/>
      <c r="DC221" s="18">
        <f t="shared" si="9"/>
        <v>0</v>
      </c>
      <c r="DD221" s="18">
        <f t="shared" si="10"/>
        <v>2</v>
      </c>
      <c r="DE221" s="18">
        <f t="shared" si="11"/>
        <v>2010</v>
      </c>
    </row>
    <row r="222" spans="1:109" x14ac:dyDescent="0.25">
      <c r="A222" s="59" t="s">
        <v>1318</v>
      </c>
      <c r="B222" s="103">
        <v>41548</v>
      </c>
      <c r="C222" s="105" t="s">
        <v>1576</v>
      </c>
      <c r="D222" s="14" t="s">
        <v>701</v>
      </c>
      <c r="E222" s="15"/>
      <c r="F222" s="15" t="s">
        <v>188</v>
      </c>
      <c r="G222" s="15"/>
      <c r="H222" s="15"/>
      <c r="I222" s="15">
        <v>22</v>
      </c>
      <c r="J222" s="15" t="s">
        <v>189</v>
      </c>
      <c r="K222" s="15" t="s">
        <v>214</v>
      </c>
      <c r="L222" s="15" t="s">
        <v>592</v>
      </c>
      <c r="M222" s="15" t="s">
        <v>1059</v>
      </c>
      <c r="N222" s="15" t="s">
        <v>1085</v>
      </c>
      <c r="O222" s="15">
        <v>5</v>
      </c>
      <c r="P222" s="15" t="s">
        <v>188</v>
      </c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 t="s">
        <v>188</v>
      </c>
      <c r="AB222" s="15"/>
      <c r="AC222" s="15"/>
      <c r="AD222" s="15"/>
      <c r="AE222" s="15"/>
      <c r="AF222" s="15"/>
      <c r="AG222" s="15"/>
      <c r="AH222" s="15">
        <v>1991</v>
      </c>
      <c r="AI222" s="1" t="s">
        <v>193</v>
      </c>
      <c r="AJ222" s="15"/>
      <c r="AK222" s="15"/>
      <c r="AL222" s="15" t="s">
        <v>188</v>
      </c>
      <c r="AM222" s="15"/>
      <c r="AN222" s="15"/>
      <c r="AO222" s="15"/>
      <c r="AP222" s="15"/>
      <c r="AQ222" s="15"/>
      <c r="AR222" s="15" t="s">
        <v>188</v>
      </c>
      <c r="AS222" s="15">
        <v>2001</v>
      </c>
      <c r="AT222" s="15" t="s">
        <v>322</v>
      </c>
      <c r="AU222" s="1">
        <v>2000</v>
      </c>
      <c r="AV222" s="48">
        <v>0.5</v>
      </c>
      <c r="AW222" s="15">
        <v>2.2999999999999998</v>
      </c>
      <c r="AX222" s="15">
        <v>2</v>
      </c>
      <c r="AY222" s="15">
        <v>2</v>
      </c>
      <c r="AZ222" s="15">
        <v>410</v>
      </c>
      <c r="BA222" s="15">
        <v>900</v>
      </c>
      <c r="BB222" s="15" t="s">
        <v>199</v>
      </c>
      <c r="BC222" s="15" t="s">
        <v>188</v>
      </c>
      <c r="BD222" s="15" t="s">
        <v>199</v>
      </c>
      <c r="BE222" s="1">
        <v>7000</v>
      </c>
      <c r="BF222" s="1">
        <v>5000</v>
      </c>
      <c r="BG222" s="1">
        <v>20000</v>
      </c>
      <c r="BH222" s="1">
        <f>2*12*AU222</f>
        <v>48000</v>
      </c>
      <c r="BI222" s="1">
        <v>2000</v>
      </c>
      <c r="BJ222" s="15"/>
      <c r="BK222" s="15"/>
      <c r="BL222" s="15"/>
      <c r="BM222" s="15" t="s">
        <v>188</v>
      </c>
      <c r="BN222" s="15"/>
      <c r="BO222" s="15"/>
      <c r="BP222" s="15"/>
      <c r="BQ222" s="15"/>
      <c r="BR222" s="15"/>
      <c r="BS222" s="2"/>
      <c r="BT222" s="15"/>
      <c r="BU222" s="15" t="s">
        <v>188</v>
      </c>
      <c r="BV222" s="15"/>
      <c r="BW222" s="15"/>
      <c r="BX222" s="15">
        <v>3</v>
      </c>
      <c r="BY222" s="15">
        <v>4</v>
      </c>
      <c r="BZ222" s="15">
        <v>2</v>
      </c>
      <c r="CA222" s="15" t="s">
        <v>208</v>
      </c>
      <c r="CB222" s="15"/>
      <c r="CC222" s="15" t="s">
        <v>188</v>
      </c>
      <c r="CD222" s="15"/>
      <c r="CE222" s="15" t="s">
        <v>188</v>
      </c>
      <c r="CF222" s="15"/>
      <c r="CG222" s="15"/>
      <c r="CH222" s="15" t="s">
        <v>188</v>
      </c>
      <c r="CI222" s="15" t="s">
        <v>188</v>
      </c>
      <c r="CJ222" s="15"/>
      <c r="CK222" s="15" t="s">
        <v>188</v>
      </c>
      <c r="CL222" s="15"/>
      <c r="CM222" s="15"/>
      <c r="CN222" s="15"/>
      <c r="CO222" s="15"/>
      <c r="CP222" s="15" t="s">
        <v>193</v>
      </c>
      <c r="CQ222" s="15" t="s">
        <v>300</v>
      </c>
      <c r="CR222" s="15"/>
      <c r="CS222" s="15"/>
      <c r="CT222" s="15"/>
      <c r="CU222" s="15" t="s">
        <v>324</v>
      </c>
      <c r="CV222" s="15" t="s">
        <v>188</v>
      </c>
      <c r="CW222" s="15" t="s">
        <v>270</v>
      </c>
      <c r="CX222" s="15"/>
      <c r="CY222" s="15"/>
      <c r="CZ222" s="3"/>
      <c r="DA222" s="49"/>
      <c r="DC222" s="18">
        <f t="shared" si="9"/>
        <v>0</v>
      </c>
      <c r="DD222" s="18">
        <f t="shared" si="10"/>
        <v>2</v>
      </c>
      <c r="DE222" s="18">
        <f t="shared" si="11"/>
        <v>2001</v>
      </c>
    </row>
    <row r="223" spans="1:109" x14ac:dyDescent="0.25">
      <c r="A223" s="59" t="s">
        <v>1318</v>
      </c>
      <c r="B223" s="103">
        <v>41548</v>
      </c>
      <c r="C223" s="105" t="s">
        <v>1576</v>
      </c>
      <c r="D223" s="14" t="s">
        <v>703</v>
      </c>
      <c r="E223" s="15"/>
      <c r="F223" s="15"/>
      <c r="G223" s="15" t="s">
        <v>188</v>
      </c>
      <c r="H223" s="15"/>
      <c r="I223" s="15">
        <v>31</v>
      </c>
      <c r="J223" s="15" t="s">
        <v>189</v>
      </c>
      <c r="K223" s="15" t="s">
        <v>190</v>
      </c>
      <c r="L223" s="15" t="s">
        <v>414</v>
      </c>
      <c r="M223" s="15" t="s">
        <v>1042</v>
      </c>
      <c r="N223" s="15" t="s">
        <v>1085</v>
      </c>
      <c r="O223" s="15">
        <v>9</v>
      </c>
      <c r="P223" s="15"/>
      <c r="Q223" s="15"/>
      <c r="R223" s="15"/>
      <c r="S223" s="15" t="s">
        <v>188</v>
      </c>
      <c r="T223" s="15"/>
      <c r="U223" s="15"/>
      <c r="V223" s="15"/>
      <c r="W223" s="15"/>
      <c r="X223" s="15" t="s">
        <v>188</v>
      </c>
      <c r="Y223" s="15"/>
      <c r="Z223" s="15"/>
      <c r="AA223" s="15"/>
      <c r="AB223" s="15"/>
      <c r="AC223" s="15"/>
      <c r="AD223" s="15"/>
      <c r="AE223" s="15"/>
      <c r="AF223" s="15"/>
      <c r="AG223" s="15"/>
      <c r="AH223" s="15">
        <v>2012</v>
      </c>
      <c r="AI223" s="1">
        <v>250000</v>
      </c>
      <c r="AJ223" s="15"/>
      <c r="AK223" s="15"/>
      <c r="AL223" s="15" t="s">
        <v>188</v>
      </c>
      <c r="AM223" s="15"/>
      <c r="AN223" s="15"/>
      <c r="AO223" s="15" t="s">
        <v>188</v>
      </c>
      <c r="AP223" s="15"/>
      <c r="AQ223" s="15"/>
      <c r="AR223" s="15"/>
      <c r="AS223" s="15"/>
      <c r="AT223" s="15" t="s">
        <v>390</v>
      </c>
      <c r="AU223" s="1">
        <v>5000</v>
      </c>
      <c r="AV223" s="48">
        <v>0.5</v>
      </c>
      <c r="AW223" s="15">
        <v>2.2999999999999998</v>
      </c>
      <c r="AX223" s="15">
        <v>2</v>
      </c>
      <c r="AY223" s="15">
        <v>2</v>
      </c>
      <c r="AZ223" s="15">
        <v>1050</v>
      </c>
      <c r="BA223" s="15">
        <v>2300</v>
      </c>
      <c r="BB223" s="15" t="s">
        <v>188</v>
      </c>
      <c r="BC223" s="15" t="s">
        <v>188</v>
      </c>
      <c r="BD223" s="15" t="s">
        <v>199</v>
      </c>
      <c r="BE223" s="1">
        <v>7000</v>
      </c>
      <c r="BF223" s="1">
        <v>11000</v>
      </c>
      <c r="BG223" s="1">
        <v>15000</v>
      </c>
      <c r="BH223" s="1">
        <f>1.5*12*AU223</f>
        <v>90000</v>
      </c>
      <c r="BI223" s="1">
        <v>15000</v>
      </c>
      <c r="BJ223" s="15" t="s">
        <v>188</v>
      </c>
      <c r="BK223" s="15"/>
      <c r="BL223" s="15"/>
      <c r="BM223" s="15"/>
      <c r="BN223" s="15"/>
      <c r="BO223" s="15"/>
      <c r="BP223" s="15"/>
      <c r="BQ223" s="15"/>
      <c r="BR223" s="15"/>
      <c r="BS223" s="2"/>
      <c r="BT223" s="15"/>
      <c r="BU223" s="15"/>
      <c r="BV223" s="15" t="s">
        <v>188</v>
      </c>
      <c r="BW223" s="15"/>
      <c r="BX223" s="15">
        <v>1</v>
      </c>
      <c r="BY223" s="15">
        <v>3</v>
      </c>
      <c r="BZ223" s="15">
        <v>2</v>
      </c>
      <c r="CA223" s="15"/>
      <c r="CB223" s="15"/>
      <c r="CC223" s="15" t="s">
        <v>188</v>
      </c>
      <c r="CD223" s="15"/>
      <c r="CE223" s="15"/>
      <c r="CF223" s="15"/>
      <c r="CG223" s="15"/>
      <c r="CH223" s="15" t="s">
        <v>188</v>
      </c>
      <c r="CI223" s="15" t="s">
        <v>188</v>
      </c>
      <c r="CJ223" s="15"/>
      <c r="CK223" s="15" t="s">
        <v>188</v>
      </c>
      <c r="CL223" s="15"/>
      <c r="CM223" s="15"/>
      <c r="CN223" s="15"/>
      <c r="CO223" s="15"/>
      <c r="CP223" s="15" t="s">
        <v>193</v>
      </c>
      <c r="CQ223" s="15" t="s">
        <v>309</v>
      </c>
      <c r="CR223" s="15" t="s">
        <v>188</v>
      </c>
      <c r="CS223" s="15"/>
      <c r="CT223" s="15"/>
      <c r="CU223" s="15"/>
      <c r="CV223" s="15"/>
      <c r="CW223" s="15"/>
      <c r="CX223" s="15"/>
      <c r="CY223" s="15" t="s">
        <v>188</v>
      </c>
      <c r="CZ223" s="3"/>
      <c r="DA223" s="49"/>
      <c r="DC223" s="18">
        <f t="shared" si="9"/>
        <v>0</v>
      </c>
      <c r="DD223" s="18">
        <f t="shared" si="10"/>
        <v>3</v>
      </c>
      <c r="DE223" s="18">
        <f t="shared" si="11"/>
        <v>2012</v>
      </c>
    </row>
    <row r="224" spans="1:109" x14ac:dyDescent="0.25">
      <c r="A224" s="59" t="s">
        <v>1318</v>
      </c>
      <c r="B224" s="103">
        <v>41548</v>
      </c>
      <c r="C224" s="105" t="s">
        <v>1576</v>
      </c>
      <c r="D224" s="14" t="s">
        <v>704</v>
      </c>
      <c r="E224" s="15"/>
      <c r="F224" s="15"/>
      <c r="G224" s="15"/>
      <c r="H224" s="15" t="s">
        <v>188</v>
      </c>
      <c r="I224" s="15">
        <v>57</v>
      </c>
      <c r="J224" s="15" t="s">
        <v>189</v>
      </c>
      <c r="K224" s="15" t="s">
        <v>196</v>
      </c>
      <c r="L224" s="15" t="s">
        <v>746</v>
      </c>
      <c r="M224" s="15" t="s">
        <v>1093</v>
      </c>
      <c r="N224" s="15" t="s">
        <v>1087</v>
      </c>
      <c r="O224" s="15">
        <v>30</v>
      </c>
      <c r="P224" s="15"/>
      <c r="Q224" s="15" t="s">
        <v>188</v>
      </c>
      <c r="R224" s="15"/>
      <c r="S224" s="15"/>
      <c r="T224" s="15"/>
      <c r="U224" s="15" t="s">
        <v>188</v>
      </c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>
        <v>1983</v>
      </c>
      <c r="AI224" s="1">
        <v>1500000</v>
      </c>
      <c r="AJ224" s="15"/>
      <c r="AK224" s="15"/>
      <c r="AL224" s="15" t="s">
        <v>188</v>
      </c>
      <c r="AM224" s="15"/>
      <c r="AN224" s="15"/>
      <c r="AO224" s="15" t="s">
        <v>188</v>
      </c>
      <c r="AP224" s="15"/>
      <c r="AQ224" s="15"/>
      <c r="AR224" s="15"/>
      <c r="AS224" s="15"/>
      <c r="AT224" s="15" t="s">
        <v>211</v>
      </c>
      <c r="AU224" s="1">
        <v>5000</v>
      </c>
      <c r="AV224" s="48">
        <v>0.5</v>
      </c>
      <c r="AW224" s="15">
        <v>2.2000000000000002</v>
      </c>
      <c r="AX224" s="15">
        <v>2</v>
      </c>
      <c r="AY224" s="15">
        <v>2</v>
      </c>
      <c r="AZ224" s="15">
        <v>710</v>
      </c>
      <c r="BA224" s="15">
        <v>1500</v>
      </c>
      <c r="BB224" s="15" t="s">
        <v>199</v>
      </c>
      <c r="BC224" s="15" t="s">
        <v>199</v>
      </c>
      <c r="BD224" s="15" t="s">
        <v>199</v>
      </c>
      <c r="BE224" s="1">
        <v>10000</v>
      </c>
      <c r="BF224" s="1">
        <v>8000</v>
      </c>
      <c r="BG224" s="1">
        <v>12000</v>
      </c>
      <c r="BH224" s="1">
        <f>1*12*AU224</f>
        <v>60000</v>
      </c>
      <c r="BI224" s="1">
        <v>12000</v>
      </c>
      <c r="BJ224" s="15"/>
      <c r="BK224" s="15"/>
      <c r="BL224" s="15"/>
      <c r="BM224" s="15"/>
      <c r="BN224" s="15"/>
      <c r="BO224" s="15"/>
      <c r="BP224" s="15"/>
      <c r="BQ224" s="15"/>
      <c r="BR224" s="15"/>
      <c r="BS224" s="2" t="s">
        <v>314</v>
      </c>
      <c r="BT224" s="15"/>
      <c r="BU224" s="15" t="s">
        <v>188</v>
      </c>
      <c r="BV224" s="15"/>
      <c r="BW224" s="15"/>
      <c r="BX224" s="15">
        <v>1</v>
      </c>
      <c r="BY224" s="15">
        <v>3</v>
      </c>
      <c r="BZ224" s="15">
        <v>2</v>
      </c>
      <c r="CA224" s="15"/>
      <c r="CB224" s="15" t="s">
        <v>188</v>
      </c>
      <c r="CC224" s="15"/>
      <c r="CD224" s="15"/>
      <c r="CE224" s="15"/>
      <c r="CF224" s="15"/>
      <c r="CG224" s="15"/>
      <c r="CH224" s="15"/>
      <c r="CI224" s="15"/>
      <c r="CJ224" s="15"/>
      <c r="CK224" s="15" t="s">
        <v>188</v>
      </c>
      <c r="CL224" s="15"/>
      <c r="CM224" s="15"/>
      <c r="CN224" s="15"/>
      <c r="CO224" s="15"/>
      <c r="CP224" s="15" t="s">
        <v>193</v>
      </c>
      <c r="CQ224" s="15" t="s">
        <v>309</v>
      </c>
      <c r="CR224" s="15"/>
      <c r="CS224" s="15" t="s">
        <v>188</v>
      </c>
      <c r="CT224" s="15" t="s">
        <v>188</v>
      </c>
      <c r="CU224" s="15"/>
      <c r="CV224" s="15" t="s">
        <v>188</v>
      </c>
      <c r="CW224" s="15" t="s">
        <v>270</v>
      </c>
      <c r="CX224" s="15"/>
      <c r="CY224" s="15"/>
      <c r="CZ224" s="3"/>
      <c r="DA224" s="49"/>
      <c r="DC224" s="18">
        <f t="shared" si="9"/>
        <v>0</v>
      </c>
      <c r="DD224" s="18">
        <f t="shared" si="10"/>
        <v>7</v>
      </c>
      <c r="DE224" s="18">
        <f t="shared" si="11"/>
        <v>1983</v>
      </c>
    </row>
    <row r="225" spans="1:109" x14ac:dyDescent="0.25">
      <c r="A225" s="59" t="s">
        <v>1318</v>
      </c>
      <c r="B225" s="103">
        <v>41548</v>
      </c>
      <c r="C225" s="105" t="s">
        <v>1576</v>
      </c>
      <c r="D225" s="14" t="s">
        <v>705</v>
      </c>
      <c r="E225" s="15"/>
      <c r="F225" s="15"/>
      <c r="G225" s="15"/>
      <c r="H225" s="15" t="s">
        <v>188</v>
      </c>
      <c r="I225" s="15">
        <v>34</v>
      </c>
      <c r="J225" s="15" t="s">
        <v>189</v>
      </c>
      <c r="K225" s="15" t="s">
        <v>190</v>
      </c>
      <c r="L225" s="15" t="s">
        <v>594</v>
      </c>
      <c r="M225" s="15" t="s">
        <v>1018</v>
      </c>
      <c r="N225" s="15" t="s">
        <v>1085</v>
      </c>
      <c r="O225" s="15">
        <v>10</v>
      </c>
      <c r="P225" s="15"/>
      <c r="Q225" s="15"/>
      <c r="R225" s="15"/>
      <c r="S225" s="15" t="s">
        <v>188</v>
      </c>
      <c r="T225" s="15"/>
      <c r="U225" s="15"/>
      <c r="V225" s="15"/>
      <c r="W225" s="15"/>
      <c r="X225" s="15" t="s">
        <v>188</v>
      </c>
      <c r="Y225" s="15"/>
      <c r="Z225" s="15"/>
      <c r="AA225" s="15"/>
      <c r="AB225" s="15"/>
      <c r="AC225" s="15"/>
      <c r="AD225" s="15"/>
      <c r="AE225" s="15"/>
      <c r="AF225" s="15"/>
      <c r="AG225" s="15"/>
      <c r="AH225" s="15">
        <v>2009</v>
      </c>
      <c r="AI225" s="1">
        <v>300000</v>
      </c>
      <c r="AJ225" s="15"/>
      <c r="AK225" s="15"/>
      <c r="AL225" s="15" t="s">
        <v>188</v>
      </c>
      <c r="AM225" s="15"/>
      <c r="AN225" s="15"/>
      <c r="AO225" s="15"/>
      <c r="AP225" s="15" t="s">
        <v>188</v>
      </c>
      <c r="AQ225" s="15"/>
      <c r="AR225" s="15"/>
      <c r="AS225" s="15"/>
      <c r="AT225" s="15" t="s">
        <v>390</v>
      </c>
      <c r="AU225" s="1">
        <v>5000</v>
      </c>
      <c r="AV225" s="48">
        <v>0.5</v>
      </c>
      <c r="AW225" s="15">
        <v>2.8</v>
      </c>
      <c r="AX225" s="15">
        <v>2.2999999999999998</v>
      </c>
      <c r="AY225" s="15">
        <v>2</v>
      </c>
      <c r="AZ225" s="15">
        <v>600</v>
      </c>
      <c r="BA225" s="15">
        <v>1500</v>
      </c>
      <c r="BB225" s="15" t="s">
        <v>199</v>
      </c>
      <c r="BC225" s="15" t="s">
        <v>188</v>
      </c>
      <c r="BD225" s="15" t="s">
        <v>199</v>
      </c>
      <c r="BE225" s="1">
        <v>12000</v>
      </c>
      <c r="BF225" s="1">
        <v>6000</v>
      </c>
      <c r="BG225" s="1">
        <v>15000</v>
      </c>
      <c r="BH225" s="1">
        <f>1*12*AU225</f>
        <v>60000</v>
      </c>
      <c r="BI225" s="1">
        <v>15000</v>
      </c>
      <c r="BJ225" s="15" t="s">
        <v>188</v>
      </c>
      <c r="BK225" s="15"/>
      <c r="BL225" s="15"/>
      <c r="BM225" s="15"/>
      <c r="BN225" s="15"/>
      <c r="BO225" s="15"/>
      <c r="BP225" s="15"/>
      <c r="BQ225" s="15"/>
      <c r="BR225" s="15"/>
      <c r="BS225" s="2"/>
      <c r="BT225" s="15"/>
      <c r="BU225" s="15" t="s">
        <v>188</v>
      </c>
      <c r="BV225" s="15"/>
      <c r="BW225" s="15"/>
      <c r="BX225" s="15">
        <v>2</v>
      </c>
      <c r="BY225" s="15">
        <v>1</v>
      </c>
      <c r="BZ225" s="15">
        <v>3</v>
      </c>
      <c r="CA225" s="15"/>
      <c r="CB225" s="15"/>
      <c r="CC225" s="15" t="s">
        <v>188</v>
      </c>
      <c r="CD225" s="15"/>
      <c r="CE225" s="15" t="s">
        <v>188</v>
      </c>
      <c r="CF225" s="15"/>
      <c r="CG225" s="15" t="s">
        <v>188</v>
      </c>
      <c r="CH225" s="15"/>
      <c r="CI225" s="15" t="s">
        <v>188</v>
      </c>
      <c r="CJ225" s="15"/>
      <c r="CK225" s="15" t="s">
        <v>188</v>
      </c>
      <c r="CL225" s="15"/>
      <c r="CM225" s="15"/>
      <c r="CN225" s="15"/>
      <c r="CO225" s="15"/>
      <c r="CP225" s="15" t="s">
        <v>193</v>
      </c>
      <c r="CQ225" s="15" t="s">
        <v>309</v>
      </c>
      <c r="CR225" s="15"/>
      <c r="CS225" s="15" t="s">
        <v>188</v>
      </c>
      <c r="CT225" s="15"/>
      <c r="CU225" s="15"/>
      <c r="CV225" s="15" t="s">
        <v>188</v>
      </c>
      <c r="CW225" s="15" t="s">
        <v>270</v>
      </c>
      <c r="CX225" s="15"/>
      <c r="CY225" s="15"/>
      <c r="CZ225" s="3"/>
      <c r="DA225" s="49"/>
      <c r="DC225" s="18">
        <f t="shared" si="9"/>
        <v>0</v>
      </c>
      <c r="DD225" s="18">
        <f t="shared" si="10"/>
        <v>7</v>
      </c>
      <c r="DE225" s="18">
        <f t="shared" si="11"/>
        <v>2009</v>
      </c>
    </row>
    <row r="226" spans="1:109" x14ac:dyDescent="0.25">
      <c r="A226" s="59" t="s">
        <v>1318</v>
      </c>
      <c r="B226" s="103">
        <v>41548</v>
      </c>
      <c r="C226" s="105" t="s">
        <v>1576</v>
      </c>
      <c r="D226" s="14" t="s">
        <v>706</v>
      </c>
      <c r="E226" s="15" t="s">
        <v>188</v>
      </c>
      <c r="F226" s="15"/>
      <c r="G226" s="15"/>
      <c r="H226" s="15"/>
      <c r="I226" s="15">
        <v>28</v>
      </c>
      <c r="J226" s="15" t="s">
        <v>189</v>
      </c>
      <c r="K226" s="15" t="s">
        <v>214</v>
      </c>
      <c r="L226" s="15" t="s">
        <v>399</v>
      </c>
      <c r="M226" s="15" t="s">
        <v>1033</v>
      </c>
      <c r="N226" s="15" t="s">
        <v>1085</v>
      </c>
      <c r="O226" s="15">
        <v>5</v>
      </c>
      <c r="P226" s="15"/>
      <c r="Q226" s="15"/>
      <c r="R226" s="15"/>
      <c r="S226" s="15" t="s">
        <v>188</v>
      </c>
      <c r="T226" s="15"/>
      <c r="U226" s="15"/>
      <c r="V226" s="15"/>
      <c r="W226" s="15" t="s">
        <v>188</v>
      </c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>
        <v>2012</v>
      </c>
      <c r="AI226" s="1">
        <v>200000</v>
      </c>
      <c r="AJ226" s="15"/>
      <c r="AK226" s="15"/>
      <c r="AL226" s="15" t="s">
        <v>188</v>
      </c>
      <c r="AM226" s="15"/>
      <c r="AN226" s="15"/>
      <c r="AO226" s="15"/>
      <c r="AP226" s="15" t="s">
        <v>188</v>
      </c>
      <c r="AQ226" s="15"/>
      <c r="AR226" s="15"/>
      <c r="AS226" s="15"/>
      <c r="AT226" s="15" t="s">
        <v>1316</v>
      </c>
      <c r="AU226" s="1">
        <v>10000</v>
      </c>
      <c r="AV226" s="48">
        <v>0.1</v>
      </c>
      <c r="AW226" s="15">
        <v>3</v>
      </c>
      <c r="AX226" s="15">
        <v>2</v>
      </c>
      <c r="AY226" s="15">
        <v>2</v>
      </c>
      <c r="AZ226" s="15">
        <v>800</v>
      </c>
      <c r="BA226" s="15">
        <v>2000</v>
      </c>
      <c r="BB226" s="15" t="s">
        <v>188</v>
      </c>
      <c r="BC226" s="15" t="s">
        <v>188</v>
      </c>
      <c r="BD226" s="15" t="s">
        <v>188</v>
      </c>
      <c r="BE226" s="1">
        <v>10000</v>
      </c>
      <c r="BF226" s="1">
        <v>10000</v>
      </c>
      <c r="BG226" s="1">
        <v>18000</v>
      </c>
      <c r="BH226" s="1">
        <f>1*12*AU226</f>
        <v>120000</v>
      </c>
      <c r="BI226" s="1">
        <v>18000</v>
      </c>
      <c r="BJ226" s="15"/>
      <c r="BK226" s="15"/>
      <c r="BL226" s="15"/>
      <c r="BM226" s="15"/>
      <c r="BN226" s="15"/>
      <c r="BO226" s="15"/>
      <c r="BP226" s="15"/>
      <c r="BQ226" s="15"/>
      <c r="BR226" s="15"/>
      <c r="BS226" s="2" t="s">
        <v>314</v>
      </c>
      <c r="BT226" s="15"/>
      <c r="BU226" s="15"/>
      <c r="BV226" s="15" t="s">
        <v>188</v>
      </c>
      <c r="BW226" s="15"/>
      <c r="BX226" s="15">
        <v>1</v>
      </c>
      <c r="BY226" s="15">
        <v>3</v>
      </c>
      <c r="BZ226" s="15">
        <v>2</v>
      </c>
      <c r="CA226" s="15"/>
      <c r="CB226" s="15"/>
      <c r="CC226" s="15" t="s">
        <v>188</v>
      </c>
      <c r="CD226" s="15"/>
      <c r="CE226" s="15" t="s">
        <v>188</v>
      </c>
      <c r="CF226" s="15"/>
      <c r="CG226" s="15" t="s">
        <v>188</v>
      </c>
      <c r="CH226" s="15" t="s">
        <v>188</v>
      </c>
      <c r="CI226" s="15" t="s">
        <v>188</v>
      </c>
      <c r="CJ226" s="15"/>
      <c r="CK226" s="15"/>
      <c r="CL226" s="15" t="s">
        <v>188</v>
      </c>
      <c r="CM226" s="15" t="s">
        <v>188</v>
      </c>
      <c r="CN226" s="15" t="s">
        <v>675</v>
      </c>
      <c r="CO226" s="15"/>
      <c r="CP226" s="15" t="s">
        <v>707</v>
      </c>
      <c r="CQ226" s="15" t="s">
        <v>309</v>
      </c>
      <c r="CR226" s="15"/>
      <c r="CS226" s="15" t="s">
        <v>188</v>
      </c>
      <c r="CT226" s="15" t="s">
        <v>188</v>
      </c>
      <c r="CU226" s="15"/>
      <c r="CV226" s="15"/>
      <c r="CW226" s="15"/>
      <c r="CX226" s="15"/>
      <c r="CY226" s="15"/>
      <c r="CZ226" s="3" t="s">
        <v>310</v>
      </c>
      <c r="DA226" s="49"/>
      <c r="DC226" s="18">
        <f t="shared" si="9"/>
        <v>0</v>
      </c>
      <c r="DD226" s="18">
        <f t="shared" si="10"/>
        <v>1</v>
      </c>
      <c r="DE226" s="18">
        <f t="shared" si="11"/>
        <v>2012</v>
      </c>
    </row>
    <row r="227" spans="1:109" x14ac:dyDescent="0.25">
      <c r="A227" s="59" t="s">
        <v>1318</v>
      </c>
      <c r="B227" s="103">
        <v>41549</v>
      </c>
      <c r="C227" s="105" t="s">
        <v>1576</v>
      </c>
      <c r="D227" s="14" t="s">
        <v>708</v>
      </c>
      <c r="E227" s="15"/>
      <c r="F227" s="15"/>
      <c r="G227" s="15" t="s">
        <v>188</v>
      </c>
      <c r="H227" s="15"/>
      <c r="I227" s="15">
        <v>33</v>
      </c>
      <c r="J227" s="15" t="s">
        <v>189</v>
      </c>
      <c r="K227" s="15" t="s">
        <v>190</v>
      </c>
      <c r="L227" s="15" t="s">
        <v>415</v>
      </c>
      <c r="M227" s="15" t="s">
        <v>1043</v>
      </c>
      <c r="N227" s="15" t="s">
        <v>1085</v>
      </c>
      <c r="O227" s="15">
        <v>15</v>
      </c>
      <c r="P227" s="15"/>
      <c r="Q227" s="15" t="s">
        <v>188</v>
      </c>
      <c r="R227" s="15"/>
      <c r="S227" s="15"/>
      <c r="T227" s="15"/>
      <c r="U227" s="15"/>
      <c r="V227" s="15"/>
      <c r="W227" s="15"/>
      <c r="X227" s="15"/>
      <c r="Y227" s="15" t="s">
        <v>188</v>
      </c>
      <c r="Z227" s="15"/>
      <c r="AA227" s="15"/>
      <c r="AB227" s="15"/>
      <c r="AC227" s="15"/>
      <c r="AD227" s="15"/>
      <c r="AE227" s="15"/>
      <c r="AF227" s="15"/>
      <c r="AG227" s="15"/>
      <c r="AH227" s="15">
        <v>2010</v>
      </c>
      <c r="AI227" s="1">
        <v>500000</v>
      </c>
      <c r="AJ227" s="15"/>
      <c r="AK227" s="15"/>
      <c r="AL227" s="15" t="s">
        <v>188</v>
      </c>
      <c r="AM227" s="15"/>
      <c r="AN227" s="15"/>
      <c r="AO227" s="15"/>
      <c r="AP227" s="15" t="s">
        <v>188</v>
      </c>
      <c r="AQ227" s="15"/>
      <c r="AR227" s="15"/>
      <c r="AS227" s="15"/>
      <c r="AT227" s="15" t="s">
        <v>390</v>
      </c>
      <c r="AU227" s="1">
        <v>12000</v>
      </c>
      <c r="AV227" s="48">
        <v>0.2</v>
      </c>
      <c r="AW227" s="15">
        <v>2.8</v>
      </c>
      <c r="AX227" s="15">
        <v>2.5</v>
      </c>
      <c r="AY227" s="15">
        <v>2</v>
      </c>
      <c r="AZ227" s="15">
        <v>590</v>
      </c>
      <c r="BA227" s="15">
        <v>1600</v>
      </c>
      <c r="BB227" s="15" t="s">
        <v>199</v>
      </c>
      <c r="BC227" s="15" t="s">
        <v>188</v>
      </c>
      <c r="BD227" s="15" t="s">
        <v>199</v>
      </c>
      <c r="BE227" s="1">
        <v>10000</v>
      </c>
      <c r="BF227" s="1">
        <v>8000</v>
      </c>
      <c r="BG227" s="1">
        <v>20000</v>
      </c>
      <c r="BH227" s="1">
        <f>1*12*AU227</f>
        <v>144000</v>
      </c>
      <c r="BI227" s="1">
        <v>20000</v>
      </c>
      <c r="BJ227" s="15"/>
      <c r="BK227" s="15"/>
      <c r="BL227" s="15"/>
      <c r="BM227" s="15"/>
      <c r="BN227" s="15"/>
      <c r="BO227" s="15"/>
      <c r="BP227" s="15"/>
      <c r="BQ227" s="15"/>
      <c r="BR227" s="15"/>
      <c r="BS227" s="2" t="s">
        <v>568</v>
      </c>
      <c r="BT227" s="15"/>
      <c r="BU227" s="15" t="s">
        <v>188</v>
      </c>
      <c r="BV227" s="15"/>
      <c r="BW227" s="15"/>
      <c r="BX227" s="15">
        <v>2</v>
      </c>
      <c r="BY227" s="15">
        <v>4</v>
      </c>
      <c r="BZ227" s="15">
        <v>3</v>
      </c>
      <c r="CA227" s="15" t="s">
        <v>208</v>
      </c>
      <c r="CB227" s="15"/>
      <c r="CC227" s="15" t="s">
        <v>188</v>
      </c>
      <c r="CD227" s="15"/>
      <c r="CE227" s="15"/>
      <c r="CF227" s="15"/>
      <c r="CG227" s="15" t="s">
        <v>188</v>
      </c>
      <c r="CH227" s="15" t="s">
        <v>188</v>
      </c>
      <c r="CI227" s="15" t="s">
        <v>188</v>
      </c>
      <c r="CJ227" s="15"/>
      <c r="CK227" s="15"/>
      <c r="CL227" s="15" t="s">
        <v>188</v>
      </c>
      <c r="CM227" s="15" t="s">
        <v>188</v>
      </c>
      <c r="CN227" s="15" t="s">
        <v>569</v>
      </c>
      <c r="CO227" s="15"/>
      <c r="CP227" s="15" t="s">
        <v>709</v>
      </c>
      <c r="CQ227" s="15" t="s">
        <v>309</v>
      </c>
      <c r="CR227" s="15"/>
      <c r="CS227" s="15" t="s">
        <v>188</v>
      </c>
      <c r="CT227" s="15"/>
      <c r="CU227" s="15"/>
      <c r="CV227" s="15"/>
      <c r="CW227" s="15"/>
      <c r="CX227" s="15"/>
      <c r="CY227" s="15" t="s">
        <v>188</v>
      </c>
      <c r="CZ227" s="3"/>
      <c r="DA227" s="49"/>
      <c r="DC227" s="18">
        <f t="shared" si="9"/>
        <v>0</v>
      </c>
      <c r="DD227" s="18">
        <f t="shared" si="10"/>
        <v>3</v>
      </c>
      <c r="DE227" s="18">
        <f t="shared" si="11"/>
        <v>2010</v>
      </c>
    </row>
    <row r="228" spans="1:109" x14ac:dyDescent="0.25">
      <c r="A228" s="59" t="s">
        <v>1318</v>
      </c>
      <c r="B228" s="103">
        <v>41549</v>
      </c>
      <c r="C228" s="105" t="s">
        <v>1576</v>
      </c>
      <c r="D228" s="14" t="s">
        <v>711</v>
      </c>
      <c r="E228" s="15"/>
      <c r="F228" s="15"/>
      <c r="G228" s="15" t="s">
        <v>188</v>
      </c>
      <c r="H228" s="15"/>
      <c r="I228" s="15">
        <v>40</v>
      </c>
      <c r="J228" s="15" t="s">
        <v>189</v>
      </c>
      <c r="K228" s="15" t="s">
        <v>190</v>
      </c>
      <c r="L228" s="15" t="s">
        <v>415</v>
      </c>
      <c r="M228" s="15" t="s">
        <v>1043</v>
      </c>
      <c r="N228" s="15" t="s">
        <v>1085</v>
      </c>
      <c r="O228" s="15">
        <v>15</v>
      </c>
      <c r="P228" s="15" t="s">
        <v>188</v>
      </c>
      <c r="Q228" s="15"/>
      <c r="R228" s="15"/>
      <c r="S228" s="15"/>
      <c r="T228" s="15"/>
      <c r="U228" s="15" t="s">
        <v>188</v>
      </c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>
        <v>2011</v>
      </c>
      <c r="AI228" s="1">
        <v>120500</v>
      </c>
      <c r="AJ228" s="15" t="s">
        <v>188</v>
      </c>
      <c r="AK228" s="15"/>
      <c r="AL228" s="15"/>
      <c r="AM228" s="15"/>
      <c r="AN228" s="15"/>
      <c r="AO228" s="15"/>
      <c r="AP228" s="15" t="s">
        <v>188</v>
      </c>
      <c r="AQ228" s="15"/>
      <c r="AR228" s="15"/>
      <c r="AS228" s="15"/>
      <c r="AT228" s="15" t="s">
        <v>233</v>
      </c>
      <c r="AU228" s="1">
        <v>2000</v>
      </c>
      <c r="AV228" s="48">
        <v>0.5</v>
      </c>
      <c r="AW228" s="15">
        <v>6</v>
      </c>
      <c r="AX228" s="15">
        <v>5</v>
      </c>
      <c r="AY228" s="15">
        <v>1</v>
      </c>
      <c r="AZ228" s="15">
        <v>150</v>
      </c>
      <c r="BA228" s="15">
        <v>700</v>
      </c>
      <c r="BB228" s="15" t="s">
        <v>199</v>
      </c>
      <c r="BC228" s="15" t="s">
        <v>188</v>
      </c>
      <c r="BD228" s="15" t="s">
        <v>199</v>
      </c>
      <c r="BE228" s="1">
        <v>40000</v>
      </c>
      <c r="BF228" s="1">
        <v>12000</v>
      </c>
      <c r="BG228" s="1">
        <v>60000</v>
      </c>
      <c r="BH228" s="1">
        <f>2*12*AU228</f>
        <v>48000</v>
      </c>
      <c r="BI228" s="1" t="s">
        <v>234</v>
      </c>
      <c r="BJ228" s="15"/>
      <c r="BK228" s="15"/>
      <c r="BL228" s="15"/>
      <c r="BM228" s="15"/>
      <c r="BN228" s="15"/>
      <c r="BO228" s="15"/>
      <c r="BP228" s="15"/>
      <c r="BQ228" s="15"/>
      <c r="BR228" s="15"/>
      <c r="BS228" s="2" t="s">
        <v>314</v>
      </c>
      <c r="BT228" s="15"/>
      <c r="BU228" s="15"/>
      <c r="BV228" s="15" t="s">
        <v>188</v>
      </c>
      <c r="BW228" s="15"/>
      <c r="BX228" s="15">
        <v>1</v>
      </c>
      <c r="BY228" s="15">
        <v>3</v>
      </c>
      <c r="BZ228" s="15">
        <v>2</v>
      </c>
      <c r="CA228" s="15"/>
      <c r="CB228" s="15" t="s">
        <v>188</v>
      </c>
      <c r="CC228" s="15"/>
      <c r="CD228" s="15"/>
      <c r="CE228" s="15"/>
      <c r="CF228" s="15"/>
      <c r="CG228" s="15"/>
      <c r="CH228" s="15"/>
      <c r="CI228" s="15"/>
      <c r="CJ228" s="15"/>
      <c r="CK228" s="15"/>
      <c r="CL228" s="15" t="s">
        <v>188</v>
      </c>
      <c r="CM228" s="15" t="s">
        <v>188</v>
      </c>
      <c r="CN228" s="15" t="s">
        <v>299</v>
      </c>
      <c r="CO228" s="15"/>
      <c r="CP228" s="15" t="s">
        <v>710</v>
      </c>
      <c r="CQ228" s="15" t="s">
        <v>300</v>
      </c>
      <c r="CR228" s="15" t="s">
        <v>188</v>
      </c>
      <c r="CS228" s="15"/>
      <c r="CT228" s="15"/>
      <c r="CU228" s="15"/>
      <c r="CV228" s="15"/>
      <c r="CW228" s="15"/>
      <c r="CX228" s="15" t="s">
        <v>188</v>
      </c>
      <c r="CY228" s="15" t="s">
        <v>188</v>
      </c>
      <c r="CZ228" s="3"/>
      <c r="DA228" s="49"/>
      <c r="DC228" s="18">
        <f t="shared" si="9"/>
        <v>0</v>
      </c>
      <c r="DD228" s="18">
        <f t="shared" si="10"/>
        <v>3</v>
      </c>
      <c r="DE228" s="18">
        <f t="shared" si="11"/>
        <v>2011</v>
      </c>
    </row>
    <row r="229" spans="1:109" x14ac:dyDescent="0.25">
      <c r="A229" s="59" t="s">
        <v>1318</v>
      </c>
      <c r="B229" s="103">
        <v>41549</v>
      </c>
      <c r="C229" s="105" t="s">
        <v>1576</v>
      </c>
      <c r="D229" s="14" t="s">
        <v>712</v>
      </c>
      <c r="E229" s="15"/>
      <c r="F229" s="15" t="s">
        <v>188</v>
      </c>
      <c r="G229" s="15"/>
      <c r="H229" s="15"/>
      <c r="I229" s="15">
        <v>28</v>
      </c>
      <c r="J229" s="15" t="s">
        <v>189</v>
      </c>
      <c r="K229" s="15" t="s">
        <v>190</v>
      </c>
      <c r="L229" s="15" t="s">
        <v>400</v>
      </c>
      <c r="M229" s="15" t="s">
        <v>1034</v>
      </c>
      <c r="N229" s="15" t="s">
        <v>1084</v>
      </c>
      <c r="O229" s="15">
        <v>7</v>
      </c>
      <c r="P229" s="15"/>
      <c r="Q229" s="15"/>
      <c r="R229" s="15"/>
      <c r="S229" s="15" t="s">
        <v>188</v>
      </c>
      <c r="T229" s="15"/>
      <c r="U229" s="15"/>
      <c r="V229" s="15"/>
      <c r="W229" s="15"/>
      <c r="X229" s="15" t="s">
        <v>188</v>
      </c>
      <c r="Y229" s="15"/>
      <c r="Z229" s="15"/>
      <c r="AA229" s="15"/>
      <c r="AB229" s="15"/>
      <c r="AC229" s="15"/>
      <c r="AD229" s="15"/>
      <c r="AE229" s="15"/>
      <c r="AF229" s="15"/>
      <c r="AG229" s="15"/>
      <c r="AH229" s="15">
        <v>2005</v>
      </c>
      <c r="AI229" s="1">
        <v>600000</v>
      </c>
      <c r="AJ229" s="15"/>
      <c r="AK229" s="15"/>
      <c r="AL229" s="15" t="s">
        <v>188</v>
      </c>
      <c r="AM229" s="15"/>
      <c r="AN229" s="15"/>
      <c r="AO229" s="15"/>
      <c r="AP229" s="15" t="s">
        <v>188</v>
      </c>
      <c r="AQ229" s="15"/>
      <c r="AR229" s="15"/>
      <c r="AS229" s="15"/>
      <c r="AT229" s="15" t="s">
        <v>266</v>
      </c>
      <c r="AU229" s="1">
        <v>10000</v>
      </c>
      <c r="AV229" s="48">
        <v>0.5</v>
      </c>
      <c r="AW229" s="15">
        <v>2.8</v>
      </c>
      <c r="AX229" s="15">
        <v>2.5</v>
      </c>
      <c r="AY229" s="15">
        <v>2</v>
      </c>
      <c r="AZ229" s="15">
        <v>590</v>
      </c>
      <c r="BA229" s="15">
        <v>1600</v>
      </c>
      <c r="BB229" s="15" t="s">
        <v>188</v>
      </c>
      <c r="BC229" s="15" t="s">
        <v>188</v>
      </c>
      <c r="BD229" s="15" t="s">
        <v>199</v>
      </c>
      <c r="BE229" s="1">
        <v>12000</v>
      </c>
      <c r="BF229" s="1">
        <v>10000</v>
      </c>
      <c r="BG229" s="1">
        <v>15000</v>
      </c>
      <c r="BH229" s="1">
        <f>1.5*12*AU229</f>
        <v>180000</v>
      </c>
      <c r="BI229" s="1">
        <v>15000</v>
      </c>
      <c r="BJ229" s="15" t="s">
        <v>188</v>
      </c>
      <c r="BK229" s="15"/>
      <c r="BL229" s="15"/>
      <c r="BM229" s="15"/>
      <c r="BN229" s="15"/>
      <c r="BO229" s="15"/>
      <c r="BP229" s="15"/>
      <c r="BQ229" s="15"/>
      <c r="BR229" s="15"/>
      <c r="BS229" s="2"/>
      <c r="BT229" s="15"/>
      <c r="BU229" s="15"/>
      <c r="BV229" s="15" t="s">
        <v>188</v>
      </c>
      <c r="BW229" s="15"/>
      <c r="BX229" s="15">
        <v>1</v>
      </c>
      <c r="BY229" s="15">
        <v>2</v>
      </c>
      <c r="BZ229" s="15">
        <v>3</v>
      </c>
      <c r="CA229" s="15"/>
      <c r="CB229" s="15"/>
      <c r="CC229" s="15" t="s">
        <v>188</v>
      </c>
      <c r="CD229" s="15"/>
      <c r="CE229" s="15"/>
      <c r="CF229" s="15"/>
      <c r="CG229" s="15"/>
      <c r="CH229" s="15" t="s">
        <v>188</v>
      </c>
      <c r="CI229" s="15" t="s">
        <v>188</v>
      </c>
      <c r="CJ229" s="15"/>
      <c r="CK229" s="15" t="s">
        <v>188</v>
      </c>
      <c r="CL229" s="15"/>
      <c r="CM229" s="15"/>
      <c r="CN229" s="15"/>
      <c r="CO229" s="15"/>
      <c r="CP229" s="15" t="s">
        <v>193</v>
      </c>
      <c r="CQ229" s="15" t="s">
        <v>300</v>
      </c>
      <c r="CR229" s="15" t="s">
        <v>188</v>
      </c>
      <c r="CS229" s="15"/>
      <c r="CT229" s="15"/>
      <c r="CU229" s="15"/>
      <c r="CV229" s="15"/>
      <c r="CW229" s="15"/>
      <c r="CX229" s="15" t="s">
        <v>188</v>
      </c>
      <c r="CY229" s="15" t="s">
        <v>188</v>
      </c>
      <c r="CZ229" s="3"/>
      <c r="DA229" s="49"/>
      <c r="DC229" s="18">
        <f t="shared" si="9"/>
        <v>0</v>
      </c>
      <c r="DD229" s="18">
        <f t="shared" si="10"/>
        <v>2</v>
      </c>
      <c r="DE229" s="18">
        <f t="shared" si="11"/>
        <v>2005</v>
      </c>
    </row>
    <row r="230" spans="1:109" x14ac:dyDescent="0.25">
      <c r="A230" s="59" t="s">
        <v>1318</v>
      </c>
      <c r="B230" s="103">
        <v>41549</v>
      </c>
      <c r="C230" s="105" t="s">
        <v>1576</v>
      </c>
      <c r="D230" s="14" t="s">
        <v>713</v>
      </c>
      <c r="E230" s="15"/>
      <c r="F230" s="15"/>
      <c r="G230" s="15"/>
      <c r="H230" s="15" t="s">
        <v>188</v>
      </c>
      <c r="I230" s="15">
        <v>53</v>
      </c>
      <c r="J230" s="15" t="s">
        <v>189</v>
      </c>
      <c r="K230" s="15" t="s">
        <v>190</v>
      </c>
      <c r="L230" s="15" t="s">
        <v>395</v>
      </c>
      <c r="M230" s="15" t="s">
        <v>1022</v>
      </c>
      <c r="N230" s="15" t="s">
        <v>1085</v>
      </c>
      <c r="O230" s="15">
        <v>21</v>
      </c>
      <c r="P230" s="15"/>
      <c r="Q230" s="15"/>
      <c r="R230" s="15"/>
      <c r="S230" s="15" t="s">
        <v>188</v>
      </c>
      <c r="T230" s="15"/>
      <c r="U230" s="15" t="s">
        <v>188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>
        <v>2007</v>
      </c>
      <c r="AI230" s="1">
        <v>500000</v>
      </c>
      <c r="AJ230" s="15"/>
      <c r="AK230" s="15"/>
      <c r="AL230" s="15" t="s">
        <v>188</v>
      </c>
      <c r="AM230" s="15"/>
      <c r="AN230" s="15"/>
      <c r="AO230" s="15"/>
      <c r="AP230" s="15" t="s">
        <v>188</v>
      </c>
      <c r="AQ230" s="15"/>
      <c r="AR230" s="15"/>
      <c r="AS230" s="15"/>
      <c r="AT230" s="15" t="s">
        <v>390</v>
      </c>
      <c r="AU230" s="1">
        <v>5000</v>
      </c>
      <c r="AV230" s="48">
        <v>0.3</v>
      </c>
      <c r="AW230" s="15">
        <v>3.2</v>
      </c>
      <c r="AX230" s="15">
        <v>2.8</v>
      </c>
      <c r="AY230" s="15">
        <v>2</v>
      </c>
      <c r="AZ230" s="15">
        <v>770</v>
      </c>
      <c r="BA230" s="15">
        <v>2300</v>
      </c>
      <c r="BB230" s="15" t="s">
        <v>199</v>
      </c>
      <c r="BC230" s="15" t="s">
        <v>188</v>
      </c>
      <c r="BD230" s="15" t="s">
        <v>199</v>
      </c>
      <c r="BE230" s="1">
        <v>8000</v>
      </c>
      <c r="BF230" s="1">
        <v>6000</v>
      </c>
      <c r="BG230" s="1">
        <v>20000</v>
      </c>
      <c r="BH230" s="1">
        <v>170000</v>
      </c>
      <c r="BI230" s="1">
        <v>20000</v>
      </c>
      <c r="BJ230" s="15" t="s">
        <v>188</v>
      </c>
      <c r="BK230" s="15"/>
      <c r="BL230" s="15"/>
      <c r="BM230" s="15"/>
      <c r="BN230" s="15"/>
      <c r="BO230" s="15"/>
      <c r="BP230" s="15"/>
      <c r="BQ230" s="15"/>
      <c r="BR230" s="15"/>
      <c r="BS230" s="2"/>
      <c r="BT230" s="15"/>
      <c r="BU230" s="15"/>
      <c r="BV230" s="15" t="s">
        <v>188</v>
      </c>
      <c r="BW230" s="15"/>
      <c r="BX230" s="15">
        <v>2</v>
      </c>
      <c r="BY230" s="15">
        <v>1</v>
      </c>
      <c r="BZ230" s="15">
        <v>3</v>
      </c>
      <c r="CA230" s="15"/>
      <c r="CB230" s="15"/>
      <c r="CC230" s="15" t="s">
        <v>188</v>
      </c>
      <c r="CD230" s="15"/>
      <c r="CE230" s="15"/>
      <c r="CF230" s="15"/>
      <c r="CG230" s="15"/>
      <c r="CH230" s="15" t="s">
        <v>188</v>
      </c>
      <c r="CI230" s="15" t="s">
        <v>188</v>
      </c>
      <c r="CJ230" s="15"/>
      <c r="CK230" s="15" t="s">
        <v>188</v>
      </c>
      <c r="CL230" s="15"/>
      <c r="CM230" s="15"/>
      <c r="CN230" s="15"/>
      <c r="CO230" s="15"/>
      <c r="CP230" s="15" t="s">
        <v>193</v>
      </c>
      <c r="CQ230" s="15" t="s">
        <v>309</v>
      </c>
      <c r="CR230" s="15"/>
      <c r="CS230" s="15"/>
      <c r="CT230" s="15"/>
      <c r="CU230" s="15" t="s">
        <v>324</v>
      </c>
      <c r="CV230" s="15"/>
      <c r="CW230" s="15"/>
      <c r="CX230" s="15"/>
      <c r="CY230" s="15" t="s">
        <v>188</v>
      </c>
      <c r="CZ230" s="3"/>
      <c r="DA230" s="49"/>
      <c r="DC230" s="18">
        <f t="shared" si="9"/>
        <v>0</v>
      </c>
      <c r="DD230" s="18">
        <f t="shared" si="10"/>
        <v>7</v>
      </c>
      <c r="DE230" s="18">
        <f t="shared" si="11"/>
        <v>2007</v>
      </c>
    </row>
    <row r="231" spans="1:109" x14ac:dyDescent="0.25">
      <c r="A231" s="59" t="s">
        <v>1318</v>
      </c>
      <c r="B231" s="103">
        <v>41549</v>
      </c>
      <c r="C231" s="105" t="s">
        <v>1576</v>
      </c>
      <c r="D231" s="14" t="s">
        <v>715</v>
      </c>
      <c r="E231" s="15"/>
      <c r="F231" s="15"/>
      <c r="G231" s="15" t="s">
        <v>188</v>
      </c>
      <c r="H231" s="15"/>
      <c r="I231" s="15">
        <v>55</v>
      </c>
      <c r="J231" s="15" t="s">
        <v>189</v>
      </c>
      <c r="K231" s="15" t="s">
        <v>196</v>
      </c>
      <c r="L231" s="15" t="s">
        <v>714</v>
      </c>
      <c r="M231" s="15" t="s">
        <v>1094</v>
      </c>
      <c r="N231" s="15" t="s">
        <v>1085</v>
      </c>
      <c r="O231" s="15">
        <v>34</v>
      </c>
      <c r="P231" s="15"/>
      <c r="Q231" s="15"/>
      <c r="R231" s="15"/>
      <c r="S231" s="15" t="s">
        <v>188</v>
      </c>
      <c r="T231" s="15"/>
      <c r="U231" s="15" t="s">
        <v>188</v>
      </c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>
        <v>1980</v>
      </c>
      <c r="AI231" s="1" t="s">
        <v>269</v>
      </c>
      <c r="AJ231" s="15"/>
      <c r="AK231" s="15"/>
      <c r="AL231" s="15" t="s">
        <v>188</v>
      </c>
      <c r="AM231" s="15"/>
      <c r="AN231" s="15"/>
      <c r="AO231" s="15"/>
      <c r="AP231" s="15" t="s">
        <v>188</v>
      </c>
      <c r="AQ231" s="15"/>
      <c r="AR231" s="15"/>
      <c r="AS231" s="15"/>
      <c r="AT231" s="15" t="s">
        <v>322</v>
      </c>
      <c r="AU231" s="1">
        <v>2000</v>
      </c>
      <c r="AV231" s="48">
        <v>0.5</v>
      </c>
      <c r="AW231" s="15">
        <v>2.2000000000000002</v>
      </c>
      <c r="AX231" s="15">
        <v>1.9</v>
      </c>
      <c r="AY231" s="15">
        <v>2</v>
      </c>
      <c r="AZ231" s="15">
        <v>500</v>
      </c>
      <c r="BA231" s="15">
        <v>1000</v>
      </c>
      <c r="BB231" s="15" t="s">
        <v>199</v>
      </c>
      <c r="BC231" s="15" t="s">
        <v>188</v>
      </c>
      <c r="BD231" s="15" t="s">
        <v>199</v>
      </c>
      <c r="BE231" s="1">
        <v>4000</v>
      </c>
      <c r="BF231" s="1">
        <v>2000</v>
      </c>
      <c r="BG231" s="1">
        <v>13000</v>
      </c>
      <c r="BH231" s="1">
        <f>2*12*AU231</f>
        <v>48000</v>
      </c>
      <c r="BI231" s="1">
        <v>13000</v>
      </c>
      <c r="BJ231" s="15"/>
      <c r="BK231" s="15"/>
      <c r="BL231" s="15"/>
      <c r="BM231" s="15"/>
      <c r="BN231" s="15"/>
      <c r="BO231" s="15"/>
      <c r="BP231" s="15"/>
      <c r="BQ231" s="15"/>
      <c r="BR231" s="15"/>
      <c r="BS231" s="2" t="s">
        <v>314</v>
      </c>
      <c r="BT231" s="15" t="s">
        <v>188</v>
      </c>
      <c r="BU231" s="15"/>
      <c r="BV231" s="15"/>
      <c r="BW231" s="15"/>
      <c r="BX231" s="15">
        <v>1</v>
      </c>
      <c r="BY231" s="15">
        <v>3</v>
      </c>
      <c r="BZ231" s="15">
        <v>2</v>
      </c>
      <c r="CA231" s="15"/>
      <c r="CB231" s="15" t="s">
        <v>188</v>
      </c>
      <c r="CC231" s="15"/>
      <c r="CD231" s="15"/>
      <c r="CE231" s="15"/>
      <c r="CF231" s="15"/>
      <c r="CG231" s="15"/>
      <c r="CH231" s="15"/>
      <c r="CI231" s="15"/>
      <c r="CJ231" s="15"/>
      <c r="CK231" s="15" t="s">
        <v>188</v>
      </c>
      <c r="CL231" s="15"/>
      <c r="CM231" s="15"/>
      <c r="CN231" s="15"/>
      <c r="CO231" s="15"/>
      <c r="CP231" s="15" t="s">
        <v>193</v>
      </c>
      <c r="CQ231" s="15" t="s">
        <v>309</v>
      </c>
      <c r="CR231" s="15" t="s">
        <v>188</v>
      </c>
      <c r="CS231" s="15"/>
      <c r="CT231" s="15"/>
      <c r="CU231" s="15"/>
      <c r="CV231" s="15" t="s">
        <v>188</v>
      </c>
      <c r="CW231" s="15" t="s">
        <v>270</v>
      </c>
      <c r="CX231" s="15"/>
      <c r="CY231" s="15"/>
      <c r="CZ231" s="3"/>
      <c r="DA231" s="49"/>
      <c r="DC231" s="18">
        <f t="shared" si="9"/>
        <v>0</v>
      </c>
      <c r="DD231" s="18">
        <f t="shared" si="10"/>
        <v>3</v>
      </c>
      <c r="DE231" s="18">
        <f t="shared" si="11"/>
        <v>1980</v>
      </c>
    </row>
    <row r="232" spans="1:109" x14ac:dyDescent="0.25">
      <c r="A232" s="59" t="s">
        <v>1318</v>
      </c>
      <c r="B232" s="103">
        <v>41549</v>
      </c>
      <c r="C232" s="105" t="s">
        <v>1576</v>
      </c>
      <c r="D232" s="14" t="s">
        <v>718</v>
      </c>
      <c r="E232" s="15"/>
      <c r="F232" s="15"/>
      <c r="G232" s="15"/>
      <c r="H232" s="15" t="s">
        <v>188</v>
      </c>
      <c r="I232" s="15">
        <v>52</v>
      </c>
      <c r="J232" s="15" t="s">
        <v>189</v>
      </c>
      <c r="K232" s="15" t="s">
        <v>190</v>
      </c>
      <c r="L232" s="15" t="s">
        <v>391</v>
      </c>
      <c r="M232" s="15" t="s">
        <v>1023</v>
      </c>
      <c r="N232" s="15" t="s">
        <v>1084</v>
      </c>
      <c r="O232" s="15">
        <v>25</v>
      </c>
      <c r="P232" s="15"/>
      <c r="Q232" s="15"/>
      <c r="R232" s="15"/>
      <c r="S232" s="15" t="s">
        <v>188</v>
      </c>
      <c r="T232" s="15"/>
      <c r="U232" s="15" t="s">
        <v>188</v>
      </c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>
        <v>2009</v>
      </c>
      <c r="AI232" s="1" t="s">
        <v>269</v>
      </c>
      <c r="AJ232" s="15"/>
      <c r="AK232" s="15"/>
      <c r="AL232" s="15" t="s">
        <v>188</v>
      </c>
      <c r="AM232" s="15"/>
      <c r="AN232" s="15"/>
      <c r="AO232" s="15"/>
      <c r="AP232" s="15" t="s">
        <v>188</v>
      </c>
      <c r="AQ232" s="15"/>
      <c r="AR232" s="15"/>
      <c r="AS232" s="15"/>
      <c r="AT232" s="15" t="s">
        <v>390</v>
      </c>
      <c r="AU232" s="1">
        <v>5000</v>
      </c>
      <c r="AV232" s="48">
        <v>0.5</v>
      </c>
      <c r="AW232" s="15">
        <v>2</v>
      </c>
      <c r="AX232" s="15">
        <v>1.7</v>
      </c>
      <c r="AY232" s="15">
        <v>2</v>
      </c>
      <c r="AZ232" s="15">
        <v>1100</v>
      </c>
      <c r="BA232" s="15">
        <v>2000</v>
      </c>
      <c r="BB232" s="15" t="s">
        <v>188</v>
      </c>
      <c r="BC232" s="15" t="s">
        <v>188</v>
      </c>
      <c r="BD232" s="15" t="s">
        <v>188</v>
      </c>
      <c r="BE232" s="1">
        <v>15000</v>
      </c>
      <c r="BF232" s="1">
        <v>10000</v>
      </c>
      <c r="BG232" s="1">
        <v>12000</v>
      </c>
      <c r="BH232" s="1">
        <v>150000</v>
      </c>
      <c r="BI232" s="1">
        <v>12000</v>
      </c>
      <c r="BJ232" s="15" t="s">
        <v>188</v>
      </c>
      <c r="BK232" s="15"/>
      <c r="BL232" s="15"/>
      <c r="BM232" s="15"/>
      <c r="BN232" s="15"/>
      <c r="BO232" s="15"/>
      <c r="BP232" s="15"/>
      <c r="BQ232" s="15"/>
      <c r="BR232" s="15"/>
      <c r="BS232" s="2"/>
      <c r="BT232" s="15"/>
      <c r="BU232" s="15"/>
      <c r="BV232" s="15"/>
      <c r="BW232" s="15"/>
      <c r="BX232" s="15">
        <v>2</v>
      </c>
      <c r="BY232" s="15">
        <v>4</v>
      </c>
      <c r="BZ232" s="15">
        <v>3</v>
      </c>
      <c r="CA232" s="15" t="s">
        <v>208</v>
      </c>
      <c r="CB232" s="15"/>
      <c r="CC232" s="15" t="s">
        <v>188</v>
      </c>
      <c r="CD232" s="15" t="s">
        <v>188</v>
      </c>
      <c r="CE232" s="15" t="s">
        <v>188</v>
      </c>
      <c r="CF232" s="15"/>
      <c r="CG232" s="15"/>
      <c r="CH232" s="15" t="s">
        <v>188</v>
      </c>
      <c r="CI232" s="15" t="s">
        <v>188</v>
      </c>
      <c r="CJ232" s="15"/>
      <c r="CK232" s="15"/>
      <c r="CL232" s="15" t="s">
        <v>188</v>
      </c>
      <c r="CM232" s="15" t="s">
        <v>188</v>
      </c>
      <c r="CN232" s="15" t="s">
        <v>716</v>
      </c>
      <c r="CO232" s="15"/>
      <c r="CP232" s="15" t="s">
        <v>717</v>
      </c>
      <c r="CQ232" s="15" t="s">
        <v>309</v>
      </c>
      <c r="CR232" s="15" t="s">
        <v>188</v>
      </c>
      <c r="CS232" s="15"/>
      <c r="CT232" s="15"/>
      <c r="CU232" s="15"/>
      <c r="CV232" s="15"/>
      <c r="CW232" s="15"/>
      <c r="CX232" s="15"/>
      <c r="CY232" s="15" t="s">
        <v>188</v>
      </c>
      <c r="CZ232" s="3"/>
      <c r="DA232" s="49"/>
      <c r="DC232" s="18">
        <f t="shared" si="9"/>
        <v>0</v>
      </c>
      <c r="DD232" s="18">
        <f t="shared" si="10"/>
        <v>7</v>
      </c>
      <c r="DE232" s="18">
        <f t="shared" si="11"/>
        <v>2009</v>
      </c>
    </row>
    <row r="233" spans="1:109" x14ac:dyDescent="0.25">
      <c r="A233" s="59" t="s">
        <v>1318</v>
      </c>
      <c r="B233" s="103">
        <v>41549</v>
      </c>
      <c r="C233" s="105" t="s">
        <v>1576</v>
      </c>
      <c r="D233" s="14" t="s">
        <v>720</v>
      </c>
      <c r="E233" s="15"/>
      <c r="F233" s="15"/>
      <c r="G233" s="15"/>
      <c r="H233" s="15" t="s">
        <v>188</v>
      </c>
      <c r="I233" s="15">
        <v>22</v>
      </c>
      <c r="J233" s="15" t="s">
        <v>189</v>
      </c>
      <c r="K233" s="15" t="s">
        <v>220</v>
      </c>
      <c r="L233" s="15" t="s">
        <v>671</v>
      </c>
      <c r="M233" s="15" t="s">
        <v>1081</v>
      </c>
      <c r="N233" s="15" t="s">
        <v>1085</v>
      </c>
      <c r="O233" s="15">
        <v>3</v>
      </c>
      <c r="P233" s="15" t="s">
        <v>188</v>
      </c>
      <c r="Q233" s="15"/>
      <c r="R233" s="15"/>
      <c r="S233" s="15"/>
      <c r="T233" s="15"/>
      <c r="U233" s="15" t="s">
        <v>188</v>
      </c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>
        <v>2006</v>
      </c>
      <c r="AI233" s="1">
        <v>400000</v>
      </c>
      <c r="AJ233" s="15"/>
      <c r="AK233" s="15"/>
      <c r="AL233" s="15" t="s">
        <v>188</v>
      </c>
      <c r="AM233" s="15"/>
      <c r="AN233" s="15"/>
      <c r="AO233" s="15" t="s">
        <v>188</v>
      </c>
      <c r="AP233" s="15"/>
      <c r="AQ233" s="15"/>
      <c r="AR233" s="15"/>
      <c r="AS233" s="15"/>
      <c r="AT233" s="15" t="s">
        <v>193</v>
      </c>
      <c r="AU233" s="1">
        <v>3000</v>
      </c>
      <c r="AV233" s="48">
        <v>0.2</v>
      </c>
      <c r="AW233" s="15">
        <v>2.5</v>
      </c>
      <c r="AX233" s="15">
        <v>2.2000000000000002</v>
      </c>
      <c r="AY233" s="15">
        <v>2</v>
      </c>
      <c r="AZ233" s="15">
        <v>625</v>
      </c>
      <c r="BA233" s="15">
        <v>1500</v>
      </c>
      <c r="BB233" s="15" t="s">
        <v>199</v>
      </c>
      <c r="BC233" s="15" t="s">
        <v>188</v>
      </c>
      <c r="BD233" s="15" t="s">
        <v>199</v>
      </c>
      <c r="BE233" s="1">
        <v>5000</v>
      </c>
      <c r="BF233" s="1">
        <v>7000</v>
      </c>
      <c r="BG233" s="1">
        <v>12000</v>
      </c>
      <c r="BH233" s="1">
        <f>2*12*AU233</f>
        <v>72000</v>
      </c>
      <c r="BI233" s="1">
        <v>12000</v>
      </c>
      <c r="BJ233" s="15" t="s">
        <v>188</v>
      </c>
      <c r="BK233" s="15"/>
      <c r="BL233" s="15"/>
      <c r="BM233" s="15"/>
      <c r="BN233" s="15"/>
      <c r="BO233" s="15"/>
      <c r="BP233" s="15"/>
      <c r="BQ233" s="15"/>
      <c r="BR233" s="15"/>
      <c r="BS233" s="2"/>
      <c r="BT233" s="15"/>
      <c r="BU233" s="15" t="s">
        <v>188</v>
      </c>
      <c r="BV233" s="15"/>
      <c r="BW233" s="15"/>
      <c r="BX233" s="15">
        <v>2</v>
      </c>
      <c r="BY233" s="15">
        <v>3</v>
      </c>
      <c r="BZ233" s="15">
        <v>1</v>
      </c>
      <c r="CA233" s="15"/>
      <c r="CB233" s="15" t="s">
        <v>188</v>
      </c>
      <c r="CC233" s="15"/>
      <c r="CD233" s="15"/>
      <c r="CE233" s="15"/>
      <c r="CF233" s="15"/>
      <c r="CG233" s="15"/>
      <c r="CH233" s="15"/>
      <c r="CI233" s="15"/>
      <c r="CJ233" s="15"/>
      <c r="CK233" s="15"/>
      <c r="CL233" s="15" t="s">
        <v>188</v>
      </c>
      <c r="CM233" s="15" t="s">
        <v>188</v>
      </c>
      <c r="CN233" s="15" t="s">
        <v>716</v>
      </c>
      <c r="CO233" s="15"/>
      <c r="CP233" s="15" t="s">
        <v>668</v>
      </c>
      <c r="CQ233" s="15" t="s">
        <v>719</v>
      </c>
      <c r="CR233" s="15" t="s">
        <v>188</v>
      </c>
      <c r="CS233" s="15"/>
      <c r="CT233" s="15"/>
      <c r="CU233" s="15"/>
      <c r="CV233" s="15"/>
      <c r="CW233" s="15"/>
      <c r="CX233" s="15" t="s">
        <v>188</v>
      </c>
      <c r="CY233" s="15" t="s">
        <v>188</v>
      </c>
      <c r="CZ233" s="3"/>
      <c r="DA233" s="49"/>
      <c r="DC233" s="18">
        <f t="shared" si="9"/>
        <v>0</v>
      </c>
      <c r="DD233" s="18">
        <f t="shared" si="10"/>
        <v>7</v>
      </c>
      <c r="DE233" s="18">
        <f t="shared" si="11"/>
        <v>2006</v>
      </c>
    </row>
    <row r="234" spans="1:109" x14ac:dyDescent="0.25">
      <c r="A234" s="59" t="s">
        <v>1318</v>
      </c>
      <c r="B234" s="103">
        <v>41549</v>
      </c>
      <c r="C234" s="105" t="s">
        <v>1576</v>
      </c>
      <c r="D234" s="14" t="s">
        <v>721</v>
      </c>
      <c r="E234" s="15"/>
      <c r="F234" s="15"/>
      <c r="G234" s="15"/>
      <c r="H234" s="15" t="s">
        <v>188</v>
      </c>
      <c r="I234" s="15">
        <v>26</v>
      </c>
      <c r="J234" s="15" t="s">
        <v>189</v>
      </c>
      <c r="K234" s="15" t="s">
        <v>214</v>
      </c>
      <c r="L234" s="15" t="s">
        <v>552</v>
      </c>
      <c r="M234" s="15" t="s">
        <v>1031</v>
      </c>
      <c r="N234" s="15" t="s">
        <v>1084</v>
      </c>
      <c r="O234" s="15">
        <v>8</v>
      </c>
      <c r="P234" s="15"/>
      <c r="Q234" s="15" t="s">
        <v>188</v>
      </c>
      <c r="R234" s="15"/>
      <c r="S234" s="15"/>
      <c r="T234" s="15"/>
      <c r="U234" s="15"/>
      <c r="V234" s="15"/>
      <c r="W234" s="15"/>
      <c r="X234" s="15"/>
      <c r="Y234" s="15" t="s">
        <v>188</v>
      </c>
      <c r="Z234" s="15"/>
      <c r="AA234" s="15"/>
      <c r="AB234" s="15"/>
      <c r="AC234" s="15"/>
      <c r="AD234" s="15"/>
      <c r="AE234" s="15"/>
      <c r="AF234" s="15"/>
      <c r="AG234" s="15"/>
      <c r="AH234" s="15">
        <v>1979</v>
      </c>
      <c r="AI234" s="1">
        <v>852500</v>
      </c>
      <c r="AJ234" s="15"/>
      <c r="AK234" s="15"/>
      <c r="AL234" s="15" t="s">
        <v>188</v>
      </c>
      <c r="AM234" s="15"/>
      <c r="AN234" s="15"/>
      <c r="AO234" s="15" t="s">
        <v>188</v>
      </c>
      <c r="AP234" s="15"/>
      <c r="AQ234" s="15"/>
      <c r="AR234" s="15"/>
      <c r="AS234" s="15"/>
      <c r="AT234" s="15" t="s">
        <v>322</v>
      </c>
      <c r="AU234" s="1">
        <v>1500</v>
      </c>
      <c r="AV234" s="48">
        <v>0.1</v>
      </c>
      <c r="AW234" s="15">
        <v>2.8</v>
      </c>
      <c r="AX234" s="15">
        <v>2.5</v>
      </c>
      <c r="AY234" s="15">
        <v>2</v>
      </c>
      <c r="AZ234" s="15">
        <v>740</v>
      </c>
      <c r="BA234" s="15">
        <v>2000</v>
      </c>
      <c r="BB234" s="15" t="s">
        <v>199</v>
      </c>
      <c r="BC234" s="15" t="s">
        <v>199</v>
      </c>
      <c r="BD234" s="15" t="s">
        <v>199</v>
      </c>
      <c r="BE234" s="1">
        <v>9000</v>
      </c>
      <c r="BF234" s="1">
        <v>6000</v>
      </c>
      <c r="BG234" s="1">
        <v>18000</v>
      </c>
      <c r="BH234" s="1">
        <f>2.5*12*AU234</f>
        <v>45000</v>
      </c>
      <c r="BI234" s="1">
        <v>18000</v>
      </c>
      <c r="BJ234" s="15"/>
      <c r="BK234" s="15"/>
      <c r="BL234" s="15"/>
      <c r="BM234" s="15"/>
      <c r="BN234" s="15"/>
      <c r="BO234" s="15"/>
      <c r="BP234" s="15"/>
      <c r="BQ234" s="15"/>
      <c r="BR234" s="15"/>
      <c r="BS234" s="2" t="s">
        <v>568</v>
      </c>
      <c r="BT234" s="15"/>
      <c r="BU234" s="15"/>
      <c r="BV234" s="15" t="s">
        <v>188</v>
      </c>
      <c r="BW234" s="15"/>
      <c r="BX234" s="15">
        <v>1</v>
      </c>
      <c r="BY234" s="15">
        <v>3</v>
      </c>
      <c r="BZ234" s="15">
        <v>2</v>
      </c>
      <c r="CA234" s="15"/>
      <c r="CB234" s="15" t="s">
        <v>188</v>
      </c>
      <c r="CC234" s="15"/>
      <c r="CD234" s="15"/>
      <c r="CE234" s="15"/>
      <c r="CF234" s="15"/>
      <c r="CG234" s="15"/>
      <c r="CH234" s="15"/>
      <c r="CI234" s="15"/>
      <c r="CJ234" s="15"/>
      <c r="CK234" s="15" t="s">
        <v>188</v>
      </c>
      <c r="CL234" s="15"/>
      <c r="CM234" s="15"/>
      <c r="CN234" s="15"/>
      <c r="CO234" s="15"/>
      <c r="CP234" s="15" t="s">
        <v>193</v>
      </c>
      <c r="CQ234" s="15" t="s">
        <v>309</v>
      </c>
      <c r="CR234" s="15" t="s">
        <v>188</v>
      </c>
      <c r="CS234" s="15"/>
      <c r="CT234" s="15"/>
      <c r="CU234" s="15"/>
      <c r="CV234" s="15"/>
      <c r="CW234" s="15"/>
      <c r="CX234" s="15"/>
      <c r="CY234" s="15" t="s">
        <v>188</v>
      </c>
      <c r="CZ234" s="3"/>
      <c r="DA234" s="49"/>
      <c r="DC234" s="18">
        <f t="shared" si="9"/>
        <v>0</v>
      </c>
      <c r="DD234" s="18">
        <f t="shared" si="10"/>
        <v>7</v>
      </c>
      <c r="DE234" s="18">
        <f t="shared" si="11"/>
        <v>1979</v>
      </c>
    </row>
    <row r="235" spans="1:109" x14ac:dyDescent="0.25">
      <c r="A235" s="59" t="s">
        <v>1318</v>
      </c>
      <c r="B235" s="103">
        <v>41549</v>
      </c>
      <c r="C235" s="105" t="s">
        <v>1576</v>
      </c>
      <c r="D235" s="14" t="s">
        <v>722</v>
      </c>
      <c r="E235" s="15"/>
      <c r="F235" s="15"/>
      <c r="G235" s="15" t="s">
        <v>188</v>
      </c>
      <c r="H235" s="15"/>
      <c r="I235" s="15">
        <v>37</v>
      </c>
      <c r="J235" s="15" t="s">
        <v>189</v>
      </c>
      <c r="K235" s="15" t="s">
        <v>190</v>
      </c>
      <c r="L235" s="15" t="s">
        <v>419</v>
      </c>
      <c r="M235" s="15" t="s">
        <v>1047</v>
      </c>
      <c r="N235" s="15" t="s">
        <v>1084</v>
      </c>
      <c r="O235" s="15">
        <v>9</v>
      </c>
      <c r="P235" s="15" t="s">
        <v>188</v>
      </c>
      <c r="Q235" s="15"/>
      <c r="R235" s="15"/>
      <c r="S235" s="15"/>
      <c r="T235" s="15"/>
      <c r="U235" s="15"/>
      <c r="V235" s="15"/>
      <c r="W235" s="15"/>
      <c r="X235" s="15" t="s">
        <v>188</v>
      </c>
      <c r="Y235" s="15"/>
      <c r="Z235" s="15"/>
      <c r="AA235" s="15"/>
      <c r="AB235" s="15"/>
      <c r="AC235" s="15"/>
      <c r="AD235" s="15"/>
      <c r="AE235" s="15"/>
      <c r="AF235" s="15"/>
      <c r="AG235" s="15"/>
      <c r="AH235" s="15">
        <v>2008</v>
      </c>
      <c r="AI235" s="1">
        <v>300000</v>
      </c>
      <c r="AJ235" s="15"/>
      <c r="AK235" s="15"/>
      <c r="AL235" s="15" t="s">
        <v>188</v>
      </c>
      <c r="AM235" s="15"/>
      <c r="AN235" s="15"/>
      <c r="AO235" s="15"/>
      <c r="AP235" s="15" t="s">
        <v>188</v>
      </c>
      <c r="AQ235" s="15"/>
      <c r="AR235" s="15"/>
      <c r="AS235" s="15"/>
      <c r="AT235" s="15" t="s">
        <v>322</v>
      </c>
      <c r="AU235" s="1">
        <v>4000</v>
      </c>
      <c r="AV235" s="48">
        <v>0.3</v>
      </c>
      <c r="AW235" s="15">
        <v>2.8</v>
      </c>
      <c r="AX235" s="15">
        <v>2.5</v>
      </c>
      <c r="AY235" s="15">
        <v>2</v>
      </c>
      <c r="AZ235" s="15">
        <v>740</v>
      </c>
      <c r="BA235" s="15">
        <v>2000</v>
      </c>
      <c r="BB235" s="15" t="s">
        <v>199</v>
      </c>
      <c r="BC235" s="15" t="s">
        <v>188</v>
      </c>
      <c r="BD235" s="15" t="s">
        <v>199</v>
      </c>
      <c r="BE235" s="1">
        <v>25000</v>
      </c>
      <c r="BF235" s="1">
        <v>18000</v>
      </c>
      <c r="BG235" s="1">
        <v>30000</v>
      </c>
      <c r="BH235" s="1">
        <v>90000</v>
      </c>
      <c r="BI235" s="1">
        <v>30000</v>
      </c>
      <c r="BJ235" s="15"/>
      <c r="BK235" s="15"/>
      <c r="BL235" s="15"/>
      <c r="BM235" s="15"/>
      <c r="BN235" s="15"/>
      <c r="BO235" s="15"/>
      <c r="BP235" s="15"/>
      <c r="BQ235" s="15" t="s">
        <v>188</v>
      </c>
      <c r="BR235" s="15"/>
      <c r="BS235" s="2"/>
      <c r="BT235" s="15"/>
      <c r="BU235" s="15"/>
      <c r="BV235" s="15" t="s">
        <v>188</v>
      </c>
      <c r="BW235" s="15"/>
      <c r="BX235" s="15">
        <v>1</v>
      </c>
      <c r="BY235" s="15">
        <v>3</v>
      </c>
      <c r="BZ235" s="15">
        <v>2</v>
      </c>
      <c r="CA235" s="15"/>
      <c r="CB235" s="15" t="s">
        <v>188</v>
      </c>
      <c r="CC235" s="15"/>
      <c r="CD235" s="15"/>
      <c r="CE235" s="15"/>
      <c r="CF235" s="15"/>
      <c r="CG235" s="15"/>
      <c r="CH235" s="15"/>
      <c r="CI235" s="15"/>
      <c r="CJ235" s="15"/>
      <c r="CK235" s="15" t="s">
        <v>188</v>
      </c>
      <c r="CL235" s="15"/>
      <c r="CM235" s="15"/>
      <c r="CN235" s="15"/>
      <c r="CO235" s="15"/>
      <c r="CP235" s="15" t="s">
        <v>193</v>
      </c>
      <c r="CQ235" s="15" t="s">
        <v>309</v>
      </c>
      <c r="CR235" s="15" t="s">
        <v>188</v>
      </c>
      <c r="CS235" s="15"/>
      <c r="CT235" s="15"/>
      <c r="CU235" s="15"/>
      <c r="CV235" s="15"/>
      <c r="CW235" s="15"/>
      <c r="CX235" s="15"/>
      <c r="CY235" s="15" t="s">
        <v>188</v>
      </c>
      <c r="CZ235" s="3"/>
      <c r="DA235" s="49"/>
      <c r="DC235" s="18">
        <f t="shared" si="9"/>
        <v>0</v>
      </c>
      <c r="DD235" s="18">
        <f t="shared" si="10"/>
        <v>3</v>
      </c>
      <c r="DE235" s="18">
        <f t="shared" si="11"/>
        <v>2008</v>
      </c>
    </row>
    <row r="236" spans="1:109" x14ac:dyDescent="0.25">
      <c r="A236" s="59" t="s">
        <v>1318</v>
      </c>
      <c r="B236" s="103">
        <v>41549</v>
      </c>
      <c r="C236" s="105" t="s">
        <v>1576</v>
      </c>
      <c r="D236" s="14" t="s">
        <v>723</v>
      </c>
      <c r="E236" s="15" t="s">
        <v>188</v>
      </c>
      <c r="F236" s="15"/>
      <c r="G236" s="15"/>
      <c r="H236" s="15"/>
      <c r="I236" s="15">
        <v>20</v>
      </c>
      <c r="J236" s="15" t="s">
        <v>189</v>
      </c>
      <c r="K236" s="15" t="s">
        <v>220</v>
      </c>
      <c r="L236" s="15" t="s">
        <v>228</v>
      </c>
      <c r="M236" s="15" t="s">
        <v>1010</v>
      </c>
      <c r="N236" s="15" t="s">
        <v>1084</v>
      </c>
      <c r="O236" s="15">
        <v>1</v>
      </c>
      <c r="P236" s="15" t="s">
        <v>188</v>
      </c>
      <c r="Q236" s="15"/>
      <c r="R236" s="15"/>
      <c r="S236" s="15"/>
      <c r="T236" s="15"/>
      <c r="U236" s="15"/>
      <c r="V236" s="15"/>
      <c r="W236" s="15"/>
      <c r="X236" s="15"/>
      <c r="Y236" s="15" t="s">
        <v>188</v>
      </c>
      <c r="Z236" s="15"/>
      <c r="AA236" s="15"/>
      <c r="AB236" s="15"/>
      <c r="AC236" s="15"/>
      <c r="AD236" s="15"/>
      <c r="AE236" s="15"/>
      <c r="AF236" s="15"/>
      <c r="AG236" s="15"/>
      <c r="AH236" s="15">
        <v>2000</v>
      </c>
      <c r="AI236" s="1">
        <v>700000</v>
      </c>
      <c r="AJ236" s="15"/>
      <c r="AK236" s="15"/>
      <c r="AL236" s="15" t="s">
        <v>188</v>
      </c>
      <c r="AM236" s="15"/>
      <c r="AN236" s="15"/>
      <c r="AO236" s="15"/>
      <c r="AP236" s="15" t="s">
        <v>188</v>
      </c>
      <c r="AQ236" s="15"/>
      <c r="AR236" s="15"/>
      <c r="AS236" s="15"/>
      <c r="AT236" s="15" t="s">
        <v>322</v>
      </c>
      <c r="AU236" s="1">
        <v>2500</v>
      </c>
      <c r="AV236" s="48">
        <v>0.1</v>
      </c>
      <c r="AW236" s="15">
        <v>2.5</v>
      </c>
      <c r="AX236" s="15">
        <v>2</v>
      </c>
      <c r="AY236" s="15">
        <v>2</v>
      </c>
      <c r="AZ236" s="15">
        <v>650</v>
      </c>
      <c r="BA236" s="15">
        <v>1500</v>
      </c>
      <c r="BB236" s="15" t="s">
        <v>199</v>
      </c>
      <c r="BC236" s="15" t="s">
        <v>199</v>
      </c>
      <c r="BD236" s="15" t="s">
        <v>199</v>
      </c>
      <c r="BE236" s="1">
        <v>10000</v>
      </c>
      <c r="BF236" s="1">
        <v>10000</v>
      </c>
      <c r="BG236" s="1">
        <v>20000</v>
      </c>
      <c r="BH236" s="1">
        <v>120000</v>
      </c>
      <c r="BI236" s="1">
        <v>20000</v>
      </c>
      <c r="BJ236" s="15"/>
      <c r="BK236" s="15"/>
      <c r="BL236" s="15"/>
      <c r="BM236" s="15"/>
      <c r="BN236" s="15"/>
      <c r="BO236" s="15"/>
      <c r="BP236" s="15"/>
      <c r="BQ236" s="15"/>
      <c r="BR236" s="15" t="s">
        <v>188</v>
      </c>
      <c r="BS236" s="2"/>
      <c r="BT236" s="15"/>
      <c r="BU236" s="15"/>
      <c r="BV236" s="15" t="s">
        <v>188</v>
      </c>
      <c r="BW236" s="15"/>
      <c r="BX236" s="15">
        <v>2</v>
      </c>
      <c r="BY236" s="15">
        <v>4</v>
      </c>
      <c r="BZ236" s="15">
        <v>3</v>
      </c>
      <c r="CA236" s="15" t="s">
        <v>208</v>
      </c>
      <c r="CB236" s="15"/>
      <c r="CC236" s="15" t="s">
        <v>188</v>
      </c>
      <c r="CD236" s="15"/>
      <c r="CE236" s="15"/>
      <c r="CF236" s="15"/>
      <c r="CG236" s="15"/>
      <c r="CH236" s="15"/>
      <c r="CI236" s="15" t="s">
        <v>188</v>
      </c>
      <c r="CJ236" s="15"/>
      <c r="CK236" s="15" t="s">
        <v>188</v>
      </c>
      <c r="CL236" s="15"/>
      <c r="CM236" s="15"/>
      <c r="CN236" s="15"/>
      <c r="CO236" s="15"/>
      <c r="CP236" s="15" t="s">
        <v>193</v>
      </c>
      <c r="CQ236" s="15" t="s">
        <v>309</v>
      </c>
      <c r="CR236" s="15"/>
      <c r="CS236" s="15"/>
      <c r="CT236" s="15"/>
      <c r="CU236" s="15" t="s">
        <v>748</v>
      </c>
      <c r="CV236" s="15"/>
      <c r="CW236" s="15"/>
      <c r="CX236" s="15" t="s">
        <v>188</v>
      </c>
      <c r="CY236" s="15"/>
      <c r="CZ236" s="3"/>
      <c r="DA236" s="49" t="s">
        <v>747</v>
      </c>
      <c r="DC236" s="18">
        <f t="shared" si="9"/>
        <v>0</v>
      </c>
      <c r="DD236" s="18">
        <f t="shared" si="10"/>
        <v>1</v>
      </c>
      <c r="DE236" s="18">
        <f t="shared" si="11"/>
        <v>2000</v>
      </c>
    </row>
    <row r="237" spans="1:109" x14ac:dyDescent="0.25">
      <c r="A237" s="59" t="s">
        <v>1318</v>
      </c>
      <c r="B237" s="103">
        <v>41549</v>
      </c>
      <c r="C237" s="105" t="s">
        <v>1576</v>
      </c>
      <c r="D237" s="14" t="s">
        <v>724</v>
      </c>
      <c r="E237" s="15"/>
      <c r="F237" s="15"/>
      <c r="G237" s="15" t="s">
        <v>188</v>
      </c>
      <c r="H237" s="15"/>
      <c r="I237" s="15">
        <v>28</v>
      </c>
      <c r="J237" s="15" t="s">
        <v>189</v>
      </c>
      <c r="K237" s="15" t="s">
        <v>220</v>
      </c>
      <c r="L237" s="15" t="s">
        <v>386</v>
      </c>
      <c r="M237" s="15" t="s">
        <v>1017</v>
      </c>
      <c r="N237" s="15" t="s">
        <v>1085</v>
      </c>
      <c r="O237" s="15">
        <v>5</v>
      </c>
      <c r="P237" s="15"/>
      <c r="Q237" s="15"/>
      <c r="R237" s="15"/>
      <c r="S237" s="15" t="s">
        <v>188</v>
      </c>
      <c r="T237" s="15"/>
      <c r="U237" s="15" t="s">
        <v>188</v>
      </c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>
        <v>2009</v>
      </c>
      <c r="AI237" s="1">
        <v>600000</v>
      </c>
      <c r="AJ237" s="15"/>
      <c r="AK237" s="15"/>
      <c r="AL237" s="15" t="s">
        <v>188</v>
      </c>
      <c r="AM237" s="15"/>
      <c r="AN237" s="15"/>
      <c r="AO237" s="15"/>
      <c r="AP237" s="15" t="s">
        <v>188</v>
      </c>
      <c r="AQ237" s="15"/>
      <c r="AR237" s="15"/>
      <c r="AS237" s="15"/>
      <c r="AT237" s="15" t="s">
        <v>390</v>
      </c>
      <c r="AU237" s="1">
        <v>6000</v>
      </c>
      <c r="AV237" s="48">
        <v>0.2</v>
      </c>
      <c r="AW237" s="15">
        <v>2.8</v>
      </c>
      <c r="AX237" s="15">
        <v>2.5</v>
      </c>
      <c r="AY237" s="15">
        <v>2</v>
      </c>
      <c r="AZ237" s="15">
        <v>810</v>
      </c>
      <c r="BA237" s="15">
        <v>2200</v>
      </c>
      <c r="BB237" s="15" t="s">
        <v>188</v>
      </c>
      <c r="BC237" s="15" t="s">
        <v>188</v>
      </c>
      <c r="BD237" s="15" t="s">
        <v>188</v>
      </c>
      <c r="BE237" s="1">
        <v>10000</v>
      </c>
      <c r="BF237" s="1">
        <v>6000</v>
      </c>
      <c r="BG237" s="1">
        <v>13000</v>
      </c>
      <c r="BH237" s="1">
        <v>150000</v>
      </c>
      <c r="BI237" s="1">
        <v>13000</v>
      </c>
      <c r="BJ237" s="15"/>
      <c r="BK237" s="15"/>
      <c r="BL237" s="15"/>
      <c r="BM237" s="15"/>
      <c r="BN237" s="15"/>
      <c r="BO237" s="15"/>
      <c r="BP237" s="15"/>
      <c r="BQ237" s="15"/>
      <c r="BR237" s="15"/>
      <c r="BS237" s="2" t="s">
        <v>314</v>
      </c>
      <c r="BT237" s="15"/>
      <c r="BU237" s="15" t="s">
        <v>188</v>
      </c>
      <c r="BV237" s="15" t="s">
        <v>379</v>
      </c>
      <c r="BW237" s="15"/>
      <c r="BX237" s="15">
        <v>3</v>
      </c>
      <c r="BY237" s="15">
        <v>1</v>
      </c>
      <c r="BZ237" s="15">
        <v>2</v>
      </c>
      <c r="CA237" s="15"/>
      <c r="CB237" s="15" t="s">
        <v>188</v>
      </c>
      <c r="CC237" s="15"/>
      <c r="CD237" s="15"/>
      <c r="CE237" s="15"/>
      <c r="CF237" s="15"/>
      <c r="CG237" s="15"/>
      <c r="CH237" s="15"/>
      <c r="CI237" s="15"/>
      <c r="CJ237" s="15"/>
      <c r="CK237" s="15" t="s">
        <v>188</v>
      </c>
      <c r="CL237" s="15"/>
      <c r="CM237" s="15"/>
      <c r="CN237" s="15"/>
      <c r="CO237" s="15"/>
      <c r="CP237" s="15" t="s">
        <v>193</v>
      </c>
      <c r="CQ237" s="15" t="s">
        <v>300</v>
      </c>
      <c r="CR237" s="15"/>
      <c r="CS237" s="15"/>
      <c r="CT237" s="15"/>
      <c r="CU237" s="15" t="s">
        <v>324</v>
      </c>
      <c r="CV237" s="15"/>
      <c r="CW237" s="15"/>
      <c r="CX237" s="15"/>
      <c r="CY237" s="15" t="s">
        <v>188</v>
      </c>
      <c r="CZ237" s="3"/>
      <c r="DA237" s="49"/>
      <c r="DC237" s="18">
        <f t="shared" si="9"/>
        <v>0</v>
      </c>
      <c r="DD237" s="18">
        <f t="shared" si="10"/>
        <v>3</v>
      </c>
      <c r="DE237" s="18">
        <f t="shared" si="11"/>
        <v>2009</v>
      </c>
    </row>
    <row r="238" spans="1:109" x14ac:dyDescent="0.25">
      <c r="A238" s="59" t="s">
        <v>1318</v>
      </c>
      <c r="B238" s="103">
        <v>41549</v>
      </c>
      <c r="C238" s="105" t="s">
        <v>1576</v>
      </c>
      <c r="D238" s="14" t="s">
        <v>725</v>
      </c>
      <c r="E238" s="15"/>
      <c r="F238" s="15"/>
      <c r="G238" s="15" t="s">
        <v>188</v>
      </c>
      <c r="H238" s="15"/>
      <c r="I238" s="15">
        <v>45</v>
      </c>
      <c r="J238" s="15" t="s">
        <v>189</v>
      </c>
      <c r="K238" s="15" t="s">
        <v>190</v>
      </c>
      <c r="L238" s="15" t="s">
        <v>592</v>
      </c>
      <c r="M238" s="15" t="s">
        <v>1059</v>
      </c>
      <c r="N238" s="15" t="s">
        <v>1085</v>
      </c>
      <c r="O238" s="15">
        <v>19</v>
      </c>
      <c r="P238" s="15" t="s">
        <v>188</v>
      </c>
      <c r="Q238" s="15"/>
      <c r="R238" s="15"/>
      <c r="S238" s="15"/>
      <c r="T238" s="15"/>
      <c r="U238" s="15" t="s">
        <v>188</v>
      </c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>
        <v>2003</v>
      </c>
      <c r="AI238" s="1">
        <v>700000</v>
      </c>
      <c r="AJ238" s="15"/>
      <c r="AK238" s="15"/>
      <c r="AL238" s="15" t="s">
        <v>188</v>
      </c>
      <c r="AM238" s="15"/>
      <c r="AN238" s="15"/>
      <c r="AO238" s="15"/>
      <c r="AP238" s="15" t="s">
        <v>188</v>
      </c>
      <c r="AQ238" s="15"/>
      <c r="AR238" s="15"/>
      <c r="AS238" s="15"/>
      <c r="AT238" s="15" t="s">
        <v>322</v>
      </c>
      <c r="AU238" s="1">
        <v>2000</v>
      </c>
      <c r="AV238" s="48">
        <v>0.2</v>
      </c>
      <c r="AW238" s="15">
        <v>3</v>
      </c>
      <c r="AX238" s="15">
        <v>2.2999999999999998</v>
      </c>
      <c r="AY238" s="15">
        <v>1</v>
      </c>
      <c r="AZ238" s="15">
        <v>380</v>
      </c>
      <c r="BA238" s="15">
        <v>1000</v>
      </c>
      <c r="BB238" s="15" t="s">
        <v>188</v>
      </c>
      <c r="BC238" s="15" t="s">
        <v>199</v>
      </c>
      <c r="BD238" s="15" t="s">
        <v>199</v>
      </c>
      <c r="BE238" s="1">
        <v>17000</v>
      </c>
      <c r="BF238" s="1">
        <v>10000</v>
      </c>
      <c r="BG238" s="1">
        <v>23000</v>
      </c>
      <c r="BH238" s="1">
        <f>2.5*12*AU238</f>
        <v>60000</v>
      </c>
      <c r="BI238" s="1">
        <v>23000</v>
      </c>
      <c r="BJ238" s="15"/>
      <c r="BK238" s="15"/>
      <c r="BL238" s="15"/>
      <c r="BM238" s="15"/>
      <c r="BN238" s="15"/>
      <c r="BO238" s="15" t="s">
        <v>188</v>
      </c>
      <c r="BP238" s="15"/>
      <c r="BQ238" s="15"/>
      <c r="BR238" s="15"/>
      <c r="BS238" s="2"/>
      <c r="BT238" s="15"/>
      <c r="BU238" s="15"/>
      <c r="BV238" s="15" t="s">
        <v>188</v>
      </c>
      <c r="BW238" s="15"/>
      <c r="BX238" s="15">
        <v>1</v>
      </c>
      <c r="BY238" s="15">
        <v>2</v>
      </c>
      <c r="BZ238" s="15">
        <v>3</v>
      </c>
      <c r="CA238" s="15"/>
      <c r="CB238" s="15"/>
      <c r="CC238" s="15" t="s">
        <v>188</v>
      </c>
      <c r="CD238" s="15"/>
      <c r="CE238" s="15" t="s">
        <v>188</v>
      </c>
      <c r="CF238" s="15"/>
      <c r="CG238" s="15"/>
      <c r="CH238" s="15" t="s">
        <v>188</v>
      </c>
      <c r="CI238" s="15"/>
      <c r="CJ238" s="15"/>
      <c r="CK238" s="15" t="s">
        <v>188</v>
      </c>
      <c r="CL238" s="15"/>
      <c r="CM238" s="15"/>
      <c r="CN238" s="15"/>
      <c r="CO238" s="15"/>
      <c r="CP238" s="15" t="s">
        <v>193</v>
      </c>
      <c r="CQ238" s="15" t="s">
        <v>309</v>
      </c>
      <c r="CR238" s="15" t="s">
        <v>188</v>
      </c>
      <c r="CS238" s="15"/>
      <c r="CT238" s="15"/>
      <c r="CU238" s="15"/>
      <c r="CV238" s="15"/>
      <c r="CW238" s="15"/>
      <c r="CX238" s="15"/>
      <c r="CY238" s="15" t="s">
        <v>188</v>
      </c>
      <c r="CZ238" s="3"/>
      <c r="DA238" s="49"/>
      <c r="DC238" s="18">
        <f t="shared" si="9"/>
        <v>0</v>
      </c>
      <c r="DD238" s="18">
        <f t="shared" si="10"/>
        <v>3</v>
      </c>
      <c r="DE238" s="18">
        <f t="shared" si="11"/>
        <v>2003</v>
      </c>
    </row>
    <row r="239" spans="1:109" x14ac:dyDescent="0.25">
      <c r="A239" s="59" t="s">
        <v>1318</v>
      </c>
      <c r="B239" s="103">
        <v>41549</v>
      </c>
      <c r="C239" s="105" t="s">
        <v>1576</v>
      </c>
      <c r="D239" s="14" t="s">
        <v>726</v>
      </c>
      <c r="E239" s="15"/>
      <c r="F239" s="15"/>
      <c r="G239" s="15" t="s">
        <v>188</v>
      </c>
      <c r="H239" s="15"/>
      <c r="I239" s="15">
        <v>53</v>
      </c>
      <c r="J239" s="15" t="s">
        <v>189</v>
      </c>
      <c r="K239" s="15" t="s">
        <v>220</v>
      </c>
      <c r="L239" s="15" t="s">
        <v>594</v>
      </c>
      <c r="M239" s="15" t="s">
        <v>1018</v>
      </c>
      <c r="N239" s="15" t="s">
        <v>1085</v>
      </c>
      <c r="O239" s="15">
        <v>25</v>
      </c>
      <c r="P239" s="15"/>
      <c r="Q239" s="15"/>
      <c r="R239" s="15"/>
      <c r="S239" s="15" t="s">
        <v>188</v>
      </c>
      <c r="T239" s="15"/>
      <c r="U239" s="15" t="s">
        <v>188</v>
      </c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>
        <v>2007</v>
      </c>
      <c r="AI239" s="1">
        <v>500000</v>
      </c>
      <c r="AJ239" s="15"/>
      <c r="AK239" s="15"/>
      <c r="AL239" s="15" t="s">
        <v>188</v>
      </c>
      <c r="AM239" s="15"/>
      <c r="AN239" s="15"/>
      <c r="AO239" s="15"/>
      <c r="AP239" s="15" t="s">
        <v>188</v>
      </c>
      <c r="AQ239" s="15"/>
      <c r="AR239" s="15"/>
      <c r="AS239" s="15"/>
      <c r="AT239" s="15" t="s">
        <v>390</v>
      </c>
      <c r="AU239" s="1">
        <v>3500</v>
      </c>
      <c r="AV239" s="48">
        <v>0.5</v>
      </c>
      <c r="AW239" s="15">
        <v>2.6</v>
      </c>
      <c r="AX239" s="15">
        <v>2.2999999999999998</v>
      </c>
      <c r="AY239" s="15">
        <v>2</v>
      </c>
      <c r="AZ239" s="15">
        <v>800</v>
      </c>
      <c r="BA239" s="15">
        <v>2000</v>
      </c>
      <c r="BB239" s="15" t="s">
        <v>188</v>
      </c>
      <c r="BC239" s="15" t="s">
        <v>188</v>
      </c>
      <c r="BD239" s="15" t="s">
        <v>199</v>
      </c>
      <c r="BE239" s="1">
        <v>7000</v>
      </c>
      <c r="BF239" s="1">
        <v>5000</v>
      </c>
      <c r="BG239" s="1">
        <v>17000</v>
      </c>
      <c r="BH239" s="1">
        <v>185000</v>
      </c>
      <c r="BI239" s="1">
        <v>17000</v>
      </c>
      <c r="BJ239" s="15"/>
      <c r="BK239" s="15" t="s">
        <v>188</v>
      </c>
      <c r="BL239" s="15"/>
      <c r="BM239" s="15"/>
      <c r="BN239" s="15"/>
      <c r="BO239" s="15"/>
      <c r="BP239" s="15"/>
      <c r="BQ239" s="15"/>
      <c r="BR239" s="15"/>
      <c r="BS239" s="2"/>
      <c r="BT239" s="15"/>
      <c r="BU239" s="15" t="s">
        <v>188</v>
      </c>
      <c r="BV239" s="15"/>
      <c r="BW239" s="15"/>
      <c r="BX239" s="15">
        <v>1</v>
      </c>
      <c r="BY239" s="15">
        <v>2</v>
      </c>
      <c r="BZ239" s="15">
        <v>3</v>
      </c>
      <c r="CA239" s="15"/>
      <c r="CB239" s="15"/>
      <c r="CC239" s="15" t="s">
        <v>188</v>
      </c>
      <c r="CD239" s="15"/>
      <c r="CE239" s="15" t="s">
        <v>188</v>
      </c>
      <c r="CF239" s="15"/>
      <c r="CG239" s="15" t="s">
        <v>188</v>
      </c>
      <c r="CH239" s="15"/>
      <c r="CI239" s="15" t="s">
        <v>188</v>
      </c>
      <c r="CJ239" s="15"/>
      <c r="CK239" s="15" t="s">
        <v>188</v>
      </c>
      <c r="CL239" s="15"/>
      <c r="CM239" s="15"/>
      <c r="CN239" s="15"/>
      <c r="CO239" s="15"/>
      <c r="CP239" s="15" t="s">
        <v>193</v>
      </c>
      <c r="CQ239" s="15" t="s">
        <v>309</v>
      </c>
      <c r="CR239" s="15" t="s">
        <v>188</v>
      </c>
      <c r="CS239" s="15"/>
      <c r="CT239" s="15"/>
      <c r="CU239" s="15"/>
      <c r="CV239" s="15"/>
      <c r="CW239" s="15"/>
      <c r="CX239" s="15"/>
      <c r="CY239" s="15" t="s">
        <v>188</v>
      </c>
      <c r="CZ239" s="3"/>
      <c r="DA239" s="49"/>
      <c r="DC239" s="18">
        <f t="shared" si="9"/>
        <v>0</v>
      </c>
      <c r="DD239" s="18">
        <f t="shared" si="10"/>
        <v>3</v>
      </c>
      <c r="DE239" s="18">
        <f t="shared" si="11"/>
        <v>2007</v>
      </c>
    </row>
    <row r="240" spans="1:109" x14ac:dyDescent="0.25">
      <c r="A240" s="59" t="s">
        <v>1318</v>
      </c>
      <c r="B240" s="103">
        <v>41549</v>
      </c>
      <c r="C240" s="105" t="s">
        <v>1576</v>
      </c>
      <c r="D240" s="14" t="s">
        <v>727</v>
      </c>
      <c r="E240" s="15"/>
      <c r="F240" s="15" t="s">
        <v>188</v>
      </c>
      <c r="G240" s="15"/>
      <c r="H240" s="15"/>
      <c r="I240" s="15">
        <v>50</v>
      </c>
      <c r="J240" s="15" t="s">
        <v>189</v>
      </c>
      <c r="K240" s="15" t="s">
        <v>214</v>
      </c>
      <c r="L240" s="15" t="s">
        <v>592</v>
      </c>
      <c r="M240" s="15" t="s">
        <v>1059</v>
      </c>
      <c r="N240" s="15" t="s">
        <v>1085</v>
      </c>
      <c r="O240" s="15">
        <v>20</v>
      </c>
      <c r="P240" s="15"/>
      <c r="Q240" s="15"/>
      <c r="R240" s="15"/>
      <c r="S240" s="15" t="s">
        <v>188</v>
      </c>
      <c r="T240" s="15"/>
      <c r="U240" s="15" t="s">
        <v>188</v>
      </c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>
        <v>2007</v>
      </c>
      <c r="AI240" s="1">
        <v>230400</v>
      </c>
      <c r="AJ240" s="15"/>
      <c r="AK240" s="15"/>
      <c r="AL240" s="15" t="s">
        <v>188</v>
      </c>
      <c r="AM240" s="15"/>
      <c r="AN240" s="15"/>
      <c r="AO240" s="15"/>
      <c r="AP240" s="15" t="s">
        <v>188</v>
      </c>
      <c r="AQ240" s="15"/>
      <c r="AR240" s="15"/>
      <c r="AS240" s="15"/>
      <c r="AT240" s="15" t="s">
        <v>1316</v>
      </c>
      <c r="AU240" s="1">
        <v>3200</v>
      </c>
      <c r="AV240" s="48">
        <v>0.2</v>
      </c>
      <c r="AW240" s="15">
        <v>2.8</v>
      </c>
      <c r="AX240" s="15">
        <v>2.2000000000000002</v>
      </c>
      <c r="AY240" s="15">
        <v>3</v>
      </c>
      <c r="AZ240" s="15">
        <v>800</v>
      </c>
      <c r="BA240" s="15">
        <v>2000</v>
      </c>
      <c r="BB240" s="15" t="s">
        <v>188</v>
      </c>
      <c r="BC240" s="15" t="s">
        <v>188</v>
      </c>
      <c r="BD240" s="15" t="s">
        <v>188</v>
      </c>
      <c r="BE240" s="1">
        <v>8000</v>
      </c>
      <c r="BF240" s="1">
        <v>10000</v>
      </c>
      <c r="BG240" s="1">
        <v>20000</v>
      </c>
      <c r="BH240" s="1">
        <v>76800</v>
      </c>
      <c r="BI240" s="1">
        <v>20000</v>
      </c>
      <c r="BJ240" s="15"/>
      <c r="BK240" s="15"/>
      <c r="BL240" s="15"/>
      <c r="BM240" s="15"/>
      <c r="BN240" s="15"/>
      <c r="BO240" s="15"/>
      <c r="BP240" s="15"/>
      <c r="BQ240" s="15"/>
      <c r="BR240" s="15"/>
      <c r="BS240" s="2" t="s">
        <v>314</v>
      </c>
      <c r="BT240" s="15"/>
      <c r="BU240" s="15" t="s">
        <v>188</v>
      </c>
      <c r="BV240" s="15"/>
      <c r="BW240" s="15"/>
      <c r="BX240" s="15">
        <v>2</v>
      </c>
      <c r="BY240" s="15">
        <v>4</v>
      </c>
      <c r="BZ240" s="15">
        <v>3</v>
      </c>
      <c r="CA240" s="15" t="s">
        <v>208</v>
      </c>
      <c r="CB240" s="15"/>
      <c r="CC240" s="15" t="s">
        <v>188</v>
      </c>
      <c r="CD240" s="15"/>
      <c r="CE240" s="15" t="s">
        <v>188</v>
      </c>
      <c r="CF240" s="15"/>
      <c r="CG240" s="15" t="s">
        <v>188</v>
      </c>
      <c r="CH240" s="15" t="s">
        <v>188</v>
      </c>
      <c r="CI240" s="15" t="s">
        <v>188</v>
      </c>
      <c r="CJ240" s="15"/>
      <c r="CK240" s="15" t="s">
        <v>188</v>
      </c>
      <c r="CL240" s="15"/>
      <c r="CM240" s="15"/>
      <c r="CN240" s="15"/>
      <c r="CO240" s="15"/>
      <c r="CP240" s="15" t="s">
        <v>193</v>
      </c>
      <c r="CQ240" s="15" t="s">
        <v>309</v>
      </c>
      <c r="CR240" s="15" t="s">
        <v>188</v>
      </c>
      <c r="CS240" s="15" t="s">
        <v>188</v>
      </c>
      <c r="CT240" s="15"/>
      <c r="CU240" s="15"/>
      <c r="CV240" s="15" t="s">
        <v>188</v>
      </c>
      <c r="CW240" s="15" t="s">
        <v>270</v>
      </c>
      <c r="CX240" s="15"/>
      <c r="CY240" s="15"/>
      <c r="CZ240" s="3"/>
      <c r="DA240" s="49"/>
      <c r="DC240" s="18">
        <f t="shared" si="9"/>
        <v>0</v>
      </c>
      <c r="DD240" s="18">
        <f t="shared" si="10"/>
        <v>2</v>
      </c>
      <c r="DE240" s="18">
        <f t="shared" si="11"/>
        <v>2007</v>
      </c>
    </row>
    <row r="241" spans="1:109" x14ac:dyDescent="0.25">
      <c r="A241" s="59" t="s">
        <v>1318</v>
      </c>
      <c r="B241" s="103">
        <v>41550</v>
      </c>
      <c r="C241" s="105" t="s">
        <v>1576</v>
      </c>
      <c r="D241" s="14" t="s">
        <v>729</v>
      </c>
      <c r="E241" s="15" t="s">
        <v>188</v>
      </c>
      <c r="F241" s="15"/>
      <c r="G241" s="15"/>
      <c r="H241" s="15"/>
      <c r="I241" s="15">
        <v>41</v>
      </c>
      <c r="J241" s="15" t="s">
        <v>189</v>
      </c>
      <c r="K241" s="15" t="s">
        <v>220</v>
      </c>
      <c r="L241" s="15" t="s">
        <v>399</v>
      </c>
      <c r="M241" s="15" t="s">
        <v>1033</v>
      </c>
      <c r="N241" s="15" t="s">
        <v>1085</v>
      </c>
      <c r="O241" s="15">
        <v>20</v>
      </c>
      <c r="P241" s="15"/>
      <c r="Q241" s="15"/>
      <c r="R241" s="15"/>
      <c r="S241" s="15" t="s">
        <v>188</v>
      </c>
      <c r="T241" s="15"/>
      <c r="U241" s="15" t="s">
        <v>188</v>
      </c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>
        <v>1979</v>
      </c>
      <c r="AI241" s="1">
        <v>2052000</v>
      </c>
      <c r="AJ241" s="15"/>
      <c r="AK241" s="15"/>
      <c r="AL241" s="15" t="s">
        <v>188</v>
      </c>
      <c r="AM241" s="15"/>
      <c r="AN241" s="15"/>
      <c r="AO241" s="15"/>
      <c r="AP241" s="15"/>
      <c r="AQ241" s="15" t="s">
        <v>188</v>
      </c>
      <c r="AR241" s="15"/>
      <c r="AS241" s="15">
        <v>1998</v>
      </c>
      <c r="AT241" s="15" t="s">
        <v>266</v>
      </c>
      <c r="AU241" s="1">
        <v>9000</v>
      </c>
      <c r="AV241" s="48">
        <v>0.1</v>
      </c>
      <c r="AW241" s="15">
        <v>3.2</v>
      </c>
      <c r="AX241" s="15">
        <v>2.8</v>
      </c>
      <c r="AY241" s="15">
        <v>3</v>
      </c>
      <c r="AZ241" s="15">
        <v>1060</v>
      </c>
      <c r="BA241" s="15">
        <v>3200</v>
      </c>
      <c r="BB241" s="15" t="s">
        <v>199</v>
      </c>
      <c r="BC241" s="15" t="s">
        <v>199</v>
      </c>
      <c r="BD241" s="15" t="s">
        <v>199</v>
      </c>
      <c r="BE241" s="1">
        <v>27000</v>
      </c>
      <c r="BF241" s="1">
        <v>27000</v>
      </c>
      <c r="BG241" s="1">
        <v>20000</v>
      </c>
      <c r="BH241" s="1">
        <v>162000</v>
      </c>
      <c r="BI241" s="1">
        <v>20000</v>
      </c>
      <c r="BJ241" s="15"/>
      <c r="BK241" s="15"/>
      <c r="BL241" s="15"/>
      <c r="BM241" s="15"/>
      <c r="BN241" s="15"/>
      <c r="BO241" s="15"/>
      <c r="BP241" s="15"/>
      <c r="BQ241" s="15"/>
      <c r="BR241" s="15"/>
      <c r="BS241" s="2" t="s">
        <v>728</v>
      </c>
      <c r="BT241" s="15"/>
      <c r="BU241" s="15" t="s">
        <v>188</v>
      </c>
      <c r="BV241" s="15"/>
      <c r="BW241" s="15"/>
      <c r="BX241" s="15">
        <v>1</v>
      </c>
      <c r="BY241" s="15">
        <v>3</v>
      </c>
      <c r="BZ241" s="15">
        <v>2</v>
      </c>
      <c r="CA241" s="15"/>
      <c r="CB241" s="15"/>
      <c r="CC241" s="15" t="s">
        <v>188</v>
      </c>
      <c r="CD241" s="15"/>
      <c r="CE241" s="15"/>
      <c r="CF241" s="15"/>
      <c r="CG241" s="15" t="s">
        <v>188</v>
      </c>
      <c r="CH241" s="15" t="s">
        <v>188</v>
      </c>
      <c r="CI241" s="15" t="s">
        <v>188</v>
      </c>
      <c r="CJ241" s="15"/>
      <c r="CK241" s="15" t="s">
        <v>188</v>
      </c>
      <c r="CL241" s="15"/>
      <c r="CM241" s="15"/>
      <c r="CN241" s="15"/>
      <c r="CO241" s="15"/>
      <c r="CP241" s="15" t="s">
        <v>193</v>
      </c>
      <c r="CQ241" s="15" t="s">
        <v>300</v>
      </c>
      <c r="CR241" s="15" t="s">
        <v>188</v>
      </c>
      <c r="CS241" s="15"/>
      <c r="CT241" s="15"/>
      <c r="CU241" s="15"/>
      <c r="CV241" s="15"/>
      <c r="CW241" s="15"/>
      <c r="CX241" s="15"/>
      <c r="CY241" s="15" t="s">
        <v>188</v>
      </c>
      <c r="CZ241" s="3"/>
      <c r="DA241" s="49"/>
      <c r="DC241" s="18">
        <f t="shared" si="9"/>
        <v>0</v>
      </c>
      <c r="DD241" s="18">
        <f t="shared" si="10"/>
        <v>1</v>
      </c>
      <c r="DE241" s="18">
        <f t="shared" si="11"/>
        <v>1998</v>
      </c>
    </row>
    <row r="242" spans="1:109" x14ac:dyDescent="0.25">
      <c r="A242" s="59" t="s">
        <v>1318</v>
      </c>
      <c r="B242" s="103">
        <v>41550</v>
      </c>
      <c r="C242" s="105" t="s">
        <v>1576</v>
      </c>
      <c r="D242" s="14" t="s">
        <v>730</v>
      </c>
      <c r="E242" s="15"/>
      <c r="F242" s="15"/>
      <c r="G242" s="15" t="s">
        <v>188</v>
      </c>
      <c r="H242" s="15"/>
      <c r="I242" s="15">
        <v>62</v>
      </c>
      <c r="J242" s="15" t="s">
        <v>189</v>
      </c>
      <c r="K242" s="15" t="s">
        <v>196</v>
      </c>
      <c r="L242" s="15" t="s">
        <v>417</v>
      </c>
      <c r="M242" s="15" t="s">
        <v>1045</v>
      </c>
      <c r="N242" s="15" t="s">
        <v>1084</v>
      </c>
      <c r="O242" s="15">
        <v>40</v>
      </c>
      <c r="P242" s="15" t="s">
        <v>188</v>
      </c>
      <c r="Q242" s="15"/>
      <c r="R242" s="15"/>
      <c r="S242" s="15"/>
      <c r="T242" s="15"/>
      <c r="U242" s="15" t="s">
        <v>188</v>
      </c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>
        <v>2010</v>
      </c>
      <c r="AI242" s="1">
        <v>100000</v>
      </c>
      <c r="AJ242" s="15" t="s">
        <v>188</v>
      </c>
      <c r="AK242" s="15"/>
      <c r="AL242" s="15"/>
      <c r="AM242" s="15"/>
      <c r="AN242" s="15"/>
      <c r="AO242" s="15"/>
      <c r="AP242" s="15" t="s">
        <v>188</v>
      </c>
      <c r="AQ242" s="15"/>
      <c r="AR242" s="15"/>
      <c r="AS242" s="15"/>
      <c r="AT242" s="15" t="s">
        <v>233</v>
      </c>
      <c r="AU242" s="1">
        <v>1000</v>
      </c>
      <c r="AV242" s="48">
        <v>0.3</v>
      </c>
      <c r="AW242" s="15">
        <v>7</v>
      </c>
      <c r="AX242" s="15">
        <v>6</v>
      </c>
      <c r="AY242" s="15">
        <v>1</v>
      </c>
      <c r="AZ242" s="15">
        <v>100</v>
      </c>
      <c r="BA242" s="15">
        <v>700</v>
      </c>
      <c r="BB242" s="15" t="s">
        <v>199</v>
      </c>
      <c r="BC242" s="15" t="s">
        <v>188</v>
      </c>
      <c r="BD242" s="15" t="s">
        <v>199</v>
      </c>
      <c r="BE242" s="1">
        <v>7000</v>
      </c>
      <c r="BF242" s="1">
        <v>7000</v>
      </c>
      <c r="BG242" s="1">
        <v>12000</v>
      </c>
      <c r="BH242" s="1">
        <f>4*12*AU242</f>
        <v>48000</v>
      </c>
      <c r="BI242" s="1" t="s">
        <v>234</v>
      </c>
      <c r="BJ242" s="15" t="s">
        <v>188</v>
      </c>
      <c r="BK242" s="15"/>
      <c r="BL242" s="15"/>
      <c r="BM242" s="15"/>
      <c r="BN242" s="15"/>
      <c r="BO242" s="15"/>
      <c r="BP242" s="15"/>
      <c r="BQ242" s="15"/>
      <c r="BR242" s="15"/>
      <c r="BS242" s="2"/>
      <c r="BT242" s="15"/>
      <c r="BU242" s="15"/>
      <c r="BV242" s="15" t="s">
        <v>188</v>
      </c>
      <c r="BW242" s="15"/>
      <c r="BX242" s="15">
        <v>1</v>
      </c>
      <c r="BY242" s="15">
        <v>3</v>
      </c>
      <c r="BZ242" s="15">
        <v>2</v>
      </c>
      <c r="CA242" s="15"/>
      <c r="CB242" s="15" t="s">
        <v>188</v>
      </c>
      <c r="CC242" s="15"/>
      <c r="CD242" s="15"/>
      <c r="CE242" s="15"/>
      <c r="CF242" s="15"/>
      <c r="CG242" s="15"/>
      <c r="CH242" s="15"/>
      <c r="CI242" s="15"/>
      <c r="CJ242" s="15"/>
      <c r="CK242" s="15" t="s">
        <v>188</v>
      </c>
      <c r="CL242" s="15"/>
      <c r="CM242" s="15"/>
      <c r="CN242" s="15"/>
      <c r="CO242" s="15"/>
      <c r="CP242" s="15" t="s">
        <v>193</v>
      </c>
      <c r="CQ242" s="15" t="s">
        <v>300</v>
      </c>
      <c r="CR242" s="15" t="s">
        <v>188</v>
      </c>
      <c r="CS242" s="15"/>
      <c r="CT242" s="15"/>
      <c r="CU242" s="15"/>
      <c r="CV242" s="15"/>
      <c r="CW242" s="15"/>
      <c r="CX242" s="15" t="s">
        <v>188</v>
      </c>
      <c r="CY242" s="15" t="s">
        <v>188</v>
      </c>
      <c r="CZ242" s="3"/>
      <c r="DA242" s="49"/>
      <c r="DC242" s="18">
        <f t="shared" si="9"/>
        <v>0</v>
      </c>
      <c r="DD242" s="18">
        <f t="shared" si="10"/>
        <v>3</v>
      </c>
      <c r="DE242" s="18">
        <f t="shared" si="11"/>
        <v>2010</v>
      </c>
    </row>
    <row r="243" spans="1:109" x14ac:dyDescent="0.25">
      <c r="A243" s="59" t="s">
        <v>1318</v>
      </c>
      <c r="B243" s="103">
        <v>41550</v>
      </c>
      <c r="C243" s="105" t="s">
        <v>1576</v>
      </c>
      <c r="D243" s="14" t="s">
        <v>731</v>
      </c>
      <c r="E243" s="15"/>
      <c r="F243" s="15"/>
      <c r="G243" s="15"/>
      <c r="H243" s="15" t="s">
        <v>188</v>
      </c>
      <c r="I243" s="15">
        <v>42</v>
      </c>
      <c r="J243" s="15" t="s">
        <v>189</v>
      </c>
      <c r="K243" s="15" t="s">
        <v>190</v>
      </c>
      <c r="L243" s="15" t="s">
        <v>749</v>
      </c>
      <c r="M243" s="15" t="s">
        <v>1082</v>
      </c>
      <c r="N243" s="15" t="s">
        <v>1084</v>
      </c>
      <c r="O243" s="15">
        <v>16</v>
      </c>
      <c r="P243" s="15" t="s">
        <v>188</v>
      </c>
      <c r="Q243" s="15"/>
      <c r="R243" s="15"/>
      <c r="S243" s="15"/>
      <c r="T243" s="15"/>
      <c r="U243" s="15" t="s">
        <v>188</v>
      </c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>
        <v>2013</v>
      </c>
      <c r="AI243" s="1">
        <v>10000</v>
      </c>
      <c r="AJ243" s="15" t="s">
        <v>188</v>
      </c>
      <c r="AK243" s="15"/>
      <c r="AL243" s="15"/>
      <c r="AM243" s="15"/>
      <c r="AN243" s="15"/>
      <c r="AO243" s="15"/>
      <c r="AP243" s="15" t="s">
        <v>188</v>
      </c>
      <c r="AQ243" s="15"/>
      <c r="AR243" s="15"/>
      <c r="AS243" s="15"/>
      <c r="AT243" s="15" t="s">
        <v>233</v>
      </c>
      <c r="AU243" s="1">
        <v>1500</v>
      </c>
      <c r="AV243" s="48">
        <v>0.5</v>
      </c>
      <c r="AW243" s="15">
        <v>6</v>
      </c>
      <c r="AX243" s="15">
        <v>5</v>
      </c>
      <c r="AY243" s="15">
        <v>2</v>
      </c>
      <c r="AZ243" s="15">
        <v>120</v>
      </c>
      <c r="BA243" s="15">
        <v>600</v>
      </c>
      <c r="BB243" s="15" t="s">
        <v>199</v>
      </c>
      <c r="BC243" s="15" t="s">
        <v>199</v>
      </c>
      <c r="BD243" s="15" t="s">
        <v>199</v>
      </c>
      <c r="BE243" s="1">
        <v>3000</v>
      </c>
      <c r="BF243" s="1" t="s">
        <v>193</v>
      </c>
      <c r="BG243" s="1">
        <v>5000</v>
      </c>
      <c r="BH243" s="1" t="s">
        <v>193</v>
      </c>
      <c r="BI243" s="1" t="s">
        <v>234</v>
      </c>
      <c r="BJ243" s="15"/>
      <c r="BK243" s="15"/>
      <c r="BL243" s="15"/>
      <c r="BM243" s="15" t="s">
        <v>188</v>
      </c>
      <c r="BN243" s="15"/>
      <c r="BO243" s="15"/>
      <c r="BP243" s="15"/>
      <c r="BQ243" s="15"/>
      <c r="BR243" s="15"/>
      <c r="BS243" s="2"/>
      <c r="BT243" s="15"/>
      <c r="BU243" s="15" t="s">
        <v>188</v>
      </c>
      <c r="BV243" s="15"/>
      <c r="BW243" s="15"/>
      <c r="BX243" s="15">
        <v>2</v>
      </c>
      <c r="BY243" s="15">
        <v>1</v>
      </c>
      <c r="BZ243" s="15">
        <v>3</v>
      </c>
      <c r="CA243" s="15"/>
      <c r="CB243" s="15"/>
      <c r="CC243" s="15" t="s">
        <v>188</v>
      </c>
      <c r="CD243" s="15"/>
      <c r="CE243" s="15"/>
      <c r="CF243" s="15" t="s">
        <v>188</v>
      </c>
      <c r="CG243" s="15" t="s">
        <v>188</v>
      </c>
      <c r="CH243" s="15"/>
      <c r="CI243" s="15" t="s">
        <v>188</v>
      </c>
      <c r="CJ243" s="15"/>
      <c r="CK243" s="15" t="s">
        <v>188</v>
      </c>
      <c r="CL243" s="15"/>
      <c r="CM243" s="15"/>
      <c r="CN243" s="15"/>
      <c r="CO243" s="15"/>
      <c r="CP243" s="15" t="s">
        <v>193</v>
      </c>
      <c r="CQ243" s="15" t="s">
        <v>300</v>
      </c>
      <c r="CR243" s="15" t="s">
        <v>188</v>
      </c>
      <c r="CS243" s="15"/>
      <c r="CT243" s="15"/>
      <c r="CU243" s="15"/>
      <c r="CV243" s="15"/>
      <c r="CW243" s="15"/>
      <c r="CX243" s="15" t="s">
        <v>188</v>
      </c>
      <c r="CY243" s="15" t="s">
        <v>188</v>
      </c>
      <c r="CZ243" s="3"/>
      <c r="DA243" s="49"/>
      <c r="DC243" s="18">
        <f t="shared" si="9"/>
        <v>0</v>
      </c>
      <c r="DD243" s="18">
        <f t="shared" si="10"/>
        <v>7</v>
      </c>
      <c r="DE243" s="18">
        <f t="shared" si="11"/>
        <v>2013</v>
      </c>
    </row>
    <row r="244" spans="1:109" x14ac:dyDescent="0.25">
      <c r="A244" s="59" t="s">
        <v>1318</v>
      </c>
      <c r="B244" s="103">
        <v>41550</v>
      </c>
      <c r="C244" s="105" t="s">
        <v>1576</v>
      </c>
      <c r="D244" s="14" t="s">
        <v>732</v>
      </c>
      <c r="E244" s="9"/>
      <c r="F244" s="15"/>
      <c r="G244" s="15"/>
      <c r="H244" s="15" t="s">
        <v>188</v>
      </c>
      <c r="I244" s="15">
        <v>42</v>
      </c>
      <c r="J244" s="15" t="s">
        <v>189</v>
      </c>
      <c r="K244" s="15" t="s">
        <v>190</v>
      </c>
      <c r="L244" s="15" t="s">
        <v>594</v>
      </c>
      <c r="M244" s="15" t="s">
        <v>1018</v>
      </c>
      <c r="N244" s="15" t="s">
        <v>1085</v>
      </c>
      <c r="O244" s="15">
        <v>15</v>
      </c>
      <c r="P244" s="15" t="s">
        <v>188</v>
      </c>
      <c r="Q244" s="15"/>
      <c r="R244" s="15"/>
      <c r="S244" s="15"/>
      <c r="T244" s="15"/>
      <c r="U244" s="15"/>
      <c r="V244" s="15"/>
      <c r="W244" s="15"/>
      <c r="X244" s="15"/>
      <c r="Y244" s="15" t="s">
        <v>188</v>
      </c>
      <c r="Z244" s="15"/>
      <c r="AA244" s="15"/>
      <c r="AB244" s="15"/>
      <c r="AC244" s="15"/>
      <c r="AD244" s="15"/>
      <c r="AE244" s="15"/>
      <c r="AF244" s="15"/>
      <c r="AG244" s="15"/>
      <c r="AH244" s="15">
        <v>2009</v>
      </c>
      <c r="AI244" s="1">
        <v>1200000</v>
      </c>
      <c r="AJ244" s="15"/>
      <c r="AK244" s="15"/>
      <c r="AL244" s="15" t="s">
        <v>188</v>
      </c>
      <c r="AM244" s="15"/>
      <c r="AN244" s="15"/>
      <c r="AO244" s="15"/>
      <c r="AP244" s="15" t="s">
        <v>188</v>
      </c>
      <c r="AQ244" s="15"/>
      <c r="AR244" s="15"/>
      <c r="AS244" s="15"/>
      <c r="AT244" s="15" t="s">
        <v>198</v>
      </c>
      <c r="AU244" s="1">
        <v>25000</v>
      </c>
      <c r="AV244" s="48">
        <v>0.5</v>
      </c>
      <c r="AW244" s="15">
        <v>2.2000000000000002</v>
      </c>
      <c r="AX244" s="15">
        <v>1.9</v>
      </c>
      <c r="AY244" s="15">
        <v>2</v>
      </c>
      <c r="AZ244" s="15">
        <v>940</v>
      </c>
      <c r="BA244" s="15">
        <v>1980</v>
      </c>
      <c r="BB244" s="15" t="s">
        <v>188</v>
      </c>
      <c r="BC244" s="15" t="s">
        <v>188</v>
      </c>
      <c r="BD244" s="15" t="s">
        <v>188</v>
      </c>
      <c r="BE244" s="1">
        <v>25000</v>
      </c>
      <c r="BF244" s="1">
        <v>25000</v>
      </c>
      <c r="BG244" s="1">
        <v>25000</v>
      </c>
      <c r="BH244" s="1">
        <v>300000</v>
      </c>
      <c r="BI244" s="1">
        <v>25000</v>
      </c>
      <c r="BJ244" s="15"/>
      <c r="BK244" s="15"/>
      <c r="BL244" s="15"/>
      <c r="BM244" s="15"/>
      <c r="BN244" s="15"/>
      <c r="BO244" s="15"/>
      <c r="BP244" s="15"/>
      <c r="BQ244" s="15"/>
      <c r="BR244" s="15" t="s">
        <v>188</v>
      </c>
      <c r="BS244" s="2"/>
      <c r="BT244" s="15"/>
      <c r="BU244" s="15" t="s">
        <v>188</v>
      </c>
      <c r="BV244" s="15"/>
      <c r="BW244" s="15"/>
      <c r="BX244" s="15">
        <v>2</v>
      </c>
      <c r="BY244" s="15">
        <v>4</v>
      </c>
      <c r="BZ244" s="15">
        <v>3</v>
      </c>
      <c r="CA244" s="15" t="s">
        <v>208</v>
      </c>
      <c r="CB244" s="15"/>
      <c r="CC244" s="15" t="s">
        <v>188</v>
      </c>
      <c r="CD244" s="15"/>
      <c r="CE244" s="15" t="s">
        <v>188</v>
      </c>
      <c r="CF244" s="15"/>
      <c r="CG244" s="15" t="s">
        <v>188</v>
      </c>
      <c r="CH244" s="15" t="s">
        <v>188</v>
      </c>
      <c r="CI244" s="15" t="s">
        <v>188</v>
      </c>
      <c r="CJ244" s="15"/>
      <c r="CK244" s="15" t="s">
        <v>188</v>
      </c>
      <c r="CL244" s="15"/>
      <c r="CM244" s="15"/>
      <c r="CN244" s="15"/>
      <c r="CO244" s="15"/>
      <c r="CP244" s="15" t="s">
        <v>193</v>
      </c>
      <c r="CQ244" s="15" t="s">
        <v>309</v>
      </c>
      <c r="CR244" s="15" t="s">
        <v>188</v>
      </c>
      <c r="CS244" s="15"/>
      <c r="CT244" s="15"/>
      <c r="CU244" s="15"/>
      <c r="CV244" s="15" t="s">
        <v>188</v>
      </c>
      <c r="CW244" s="15" t="s">
        <v>270</v>
      </c>
      <c r="CX244" s="15"/>
      <c r="CY244" s="15"/>
      <c r="CZ244" s="3"/>
      <c r="DA244" s="49" t="s">
        <v>750</v>
      </c>
      <c r="DC244" s="18">
        <f t="shared" si="9"/>
        <v>0</v>
      </c>
      <c r="DD244" s="18">
        <f t="shared" si="10"/>
        <v>7</v>
      </c>
      <c r="DE244" s="18">
        <f t="shared" si="11"/>
        <v>2009</v>
      </c>
    </row>
    <row r="245" spans="1:109" x14ac:dyDescent="0.25">
      <c r="A245" s="59" t="s">
        <v>1318</v>
      </c>
      <c r="B245" s="103">
        <v>41550</v>
      </c>
      <c r="C245" s="105" t="s">
        <v>1576</v>
      </c>
      <c r="D245" s="14" t="s">
        <v>734</v>
      </c>
      <c r="E245" s="15"/>
      <c r="F245" s="15"/>
      <c r="G245" s="15"/>
      <c r="H245" s="15" t="s">
        <v>188</v>
      </c>
      <c r="I245" s="15">
        <v>34</v>
      </c>
      <c r="J245" s="15" t="s">
        <v>189</v>
      </c>
      <c r="K245" s="15" t="s">
        <v>190</v>
      </c>
      <c r="L245" s="15" t="s">
        <v>399</v>
      </c>
      <c r="M245" s="15" t="s">
        <v>1033</v>
      </c>
      <c r="N245" s="15" t="s">
        <v>1085</v>
      </c>
      <c r="O245" s="15">
        <v>12</v>
      </c>
      <c r="P245" s="15"/>
      <c r="Q245" s="15"/>
      <c r="R245" s="15"/>
      <c r="S245" s="15" t="s">
        <v>188</v>
      </c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 t="s">
        <v>188</v>
      </c>
      <c r="AE245" s="15"/>
      <c r="AF245" s="15"/>
      <c r="AG245" s="15"/>
      <c r="AH245" s="15">
        <v>2006</v>
      </c>
      <c r="AI245" s="1">
        <v>540000</v>
      </c>
      <c r="AJ245" s="15"/>
      <c r="AK245" s="15"/>
      <c r="AL245" s="15" t="s">
        <v>188</v>
      </c>
      <c r="AM245" s="15"/>
      <c r="AN245" s="15"/>
      <c r="AO245" s="15"/>
      <c r="AP245" s="15" t="s">
        <v>188</v>
      </c>
      <c r="AQ245" s="15"/>
      <c r="AR245" s="15"/>
      <c r="AS245" s="15"/>
      <c r="AT245" s="15" t="s">
        <v>390</v>
      </c>
      <c r="AU245" s="1">
        <v>2500</v>
      </c>
      <c r="AV245" s="48">
        <v>0.5</v>
      </c>
      <c r="AW245" s="15">
        <v>3</v>
      </c>
      <c r="AX245" s="15">
        <v>2.5</v>
      </c>
      <c r="AY245" s="15">
        <v>3</v>
      </c>
      <c r="AZ245" s="15">
        <v>1100</v>
      </c>
      <c r="BA245" s="15">
        <v>3000</v>
      </c>
      <c r="BB245" s="15" t="s">
        <v>188</v>
      </c>
      <c r="BC245" s="15" t="s">
        <v>199</v>
      </c>
      <c r="BD245" s="15" t="s">
        <v>188</v>
      </c>
      <c r="BE245" s="1">
        <v>2500</v>
      </c>
      <c r="BF245" s="1">
        <v>2500</v>
      </c>
      <c r="BG245" s="1">
        <v>2500</v>
      </c>
      <c r="BH245" s="1">
        <v>30000</v>
      </c>
      <c r="BI245" s="1">
        <v>2500</v>
      </c>
      <c r="BJ245" s="15"/>
      <c r="BK245" s="15"/>
      <c r="BL245" s="15"/>
      <c r="BM245" s="15"/>
      <c r="BN245" s="15"/>
      <c r="BO245" s="15"/>
      <c r="BP245" s="15"/>
      <c r="BQ245" s="15"/>
      <c r="BR245" s="15"/>
      <c r="BS245" s="2" t="s">
        <v>733</v>
      </c>
      <c r="BT245" s="15"/>
      <c r="BU245" s="15" t="s">
        <v>188</v>
      </c>
      <c r="BV245" s="15"/>
      <c r="BW245" s="15"/>
      <c r="BX245" s="15">
        <v>2</v>
      </c>
      <c r="BY245" s="15">
        <v>3</v>
      </c>
      <c r="BZ245" s="15">
        <v>1</v>
      </c>
      <c r="CA245" s="15"/>
      <c r="CB245" s="15"/>
      <c r="CC245" s="15" t="s">
        <v>188</v>
      </c>
      <c r="CD245" s="15"/>
      <c r="CE245" s="15" t="s">
        <v>188</v>
      </c>
      <c r="CF245" s="15"/>
      <c r="CG245" s="15"/>
      <c r="CH245" s="15" t="s">
        <v>188</v>
      </c>
      <c r="CI245" s="15" t="s">
        <v>188</v>
      </c>
      <c r="CJ245" s="15"/>
      <c r="CK245" s="15" t="s">
        <v>188</v>
      </c>
      <c r="CL245" s="15"/>
      <c r="CM245" s="15"/>
      <c r="CN245" s="15"/>
      <c r="CO245" s="15"/>
      <c r="CP245" s="15" t="s">
        <v>193</v>
      </c>
      <c r="CQ245" s="15" t="s">
        <v>309</v>
      </c>
      <c r="CR245" s="15"/>
      <c r="CS245" s="15" t="s">
        <v>188</v>
      </c>
      <c r="CT245" s="15"/>
      <c r="CU245" s="15"/>
      <c r="CV245" s="15"/>
      <c r="CW245" s="15"/>
      <c r="CX245" s="15"/>
      <c r="CY245" s="15" t="s">
        <v>188</v>
      </c>
      <c r="CZ245" s="3"/>
      <c r="DA245" s="49"/>
      <c r="DC245" s="18">
        <f t="shared" si="9"/>
        <v>0</v>
      </c>
      <c r="DD245" s="18">
        <f t="shared" si="10"/>
        <v>7</v>
      </c>
      <c r="DE245" s="18">
        <f t="shared" si="11"/>
        <v>2006</v>
      </c>
    </row>
    <row r="246" spans="1:109" x14ac:dyDescent="0.25">
      <c r="A246" s="59" t="s">
        <v>1318</v>
      </c>
      <c r="B246" s="103">
        <v>41550</v>
      </c>
      <c r="C246" s="105" t="s">
        <v>1576</v>
      </c>
      <c r="D246" s="14" t="s">
        <v>735</v>
      </c>
      <c r="E246" s="15"/>
      <c r="F246" s="15"/>
      <c r="G246" s="15" t="s">
        <v>188</v>
      </c>
      <c r="H246" s="15"/>
      <c r="I246" s="15">
        <v>31</v>
      </c>
      <c r="J246" s="15" t="s">
        <v>189</v>
      </c>
      <c r="K246" s="15" t="s">
        <v>196</v>
      </c>
      <c r="L246" s="15" t="s">
        <v>562</v>
      </c>
      <c r="M246" s="15" t="s">
        <v>1055</v>
      </c>
      <c r="N246" s="15" t="s">
        <v>1084</v>
      </c>
      <c r="O246" s="15">
        <v>8</v>
      </c>
      <c r="P246" s="15"/>
      <c r="Q246" s="15"/>
      <c r="R246" s="15"/>
      <c r="S246" s="15" t="s">
        <v>188</v>
      </c>
      <c r="T246" s="15"/>
      <c r="U246" s="15" t="s">
        <v>188</v>
      </c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>
        <v>1993</v>
      </c>
      <c r="AI246" s="1">
        <v>1600000</v>
      </c>
      <c r="AJ246" s="15"/>
      <c r="AK246" s="15"/>
      <c r="AL246" s="15" t="s">
        <v>188</v>
      </c>
      <c r="AM246" s="15"/>
      <c r="AN246" s="15"/>
      <c r="AO246" s="15"/>
      <c r="AP246" s="15" t="s">
        <v>188</v>
      </c>
      <c r="AQ246" s="15"/>
      <c r="AR246" s="15"/>
      <c r="AS246" s="15"/>
      <c r="AT246" s="15" t="s">
        <v>1316</v>
      </c>
      <c r="AU246" s="1">
        <v>7000</v>
      </c>
      <c r="AV246" s="48">
        <v>0</v>
      </c>
      <c r="AW246" s="15">
        <v>4</v>
      </c>
      <c r="AX246" s="15">
        <v>3.7</v>
      </c>
      <c r="AY246" s="15">
        <v>2</v>
      </c>
      <c r="AZ246" s="15">
        <v>380</v>
      </c>
      <c r="BA246" s="15">
        <v>1500</v>
      </c>
      <c r="BB246" s="15" t="s">
        <v>188</v>
      </c>
      <c r="BC246" s="15" t="s">
        <v>199</v>
      </c>
      <c r="BD246" s="15" t="s">
        <v>199</v>
      </c>
      <c r="BE246" s="1">
        <v>15000</v>
      </c>
      <c r="BF246" s="1">
        <v>13000</v>
      </c>
      <c r="BG246" s="1">
        <v>20000</v>
      </c>
      <c r="BH246" s="1">
        <v>140000</v>
      </c>
      <c r="BI246" s="1">
        <v>20000</v>
      </c>
      <c r="BJ246" s="15"/>
      <c r="BK246" s="15"/>
      <c r="BL246" s="15"/>
      <c r="BM246" s="15"/>
      <c r="BN246" s="15"/>
      <c r="BO246" s="15"/>
      <c r="BP246" s="15"/>
      <c r="BQ246" s="15"/>
      <c r="BR246" s="15"/>
      <c r="BS246" s="2" t="s">
        <v>572</v>
      </c>
      <c r="BT246" s="15"/>
      <c r="BU246" s="15" t="s">
        <v>188</v>
      </c>
      <c r="BV246" s="15"/>
      <c r="BW246" s="15"/>
      <c r="BX246" s="15">
        <v>3</v>
      </c>
      <c r="BY246" s="15">
        <v>1</v>
      </c>
      <c r="BZ246" s="15">
        <v>2</v>
      </c>
      <c r="CA246" s="15"/>
      <c r="CB246" s="15" t="s">
        <v>188</v>
      </c>
      <c r="CC246" s="15"/>
      <c r="CD246" s="15"/>
      <c r="CE246" s="15"/>
      <c r="CF246" s="15"/>
      <c r="CG246" s="15"/>
      <c r="CH246" s="15"/>
      <c r="CI246" s="15"/>
      <c r="CJ246" s="15"/>
      <c r="CK246" s="15" t="s">
        <v>188</v>
      </c>
      <c r="CL246" s="15"/>
      <c r="CM246" s="15"/>
      <c r="CN246" s="15"/>
      <c r="CO246" s="15"/>
      <c r="CP246" s="15" t="s">
        <v>193</v>
      </c>
      <c r="CQ246" s="15" t="s">
        <v>309</v>
      </c>
      <c r="CR246" s="15" t="s">
        <v>188</v>
      </c>
      <c r="CS246" s="15"/>
      <c r="CT246" s="15"/>
      <c r="CU246" s="15"/>
      <c r="CV246" s="15"/>
      <c r="CW246" s="15"/>
      <c r="CX246" s="15" t="s">
        <v>188</v>
      </c>
      <c r="CY246" s="15" t="s">
        <v>188</v>
      </c>
      <c r="CZ246" s="3"/>
      <c r="DA246" s="49"/>
      <c r="DC246" s="18">
        <f t="shared" si="9"/>
        <v>0</v>
      </c>
      <c r="DD246" s="18">
        <f t="shared" si="10"/>
        <v>3</v>
      </c>
      <c r="DE246" s="18">
        <f t="shared" si="11"/>
        <v>1993</v>
      </c>
    </row>
    <row r="247" spans="1:109" x14ac:dyDescent="0.25">
      <c r="A247" s="59" t="s">
        <v>1318</v>
      </c>
      <c r="B247" s="103">
        <v>41550</v>
      </c>
      <c r="C247" s="105" t="s">
        <v>1576</v>
      </c>
      <c r="D247" s="14" t="s">
        <v>739</v>
      </c>
      <c r="E247" s="15"/>
      <c r="F247" s="15"/>
      <c r="G247" s="15"/>
      <c r="H247" s="15" t="s">
        <v>188</v>
      </c>
      <c r="I247" s="15">
        <v>47</v>
      </c>
      <c r="J247" s="15" t="s">
        <v>189</v>
      </c>
      <c r="K247" s="15" t="s">
        <v>190</v>
      </c>
      <c r="L247" s="15" t="s">
        <v>404</v>
      </c>
      <c r="M247" s="15" t="s">
        <v>1036</v>
      </c>
      <c r="N247" s="15" t="s">
        <v>1085</v>
      </c>
      <c r="O247" s="15">
        <v>12</v>
      </c>
      <c r="P247" s="15" t="s">
        <v>188</v>
      </c>
      <c r="Q247" s="15"/>
      <c r="R247" s="15"/>
      <c r="S247" s="15"/>
      <c r="T247" s="15"/>
      <c r="U247" s="15" t="s">
        <v>188</v>
      </c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>
        <v>2000</v>
      </c>
      <c r="AI247" s="1">
        <v>520000</v>
      </c>
      <c r="AJ247" s="15"/>
      <c r="AK247" s="15" t="s">
        <v>188</v>
      </c>
      <c r="AL247" s="15"/>
      <c r="AM247" s="15"/>
      <c r="AN247" s="15"/>
      <c r="AO247" s="15"/>
      <c r="AP247" s="15" t="s">
        <v>188</v>
      </c>
      <c r="AQ247" s="15"/>
      <c r="AR247" s="15"/>
      <c r="AS247" s="15"/>
      <c r="AT247" s="15" t="s">
        <v>233</v>
      </c>
      <c r="AU247" s="1">
        <v>2000</v>
      </c>
      <c r="AV247" s="48">
        <v>0.1</v>
      </c>
      <c r="AW247" s="15">
        <v>2.8</v>
      </c>
      <c r="AX247" s="15">
        <v>2.2000000000000002</v>
      </c>
      <c r="AY247" s="15">
        <v>1</v>
      </c>
      <c r="AZ247" s="15">
        <v>200</v>
      </c>
      <c r="BA247" s="15">
        <v>500</v>
      </c>
      <c r="BB247" s="15" t="s">
        <v>188</v>
      </c>
      <c r="BC247" s="15" t="s">
        <v>188</v>
      </c>
      <c r="BD247" s="15" t="s">
        <v>188</v>
      </c>
      <c r="BE247" s="1">
        <v>6000</v>
      </c>
      <c r="BF247" s="1">
        <v>6000</v>
      </c>
      <c r="BG247" s="1">
        <v>6000</v>
      </c>
      <c r="BH247" s="1">
        <v>24000</v>
      </c>
      <c r="BI247" s="1" t="s">
        <v>234</v>
      </c>
      <c r="BJ247" s="15"/>
      <c r="BK247" s="15"/>
      <c r="BL247" s="15"/>
      <c r="BM247" s="15"/>
      <c r="BN247" s="15"/>
      <c r="BO247" s="15"/>
      <c r="BP247" s="15"/>
      <c r="BQ247" s="15"/>
      <c r="BR247" s="15"/>
      <c r="BS247" s="2" t="s">
        <v>736</v>
      </c>
      <c r="BT247" s="15"/>
      <c r="BU247" s="15" t="s">
        <v>188</v>
      </c>
      <c r="BV247" s="15"/>
      <c r="BW247" s="15"/>
      <c r="BX247" s="15">
        <v>2</v>
      </c>
      <c r="BY247" s="15">
        <v>4</v>
      </c>
      <c r="BZ247" s="15">
        <v>3</v>
      </c>
      <c r="CA247" s="15" t="s">
        <v>208</v>
      </c>
      <c r="CB247" s="15"/>
      <c r="CC247" s="15" t="s">
        <v>188</v>
      </c>
      <c r="CD247" s="15"/>
      <c r="CE247" s="15" t="s">
        <v>188</v>
      </c>
      <c r="CF247" s="15"/>
      <c r="CG247" s="15" t="s">
        <v>188</v>
      </c>
      <c r="CH247" s="15" t="s">
        <v>188</v>
      </c>
      <c r="CI247" s="15" t="s">
        <v>188</v>
      </c>
      <c r="CJ247" s="15"/>
      <c r="CK247" s="15"/>
      <c r="CL247" s="15" t="s">
        <v>188</v>
      </c>
      <c r="CM247" s="15" t="s">
        <v>188</v>
      </c>
      <c r="CN247" s="15" t="s">
        <v>737</v>
      </c>
      <c r="CO247" s="15"/>
      <c r="CP247" s="15" t="s">
        <v>702</v>
      </c>
      <c r="CQ247" s="15" t="s">
        <v>738</v>
      </c>
      <c r="CR247" s="15"/>
      <c r="CS247" s="15" t="s">
        <v>188</v>
      </c>
      <c r="CT247" s="15"/>
      <c r="CU247" s="15"/>
      <c r="CV247" s="15" t="s">
        <v>188</v>
      </c>
      <c r="CW247" s="15" t="s">
        <v>270</v>
      </c>
      <c r="CX247" s="15"/>
      <c r="CY247" s="15"/>
      <c r="CZ247" s="3"/>
      <c r="DA247" s="49"/>
      <c r="DC247" s="18">
        <f t="shared" si="9"/>
        <v>0</v>
      </c>
      <c r="DD247" s="18">
        <f t="shared" si="10"/>
        <v>7</v>
      </c>
      <c r="DE247" s="18">
        <f t="shared" si="11"/>
        <v>2000</v>
      </c>
    </row>
    <row r="248" spans="1:109" x14ac:dyDescent="0.25">
      <c r="A248" s="59" t="s">
        <v>1318</v>
      </c>
      <c r="B248" s="103">
        <v>41550</v>
      </c>
      <c r="C248" s="105" t="s">
        <v>1576</v>
      </c>
      <c r="D248" s="14" t="s">
        <v>742</v>
      </c>
      <c r="E248" s="15"/>
      <c r="F248" s="15" t="s">
        <v>188</v>
      </c>
      <c r="G248" s="15"/>
      <c r="H248" s="15"/>
      <c r="I248" s="15">
        <v>42</v>
      </c>
      <c r="J248" s="15" t="s">
        <v>189</v>
      </c>
      <c r="K248" s="15" t="s">
        <v>190</v>
      </c>
      <c r="L248" s="15" t="s">
        <v>660</v>
      </c>
      <c r="M248" s="15" t="s">
        <v>1076</v>
      </c>
      <c r="N248" s="15" t="s">
        <v>1090</v>
      </c>
      <c r="O248" s="15">
        <v>22</v>
      </c>
      <c r="P248" s="15"/>
      <c r="Q248" s="15"/>
      <c r="R248" s="15"/>
      <c r="S248" s="15" t="s">
        <v>188</v>
      </c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 t="s">
        <v>740</v>
      </c>
      <c r="AH248" s="15">
        <v>2012</v>
      </c>
      <c r="AI248" s="1">
        <v>292000</v>
      </c>
      <c r="AJ248" s="15"/>
      <c r="AK248" s="15"/>
      <c r="AL248" s="15" t="s">
        <v>188</v>
      </c>
      <c r="AM248" s="15"/>
      <c r="AN248" s="15"/>
      <c r="AO248" s="15"/>
      <c r="AP248" s="15" t="s">
        <v>188</v>
      </c>
      <c r="AQ248" s="15"/>
      <c r="AR248" s="15"/>
      <c r="AS248" s="15"/>
      <c r="AT248" s="15" t="s">
        <v>390</v>
      </c>
      <c r="AU248" s="1">
        <v>25000</v>
      </c>
      <c r="AV248" s="48">
        <v>0.5</v>
      </c>
      <c r="AW248" s="15">
        <v>1.7</v>
      </c>
      <c r="AX248" s="15">
        <v>1.5</v>
      </c>
      <c r="AY248" s="15">
        <v>3</v>
      </c>
      <c r="AZ248" s="15">
        <v>1750</v>
      </c>
      <c r="BA248" s="15">
        <v>2800</v>
      </c>
      <c r="BB248" s="15" t="s">
        <v>188</v>
      </c>
      <c r="BC248" s="15" t="s">
        <v>188</v>
      </c>
      <c r="BD248" s="15" t="s">
        <v>188</v>
      </c>
      <c r="BE248" s="1">
        <v>25000</v>
      </c>
      <c r="BF248" s="1">
        <v>10000</v>
      </c>
      <c r="BG248" s="1">
        <v>30000</v>
      </c>
      <c r="BH248" s="1">
        <v>200000</v>
      </c>
      <c r="BI248" s="1">
        <v>30000</v>
      </c>
      <c r="BJ248" s="15"/>
      <c r="BK248" s="15"/>
      <c r="BL248" s="15"/>
      <c r="BM248" s="15"/>
      <c r="BN248" s="15"/>
      <c r="BO248" s="15"/>
      <c r="BP248" s="15"/>
      <c r="BQ248" s="15"/>
      <c r="BR248" s="15" t="s">
        <v>188</v>
      </c>
      <c r="BS248" s="2"/>
      <c r="BT248" s="15"/>
      <c r="BU248" s="15"/>
      <c r="BV248" s="15"/>
      <c r="BW248" s="15" t="s">
        <v>188</v>
      </c>
      <c r="BX248" s="15">
        <v>1</v>
      </c>
      <c r="BY248" s="15">
        <v>3</v>
      </c>
      <c r="BZ248" s="15">
        <v>2</v>
      </c>
      <c r="CA248" s="15"/>
      <c r="CB248" s="15"/>
      <c r="CC248" s="15" t="s">
        <v>188</v>
      </c>
      <c r="CD248" s="15"/>
      <c r="CE248" s="15"/>
      <c r="CF248" s="15"/>
      <c r="CG248" s="15" t="s">
        <v>188</v>
      </c>
      <c r="CH248" s="15" t="s">
        <v>188</v>
      </c>
      <c r="CI248" s="15" t="s">
        <v>188</v>
      </c>
      <c r="CJ248" s="15"/>
      <c r="CK248" s="15" t="s">
        <v>188</v>
      </c>
      <c r="CL248" s="15"/>
      <c r="CM248" s="15"/>
      <c r="CN248" s="15"/>
      <c r="CO248" s="15"/>
      <c r="CP248" s="15" t="s">
        <v>193</v>
      </c>
      <c r="CQ248" s="15" t="s">
        <v>209</v>
      </c>
      <c r="CR248" s="15"/>
      <c r="CS248" s="15"/>
      <c r="CT248" s="15"/>
      <c r="CU248" s="15" t="s">
        <v>741</v>
      </c>
      <c r="CV248" s="15"/>
      <c r="CW248" s="15"/>
      <c r="CX248" s="15" t="s">
        <v>188</v>
      </c>
      <c r="CY248" s="15" t="s">
        <v>188</v>
      </c>
      <c r="CZ248" s="3"/>
      <c r="DA248" s="49"/>
      <c r="DC248" s="18">
        <f t="shared" si="9"/>
        <v>0</v>
      </c>
      <c r="DD248" s="18">
        <f t="shared" si="10"/>
        <v>2</v>
      </c>
      <c r="DE248" s="18">
        <f t="shared" si="11"/>
        <v>2012</v>
      </c>
    </row>
    <row r="249" spans="1:109" x14ac:dyDescent="0.25">
      <c r="A249" s="59" t="s">
        <v>1318</v>
      </c>
      <c r="B249" s="103">
        <v>41550</v>
      </c>
      <c r="C249" s="105" t="s">
        <v>1576</v>
      </c>
      <c r="D249" s="14" t="s">
        <v>744</v>
      </c>
      <c r="E249" s="15"/>
      <c r="F249" s="15"/>
      <c r="G249" s="15"/>
      <c r="H249" s="15" t="s">
        <v>188</v>
      </c>
      <c r="I249" s="15">
        <v>42</v>
      </c>
      <c r="J249" s="15" t="s">
        <v>189</v>
      </c>
      <c r="K249" s="15" t="s">
        <v>190</v>
      </c>
      <c r="L249" s="15" t="s">
        <v>751</v>
      </c>
      <c r="M249" s="15" t="s">
        <v>1095</v>
      </c>
      <c r="N249" s="15" t="s">
        <v>1096</v>
      </c>
      <c r="O249" s="15">
        <v>20</v>
      </c>
      <c r="P249" s="15"/>
      <c r="Q249" s="15" t="s">
        <v>188</v>
      </c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 t="s">
        <v>188</v>
      </c>
      <c r="AG249" s="15"/>
      <c r="AH249" s="15">
        <v>2006</v>
      </c>
      <c r="AI249" s="1">
        <v>403200</v>
      </c>
      <c r="AJ249" s="15"/>
      <c r="AK249" s="15"/>
      <c r="AL249" s="15" t="s">
        <v>188</v>
      </c>
      <c r="AM249" s="15"/>
      <c r="AN249" s="15"/>
      <c r="AO249" s="15"/>
      <c r="AP249" s="15" t="s">
        <v>188</v>
      </c>
      <c r="AQ249" s="15"/>
      <c r="AR249" s="15"/>
      <c r="AS249" s="15"/>
      <c r="AT249" s="15" t="s">
        <v>229</v>
      </c>
      <c r="AU249" s="1">
        <f>48000/12</f>
        <v>4000</v>
      </c>
      <c r="AV249" s="48">
        <v>0.1</v>
      </c>
      <c r="AW249" s="15">
        <v>2.5</v>
      </c>
      <c r="AX249" s="15">
        <v>2.1</v>
      </c>
      <c r="AY249" s="15">
        <v>2</v>
      </c>
      <c r="AZ249" s="15">
        <v>415</v>
      </c>
      <c r="BA249" s="15">
        <v>1000</v>
      </c>
      <c r="BB249" s="15" t="s">
        <v>188</v>
      </c>
      <c r="BC249" s="15" t="s">
        <v>199</v>
      </c>
      <c r="BD249" s="15" t="s">
        <v>199</v>
      </c>
      <c r="BE249" s="1">
        <v>14000</v>
      </c>
      <c r="BF249" s="1">
        <v>14000</v>
      </c>
      <c r="BG249" s="1">
        <v>14000</v>
      </c>
      <c r="BH249" s="1">
        <v>230000</v>
      </c>
      <c r="BI249" s="1">
        <v>14000</v>
      </c>
      <c r="BJ249" s="15"/>
      <c r="BK249" s="15"/>
      <c r="BL249" s="15"/>
      <c r="BM249" s="15"/>
      <c r="BN249" s="15"/>
      <c r="BO249" s="15"/>
      <c r="BP249" s="15"/>
      <c r="BQ249" s="15"/>
      <c r="BR249" s="15"/>
      <c r="BS249" s="2" t="s">
        <v>743</v>
      </c>
      <c r="BT249" s="15"/>
      <c r="BU249" s="15" t="s">
        <v>188</v>
      </c>
      <c r="BV249" s="15"/>
      <c r="BW249" s="15"/>
      <c r="BX249" s="15">
        <v>3</v>
      </c>
      <c r="BY249" s="15">
        <v>2</v>
      </c>
      <c r="BZ249" s="15">
        <v>4</v>
      </c>
      <c r="CA249" s="15" t="s">
        <v>208</v>
      </c>
      <c r="CB249" s="15"/>
      <c r="CC249" s="15" t="s">
        <v>188</v>
      </c>
      <c r="CD249" s="15"/>
      <c r="CE249" s="15"/>
      <c r="CF249" s="15"/>
      <c r="CG249" s="15" t="s">
        <v>188</v>
      </c>
      <c r="CH249" s="15" t="s">
        <v>188</v>
      </c>
      <c r="CI249" s="15" t="s">
        <v>188</v>
      </c>
      <c r="CJ249" s="15"/>
      <c r="CK249" s="15" t="s">
        <v>188</v>
      </c>
      <c r="CL249" s="15"/>
      <c r="CM249" s="15"/>
      <c r="CN249" s="15"/>
      <c r="CO249" s="15"/>
      <c r="CP249" s="15" t="s">
        <v>193</v>
      </c>
      <c r="CQ249" s="15" t="s">
        <v>309</v>
      </c>
      <c r="CR249" s="15"/>
      <c r="CS249" s="15" t="s">
        <v>188</v>
      </c>
      <c r="CT249" s="15" t="s">
        <v>188</v>
      </c>
      <c r="CU249" s="15"/>
      <c r="CV249" s="15" t="s">
        <v>188</v>
      </c>
      <c r="CW249" s="15" t="s">
        <v>270</v>
      </c>
      <c r="CX249" s="15"/>
      <c r="CY249" s="15"/>
      <c r="CZ249" s="3"/>
      <c r="DA249" s="49"/>
      <c r="DC249" s="18">
        <f t="shared" si="9"/>
        <v>0</v>
      </c>
      <c r="DD249" s="18">
        <f t="shared" si="10"/>
        <v>7</v>
      </c>
      <c r="DE249" s="18">
        <f t="shared" si="11"/>
        <v>2006</v>
      </c>
    </row>
    <row r="250" spans="1:109" x14ac:dyDescent="0.25">
      <c r="A250" s="59" t="s">
        <v>1318</v>
      </c>
      <c r="B250" s="103">
        <v>41550</v>
      </c>
      <c r="C250" s="105" t="s">
        <v>1576</v>
      </c>
      <c r="D250" s="14" t="s">
        <v>745</v>
      </c>
      <c r="E250" s="15" t="s">
        <v>188</v>
      </c>
      <c r="F250" s="15"/>
      <c r="G250" s="15"/>
      <c r="H250" s="15"/>
      <c r="I250" s="15">
        <v>20</v>
      </c>
      <c r="J250" s="15" t="s">
        <v>189</v>
      </c>
      <c r="K250" s="15" t="s">
        <v>190</v>
      </c>
      <c r="L250" s="15" t="s">
        <v>752</v>
      </c>
      <c r="M250" s="15" t="s">
        <v>1097</v>
      </c>
      <c r="N250" s="15" t="s">
        <v>1085</v>
      </c>
      <c r="O250" s="15">
        <v>1</v>
      </c>
      <c r="P250" s="15"/>
      <c r="Q250" s="15" t="s">
        <v>188</v>
      </c>
      <c r="R250" s="15"/>
      <c r="S250" s="15"/>
      <c r="T250" s="15"/>
      <c r="U250" s="15" t="s">
        <v>188</v>
      </c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>
        <v>1994</v>
      </c>
      <c r="AI250" s="1" t="s">
        <v>193</v>
      </c>
      <c r="AJ250" s="15"/>
      <c r="AK250" s="15"/>
      <c r="AL250" s="15" t="s">
        <v>188</v>
      </c>
      <c r="AM250" s="15"/>
      <c r="AN250" s="15"/>
      <c r="AO250" s="15"/>
      <c r="AP250" s="15" t="s">
        <v>188</v>
      </c>
      <c r="AQ250" s="15"/>
      <c r="AR250" s="15"/>
      <c r="AS250" s="15"/>
      <c r="AT250" s="15" t="s">
        <v>237</v>
      </c>
      <c r="AU250" s="1">
        <v>500</v>
      </c>
      <c r="AV250" s="48">
        <v>0.5</v>
      </c>
      <c r="AW250" s="15">
        <v>2.5</v>
      </c>
      <c r="AX250" s="15">
        <v>2.2000000000000002</v>
      </c>
      <c r="AY250" s="15">
        <v>1</v>
      </c>
      <c r="AZ250" s="15">
        <v>300</v>
      </c>
      <c r="BA250" s="15">
        <v>1000</v>
      </c>
      <c r="BB250" s="15" t="s">
        <v>199</v>
      </c>
      <c r="BC250" s="15" t="s">
        <v>199</v>
      </c>
      <c r="BD250" s="15" t="s">
        <v>199</v>
      </c>
      <c r="BE250" s="1">
        <v>2000</v>
      </c>
      <c r="BF250" s="1">
        <v>5000</v>
      </c>
      <c r="BG250" s="1">
        <v>3000</v>
      </c>
      <c r="BH250" s="1" t="s">
        <v>193</v>
      </c>
      <c r="BI250" s="1">
        <v>3000</v>
      </c>
      <c r="BJ250" s="15"/>
      <c r="BK250" s="15"/>
      <c r="BL250" s="15"/>
      <c r="BM250" s="15"/>
      <c r="BN250" s="15"/>
      <c r="BO250" s="15"/>
      <c r="BP250" s="15"/>
      <c r="BQ250" s="15"/>
      <c r="BR250" s="15"/>
      <c r="BS250" s="2" t="s">
        <v>314</v>
      </c>
      <c r="BT250" s="15"/>
      <c r="BU250" s="15"/>
      <c r="BV250" s="15" t="s">
        <v>188</v>
      </c>
      <c r="BW250" s="15"/>
      <c r="BX250" s="15">
        <v>1</v>
      </c>
      <c r="BY250" s="15">
        <v>3</v>
      </c>
      <c r="BZ250" s="15">
        <v>2</v>
      </c>
      <c r="CA250" s="15"/>
      <c r="CB250" s="15" t="s">
        <v>188</v>
      </c>
      <c r="CC250" s="15"/>
      <c r="CD250" s="15"/>
      <c r="CE250" s="15"/>
      <c r="CF250" s="15"/>
      <c r="CG250" s="15"/>
      <c r="CH250" s="15"/>
      <c r="CI250" s="15"/>
      <c r="CJ250" s="15"/>
      <c r="CK250" s="15" t="s">
        <v>188</v>
      </c>
      <c r="CL250" s="15"/>
      <c r="CM250" s="15"/>
      <c r="CN250" s="15"/>
      <c r="CO250" s="15"/>
      <c r="CP250" s="15" t="s">
        <v>193</v>
      </c>
      <c r="CQ250" s="15" t="s">
        <v>309</v>
      </c>
      <c r="CR250" s="15" t="s">
        <v>188</v>
      </c>
      <c r="CS250" s="15"/>
      <c r="CT250" s="15"/>
      <c r="CU250" s="15"/>
      <c r="CV250" s="15"/>
      <c r="CW250" s="15"/>
      <c r="CX250" s="15" t="s">
        <v>188</v>
      </c>
      <c r="CY250" s="15" t="s">
        <v>188</v>
      </c>
      <c r="CZ250" s="3"/>
      <c r="DA250" s="49"/>
      <c r="DC250" s="18">
        <f t="shared" si="9"/>
        <v>0</v>
      </c>
      <c r="DD250" s="18">
        <f t="shared" si="10"/>
        <v>1</v>
      </c>
      <c r="DE250" s="18">
        <f t="shared" si="11"/>
        <v>1994</v>
      </c>
    </row>
    <row r="251" spans="1:109" x14ac:dyDescent="0.25">
      <c r="A251" s="59" t="s">
        <v>1318</v>
      </c>
      <c r="B251" s="103">
        <v>41550</v>
      </c>
      <c r="C251" s="105" t="s">
        <v>1576</v>
      </c>
      <c r="D251" s="14" t="s">
        <v>754</v>
      </c>
      <c r="E251" s="15"/>
      <c r="F251" s="15"/>
      <c r="G251" s="15" t="s">
        <v>188</v>
      </c>
      <c r="H251" s="15"/>
      <c r="I251" s="15">
        <v>45</v>
      </c>
      <c r="J251" s="15" t="s">
        <v>189</v>
      </c>
      <c r="K251" s="15" t="s">
        <v>190</v>
      </c>
      <c r="L251" s="15" t="s">
        <v>753</v>
      </c>
      <c r="M251" s="15" t="s">
        <v>1098</v>
      </c>
      <c r="N251" s="15" t="s">
        <v>1085</v>
      </c>
      <c r="O251" s="15">
        <v>2</v>
      </c>
      <c r="P251" s="15" t="s">
        <v>188</v>
      </c>
      <c r="Q251" s="15"/>
      <c r="R251" s="15"/>
      <c r="S251" s="15"/>
      <c r="T251" s="15"/>
      <c r="U251" s="15" t="s">
        <v>188</v>
      </c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>
        <v>2012</v>
      </c>
      <c r="AI251" s="1">
        <v>5000</v>
      </c>
      <c r="AJ251" s="15"/>
      <c r="AK251" s="15"/>
      <c r="AL251" s="15" t="s">
        <v>188</v>
      </c>
      <c r="AM251" s="15"/>
      <c r="AN251" s="15"/>
      <c r="AO251" s="15"/>
      <c r="AP251" s="15" t="s">
        <v>188</v>
      </c>
      <c r="AQ251" s="15"/>
      <c r="AR251" s="15"/>
      <c r="AS251" s="15"/>
      <c r="AT251" s="15" t="s">
        <v>193</v>
      </c>
      <c r="AU251" s="1">
        <v>250</v>
      </c>
      <c r="AV251" s="48">
        <v>0.5</v>
      </c>
      <c r="AW251" s="15">
        <v>5.5</v>
      </c>
      <c r="AX251" s="15">
        <v>5</v>
      </c>
      <c r="AY251" s="15">
        <v>1</v>
      </c>
      <c r="AZ251" s="15">
        <v>260</v>
      </c>
      <c r="BA251" s="15">
        <v>700</v>
      </c>
      <c r="BB251" s="15" t="s">
        <v>199</v>
      </c>
      <c r="BC251" s="15" t="s">
        <v>199</v>
      </c>
      <c r="BD251" s="15" t="s">
        <v>199</v>
      </c>
      <c r="BE251" s="1" t="s">
        <v>193</v>
      </c>
      <c r="BF251" s="1" t="s">
        <v>193</v>
      </c>
      <c r="BG251" s="1" t="s">
        <v>193</v>
      </c>
      <c r="BH251" s="1" t="s">
        <v>193</v>
      </c>
      <c r="BI251" s="1" t="s">
        <v>193</v>
      </c>
      <c r="BJ251" s="15"/>
      <c r="BK251" s="15"/>
      <c r="BL251" s="15"/>
      <c r="BM251" s="15"/>
      <c r="BN251" s="15"/>
      <c r="BO251" s="15"/>
      <c r="BP251" s="15"/>
      <c r="BQ251" s="15"/>
      <c r="BR251" s="15"/>
      <c r="BS251" s="2" t="s">
        <v>314</v>
      </c>
      <c r="BT251" s="15"/>
      <c r="BU251" s="15" t="s">
        <v>188</v>
      </c>
      <c r="BV251" s="15"/>
      <c r="BW251" s="15"/>
      <c r="BX251" s="15">
        <v>1</v>
      </c>
      <c r="BY251" s="15">
        <v>3</v>
      </c>
      <c r="BZ251" s="15">
        <v>2</v>
      </c>
      <c r="CA251" s="15"/>
      <c r="CB251" s="15"/>
      <c r="CC251" s="15" t="s">
        <v>188</v>
      </c>
      <c r="CD251" s="15"/>
      <c r="CE251" s="15"/>
      <c r="CF251" s="15"/>
      <c r="CG251" s="15"/>
      <c r="CH251" s="15"/>
      <c r="CI251" s="15" t="s">
        <v>188</v>
      </c>
      <c r="CJ251" s="15"/>
      <c r="CK251" s="15" t="s">
        <v>188</v>
      </c>
      <c r="CL251" s="15"/>
      <c r="CM251" s="15"/>
      <c r="CN251" s="15"/>
      <c r="CO251" s="15"/>
      <c r="CP251" s="15" t="s">
        <v>193</v>
      </c>
      <c r="CQ251" s="15" t="s">
        <v>309</v>
      </c>
      <c r="CR251" s="15" t="s">
        <v>188</v>
      </c>
      <c r="CS251" s="15"/>
      <c r="CT251" s="15"/>
      <c r="CU251" s="15"/>
      <c r="CV251" s="15"/>
      <c r="CW251" s="15"/>
      <c r="CX251" s="15" t="s">
        <v>188</v>
      </c>
      <c r="CY251" s="15" t="s">
        <v>188</v>
      </c>
      <c r="CZ251" s="3"/>
      <c r="DA251" s="49"/>
      <c r="DC251" s="18">
        <f t="shared" si="9"/>
        <v>0</v>
      </c>
      <c r="DD251" s="18">
        <f t="shared" si="10"/>
        <v>3</v>
      </c>
      <c r="DE251" s="18">
        <f t="shared" si="11"/>
        <v>2012</v>
      </c>
    </row>
    <row r="252" spans="1:109" x14ac:dyDescent="0.25">
      <c r="A252" s="59" t="s">
        <v>1318</v>
      </c>
      <c r="B252" s="103">
        <v>41550</v>
      </c>
      <c r="C252" s="105" t="s">
        <v>1576</v>
      </c>
      <c r="D252" s="14" t="s">
        <v>755</v>
      </c>
      <c r="E252" s="15"/>
      <c r="F252" s="15" t="s">
        <v>188</v>
      </c>
      <c r="G252" s="15"/>
      <c r="H252" s="15"/>
      <c r="I252" s="15">
        <v>35</v>
      </c>
      <c r="J252" s="15" t="s">
        <v>189</v>
      </c>
      <c r="K252" s="15" t="s">
        <v>190</v>
      </c>
      <c r="L252" s="15" t="s">
        <v>595</v>
      </c>
      <c r="M252" s="15" t="s">
        <v>1061</v>
      </c>
      <c r="N252" s="15" t="s">
        <v>1085</v>
      </c>
      <c r="O252" s="15">
        <v>18</v>
      </c>
      <c r="P252" s="15" t="s">
        <v>188</v>
      </c>
      <c r="Q252" s="15"/>
      <c r="R252" s="15"/>
      <c r="S252" s="15"/>
      <c r="T252" s="15"/>
      <c r="U252" s="15"/>
      <c r="V252" s="15"/>
      <c r="W252" s="15"/>
      <c r="X252" s="15" t="s">
        <v>188</v>
      </c>
      <c r="Y252" s="15"/>
      <c r="Z252" s="15"/>
      <c r="AA252" s="15"/>
      <c r="AB252" s="15"/>
      <c r="AC252" s="15"/>
      <c r="AD252" s="15"/>
      <c r="AE252" s="15"/>
      <c r="AF252" s="15"/>
      <c r="AG252" s="15"/>
      <c r="AH252" s="15">
        <v>2009</v>
      </c>
      <c r="AI252" s="1">
        <v>750000</v>
      </c>
      <c r="AJ252" s="15"/>
      <c r="AK252" s="15"/>
      <c r="AL252" s="15" t="s">
        <v>188</v>
      </c>
      <c r="AM252" s="15"/>
      <c r="AN252" s="15"/>
      <c r="AO252" s="15"/>
      <c r="AP252" s="15" t="s">
        <v>188</v>
      </c>
      <c r="AQ252" s="15"/>
      <c r="AR252" s="15"/>
      <c r="AS252" s="15"/>
      <c r="AT252" s="15" t="s">
        <v>322</v>
      </c>
      <c r="AU252" s="1">
        <v>4000</v>
      </c>
      <c r="AV252" s="48">
        <v>0.5</v>
      </c>
      <c r="AW252" s="15">
        <v>3.2</v>
      </c>
      <c r="AX252" s="15">
        <v>2.8</v>
      </c>
      <c r="AY252" s="15">
        <v>2</v>
      </c>
      <c r="AZ252" s="15">
        <v>400</v>
      </c>
      <c r="BA252" s="15">
        <v>1200</v>
      </c>
      <c r="BB252" s="15" t="s">
        <v>199</v>
      </c>
      <c r="BC252" s="15" t="s">
        <v>188</v>
      </c>
      <c r="BD252" s="15" t="s">
        <v>199</v>
      </c>
      <c r="BE252" s="1">
        <v>10000</v>
      </c>
      <c r="BF252" s="1">
        <v>12000</v>
      </c>
      <c r="BG252" s="1">
        <v>20000</v>
      </c>
      <c r="BH252" s="1">
        <v>130000</v>
      </c>
      <c r="BI252" s="1">
        <v>20000</v>
      </c>
      <c r="BJ252" s="15"/>
      <c r="BK252" s="15"/>
      <c r="BL252" s="15"/>
      <c r="BM252" s="15"/>
      <c r="BN252" s="15"/>
      <c r="BO252" s="15"/>
      <c r="BP252" s="15"/>
      <c r="BQ252" s="15" t="s">
        <v>188</v>
      </c>
      <c r="BR252" s="15"/>
      <c r="BS252" s="2"/>
      <c r="BT252" s="15"/>
      <c r="BU252" s="15"/>
      <c r="BV252" s="15" t="s">
        <v>188</v>
      </c>
      <c r="BW252" s="15"/>
      <c r="BX252" s="15">
        <v>2</v>
      </c>
      <c r="BY252" s="15">
        <v>3</v>
      </c>
      <c r="BZ252" s="15">
        <v>1</v>
      </c>
      <c r="CA252" s="15"/>
      <c r="CB252" s="15" t="s">
        <v>188</v>
      </c>
      <c r="CC252" s="15"/>
      <c r="CD252" s="15"/>
      <c r="CE252" s="15"/>
      <c r="CF252" s="15"/>
      <c r="CG252" s="15"/>
      <c r="CH252" s="15"/>
      <c r="CI252" s="15"/>
      <c r="CJ252" s="15"/>
      <c r="CK252" s="15" t="s">
        <v>188</v>
      </c>
      <c r="CL252" s="15"/>
      <c r="CM252" s="15"/>
      <c r="CN252" s="15"/>
      <c r="CO252" s="15"/>
      <c r="CP252" s="15" t="s">
        <v>193</v>
      </c>
      <c r="CQ252" s="15" t="s">
        <v>300</v>
      </c>
      <c r="CR252" s="15" t="s">
        <v>188</v>
      </c>
      <c r="CS252" s="15"/>
      <c r="CT252" s="15"/>
      <c r="CU252" s="15"/>
      <c r="CV252" s="15" t="s">
        <v>188</v>
      </c>
      <c r="CW252" s="15" t="s">
        <v>270</v>
      </c>
      <c r="CX252" s="15"/>
      <c r="CY252" s="15"/>
      <c r="CZ252" s="3"/>
      <c r="DA252" s="49"/>
      <c r="DC252" s="18">
        <f t="shared" si="9"/>
        <v>0</v>
      </c>
      <c r="DD252" s="18">
        <f t="shared" si="10"/>
        <v>2</v>
      </c>
      <c r="DE252" s="18">
        <f t="shared" si="11"/>
        <v>2009</v>
      </c>
    </row>
    <row r="253" spans="1:109" x14ac:dyDescent="0.25">
      <c r="A253" s="59" t="s">
        <v>1318</v>
      </c>
      <c r="B253" s="103">
        <v>41550</v>
      </c>
      <c r="C253" s="105" t="s">
        <v>1576</v>
      </c>
      <c r="D253" s="14" t="s">
        <v>759</v>
      </c>
      <c r="E253" s="15"/>
      <c r="F253" s="15"/>
      <c r="G253" s="15"/>
      <c r="H253" s="15" t="s">
        <v>188</v>
      </c>
      <c r="I253" s="15">
        <v>41</v>
      </c>
      <c r="J253" s="15" t="s">
        <v>189</v>
      </c>
      <c r="K253" s="15" t="s">
        <v>190</v>
      </c>
      <c r="L253" s="15" t="s">
        <v>558</v>
      </c>
      <c r="M253" s="15" t="s">
        <v>1054</v>
      </c>
      <c r="N253" s="15" t="s">
        <v>1066</v>
      </c>
      <c r="O253" s="15">
        <v>20</v>
      </c>
      <c r="P253" s="15"/>
      <c r="Q253" s="15"/>
      <c r="R253" s="15"/>
      <c r="S253" s="15" t="s">
        <v>188</v>
      </c>
      <c r="T253" s="15"/>
      <c r="U253" s="15"/>
      <c r="V253" s="15"/>
      <c r="W253" s="15"/>
      <c r="X253" s="15" t="s">
        <v>188</v>
      </c>
      <c r="Y253" s="15"/>
      <c r="Z253" s="15"/>
      <c r="AA253" s="15"/>
      <c r="AB253" s="15"/>
      <c r="AC253" s="15"/>
      <c r="AD253" s="15"/>
      <c r="AE253" s="15"/>
      <c r="AF253" s="15"/>
      <c r="AG253" s="15"/>
      <c r="AH253" s="15">
        <v>2012</v>
      </c>
      <c r="AI253" s="1">
        <v>500000</v>
      </c>
      <c r="AJ253" s="15"/>
      <c r="AK253" s="15"/>
      <c r="AL253" s="15" t="s">
        <v>188</v>
      </c>
      <c r="AM253" s="15"/>
      <c r="AN253" s="15"/>
      <c r="AO253" s="15"/>
      <c r="AP253" s="15" t="s">
        <v>188</v>
      </c>
      <c r="AQ253" s="15"/>
      <c r="AR253" s="15"/>
      <c r="AS253" s="15"/>
      <c r="AT253" s="15" t="s">
        <v>390</v>
      </c>
      <c r="AU253" s="1">
        <v>7000</v>
      </c>
      <c r="AV253" s="48">
        <v>0.5</v>
      </c>
      <c r="AW253" s="15">
        <v>3.2</v>
      </c>
      <c r="AX253" s="15">
        <v>2.8</v>
      </c>
      <c r="AY253" s="15">
        <v>2</v>
      </c>
      <c r="AZ253" s="15">
        <v>670</v>
      </c>
      <c r="BA253" s="15">
        <v>2000</v>
      </c>
      <c r="BB253" s="15" t="s">
        <v>188</v>
      </c>
      <c r="BC253" s="15" t="s">
        <v>188</v>
      </c>
      <c r="BD253" s="15" t="s">
        <v>199</v>
      </c>
      <c r="BE253" s="1">
        <v>15000</v>
      </c>
      <c r="BF253" s="1">
        <v>14000</v>
      </c>
      <c r="BG253" s="1">
        <v>30000</v>
      </c>
      <c r="BH253" s="1">
        <v>180000</v>
      </c>
      <c r="BI253" s="1">
        <v>30000</v>
      </c>
      <c r="BJ253" s="15"/>
      <c r="BK253" s="15"/>
      <c r="BL253" s="15"/>
      <c r="BM253" s="15"/>
      <c r="BN253" s="15"/>
      <c r="BO253" s="15"/>
      <c r="BP253" s="15"/>
      <c r="BQ253" s="15" t="s">
        <v>188</v>
      </c>
      <c r="BR253" s="15"/>
      <c r="BS253" s="2"/>
      <c r="BT253" s="15"/>
      <c r="BU253" s="15" t="s">
        <v>188</v>
      </c>
      <c r="BV253" s="15"/>
      <c r="BW253" s="15"/>
      <c r="BX253" s="15">
        <v>1</v>
      </c>
      <c r="BY253" s="15">
        <v>3</v>
      </c>
      <c r="BZ253" s="15">
        <v>2</v>
      </c>
      <c r="CA253" s="15"/>
      <c r="CB253" s="15"/>
      <c r="CC253" s="15" t="s">
        <v>188</v>
      </c>
      <c r="CD253" s="15"/>
      <c r="CE253" s="15" t="s">
        <v>188</v>
      </c>
      <c r="CF253" s="15"/>
      <c r="CG253" s="15"/>
      <c r="CH253" s="15" t="s">
        <v>188</v>
      </c>
      <c r="CI253" s="15" t="s">
        <v>188</v>
      </c>
      <c r="CJ253" s="15"/>
      <c r="CK253" s="15"/>
      <c r="CL253" s="15" t="s">
        <v>188</v>
      </c>
      <c r="CM253" s="15" t="s">
        <v>188</v>
      </c>
      <c r="CN253" s="15" t="s">
        <v>756</v>
      </c>
      <c r="CO253" s="15"/>
      <c r="CP253" s="15" t="s">
        <v>757</v>
      </c>
      <c r="CQ253" s="15" t="s">
        <v>758</v>
      </c>
      <c r="CR253" s="15"/>
      <c r="CS253" s="15"/>
      <c r="CT253" s="15"/>
      <c r="CU253" s="15" t="s">
        <v>324</v>
      </c>
      <c r="CV253" s="15"/>
      <c r="CW253" s="15"/>
      <c r="CX253" s="15" t="s">
        <v>188</v>
      </c>
      <c r="CY253" s="15" t="s">
        <v>188</v>
      </c>
      <c r="CZ253" s="3"/>
      <c r="DA253" s="49"/>
      <c r="DC253" s="18">
        <f t="shared" si="9"/>
        <v>0</v>
      </c>
      <c r="DD253" s="18">
        <f t="shared" si="10"/>
        <v>7</v>
      </c>
      <c r="DE253" s="18">
        <f t="shared" si="11"/>
        <v>2012</v>
      </c>
    </row>
    <row r="254" spans="1:109" x14ac:dyDescent="0.25">
      <c r="A254" s="59" t="s">
        <v>1318</v>
      </c>
      <c r="B254" s="103">
        <v>41550</v>
      </c>
      <c r="C254" s="105" t="s">
        <v>1576</v>
      </c>
      <c r="D254" s="14" t="s">
        <v>761</v>
      </c>
      <c r="E254" s="15"/>
      <c r="F254" s="15"/>
      <c r="G254" s="15"/>
      <c r="H254" s="15" t="s">
        <v>188</v>
      </c>
      <c r="I254" s="15">
        <v>55</v>
      </c>
      <c r="J254" s="15" t="s">
        <v>189</v>
      </c>
      <c r="K254" s="15" t="s">
        <v>196</v>
      </c>
      <c r="L254" s="15" t="s">
        <v>417</v>
      </c>
      <c r="M254" s="15" t="s">
        <v>1045</v>
      </c>
      <c r="N254" s="15" t="s">
        <v>1084</v>
      </c>
      <c r="O254" s="15">
        <v>25</v>
      </c>
      <c r="P254" s="15"/>
      <c r="Q254" s="15"/>
      <c r="R254" s="15"/>
      <c r="S254" s="15" t="s">
        <v>188</v>
      </c>
      <c r="T254" s="15"/>
      <c r="U254" s="15" t="s">
        <v>188</v>
      </c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>
        <v>2005</v>
      </c>
      <c r="AI254" s="1">
        <v>700000</v>
      </c>
      <c r="AJ254" s="15"/>
      <c r="AK254" s="15"/>
      <c r="AL254" s="15" t="s">
        <v>188</v>
      </c>
      <c r="AM254" s="15"/>
      <c r="AN254" s="15"/>
      <c r="AO254" s="15"/>
      <c r="AP254" s="15" t="s">
        <v>188</v>
      </c>
      <c r="AQ254" s="15"/>
      <c r="AR254" s="15"/>
      <c r="AS254" s="15"/>
      <c r="AT254" s="15" t="s">
        <v>390</v>
      </c>
      <c r="AU254" s="1">
        <v>4000</v>
      </c>
      <c r="AV254" s="48">
        <v>0.5</v>
      </c>
      <c r="AW254" s="15">
        <v>2.8</v>
      </c>
      <c r="AX254" s="15">
        <v>2.5</v>
      </c>
      <c r="AY254" s="15">
        <v>2</v>
      </c>
      <c r="AZ254" s="15">
        <v>580</v>
      </c>
      <c r="BA254" s="15">
        <v>1500</v>
      </c>
      <c r="BB254" s="15" t="s">
        <v>188</v>
      </c>
      <c r="BC254" s="15" t="s">
        <v>188</v>
      </c>
      <c r="BD254" s="15" t="s">
        <v>199</v>
      </c>
      <c r="BE254" s="1">
        <v>7000</v>
      </c>
      <c r="BF254" s="1">
        <v>15000</v>
      </c>
      <c r="BG254" s="1">
        <v>25000</v>
      </c>
      <c r="BH254" s="1">
        <v>135000</v>
      </c>
      <c r="BI254" s="1">
        <v>25000</v>
      </c>
      <c r="BJ254" s="15"/>
      <c r="BK254" s="15"/>
      <c r="BL254" s="15"/>
      <c r="BM254" s="15"/>
      <c r="BN254" s="15"/>
      <c r="BO254" s="15"/>
      <c r="BP254" s="15"/>
      <c r="BQ254" s="15"/>
      <c r="BR254" s="15"/>
      <c r="BS254" s="2" t="s">
        <v>314</v>
      </c>
      <c r="BT254" s="15"/>
      <c r="BU254" s="15"/>
      <c r="BV254" s="15" t="s">
        <v>188</v>
      </c>
      <c r="BW254" s="15"/>
      <c r="BX254" s="15">
        <v>1</v>
      </c>
      <c r="BY254" s="15">
        <v>2</v>
      </c>
      <c r="BZ254" s="15">
        <v>3</v>
      </c>
      <c r="CA254" s="15"/>
      <c r="CB254" s="15"/>
      <c r="CC254" s="15" t="s">
        <v>188</v>
      </c>
      <c r="CD254" s="15"/>
      <c r="CE254" s="15" t="s">
        <v>188</v>
      </c>
      <c r="CF254" s="15"/>
      <c r="CG254" s="15"/>
      <c r="CH254" s="15" t="s">
        <v>188</v>
      </c>
      <c r="CI254" s="15" t="s">
        <v>188</v>
      </c>
      <c r="CJ254" s="15"/>
      <c r="CK254" s="15"/>
      <c r="CL254" s="15" t="s">
        <v>188</v>
      </c>
      <c r="CM254" s="15" t="s">
        <v>188</v>
      </c>
      <c r="CN254" s="15" t="s">
        <v>716</v>
      </c>
      <c r="CO254" s="15"/>
      <c r="CP254" s="15" t="s">
        <v>760</v>
      </c>
      <c r="CQ254" s="15" t="s">
        <v>758</v>
      </c>
      <c r="CR254" s="15"/>
      <c r="CS254" s="15"/>
      <c r="CT254" s="15"/>
      <c r="CU254" s="15" t="s">
        <v>324</v>
      </c>
      <c r="CV254" s="15"/>
      <c r="CW254" s="15"/>
      <c r="CX254" s="15" t="s">
        <v>188</v>
      </c>
      <c r="CY254" s="15" t="s">
        <v>188</v>
      </c>
      <c r="CZ254" s="3"/>
      <c r="DA254" s="49"/>
      <c r="DC254" s="18">
        <f t="shared" si="9"/>
        <v>0</v>
      </c>
      <c r="DD254" s="18">
        <f t="shared" si="10"/>
        <v>7</v>
      </c>
      <c r="DE254" s="18">
        <f t="shared" si="11"/>
        <v>2005</v>
      </c>
    </row>
    <row r="255" spans="1:109" x14ac:dyDescent="0.25">
      <c r="A255" s="59" t="s">
        <v>1318</v>
      </c>
      <c r="B255" s="103">
        <v>41551</v>
      </c>
      <c r="C255" s="105" t="s">
        <v>1576</v>
      </c>
      <c r="D255" s="14" t="s">
        <v>764</v>
      </c>
      <c r="E255" s="15"/>
      <c r="F255" s="15"/>
      <c r="G255" s="15"/>
      <c r="H255" s="15" t="s">
        <v>188</v>
      </c>
      <c r="I255" s="15">
        <v>52</v>
      </c>
      <c r="J255" s="15" t="s">
        <v>189</v>
      </c>
      <c r="K255" s="15" t="s">
        <v>196</v>
      </c>
      <c r="L255" s="15" t="s">
        <v>787</v>
      </c>
      <c r="M255" s="15" t="s">
        <v>1099</v>
      </c>
      <c r="N255" s="15" t="s">
        <v>1006</v>
      </c>
      <c r="O255" s="15">
        <v>17</v>
      </c>
      <c r="P255" s="15"/>
      <c r="Q255" s="15"/>
      <c r="R255" s="15"/>
      <c r="S255" s="15" t="s">
        <v>188</v>
      </c>
      <c r="T255" s="15"/>
      <c r="U255" s="15"/>
      <c r="V255" s="15"/>
      <c r="W255" s="15"/>
      <c r="X255" s="15"/>
      <c r="Y255" s="15"/>
      <c r="Z255" s="15"/>
      <c r="AA255" s="15"/>
      <c r="AB255" s="15" t="s">
        <v>188</v>
      </c>
      <c r="AC255" s="15"/>
      <c r="AD255" s="15"/>
      <c r="AE255" s="15"/>
      <c r="AF255" s="15"/>
      <c r="AG255" s="15"/>
      <c r="AH255" s="15">
        <v>2012</v>
      </c>
      <c r="AI255" s="1">
        <v>115200</v>
      </c>
      <c r="AJ255" s="15"/>
      <c r="AK255" s="15"/>
      <c r="AL255" s="15" t="s">
        <v>188</v>
      </c>
      <c r="AM255" s="15"/>
      <c r="AN255" s="15"/>
      <c r="AO255" s="15"/>
      <c r="AP255" s="15" t="s">
        <v>188</v>
      </c>
      <c r="AQ255" s="15"/>
      <c r="AR255" s="15"/>
      <c r="AS255" s="15"/>
      <c r="AT255" s="15" t="s">
        <v>407</v>
      </c>
      <c r="AU255" s="1">
        <v>4800</v>
      </c>
      <c r="AV255" s="48">
        <v>0.2</v>
      </c>
      <c r="AW255" s="15">
        <v>2.8</v>
      </c>
      <c r="AX255" s="15">
        <v>2.2999999999999998</v>
      </c>
      <c r="AY255" s="15">
        <v>3</v>
      </c>
      <c r="AZ255" s="15">
        <v>1900</v>
      </c>
      <c r="BA255" s="15">
        <v>3795</v>
      </c>
      <c r="BB255" s="15" t="s">
        <v>188</v>
      </c>
      <c r="BC255" s="15" t="s">
        <v>188</v>
      </c>
      <c r="BD255" s="15" t="s">
        <v>188</v>
      </c>
      <c r="BE255" s="1">
        <v>13000</v>
      </c>
      <c r="BF255" s="1">
        <v>30000</v>
      </c>
      <c r="BG255" s="1">
        <v>20000</v>
      </c>
      <c r="BH255" s="1">
        <v>57600</v>
      </c>
      <c r="BI255" s="1">
        <v>13000</v>
      </c>
      <c r="BJ255" s="15"/>
      <c r="BK255" s="15"/>
      <c r="BL255" s="15"/>
      <c r="BM255" s="15" t="s">
        <v>188</v>
      </c>
      <c r="BN255" s="15"/>
      <c r="BO255" s="15"/>
      <c r="BP255" s="15"/>
      <c r="BQ255" s="15"/>
      <c r="BR255" s="15"/>
      <c r="BS255" s="2"/>
      <c r="BT255" s="15"/>
      <c r="BU255" s="15" t="s">
        <v>188</v>
      </c>
      <c r="BV255" s="15"/>
      <c r="BW255" s="15"/>
      <c r="BX255" s="15">
        <v>2</v>
      </c>
      <c r="BY255" s="15">
        <v>4</v>
      </c>
      <c r="BZ255" s="15">
        <v>3</v>
      </c>
      <c r="CA255" s="15" t="s">
        <v>208</v>
      </c>
      <c r="CB255" s="15"/>
      <c r="CC255" s="15" t="s">
        <v>188</v>
      </c>
      <c r="CD255" s="15"/>
      <c r="CE255" s="15" t="s">
        <v>188</v>
      </c>
      <c r="CF255" s="15"/>
      <c r="CG255" s="15" t="s">
        <v>188</v>
      </c>
      <c r="CH255" s="15" t="s">
        <v>188</v>
      </c>
      <c r="CI255" s="15" t="s">
        <v>188</v>
      </c>
      <c r="CJ255" s="15"/>
      <c r="CK255" s="15"/>
      <c r="CL255" s="15" t="s">
        <v>188</v>
      </c>
      <c r="CM255" s="15" t="s">
        <v>188</v>
      </c>
      <c r="CN255" s="15" t="s">
        <v>675</v>
      </c>
      <c r="CO255" s="15"/>
      <c r="CP255" s="15" t="s">
        <v>762</v>
      </c>
      <c r="CQ255" s="15" t="s">
        <v>763</v>
      </c>
      <c r="CR255" s="15"/>
      <c r="CS255" s="15" t="s">
        <v>188</v>
      </c>
      <c r="CT255" s="15" t="s">
        <v>188</v>
      </c>
      <c r="CU255" s="15"/>
      <c r="CV255" s="15" t="s">
        <v>188</v>
      </c>
      <c r="CW255" s="15" t="s">
        <v>270</v>
      </c>
      <c r="CX255" s="15"/>
      <c r="CY255" s="15"/>
      <c r="CZ255" s="3"/>
      <c r="DA255" s="49"/>
      <c r="DC255" s="18">
        <f t="shared" si="9"/>
        <v>0</v>
      </c>
      <c r="DD255" s="18">
        <f t="shared" si="10"/>
        <v>7</v>
      </c>
      <c r="DE255" s="18">
        <f t="shared" si="11"/>
        <v>2012</v>
      </c>
    </row>
    <row r="256" spans="1:109" x14ac:dyDescent="0.25">
      <c r="A256" s="59" t="s">
        <v>1318</v>
      </c>
      <c r="B256" s="103">
        <v>41551</v>
      </c>
      <c r="C256" s="105" t="s">
        <v>1576</v>
      </c>
      <c r="D256" s="14" t="s">
        <v>768</v>
      </c>
      <c r="E256" s="15"/>
      <c r="F256" s="15"/>
      <c r="G256" s="15" t="s">
        <v>188</v>
      </c>
      <c r="H256" s="15"/>
      <c r="I256" s="15">
        <v>28</v>
      </c>
      <c r="J256" s="15" t="s">
        <v>189</v>
      </c>
      <c r="K256" s="15" t="s">
        <v>220</v>
      </c>
      <c r="L256" s="15" t="s">
        <v>397</v>
      </c>
      <c r="M256" s="15" t="s">
        <v>1030</v>
      </c>
      <c r="N256" s="15" t="s">
        <v>1085</v>
      </c>
      <c r="O256" s="15">
        <v>11</v>
      </c>
      <c r="P256" s="15"/>
      <c r="Q256" s="15"/>
      <c r="R256" s="15"/>
      <c r="S256" s="15" t="s">
        <v>188</v>
      </c>
      <c r="T256" s="15"/>
      <c r="U256" s="15" t="s">
        <v>188</v>
      </c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>
        <v>2011</v>
      </c>
      <c r="AI256" s="1">
        <v>550000</v>
      </c>
      <c r="AJ256" s="15"/>
      <c r="AK256" s="15"/>
      <c r="AL256" s="15" t="s">
        <v>188</v>
      </c>
      <c r="AM256" s="15"/>
      <c r="AN256" s="15"/>
      <c r="AO256" s="15"/>
      <c r="AP256" s="15" t="s">
        <v>188</v>
      </c>
      <c r="AQ256" s="15"/>
      <c r="AR256" s="15"/>
      <c r="AS256" s="15"/>
      <c r="AT256" s="15" t="s">
        <v>390</v>
      </c>
      <c r="AU256" s="1">
        <v>6000</v>
      </c>
      <c r="AV256" s="48">
        <v>0.3</v>
      </c>
      <c r="AW256" s="15">
        <v>3</v>
      </c>
      <c r="AX256" s="15">
        <v>2.8</v>
      </c>
      <c r="AY256" s="15">
        <v>2</v>
      </c>
      <c r="AZ256" s="15">
        <v>690</v>
      </c>
      <c r="BA256" s="15">
        <v>2000</v>
      </c>
      <c r="BB256" s="15" t="s">
        <v>188</v>
      </c>
      <c r="BC256" s="15" t="s">
        <v>188</v>
      </c>
      <c r="BD256" s="15" t="s">
        <v>188</v>
      </c>
      <c r="BE256" s="1">
        <v>7000</v>
      </c>
      <c r="BF256" s="1">
        <v>8000</v>
      </c>
      <c r="BG256" s="1">
        <v>18000</v>
      </c>
      <c r="BH256" s="1">
        <v>22000</v>
      </c>
      <c r="BI256" s="1">
        <v>18000</v>
      </c>
      <c r="BJ256" s="15"/>
      <c r="BK256" s="15"/>
      <c r="BL256" s="15"/>
      <c r="BM256" s="15"/>
      <c r="BN256" s="15"/>
      <c r="BO256" s="15"/>
      <c r="BP256" s="15"/>
      <c r="BQ256" s="15"/>
      <c r="BR256" s="15"/>
      <c r="BS256" s="2" t="s">
        <v>314</v>
      </c>
      <c r="BT256" s="15"/>
      <c r="BU256" s="15"/>
      <c r="BV256" s="15" t="s">
        <v>188</v>
      </c>
      <c r="BW256" s="15"/>
      <c r="BX256" s="15">
        <v>1</v>
      </c>
      <c r="BY256" s="15">
        <v>3</v>
      </c>
      <c r="BZ256" s="15">
        <v>2</v>
      </c>
      <c r="CA256" s="15"/>
      <c r="CB256" s="15"/>
      <c r="CC256" s="15" t="s">
        <v>188</v>
      </c>
      <c r="CD256" s="15"/>
      <c r="CE256" s="15"/>
      <c r="CF256" s="15"/>
      <c r="CG256" s="15" t="s">
        <v>188</v>
      </c>
      <c r="CH256" s="15" t="s">
        <v>188</v>
      </c>
      <c r="CI256" s="15" t="s">
        <v>188</v>
      </c>
      <c r="CJ256" s="15"/>
      <c r="CK256" s="15"/>
      <c r="CL256" s="15" t="s">
        <v>188</v>
      </c>
      <c r="CM256" s="15" t="s">
        <v>188</v>
      </c>
      <c r="CN256" s="15" t="s">
        <v>765</v>
      </c>
      <c r="CO256" s="15"/>
      <c r="CP256" s="15" t="s">
        <v>766</v>
      </c>
      <c r="CQ256" s="15" t="s">
        <v>767</v>
      </c>
      <c r="CR256" s="15"/>
      <c r="CS256" s="15"/>
      <c r="CT256" s="15"/>
      <c r="CU256" s="15" t="s">
        <v>324</v>
      </c>
      <c r="CV256" s="15"/>
      <c r="CW256" s="15"/>
      <c r="CX256" s="15"/>
      <c r="CY256" s="15" t="s">
        <v>188</v>
      </c>
      <c r="CZ256" s="3"/>
      <c r="DA256" s="49"/>
      <c r="DC256" s="18">
        <f t="shared" si="9"/>
        <v>0</v>
      </c>
      <c r="DD256" s="18">
        <f t="shared" si="10"/>
        <v>3</v>
      </c>
      <c r="DE256" s="18">
        <f t="shared" si="11"/>
        <v>2011</v>
      </c>
    </row>
    <row r="257" spans="1:109" x14ac:dyDescent="0.25">
      <c r="A257" s="59" t="s">
        <v>1318</v>
      </c>
      <c r="B257" s="103">
        <v>41551</v>
      </c>
      <c r="C257" s="105" t="s">
        <v>1576</v>
      </c>
      <c r="D257" s="14" t="s">
        <v>769</v>
      </c>
      <c r="E257" s="15"/>
      <c r="F257" s="15"/>
      <c r="G257" s="15" t="s">
        <v>188</v>
      </c>
      <c r="H257" s="15"/>
      <c r="I257" s="15">
        <v>37</v>
      </c>
      <c r="J257" s="15" t="s">
        <v>189</v>
      </c>
      <c r="K257" s="15" t="s">
        <v>214</v>
      </c>
      <c r="L257" s="15" t="s">
        <v>592</v>
      </c>
      <c r="M257" s="15" t="s">
        <v>1059</v>
      </c>
      <c r="N257" s="15" t="s">
        <v>1085</v>
      </c>
      <c r="O257" s="15">
        <v>10</v>
      </c>
      <c r="P257" s="15"/>
      <c r="Q257" s="15" t="s">
        <v>188</v>
      </c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 t="s">
        <v>188</v>
      </c>
      <c r="AE257" s="15"/>
      <c r="AF257" s="15"/>
      <c r="AG257" s="15"/>
      <c r="AH257" s="15">
        <v>1998</v>
      </c>
      <c r="AI257" s="1">
        <v>504000</v>
      </c>
      <c r="AJ257" s="15"/>
      <c r="AK257" s="15"/>
      <c r="AL257" s="15" t="s">
        <v>188</v>
      </c>
      <c r="AM257" s="15"/>
      <c r="AN257" s="15"/>
      <c r="AO257" s="15"/>
      <c r="AP257" s="15" t="s">
        <v>188</v>
      </c>
      <c r="AQ257" s="15"/>
      <c r="AR257" s="15"/>
      <c r="AS257" s="15"/>
      <c r="AT257" s="15" t="s">
        <v>322</v>
      </c>
      <c r="AU257" s="1">
        <v>2800</v>
      </c>
      <c r="AV257" s="48">
        <v>0.5</v>
      </c>
      <c r="AW257" s="15">
        <v>3.5</v>
      </c>
      <c r="AX257" s="15">
        <v>2.8</v>
      </c>
      <c r="AY257" s="15">
        <v>2</v>
      </c>
      <c r="AZ257" s="15">
        <v>680</v>
      </c>
      <c r="BA257" s="15">
        <v>2240</v>
      </c>
      <c r="BB257" s="15" t="s">
        <v>199</v>
      </c>
      <c r="BC257" s="15" t="s">
        <v>199</v>
      </c>
      <c r="BD257" s="15" t="s">
        <v>199</v>
      </c>
      <c r="BE257" s="1">
        <v>14000</v>
      </c>
      <c r="BF257" s="1">
        <v>18000</v>
      </c>
      <c r="BG257" s="1">
        <v>10000</v>
      </c>
      <c r="BH257" s="1">
        <v>67200</v>
      </c>
      <c r="BI257" s="1">
        <v>14000</v>
      </c>
      <c r="BJ257" s="15"/>
      <c r="BK257" s="15"/>
      <c r="BL257" s="15"/>
      <c r="BM257" s="15"/>
      <c r="BN257" s="15"/>
      <c r="BO257" s="15"/>
      <c r="BP257" s="15"/>
      <c r="BQ257" s="15"/>
      <c r="BR257" s="15"/>
      <c r="BS257" s="2" t="s">
        <v>572</v>
      </c>
      <c r="BT257" s="15"/>
      <c r="BU257" s="15" t="s">
        <v>188</v>
      </c>
      <c r="BV257" s="15"/>
      <c r="BW257" s="15"/>
      <c r="BX257" s="15">
        <v>1</v>
      </c>
      <c r="BY257" s="15">
        <v>3</v>
      </c>
      <c r="BZ257" s="15">
        <v>2</v>
      </c>
      <c r="CA257" s="15"/>
      <c r="CB257" s="15"/>
      <c r="CC257" s="15"/>
      <c r="CD257" s="15"/>
      <c r="CE257" s="15" t="s">
        <v>188</v>
      </c>
      <c r="CF257" s="15"/>
      <c r="CG257" s="15"/>
      <c r="CH257" s="15" t="s">
        <v>188</v>
      </c>
      <c r="CI257" s="15" t="s">
        <v>188</v>
      </c>
      <c r="CJ257" s="15"/>
      <c r="CK257" s="15" t="s">
        <v>188</v>
      </c>
      <c r="CL257" s="15"/>
      <c r="CM257" s="15"/>
      <c r="CN257" s="15"/>
      <c r="CO257" s="15"/>
      <c r="CP257" s="15" t="s">
        <v>193</v>
      </c>
      <c r="CQ257" s="15" t="s">
        <v>300</v>
      </c>
      <c r="CR257" s="15"/>
      <c r="CS257" s="15" t="s">
        <v>188</v>
      </c>
      <c r="CT257" s="15" t="s">
        <v>188</v>
      </c>
      <c r="CU257" s="15"/>
      <c r="CV257" s="15" t="s">
        <v>188</v>
      </c>
      <c r="CW257" s="15" t="s">
        <v>716</v>
      </c>
      <c r="CX257" s="15"/>
      <c r="CY257" s="15"/>
      <c r="CZ257" s="3"/>
      <c r="DA257" s="49"/>
      <c r="DC257" s="18">
        <f t="shared" si="9"/>
        <v>0</v>
      </c>
      <c r="DD257" s="18">
        <f t="shared" si="10"/>
        <v>3</v>
      </c>
      <c r="DE257" s="18">
        <f t="shared" si="11"/>
        <v>1998</v>
      </c>
    </row>
    <row r="258" spans="1:109" x14ac:dyDescent="0.25">
      <c r="A258" s="59" t="s">
        <v>1318</v>
      </c>
      <c r="B258" s="103">
        <v>41551</v>
      </c>
      <c r="C258" s="105" t="s">
        <v>1576</v>
      </c>
      <c r="D258" s="14" t="s">
        <v>770</v>
      </c>
      <c r="E258" s="15"/>
      <c r="F258" s="15" t="s">
        <v>188</v>
      </c>
      <c r="G258" s="15"/>
      <c r="H258" s="15"/>
      <c r="I258" s="15">
        <v>29</v>
      </c>
      <c r="J258" s="15" t="s">
        <v>189</v>
      </c>
      <c r="K258" s="15" t="s">
        <v>190</v>
      </c>
      <c r="L258" s="15" t="s">
        <v>393</v>
      </c>
      <c r="M258" s="15" t="s">
        <v>1025</v>
      </c>
      <c r="N258" s="15" t="s">
        <v>1084</v>
      </c>
      <c r="O258" s="15">
        <v>12</v>
      </c>
      <c r="P258" s="15"/>
      <c r="Q258" s="15"/>
      <c r="R258" s="15"/>
      <c r="S258" s="15" t="s">
        <v>188</v>
      </c>
      <c r="T258" s="15"/>
      <c r="U258" s="15"/>
      <c r="V258" s="15"/>
      <c r="W258" s="15"/>
      <c r="X258" s="15"/>
      <c r="Y258" s="15"/>
      <c r="Z258" s="15"/>
      <c r="AA258" s="15"/>
      <c r="AB258" s="15" t="s">
        <v>188</v>
      </c>
      <c r="AC258" s="15"/>
      <c r="AD258" s="15"/>
      <c r="AE258" s="15"/>
      <c r="AF258" s="15"/>
      <c r="AG258" s="15"/>
      <c r="AH258" s="15">
        <v>2012</v>
      </c>
      <c r="AI258" s="1">
        <v>450000</v>
      </c>
      <c r="AJ258" s="15"/>
      <c r="AK258" s="15"/>
      <c r="AL258" s="15" t="s">
        <v>188</v>
      </c>
      <c r="AM258" s="15"/>
      <c r="AN258" s="15"/>
      <c r="AO258" s="15"/>
      <c r="AP258" s="15" t="s">
        <v>188</v>
      </c>
      <c r="AQ258" s="15"/>
      <c r="AR258" s="15"/>
      <c r="AS258" s="15"/>
      <c r="AT258" s="15" t="s">
        <v>390</v>
      </c>
      <c r="AU258" s="1">
        <v>7000</v>
      </c>
      <c r="AV258" s="48">
        <v>0.5</v>
      </c>
      <c r="AW258" s="15">
        <v>2.2999999999999998</v>
      </c>
      <c r="AX258" s="15">
        <v>2</v>
      </c>
      <c r="AY258" s="15">
        <v>2</v>
      </c>
      <c r="AZ258" s="15">
        <v>910</v>
      </c>
      <c r="BA258" s="15">
        <v>2000</v>
      </c>
      <c r="BB258" s="15" t="s">
        <v>188</v>
      </c>
      <c r="BC258" s="15" t="s">
        <v>188</v>
      </c>
      <c r="BD258" s="15" t="s">
        <v>188</v>
      </c>
      <c r="BE258" s="1">
        <v>10000</v>
      </c>
      <c r="BF258" s="1">
        <v>13000</v>
      </c>
      <c r="BG258" s="1">
        <v>22000</v>
      </c>
      <c r="BH258" s="1">
        <v>200000</v>
      </c>
      <c r="BI258" s="1">
        <v>22000</v>
      </c>
      <c r="BJ258" s="15"/>
      <c r="BK258" s="15"/>
      <c r="BL258" s="15"/>
      <c r="BM258" s="15"/>
      <c r="BN258" s="15"/>
      <c r="BO258" s="15"/>
      <c r="BP258" s="15"/>
      <c r="BQ258" s="15"/>
      <c r="BR258" s="15"/>
      <c r="BS258" s="2" t="s">
        <v>323</v>
      </c>
      <c r="BT258" s="15"/>
      <c r="BU258" s="15" t="s">
        <v>188</v>
      </c>
      <c r="BV258" s="15"/>
      <c r="BW258" s="15"/>
      <c r="BX258" s="15">
        <v>1</v>
      </c>
      <c r="BY258" s="15">
        <v>2</v>
      </c>
      <c r="BZ258" s="15">
        <v>3</v>
      </c>
      <c r="CA258" s="15"/>
      <c r="CB258" s="15"/>
      <c r="CC258" s="15" t="s">
        <v>188</v>
      </c>
      <c r="CD258" s="15"/>
      <c r="CE258" s="15"/>
      <c r="CF258" s="15"/>
      <c r="CG258" s="15" t="s">
        <v>188</v>
      </c>
      <c r="CH258" s="15" t="s">
        <v>188</v>
      </c>
      <c r="CI258" s="15" t="s">
        <v>188</v>
      </c>
      <c r="CJ258" s="15"/>
      <c r="CK258" s="15" t="s">
        <v>188</v>
      </c>
      <c r="CL258" s="15"/>
      <c r="CM258" s="15"/>
      <c r="CN258" s="15"/>
      <c r="CO258" s="15"/>
      <c r="CP258" s="15" t="s">
        <v>193</v>
      </c>
      <c r="CQ258" s="15" t="s">
        <v>309</v>
      </c>
      <c r="CR258" s="15"/>
      <c r="CS258" s="15"/>
      <c r="CT258" s="15"/>
      <c r="CU258" s="15" t="s">
        <v>324</v>
      </c>
      <c r="CV258" s="15"/>
      <c r="CW258" s="15"/>
      <c r="CX258" s="15" t="s">
        <v>188</v>
      </c>
      <c r="CY258" s="15" t="s">
        <v>188</v>
      </c>
      <c r="CZ258" s="3"/>
      <c r="DA258" s="49"/>
      <c r="DC258" s="18">
        <f t="shared" si="9"/>
        <v>0</v>
      </c>
      <c r="DD258" s="18">
        <f t="shared" si="10"/>
        <v>2</v>
      </c>
      <c r="DE258" s="18">
        <f t="shared" si="11"/>
        <v>2012</v>
      </c>
    </row>
    <row r="259" spans="1:109" x14ac:dyDescent="0.25">
      <c r="A259" s="59" t="s">
        <v>1318</v>
      </c>
      <c r="B259" s="103">
        <v>41551</v>
      </c>
      <c r="C259" s="105" t="s">
        <v>1576</v>
      </c>
      <c r="D259" s="14" t="s">
        <v>771</v>
      </c>
      <c r="E259" s="15"/>
      <c r="F259" s="15" t="s">
        <v>188</v>
      </c>
      <c r="G259" s="15"/>
      <c r="H259" s="15"/>
      <c r="I259" s="15">
        <v>52</v>
      </c>
      <c r="J259" s="15" t="s">
        <v>189</v>
      </c>
      <c r="K259" s="15" t="s">
        <v>196</v>
      </c>
      <c r="L259" s="15" t="s">
        <v>228</v>
      </c>
      <c r="M259" s="15" t="s">
        <v>1010</v>
      </c>
      <c r="N259" s="15" t="s">
        <v>1084</v>
      </c>
      <c r="O259" s="15">
        <v>30</v>
      </c>
      <c r="P259" s="15"/>
      <c r="Q259" s="15" t="s">
        <v>188</v>
      </c>
      <c r="R259" s="15"/>
      <c r="S259" s="15"/>
      <c r="T259" s="15"/>
      <c r="U259" s="15"/>
      <c r="V259" s="15"/>
      <c r="W259" s="15"/>
      <c r="X259" s="15"/>
      <c r="Y259" s="15" t="s">
        <v>188</v>
      </c>
      <c r="Z259" s="15"/>
      <c r="AA259" s="15"/>
      <c r="AB259" s="15"/>
      <c r="AC259" s="15"/>
      <c r="AD259" s="15"/>
      <c r="AE259" s="15"/>
      <c r="AF259" s="15"/>
      <c r="AG259" s="15"/>
      <c r="AH259" s="15">
        <v>2011</v>
      </c>
      <c r="AI259" s="1">
        <v>200000</v>
      </c>
      <c r="AJ259" s="15"/>
      <c r="AK259" s="15"/>
      <c r="AL259" s="15" t="s">
        <v>188</v>
      </c>
      <c r="AM259" s="15"/>
      <c r="AN259" s="15"/>
      <c r="AO259" s="15"/>
      <c r="AP259" s="15" t="s">
        <v>188</v>
      </c>
      <c r="AQ259" s="15"/>
      <c r="AR259" s="15"/>
      <c r="AS259" s="15"/>
      <c r="AT259" s="15" t="s">
        <v>237</v>
      </c>
      <c r="AU259" s="1">
        <v>1000</v>
      </c>
      <c r="AV259" s="48">
        <v>0.3</v>
      </c>
      <c r="AW259" s="15">
        <v>3</v>
      </c>
      <c r="AX259" s="15">
        <v>2.7</v>
      </c>
      <c r="AY259" s="15">
        <v>1</v>
      </c>
      <c r="AZ259" s="15">
        <v>500</v>
      </c>
      <c r="BA259" s="15">
        <v>1300</v>
      </c>
      <c r="BB259" s="15" t="s">
        <v>199</v>
      </c>
      <c r="BC259" s="15" t="s">
        <v>199</v>
      </c>
      <c r="BD259" s="15" t="s">
        <v>199</v>
      </c>
      <c r="BE259" s="1">
        <v>20000</v>
      </c>
      <c r="BF259" s="1">
        <v>17000</v>
      </c>
      <c r="BG259" s="1">
        <v>40000</v>
      </c>
      <c r="BH259" s="1">
        <f>AU259*24</f>
        <v>24000</v>
      </c>
      <c r="BI259" s="1">
        <v>40000</v>
      </c>
      <c r="BJ259" s="15"/>
      <c r="BK259" s="15"/>
      <c r="BL259" s="15"/>
      <c r="BM259" s="15"/>
      <c r="BN259" s="15"/>
      <c r="BO259" s="15"/>
      <c r="BP259" s="15"/>
      <c r="BQ259" s="15"/>
      <c r="BR259" s="15"/>
      <c r="BS259" s="2" t="s">
        <v>568</v>
      </c>
      <c r="BT259" s="15"/>
      <c r="BU259" s="15"/>
      <c r="BV259" s="15" t="s">
        <v>188</v>
      </c>
      <c r="BW259" s="15"/>
      <c r="BX259" s="15">
        <v>1</v>
      </c>
      <c r="BY259" s="15">
        <v>2</v>
      </c>
      <c r="BZ259" s="15">
        <v>3</v>
      </c>
      <c r="CA259" s="15"/>
      <c r="CB259" s="15" t="s">
        <v>188</v>
      </c>
      <c r="CC259" s="15"/>
      <c r="CD259" s="15"/>
      <c r="CE259" s="15"/>
      <c r="CF259" s="15"/>
      <c r="CG259" s="15"/>
      <c r="CH259" s="15"/>
      <c r="CI259" s="15"/>
      <c r="CJ259" s="15"/>
      <c r="CK259" s="15" t="s">
        <v>188</v>
      </c>
      <c r="CL259" s="15"/>
      <c r="CM259" s="15"/>
      <c r="CN259" s="15"/>
      <c r="CO259" s="15"/>
      <c r="CP259" s="15" t="s">
        <v>193</v>
      </c>
      <c r="CQ259" s="15" t="s">
        <v>309</v>
      </c>
      <c r="CR259" s="15" t="s">
        <v>188</v>
      </c>
      <c r="CS259" s="15"/>
      <c r="CT259" s="15"/>
      <c r="CU259" s="15"/>
      <c r="CV259" s="15" t="s">
        <v>188</v>
      </c>
      <c r="CW259" s="15" t="s">
        <v>270</v>
      </c>
      <c r="CX259" s="15"/>
      <c r="CY259" s="15"/>
      <c r="CZ259" s="3"/>
      <c r="DA259" s="49"/>
      <c r="DC259" s="18">
        <f t="shared" si="9"/>
        <v>0</v>
      </c>
      <c r="DD259" s="18">
        <f t="shared" si="10"/>
        <v>2</v>
      </c>
      <c r="DE259" s="18">
        <f t="shared" si="11"/>
        <v>2011</v>
      </c>
    </row>
    <row r="260" spans="1:109" x14ac:dyDescent="0.25">
      <c r="A260" s="59" t="s">
        <v>1318</v>
      </c>
      <c r="B260" s="103">
        <v>41551</v>
      </c>
      <c r="C260" s="105" t="s">
        <v>1576</v>
      </c>
      <c r="D260" s="14" t="s">
        <v>772</v>
      </c>
      <c r="E260" s="15"/>
      <c r="F260" s="15"/>
      <c r="G260" s="15"/>
      <c r="H260" s="15" t="s">
        <v>188</v>
      </c>
      <c r="I260" s="15">
        <v>37</v>
      </c>
      <c r="J260" s="15" t="s">
        <v>189</v>
      </c>
      <c r="K260" s="15" t="s">
        <v>447</v>
      </c>
      <c r="L260" s="15" t="s">
        <v>414</v>
      </c>
      <c r="M260" s="15" t="s">
        <v>1042</v>
      </c>
      <c r="N260" s="15" t="s">
        <v>1085</v>
      </c>
      <c r="O260" s="15">
        <v>15</v>
      </c>
      <c r="P260" s="15"/>
      <c r="Q260" s="15" t="s">
        <v>188</v>
      </c>
      <c r="R260" s="15"/>
      <c r="S260" s="15"/>
      <c r="T260" s="15"/>
      <c r="U260" s="15"/>
      <c r="V260" s="15"/>
      <c r="W260" s="15"/>
      <c r="X260" s="15"/>
      <c r="Y260" s="15" t="s">
        <v>188</v>
      </c>
      <c r="Z260" s="15"/>
      <c r="AA260" s="15"/>
      <c r="AB260" s="15"/>
      <c r="AC260" s="15"/>
      <c r="AD260" s="15"/>
      <c r="AE260" s="15"/>
      <c r="AF260" s="15"/>
      <c r="AG260" s="15"/>
      <c r="AH260" s="15">
        <v>2007</v>
      </c>
      <c r="AI260" s="1">
        <v>144000</v>
      </c>
      <c r="AJ260" s="15"/>
      <c r="AK260" s="15"/>
      <c r="AL260" s="15" t="s">
        <v>188</v>
      </c>
      <c r="AM260" s="15"/>
      <c r="AN260" s="15"/>
      <c r="AO260" s="15"/>
      <c r="AP260" s="15" t="s">
        <v>188</v>
      </c>
      <c r="AQ260" s="15"/>
      <c r="AR260" s="15"/>
      <c r="AS260" s="15"/>
      <c r="AT260" s="15" t="s">
        <v>198</v>
      </c>
      <c r="AU260" s="1">
        <v>2000</v>
      </c>
      <c r="AV260" s="48">
        <v>0.1</v>
      </c>
      <c r="AW260" s="15">
        <v>3</v>
      </c>
      <c r="AX260" s="15">
        <v>2.7</v>
      </c>
      <c r="AY260" s="15">
        <v>2</v>
      </c>
      <c r="AZ260" s="15">
        <v>1030</v>
      </c>
      <c r="BA260" s="15">
        <v>3000</v>
      </c>
      <c r="BB260" s="15" t="s">
        <v>188</v>
      </c>
      <c r="BC260" s="15" t="s">
        <v>188</v>
      </c>
      <c r="BD260" s="15" t="s">
        <v>188</v>
      </c>
      <c r="BE260" s="1">
        <v>8000</v>
      </c>
      <c r="BF260" s="1">
        <v>8000</v>
      </c>
      <c r="BG260" s="1">
        <v>8000</v>
      </c>
      <c r="BH260" s="1">
        <v>24000</v>
      </c>
      <c r="BI260" s="1">
        <v>8000</v>
      </c>
      <c r="BJ260" s="15"/>
      <c r="BK260" s="15"/>
      <c r="BL260" s="15"/>
      <c r="BM260" s="15"/>
      <c r="BN260" s="15"/>
      <c r="BO260" s="15"/>
      <c r="BP260" s="15"/>
      <c r="BQ260" s="15"/>
      <c r="BR260" s="15" t="s">
        <v>188</v>
      </c>
      <c r="BS260" s="2"/>
      <c r="BT260" s="15"/>
      <c r="BU260" s="15"/>
      <c r="BV260" s="15" t="s">
        <v>188</v>
      </c>
      <c r="BW260" s="15"/>
      <c r="BX260" s="15">
        <v>2</v>
      </c>
      <c r="BY260" s="15">
        <v>3</v>
      </c>
      <c r="BZ260" s="15">
        <v>4</v>
      </c>
      <c r="CA260" s="15" t="s">
        <v>208</v>
      </c>
      <c r="CB260" s="15"/>
      <c r="CC260" s="15" t="s">
        <v>188</v>
      </c>
      <c r="CD260" s="15"/>
      <c r="CE260" s="15" t="s">
        <v>188</v>
      </c>
      <c r="CF260" s="15"/>
      <c r="CG260" s="15" t="s">
        <v>188</v>
      </c>
      <c r="CH260" s="15" t="s">
        <v>188</v>
      </c>
      <c r="CI260" s="15" t="s">
        <v>188</v>
      </c>
      <c r="CJ260" s="15"/>
      <c r="CK260" s="15" t="s">
        <v>188</v>
      </c>
      <c r="CL260" s="15"/>
      <c r="CM260" s="15"/>
      <c r="CN260" s="15"/>
      <c r="CO260" s="15"/>
      <c r="CP260" s="15" t="s">
        <v>193</v>
      </c>
      <c r="CQ260" s="15" t="s">
        <v>309</v>
      </c>
      <c r="CR260" s="15"/>
      <c r="CS260" s="15" t="s">
        <v>188</v>
      </c>
      <c r="CT260" s="15"/>
      <c r="CU260" s="15"/>
      <c r="CV260" s="15"/>
      <c r="CW260" s="15"/>
      <c r="CX260" s="15"/>
      <c r="CY260" s="15"/>
      <c r="CZ260" s="3" t="s">
        <v>324</v>
      </c>
      <c r="DA260" s="49"/>
      <c r="DC260" s="18">
        <f t="shared" si="9"/>
        <v>0</v>
      </c>
      <c r="DD260" s="18">
        <f t="shared" si="10"/>
        <v>7</v>
      </c>
      <c r="DE260" s="18">
        <f t="shared" si="11"/>
        <v>2007</v>
      </c>
    </row>
    <row r="261" spans="1:109" x14ac:dyDescent="0.25">
      <c r="A261" s="59" t="s">
        <v>1318</v>
      </c>
      <c r="B261" s="103">
        <v>41551</v>
      </c>
      <c r="C261" s="105" t="s">
        <v>1576</v>
      </c>
      <c r="D261" s="14" t="s">
        <v>773</v>
      </c>
      <c r="E261" s="15"/>
      <c r="F261" s="15"/>
      <c r="G261" s="15" t="s">
        <v>188</v>
      </c>
      <c r="H261" s="15"/>
      <c r="I261" s="15">
        <v>32</v>
      </c>
      <c r="J261" s="15" t="s">
        <v>189</v>
      </c>
      <c r="K261" s="15" t="s">
        <v>190</v>
      </c>
      <c r="L261" s="15" t="s">
        <v>594</v>
      </c>
      <c r="M261" s="15" t="s">
        <v>1018</v>
      </c>
      <c r="N261" s="15" t="s">
        <v>1085</v>
      </c>
      <c r="O261" s="15">
        <v>10</v>
      </c>
      <c r="P261" s="15"/>
      <c r="Q261" s="15"/>
      <c r="R261" s="15"/>
      <c r="S261" s="15" t="s">
        <v>188</v>
      </c>
      <c r="T261" s="15"/>
      <c r="U261" s="15" t="s">
        <v>188</v>
      </c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>
        <v>2010</v>
      </c>
      <c r="AI261" s="1">
        <v>600000</v>
      </c>
      <c r="AJ261" s="15"/>
      <c r="AK261" s="15"/>
      <c r="AL261" s="15" t="s">
        <v>188</v>
      </c>
      <c r="AM261" s="15"/>
      <c r="AN261" s="15"/>
      <c r="AO261" s="15"/>
      <c r="AP261" s="15" t="s">
        <v>188</v>
      </c>
      <c r="AQ261" s="15"/>
      <c r="AR261" s="15"/>
      <c r="AS261" s="15"/>
      <c r="AT261" s="15" t="s">
        <v>390</v>
      </c>
      <c r="AU261" s="1">
        <v>7000</v>
      </c>
      <c r="AV261" s="48">
        <v>0.5</v>
      </c>
      <c r="AW261" s="15">
        <v>2.9</v>
      </c>
      <c r="AX261" s="15">
        <v>2.2999999999999998</v>
      </c>
      <c r="AY261" s="15">
        <v>2</v>
      </c>
      <c r="AZ261" s="15">
        <v>480</v>
      </c>
      <c r="BA261" s="15">
        <v>1200</v>
      </c>
      <c r="BB261" s="15" t="s">
        <v>188</v>
      </c>
      <c r="BC261" s="15" t="s">
        <v>188</v>
      </c>
      <c r="BD261" s="15" t="s">
        <v>199</v>
      </c>
      <c r="BE261" s="1">
        <v>15000</v>
      </c>
      <c r="BF261" s="1">
        <v>12000</v>
      </c>
      <c r="BG261" s="1">
        <v>25000</v>
      </c>
      <c r="BH261" s="1">
        <v>160000</v>
      </c>
      <c r="BI261" s="1">
        <v>25000</v>
      </c>
      <c r="BJ261" s="15"/>
      <c r="BK261" s="15"/>
      <c r="BL261" s="15"/>
      <c r="BM261" s="15"/>
      <c r="BN261" s="15"/>
      <c r="BO261" s="15"/>
      <c r="BP261" s="15"/>
      <c r="BQ261" s="15"/>
      <c r="BR261" s="15"/>
      <c r="BS261" s="2" t="s">
        <v>314</v>
      </c>
      <c r="BT261" s="15"/>
      <c r="BU261" s="15"/>
      <c r="BV261" s="15" t="s">
        <v>188</v>
      </c>
      <c r="BW261" s="15"/>
      <c r="BX261" s="15">
        <v>1</v>
      </c>
      <c r="BY261" s="15">
        <v>3</v>
      </c>
      <c r="BZ261" s="15">
        <v>2</v>
      </c>
      <c r="CA261" s="15"/>
      <c r="CB261" s="15" t="s">
        <v>188</v>
      </c>
      <c r="CC261" s="15"/>
      <c r="CD261" s="15"/>
      <c r="CE261" s="15"/>
      <c r="CF261" s="15"/>
      <c r="CG261" s="15"/>
      <c r="CH261" s="15"/>
      <c r="CI261" s="15"/>
      <c r="CJ261" s="15"/>
      <c r="CK261" s="15" t="s">
        <v>188</v>
      </c>
      <c r="CL261" s="15"/>
      <c r="CM261" s="15"/>
      <c r="CN261" s="15"/>
      <c r="CO261" s="15"/>
      <c r="CP261" s="15" t="s">
        <v>193</v>
      </c>
      <c r="CQ261" s="15" t="s">
        <v>309</v>
      </c>
      <c r="CR261" s="15"/>
      <c r="CS261" s="15"/>
      <c r="CT261" s="15"/>
      <c r="CU261" s="15" t="s">
        <v>324</v>
      </c>
      <c r="CV261" s="15"/>
      <c r="CW261" s="15"/>
      <c r="CX261" s="15" t="s">
        <v>188</v>
      </c>
      <c r="CY261" s="15" t="s">
        <v>188</v>
      </c>
      <c r="CZ261" s="3"/>
      <c r="DA261" s="49"/>
      <c r="DC261" s="18">
        <f t="shared" si="9"/>
        <v>0</v>
      </c>
      <c r="DD261" s="18">
        <f t="shared" si="10"/>
        <v>3</v>
      </c>
      <c r="DE261" s="18">
        <f t="shared" si="11"/>
        <v>2010</v>
      </c>
    </row>
    <row r="262" spans="1:109" x14ac:dyDescent="0.25">
      <c r="A262" s="59" t="s">
        <v>1318</v>
      </c>
      <c r="B262" s="103">
        <v>41551</v>
      </c>
      <c r="C262" s="105" t="s">
        <v>1576</v>
      </c>
      <c r="D262" s="14" t="s">
        <v>775</v>
      </c>
      <c r="E262" s="15" t="s">
        <v>188</v>
      </c>
      <c r="F262" s="15"/>
      <c r="G262" s="15"/>
      <c r="H262" s="15"/>
      <c r="I262" s="15">
        <v>52</v>
      </c>
      <c r="J262" s="15" t="s">
        <v>189</v>
      </c>
      <c r="K262" s="15" t="s">
        <v>190</v>
      </c>
      <c r="L262" s="15" t="s">
        <v>391</v>
      </c>
      <c r="M262" s="15" t="s">
        <v>1023</v>
      </c>
      <c r="N262" s="15" t="s">
        <v>1084</v>
      </c>
      <c r="O262" s="15">
        <v>35</v>
      </c>
      <c r="P262" s="15"/>
      <c r="Q262" s="15"/>
      <c r="R262" s="15" t="s">
        <v>188</v>
      </c>
      <c r="S262" s="15"/>
      <c r="T262" s="15"/>
      <c r="U262" s="15"/>
      <c r="V262" s="15"/>
      <c r="W262" s="15" t="s">
        <v>188</v>
      </c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>
        <v>2010</v>
      </c>
      <c r="AI262" s="1">
        <v>133200</v>
      </c>
      <c r="AJ262" s="15"/>
      <c r="AK262" s="15"/>
      <c r="AL262" s="15" t="s">
        <v>188</v>
      </c>
      <c r="AM262" s="15"/>
      <c r="AN262" s="15"/>
      <c r="AO262" s="15"/>
      <c r="AP262" s="15" t="s">
        <v>188</v>
      </c>
      <c r="AQ262" s="15"/>
      <c r="AR262" s="15"/>
      <c r="AS262" s="15"/>
      <c r="AT262" s="15" t="s">
        <v>1316</v>
      </c>
      <c r="AU262" s="1">
        <v>3700</v>
      </c>
      <c r="AV262" s="48">
        <v>0.5</v>
      </c>
      <c r="AW262" s="15">
        <v>2.5</v>
      </c>
      <c r="AX262" s="15">
        <v>2.1</v>
      </c>
      <c r="AY262" s="15">
        <v>3</v>
      </c>
      <c r="AZ262" s="15">
        <v>1500</v>
      </c>
      <c r="BA262" s="15">
        <v>3465</v>
      </c>
      <c r="BB262" s="15" t="s">
        <v>188</v>
      </c>
      <c r="BC262" s="15" t="s">
        <v>188</v>
      </c>
      <c r="BD262" s="15" t="s">
        <v>188</v>
      </c>
      <c r="BE262" s="1">
        <v>12000</v>
      </c>
      <c r="BF262" s="1">
        <v>20000</v>
      </c>
      <c r="BG262" s="1">
        <v>20000</v>
      </c>
      <c r="BH262" s="1">
        <v>88000</v>
      </c>
      <c r="BI262" s="1">
        <v>12000</v>
      </c>
      <c r="BJ262" s="15"/>
      <c r="BK262" s="15"/>
      <c r="BL262" s="15"/>
      <c r="BM262" s="15"/>
      <c r="BN262" s="15"/>
      <c r="BO262" s="15"/>
      <c r="BP262" s="15"/>
      <c r="BQ262" s="15"/>
      <c r="BR262" s="15"/>
      <c r="BS262" s="2" t="s">
        <v>305</v>
      </c>
      <c r="BT262" s="15"/>
      <c r="BU262" s="15"/>
      <c r="BV262" s="15" t="s">
        <v>188</v>
      </c>
      <c r="BW262" s="15"/>
      <c r="BX262" s="15">
        <v>1</v>
      </c>
      <c r="BY262" s="15">
        <v>3</v>
      </c>
      <c r="BZ262" s="15">
        <v>2</v>
      </c>
      <c r="CA262" s="15"/>
      <c r="CB262" s="15"/>
      <c r="CC262" s="15" t="s">
        <v>188</v>
      </c>
      <c r="CD262" s="15"/>
      <c r="CE262" s="15" t="s">
        <v>188</v>
      </c>
      <c r="CF262" s="15" t="s">
        <v>188</v>
      </c>
      <c r="CG262" s="15" t="s">
        <v>188</v>
      </c>
      <c r="CH262" s="15" t="s">
        <v>188</v>
      </c>
      <c r="CI262" s="15" t="s">
        <v>188</v>
      </c>
      <c r="CJ262" s="15"/>
      <c r="CK262" s="15"/>
      <c r="CL262" s="15" t="s">
        <v>188</v>
      </c>
      <c r="CM262" s="15" t="s">
        <v>188</v>
      </c>
      <c r="CN262" s="15" t="s">
        <v>675</v>
      </c>
      <c r="CO262" s="15"/>
      <c r="CP262" s="15" t="s">
        <v>762</v>
      </c>
      <c r="CQ262" s="15" t="s">
        <v>774</v>
      </c>
      <c r="CR262" s="15"/>
      <c r="CS262" s="15"/>
      <c r="CT262" s="15"/>
      <c r="CU262" s="15" t="s">
        <v>324</v>
      </c>
      <c r="CV262" s="15"/>
      <c r="CW262" s="15"/>
      <c r="CX262" s="15"/>
      <c r="CY262" s="15"/>
      <c r="CZ262" s="3" t="s">
        <v>310</v>
      </c>
      <c r="DA262" s="49"/>
      <c r="DC262" s="18">
        <f t="shared" si="9"/>
        <v>0</v>
      </c>
      <c r="DD262" s="18">
        <f t="shared" si="10"/>
        <v>1</v>
      </c>
      <c r="DE262" s="18">
        <f t="shared" si="11"/>
        <v>2010</v>
      </c>
    </row>
    <row r="263" spans="1:109" x14ac:dyDescent="0.25">
      <c r="A263" s="59" t="s">
        <v>1318</v>
      </c>
      <c r="B263" s="103">
        <v>41551</v>
      </c>
      <c r="C263" s="105" t="s">
        <v>1576</v>
      </c>
      <c r="D263" s="14" t="s">
        <v>777</v>
      </c>
      <c r="E263" s="15"/>
      <c r="F263" s="15"/>
      <c r="G263" s="15"/>
      <c r="H263" s="15" t="s">
        <v>188</v>
      </c>
      <c r="I263" s="15">
        <v>41</v>
      </c>
      <c r="J263" s="15" t="s">
        <v>189</v>
      </c>
      <c r="K263" s="15" t="s">
        <v>190</v>
      </c>
      <c r="L263" s="15" t="s">
        <v>788</v>
      </c>
      <c r="M263" s="15" t="s">
        <v>1089</v>
      </c>
      <c r="N263" s="15" t="s">
        <v>1089</v>
      </c>
      <c r="O263" s="15">
        <v>20</v>
      </c>
      <c r="P263" s="15"/>
      <c r="Q263" s="15"/>
      <c r="R263" s="15"/>
      <c r="S263" s="15" t="s">
        <v>188</v>
      </c>
      <c r="T263" s="15"/>
      <c r="U263" s="15" t="s">
        <v>188</v>
      </c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>
        <v>2014</v>
      </c>
      <c r="AI263" s="1">
        <v>30000</v>
      </c>
      <c r="AJ263" s="15"/>
      <c r="AK263" s="15"/>
      <c r="AL263" s="15" t="s">
        <v>188</v>
      </c>
      <c r="AM263" s="15"/>
      <c r="AN263" s="15"/>
      <c r="AO263" s="15"/>
      <c r="AP263" s="15" t="s">
        <v>188</v>
      </c>
      <c r="AQ263" s="15"/>
      <c r="AR263" s="15"/>
      <c r="AS263" s="15"/>
      <c r="AT263" s="15" t="s">
        <v>328</v>
      </c>
      <c r="AU263" s="1">
        <v>10000</v>
      </c>
      <c r="AV263" s="48">
        <v>0.3</v>
      </c>
      <c r="AW263" s="15">
        <v>2.9</v>
      </c>
      <c r="AX263" s="15">
        <v>2.2999999999999998</v>
      </c>
      <c r="AY263" s="15">
        <v>2</v>
      </c>
      <c r="AZ263" s="15">
        <v>920</v>
      </c>
      <c r="BA263" s="15">
        <v>2300</v>
      </c>
      <c r="BB263" s="15" t="s">
        <v>188</v>
      </c>
      <c r="BC263" s="15" t="s">
        <v>188</v>
      </c>
      <c r="BD263" s="15" t="s">
        <v>199</v>
      </c>
      <c r="BE263" s="1">
        <v>25000</v>
      </c>
      <c r="BF263" s="1">
        <v>10000</v>
      </c>
      <c r="BG263" s="1">
        <v>18000</v>
      </c>
      <c r="BH263" s="1">
        <f>AU263*12</f>
        <v>120000</v>
      </c>
      <c r="BI263" s="1">
        <v>18000</v>
      </c>
      <c r="BJ263" s="15"/>
      <c r="BK263" s="15"/>
      <c r="BL263" s="15"/>
      <c r="BM263" s="15"/>
      <c r="BN263" s="15"/>
      <c r="BO263" s="15"/>
      <c r="BP263" s="15"/>
      <c r="BQ263" s="15"/>
      <c r="BR263" s="15"/>
      <c r="BS263" s="2" t="s">
        <v>776</v>
      </c>
      <c r="BT263" s="15"/>
      <c r="BU263" s="15"/>
      <c r="BV263" s="15"/>
      <c r="BW263" s="15" t="s">
        <v>188</v>
      </c>
      <c r="BX263" s="15">
        <v>1</v>
      </c>
      <c r="BY263" s="15">
        <v>3</v>
      </c>
      <c r="BZ263" s="15">
        <v>2</v>
      </c>
      <c r="CA263" s="15"/>
      <c r="CB263" s="15"/>
      <c r="CC263" s="15" t="s">
        <v>188</v>
      </c>
      <c r="CD263" s="15" t="s">
        <v>188</v>
      </c>
      <c r="CE263" s="15" t="s">
        <v>188</v>
      </c>
      <c r="CF263" s="15"/>
      <c r="CG263" s="15" t="s">
        <v>188</v>
      </c>
      <c r="CH263" s="15" t="s">
        <v>188</v>
      </c>
      <c r="CI263" s="15" t="s">
        <v>188</v>
      </c>
      <c r="CJ263" s="15"/>
      <c r="CK263" s="15" t="s">
        <v>188</v>
      </c>
      <c r="CL263" s="15"/>
      <c r="CM263" s="15"/>
      <c r="CN263" s="15"/>
      <c r="CO263" s="15"/>
      <c r="CP263" s="15" t="s">
        <v>193</v>
      </c>
      <c r="CQ263" s="15" t="s">
        <v>300</v>
      </c>
      <c r="CR263" s="15"/>
      <c r="CS263" s="15"/>
      <c r="CT263" s="15"/>
      <c r="CU263" s="15" t="s">
        <v>324</v>
      </c>
      <c r="CV263" s="15"/>
      <c r="CW263" s="15"/>
      <c r="CX263" s="15" t="s">
        <v>188</v>
      </c>
      <c r="CY263" s="15" t="s">
        <v>188</v>
      </c>
      <c r="CZ263" s="3"/>
      <c r="DA263" s="49"/>
      <c r="DC263" s="18">
        <f t="shared" si="9"/>
        <v>0</v>
      </c>
      <c r="DD263" s="18">
        <f t="shared" si="10"/>
        <v>7</v>
      </c>
      <c r="DE263" s="18">
        <f t="shared" si="11"/>
        <v>2014</v>
      </c>
    </row>
    <row r="264" spans="1:109" x14ac:dyDescent="0.25">
      <c r="A264" s="59" t="s">
        <v>1318</v>
      </c>
      <c r="B264" s="103">
        <v>41551</v>
      </c>
      <c r="C264" s="105" t="s">
        <v>1576</v>
      </c>
      <c r="D264" s="14" t="s">
        <v>778</v>
      </c>
      <c r="E264" s="15"/>
      <c r="F264" s="15"/>
      <c r="G264" s="15"/>
      <c r="H264" s="15" t="s">
        <v>188</v>
      </c>
      <c r="I264" s="15">
        <v>34</v>
      </c>
      <c r="J264" s="15" t="s">
        <v>189</v>
      </c>
      <c r="K264" s="15" t="s">
        <v>214</v>
      </c>
      <c r="L264" s="15" t="s">
        <v>385</v>
      </c>
      <c r="M264" s="15" t="s">
        <v>1016</v>
      </c>
      <c r="N264" s="15" t="s">
        <v>1084</v>
      </c>
      <c r="O264" s="15">
        <v>18</v>
      </c>
      <c r="P264" s="15" t="s">
        <v>188</v>
      </c>
      <c r="Q264" s="15"/>
      <c r="R264" s="15"/>
      <c r="S264" s="15"/>
      <c r="T264" s="15"/>
      <c r="U264" s="15" t="s">
        <v>188</v>
      </c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>
        <v>2002</v>
      </c>
      <c r="AI264" s="1" t="s">
        <v>269</v>
      </c>
      <c r="AJ264" s="15"/>
      <c r="AK264" s="15"/>
      <c r="AL264" s="15" t="s">
        <v>188</v>
      </c>
      <c r="AM264" s="15"/>
      <c r="AN264" s="15"/>
      <c r="AO264" s="15"/>
      <c r="AP264" s="15" t="s">
        <v>188</v>
      </c>
      <c r="AQ264" s="15"/>
      <c r="AR264" s="15"/>
      <c r="AS264" s="15"/>
      <c r="AT264" s="15" t="s">
        <v>237</v>
      </c>
      <c r="AU264" s="1">
        <v>4000</v>
      </c>
      <c r="AV264" s="48">
        <v>0.5</v>
      </c>
      <c r="AW264" s="15">
        <v>2.8</v>
      </c>
      <c r="AX264" s="15">
        <v>2.6</v>
      </c>
      <c r="AY264" s="15">
        <v>2</v>
      </c>
      <c r="AZ264" s="15">
        <v>560</v>
      </c>
      <c r="BA264" s="15">
        <v>1500</v>
      </c>
      <c r="BB264" s="15" t="s">
        <v>199</v>
      </c>
      <c r="BC264" s="15" t="s">
        <v>188</v>
      </c>
      <c r="BD264" s="15" t="s">
        <v>199</v>
      </c>
      <c r="BE264" s="1">
        <v>17000</v>
      </c>
      <c r="BF264" s="1">
        <v>12000</v>
      </c>
      <c r="BG264" s="1">
        <v>22000</v>
      </c>
      <c r="BH264" s="1">
        <v>200000</v>
      </c>
      <c r="BI264" s="1">
        <v>22000</v>
      </c>
      <c r="BJ264" s="15"/>
      <c r="BK264" s="15"/>
      <c r="BL264" s="15"/>
      <c r="BM264" s="15" t="s">
        <v>188</v>
      </c>
      <c r="BN264" s="15"/>
      <c r="BO264" s="15"/>
      <c r="BP264" s="15"/>
      <c r="BQ264" s="15"/>
      <c r="BR264" s="15"/>
      <c r="BS264" s="2"/>
      <c r="BT264" s="15"/>
      <c r="BU264" s="15"/>
      <c r="BV264" s="15" t="s">
        <v>188</v>
      </c>
      <c r="BW264" s="15"/>
      <c r="BX264" s="15">
        <v>2</v>
      </c>
      <c r="BY264" s="15">
        <v>1</v>
      </c>
      <c r="BZ264" s="15">
        <v>3</v>
      </c>
      <c r="CA264" s="15"/>
      <c r="CB264" s="15" t="s">
        <v>188</v>
      </c>
      <c r="CC264" s="15"/>
      <c r="CD264" s="15"/>
      <c r="CE264" s="15"/>
      <c r="CF264" s="15"/>
      <c r="CG264" s="15"/>
      <c r="CH264" s="15"/>
      <c r="CI264" s="15"/>
      <c r="CJ264" s="15"/>
      <c r="CK264" s="15" t="s">
        <v>188</v>
      </c>
      <c r="CL264" s="15"/>
      <c r="CM264" s="15"/>
      <c r="CN264" s="15"/>
      <c r="CO264" s="15"/>
      <c r="CP264" s="15" t="s">
        <v>193</v>
      </c>
      <c r="CQ264" s="15" t="s">
        <v>309</v>
      </c>
      <c r="CR264" s="15" t="s">
        <v>188</v>
      </c>
      <c r="CS264" s="15"/>
      <c r="CT264" s="15"/>
      <c r="CU264" s="15"/>
      <c r="CV264" s="15"/>
      <c r="CW264" s="15"/>
      <c r="CX264" s="15"/>
      <c r="CY264" s="15" t="s">
        <v>188</v>
      </c>
      <c r="CZ264" s="3"/>
      <c r="DA264" s="49"/>
      <c r="DC264" s="18">
        <f t="shared" ref="DC264:DC327" si="12">IF(AX264&gt;AW264,1,0)</f>
        <v>0</v>
      </c>
      <c r="DD264" s="18">
        <f t="shared" ref="DD264:DD327" si="13">IF(E264="X",1,(IF(F264="X",2,(IF(G264="X",3,7)))))</f>
        <v>7</v>
      </c>
      <c r="DE264" s="18">
        <f t="shared" ref="DE264:DE327" si="14">IF(AS264&gt;AH264,AS264,AH264)</f>
        <v>2002</v>
      </c>
    </row>
    <row r="265" spans="1:109" x14ac:dyDescent="0.25">
      <c r="A265" s="59" t="s">
        <v>1318</v>
      </c>
      <c r="B265" s="103">
        <v>41551</v>
      </c>
      <c r="C265" s="105" t="s">
        <v>1576</v>
      </c>
      <c r="D265" s="14" t="s">
        <v>779</v>
      </c>
      <c r="E265" s="15"/>
      <c r="F265" s="15"/>
      <c r="G265" s="15" t="s">
        <v>188</v>
      </c>
      <c r="H265" s="15"/>
      <c r="I265" s="15">
        <v>47</v>
      </c>
      <c r="J265" s="15" t="s">
        <v>189</v>
      </c>
      <c r="K265" s="15" t="s">
        <v>214</v>
      </c>
      <c r="L265" s="15" t="s">
        <v>399</v>
      </c>
      <c r="M265" s="15" t="s">
        <v>1033</v>
      </c>
      <c r="N265" s="15" t="s">
        <v>1085</v>
      </c>
      <c r="O265" s="15">
        <v>20</v>
      </c>
      <c r="P265" s="15" t="s">
        <v>188</v>
      </c>
      <c r="Q265" s="15"/>
      <c r="R265" s="15"/>
      <c r="S265" s="15"/>
      <c r="T265" s="15"/>
      <c r="U265" s="15" t="s">
        <v>188</v>
      </c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>
        <v>2000</v>
      </c>
      <c r="AI265" s="1">
        <v>546000</v>
      </c>
      <c r="AJ265" s="15"/>
      <c r="AK265" s="15"/>
      <c r="AL265" s="15" t="s">
        <v>188</v>
      </c>
      <c r="AM265" s="15"/>
      <c r="AN265" s="15"/>
      <c r="AO265" s="15"/>
      <c r="AP265" s="15" t="s">
        <v>188</v>
      </c>
      <c r="AQ265" s="15"/>
      <c r="AR265" s="15"/>
      <c r="AS265" s="15"/>
      <c r="AT265" s="15" t="s">
        <v>322</v>
      </c>
      <c r="AU265" s="1">
        <v>3500</v>
      </c>
      <c r="AV265" s="48">
        <v>0.5</v>
      </c>
      <c r="AW265" s="15">
        <v>3</v>
      </c>
      <c r="AX265" s="15">
        <v>2.8</v>
      </c>
      <c r="AY265" s="15">
        <v>2</v>
      </c>
      <c r="AZ265" s="15">
        <v>870</v>
      </c>
      <c r="BA265" s="15">
        <v>2520</v>
      </c>
      <c r="BB265" s="15" t="s">
        <v>199</v>
      </c>
      <c r="BC265" s="15" t="s">
        <v>188</v>
      </c>
      <c r="BD265" s="15" t="s">
        <v>199</v>
      </c>
      <c r="BE265" s="1">
        <v>12000</v>
      </c>
      <c r="BF265" s="1">
        <v>10000</v>
      </c>
      <c r="BG265" s="1">
        <v>12000</v>
      </c>
      <c r="BH265" s="1">
        <v>63000</v>
      </c>
      <c r="BI265" s="1">
        <v>12000</v>
      </c>
      <c r="BJ265" s="15"/>
      <c r="BK265" s="15"/>
      <c r="BL265" s="15"/>
      <c r="BM265" s="15"/>
      <c r="BN265" s="15"/>
      <c r="BO265" s="15"/>
      <c r="BP265" s="15"/>
      <c r="BQ265" s="15"/>
      <c r="BR265" s="15"/>
      <c r="BS265" s="2" t="s">
        <v>314</v>
      </c>
      <c r="BT265" s="15"/>
      <c r="BU265" s="15" t="s">
        <v>188</v>
      </c>
      <c r="BV265" s="15"/>
      <c r="BW265" s="15"/>
      <c r="BX265" s="15">
        <v>1</v>
      </c>
      <c r="BY265" s="15">
        <v>3</v>
      </c>
      <c r="BZ265" s="15">
        <v>2</v>
      </c>
      <c r="CA265" s="15"/>
      <c r="CB265" s="15"/>
      <c r="CC265" s="15" t="s">
        <v>188</v>
      </c>
      <c r="CD265" s="15"/>
      <c r="CE265" s="15" t="s">
        <v>188</v>
      </c>
      <c r="CF265" s="15"/>
      <c r="CG265" s="15" t="s">
        <v>188</v>
      </c>
      <c r="CH265" s="15" t="s">
        <v>188</v>
      </c>
      <c r="CI265" s="15" t="s">
        <v>188</v>
      </c>
      <c r="CJ265" s="15"/>
      <c r="CK265" s="15" t="s">
        <v>188</v>
      </c>
      <c r="CL265" s="15"/>
      <c r="CM265" s="15"/>
      <c r="CN265" s="15"/>
      <c r="CO265" s="15"/>
      <c r="CP265" s="15" t="s">
        <v>193</v>
      </c>
      <c r="CQ265" s="15" t="s">
        <v>300</v>
      </c>
      <c r="CR265" s="15"/>
      <c r="CS265" s="15" t="s">
        <v>188</v>
      </c>
      <c r="CT265" s="15" t="s">
        <v>188</v>
      </c>
      <c r="CU265" s="15"/>
      <c r="CV265" s="15" t="s">
        <v>188</v>
      </c>
      <c r="CW265" s="15" t="s">
        <v>270</v>
      </c>
      <c r="CX265" s="15"/>
      <c r="CY265" s="15"/>
      <c r="CZ265" s="3"/>
      <c r="DA265" s="49"/>
      <c r="DC265" s="18">
        <f t="shared" si="12"/>
        <v>0</v>
      </c>
      <c r="DD265" s="18">
        <f t="shared" si="13"/>
        <v>3</v>
      </c>
      <c r="DE265" s="18">
        <f t="shared" si="14"/>
        <v>2000</v>
      </c>
    </row>
    <row r="266" spans="1:109" x14ac:dyDescent="0.25">
      <c r="A266" s="59" t="s">
        <v>1318</v>
      </c>
      <c r="B266" s="103">
        <v>41551</v>
      </c>
      <c r="C266" s="105" t="s">
        <v>1576</v>
      </c>
      <c r="D266" s="14" t="s">
        <v>781</v>
      </c>
      <c r="E266" s="15"/>
      <c r="F266" s="15"/>
      <c r="G266" s="15" t="s">
        <v>188</v>
      </c>
      <c r="H266" s="15"/>
      <c r="I266" s="15">
        <v>28</v>
      </c>
      <c r="J266" s="15" t="s">
        <v>189</v>
      </c>
      <c r="K266" s="15" t="s">
        <v>190</v>
      </c>
      <c r="L266" s="15" t="s">
        <v>386</v>
      </c>
      <c r="M266" s="15" t="s">
        <v>1017</v>
      </c>
      <c r="N266" s="15" t="s">
        <v>1085</v>
      </c>
      <c r="O266" s="15">
        <v>5</v>
      </c>
      <c r="P266" s="15" t="s">
        <v>188</v>
      </c>
      <c r="Q266" s="15"/>
      <c r="R266" s="15"/>
      <c r="S266" s="15"/>
      <c r="T266" s="15"/>
      <c r="U266" s="15" t="s">
        <v>188</v>
      </c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>
        <v>1998</v>
      </c>
      <c r="AI266" s="1">
        <v>950000</v>
      </c>
      <c r="AJ266" s="15"/>
      <c r="AK266" s="15"/>
      <c r="AL266" s="15" t="s">
        <v>188</v>
      </c>
      <c r="AM266" s="15"/>
      <c r="AN266" s="15"/>
      <c r="AO266" s="15"/>
      <c r="AP266" s="15" t="s">
        <v>188</v>
      </c>
      <c r="AQ266" s="15"/>
      <c r="AR266" s="15"/>
      <c r="AS266" s="15"/>
      <c r="AT266" s="15" t="s">
        <v>198</v>
      </c>
      <c r="AU266" s="1">
        <v>2000</v>
      </c>
      <c r="AV266" s="48">
        <v>0.5</v>
      </c>
      <c r="AW266" s="15">
        <v>2.9</v>
      </c>
      <c r="AX266" s="15">
        <v>2.2999999999999998</v>
      </c>
      <c r="AY266" s="15">
        <v>1</v>
      </c>
      <c r="AZ266" s="15">
        <v>400</v>
      </c>
      <c r="BA266" s="15">
        <v>1100</v>
      </c>
      <c r="BB266" s="15" t="s">
        <v>199</v>
      </c>
      <c r="BC266" s="15" t="s">
        <v>199</v>
      </c>
      <c r="BD266" s="15" t="s">
        <v>199</v>
      </c>
      <c r="BE266" s="1">
        <v>18000</v>
      </c>
      <c r="BF266" s="1">
        <v>20000</v>
      </c>
      <c r="BG266" s="1">
        <v>30000</v>
      </c>
      <c r="BH266" s="1">
        <f>AU266*12</f>
        <v>24000</v>
      </c>
      <c r="BI266" s="1">
        <v>30000</v>
      </c>
      <c r="BJ266" s="15"/>
      <c r="BK266" s="15"/>
      <c r="BL266" s="15"/>
      <c r="BM266" s="15" t="s">
        <v>188</v>
      </c>
      <c r="BN266" s="15"/>
      <c r="BO266" s="15"/>
      <c r="BP266" s="15"/>
      <c r="BQ266" s="15"/>
      <c r="BR266" s="15"/>
      <c r="BS266" s="2"/>
      <c r="BT266" s="15"/>
      <c r="BU266" s="15"/>
      <c r="BV266" s="15" t="s">
        <v>188</v>
      </c>
      <c r="BW266" s="15"/>
      <c r="BX266" s="15"/>
      <c r="BY266" s="15"/>
      <c r="BZ266" s="15"/>
      <c r="CA266" s="15" t="s">
        <v>780</v>
      </c>
      <c r="CB266" s="15" t="s">
        <v>188</v>
      </c>
      <c r="CC266" s="15"/>
      <c r="CD266" s="15"/>
      <c r="CE266" s="15"/>
      <c r="CF266" s="15"/>
      <c r="CG266" s="15"/>
      <c r="CH266" s="15"/>
      <c r="CI266" s="15"/>
      <c r="CJ266" s="15"/>
      <c r="CK266" s="15" t="s">
        <v>188</v>
      </c>
      <c r="CL266" s="15"/>
      <c r="CM266" s="15"/>
      <c r="CN266" s="15"/>
      <c r="CO266" s="15"/>
      <c r="CP266" s="15" t="s">
        <v>193</v>
      </c>
      <c r="CQ266" s="15" t="s">
        <v>309</v>
      </c>
      <c r="CR266" s="15" t="s">
        <v>188</v>
      </c>
      <c r="CS266" s="15"/>
      <c r="CT266" s="15"/>
      <c r="CU266" s="15"/>
      <c r="CV266" s="15"/>
      <c r="CW266" s="15"/>
      <c r="CX266" s="15" t="s">
        <v>188</v>
      </c>
      <c r="CY266" s="15" t="s">
        <v>188</v>
      </c>
      <c r="CZ266" s="3"/>
      <c r="DA266" s="49"/>
      <c r="DC266" s="18">
        <f t="shared" si="12"/>
        <v>0</v>
      </c>
      <c r="DD266" s="18">
        <f t="shared" si="13"/>
        <v>3</v>
      </c>
      <c r="DE266" s="18">
        <f t="shared" si="14"/>
        <v>1998</v>
      </c>
    </row>
    <row r="267" spans="1:109" x14ac:dyDescent="0.25">
      <c r="A267" s="59" t="s">
        <v>1318</v>
      </c>
      <c r="B267" s="103">
        <v>41551</v>
      </c>
      <c r="C267" s="105" t="s">
        <v>1576</v>
      </c>
      <c r="D267" s="14" t="s">
        <v>784</v>
      </c>
      <c r="E267" s="15" t="s">
        <v>188</v>
      </c>
      <c r="F267" s="15"/>
      <c r="G267" s="15"/>
      <c r="H267" s="15"/>
      <c r="I267" s="15">
        <v>23</v>
      </c>
      <c r="J267" s="15" t="s">
        <v>189</v>
      </c>
      <c r="K267" s="15" t="s">
        <v>220</v>
      </c>
      <c r="L267" s="15" t="s">
        <v>404</v>
      </c>
      <c r="M267" s="15" t="s">
        <v>1036</v>
      </c>
      <c r="N267" s="15" t="s">
        <v>1085</v>
      </c>
      <c r="O267" s="15">
        <v>3</v>
      </c>
      <c r="P267" s="15"/>
      <c r="Q267" s="15"/>
      <c r="R267" s="15"/>
      <c r="S267" s="15" t="s">
        <v>188</v>
      </c>
      <c r="T267" s="15"/>
      <c r="U267" s="15"/>
      <c r="V267" s="15"/>
      <c r="W267" s="15"/>
      <c r="X267" s="15" t="s">
        <v>188</v>
      </c>
      <c r="Y267" s="15"/>
      <c r="Z267" s="15"/>
      <c r="AA267" s="15"/>
      <c r="AB267" s="15"/>
      <c r="AC267" s="15"/>
      <c r="AD267" s="15"/>
      <c r="AE267" s="15"/>
      <c r="AF267" s="15"/>
      <c r="AG267" s="15"/>
      <c r="AH267" s="15">
        <v>2009</v>
      </c>
      <c r="AI267" s="1">
        <v>240000</v>
      </c>
      <c r="AJ267" s="15"/>
      <c r="AK267" s="15"/>
      <c r="AL267" s="15" t="s">
        <v>188</v>
      </c>
      <c r="AM267" s="15"/>
      <c r="AN267" s="15"/>
      <c r="AO267" s="15"/>
      <c r="AP267" s="15" t="s">
        <v>188</v>
      </c>
      <c r="AQ267" s="15"/>
      <c r="AR267" s="15"/>
      <c r="AS267" s="15"/>
      <c r="AT267" s="15" t="s">
        <v>390</v>
      </c>
      <c r="AU267" s="1">
        <v>5000</v>
      </c>
      <c r="AV267" s="48">
        <v>0.2</v>
      </c>
      <c r="AW267" s="15">
        <v>2.8</v>
      </c>
      <c r="AX267" s="15">
        <v>2.2000000000000002</v>
      </c>
      <c r="AY267" s="15">
        <v>3</v>
      </c>
      <c r="AZ267" s="15">
        <v>1320</v>
      </c>
      <c r="BA267" s="15">
        <v>3300</v>
      </c>
      <c r="BB267" s="15" t="s">
        <v>188</v>
      </c>
      <c r="BC267" s="15" t="s">
        <v>188</v>
      </c>
      <c r="BD267" s="15" t="s">
        <v>188</v>
      </c>
      <c r="BE267" s="1">
        <v>20000</v>
      </c>
      <c r="BF267" s="1">
        <v>12000</v>
      </c>
      <c r="BG267" s="1">
        <v>12000</v>
      </c>
      <c r="BH267" s="1">
        <v>60000</v>
      </c>
      <c r="BI267" s="1">
        <v>20000</v>
      </c>
      <c r="BJ267" s="15" t="s">
        <v>188</v>
      </c>
      <c r="BK267" s="15"/>
      <c r="BL267" s="15"/>
      <c r="BM267" s="15"/>
      <c r="BN267" s="15"/>
      <c r="BO267" s="15"/>
      <c r="BP267" s="15"/>
      <c r="BQ267" s="15" t="s">
        <v>188</v>
      </c>
      <c r="BR267" s="15"/>
      <c r="BS267" s="2"/>
      <c r="BT267" s="15"/>
      <c r="BU267" s="15" t="s">
        <v>188</v>
      </c>
      <c r="BV267" s="15"/>
      <c r="BW267" s="15"/>
      <c r="BX267" s="15">
        <v>2</v>
      </c>
      <c r="BY267" s="15">
        <v>3</v>
      </c>
      <c r="BZ267" s="15">
        <v>4</v>
      </c>
      <c r="CA267" s="15" t="s">
        <v>208</v>
      </c>
      <c r="CB267" s="15"/>
      <c r="CC267" s="15" t="s">
        <v>188</v>
      </c>
      <c r="CD267" s="15"/>
      <c r="CE267" s="15" t="s">
        <v>188</v>
      </c>
      <c r="CF267" s="15"/>
      <c r="CG267" s="15" t="s">
        <v>188</v>
      </c>
      <c r="CH267" s="15" t="s">
        <v>188</v>
      </c>
      <c r="CI267" s="15" t="s">
        <v>188</v>
      </c>
      <c r="CJ267" s="15"/>
      <c r="CK267" s="15"/>
      <c r="CL267" s="15" t="s">
        <v>188</v>
      </c>
      <c r="CM267" s="15" t="s">
        <v>188</v>
      </c>
      <c r="CN267" s="15" t="s">
        <v>782</v>
      </c>
      <c r="CO267" s="15"/>
      <c r="CP267" s="15" t="s">
        <v>766</v>
      </c>
      <c r="CQ267" s="15" t="s">
        <v>783</v>
      </c>
      <c r="CR267" s="15"/>
      <c r="CS267" s="15" t="s">
        <v>188</v>
      </c>
      <c r="CT267" s="15" t="s">
        <v>188</v>
      </c>
      <c r="CU267" s="15"/>
      <c r="CV267" s="15" t="s">
        <v>188</v>
      </c>
      <c r="CW267" s="15" t="s">
        <v>270</v>
      </c>
      <c r="CX267" s="15"/>
      <c r="CY267" s="15"/>
      <c r="CZ267" s="3"/>
      <c r="DA267" s="49"/>
      <c r="DC267" s="18">
        <f t="shared" si="12"/>
        <v>0</v>
      </c>
      <c r="DD267" s="18">
        <f t="shared" si="13"/>
        <v>1</v>
      </c>
      <c r="DE267" s="18">
        <f t="shared" si="14"/>
        <v>2009</v>
      </c>
    </row>
    <row r="268" spans="1:109" x14ac:dyDescent="0.25">
      <c r="A268" s="59" t="s">
        <v>1318</v>
      </c>
      <c r="B268" s="103">
        <v>41568</v>
      </c>
      <c r="C268" s="105" t="s">
        <v>1580</v>
      </c>
      <c r="D268" s="14" t="s">
        <v>786</v>
      </c>
      <c r="E268" s="15"/>
      <c r="F268" s="15"/>
      <c r="G268" s="15" t="s">
        <v>188</v>
      </c>
      <c r="H268" s="15"/>
      <c r="I268" s="15">
        <v>68</v>
      </c>
      <c r="J268" s="15" t="s">
        <v>189</v>
      </c>
      <c r="K268" s="15" t="s">
        <v>196</v>
      </c>
      <c r="L268" s="15" t="s">
        <v>410</v>
      </c>
      <c r="M268" s="15" t="s">
        <v>1026</v>
      </c>
      <c r="N268" s="15" t="s">
        <v>1084</v>
      </c>
      <c r="O268" s="15">
        <v>38</v>
      </c>
      <c r="P268" s="15"/>
      <c r="Q268" s="15"/>
      <c r="R268" s="15"/>
      <c r="S268" s="15" t="s">
        <v>188</v>
      </c>
      <c r="T268" s="15"/>
      <c r="U268" s="15"/>
      <c r="V268" s="15"/>
      <c r="W268" s="15"/>
      <c r="X268" s="15"/>
      <c r="Y268" s="15"/>
      <c r="Z268" s="15"/>
      <c r="AA268" s="15"/>
      <c r="AB268" s="15" t="s">
        <v>188</v>
      </c>
      <c r="AC268" s="15"/>
      <c r="AD268" s="15"/>
      <c r="AE268" s="15"/>
      <c r="AF268" s="15"/>
      <c r="AG268" s="15"/>
      <c r="AH268" s="15">
        <v>1981</v>
      </c>
      <c r="AI268" s="1" t="s">
        <v>269</v>
      </c>
      <c r="AJ268" s="15"/>
      <c r="AK268" s="15"/>
      <c r="AL268" s="15" t="s">
        <v>188</v>
      </c>
      <c r="AM268" s="15"/>
      <c r="AN268" s="15"/>
      <c r="AO268" s="15"/>
      <c r="AP268" s="15" t="s">
        <v>188</v>
      </c>
      <c r="AQ268" s="15"/>
      <c r="AR268" s="15"/>
      <c r="AS268" s="15"/>
      <c r="AT268" s="15" t="s">
        <v>322</v>
      </c>
      <c r="AU268" s="1">
        <v>4000</v>
      </c>
      <c r="AV268" s="48">
        <v>0.5</v>
      </c>
      <c r="AW268" s="15">
        <v>2</v>
      </c>
      <c r="AX268" s="15">
        <v>1.7</v>
      </c>
      <c r="AY268" s="15">
        <v>2</v>
      </c>
      <c r="AZ268" s="15">
        <v>1100</v>
      </c>
      <c r="BA268" s="15">
        <v>2000</v>
      </c>
      <c r="BB268" s="15" t="s">
        <v>199</v>
      </c>
      <c r="BC268" s="15" t="s">
        <v>188</v>
      </c>
      <c r="BD268" s="15" t="s">
        <v>188</v>
      </c>
      <c r="BE268" s="1">
        <f>AU268*6</f>
        <v>24000</v>
      </c>
      <c r="BF268" s="1">
        <f>AU268*3</f>
        <v>12000</v>
      </c>
      <c r="BG268" s="1">
        <f>AU268*12</f>
        <v>48000</v>
      </c>
      <c r="BH268" s="1">
        <v>96000</v>
      </c>
      <c r="BI268" s="1">
        <v>48000</v>
      </c>
      <c r="BJ268" s="15"/>
      <c r="BK268" s="15"/>
      <c r="BL268" s="15"/>
      <c r="BM268" s="15"/>
      <c r="BN268" s="15"/>
      <c r="BO268" s="15"/>
      <c r="BP268" s="15"/>
      <c r="BQ268" s="15"/>
      <c r="BR268" s="15"/>
      <c r="BS268" s="2" t="s">
        <v>314</v>
      </c>
      <c r="BT268" s="15"/>
      <c r="BU268" s="15"/>
      <c r="BV268" s="15" t="s">
        <v>188</v>
      </c>
      <c r="BW268" s="15"/>
      <c r="BX268" s="15"/>
      <c r="BY268" s="15"/>
      <c r="BZ268" s="15"/>
      <c r="CA268" s="15" t="s">
        <v>780</v>
      </c>
      <c r="CB268" s="15" t="s">
        <v>188</v>
      </c>
      <c r="CC268" s="15"/>
      <c r="CD268" s="15"/>
      <c r="CE268" s="15"/>
      <c r="CF268" s="15"/>
      <c r="CG268" s="15"/>
      <c r="CH268" s="15"/>
      <c r="CI268" s="15"/>
      <c r="CJ268" s="15"/>
      <c r="CK268" s="15" t="s">
        <v>188</v>
      </c>
      <c r="CL268" s="15"/>
      <c r="CM268" s="15"/>
      <c r="CN268" s="15"/>
      <c r="CO268" s="15"/>
      <c r="CP268" s="15" t="s">
        <v>193</v>
      </c>
      <c r="CQ268" s="15" t="s">
        <v>300</v>
      </c>
      <c r="CR268" s="15"/>
      <c r="CS268" s="15"/>
      <c r="CT268" s="15"/>
      <c r="CU268" s="15" t="s">
        <v>324</v>
      </c>
      <c r="CV268" s="15"/>
      <c r="CW268" s="15"/>
      <c r="CX268" s="15" t="s">
        <v>188</v>
      </c>
      <c r="CY268" s="15" t="s">
        <v>188</v>
      </c>
      <c r="CZ268" s="3"/>
      <c r="DA268" s="49"/>
      <c r="DC268" s="18">
        <f t="shared" si="12"/>
        <v>0</v>
      </c>
      <c r="DD268" s="18">
        <f t="shared" si="13"/>
        <v>3</v>
      </c>
      <c r="DE268" s="18">
        <f t="shared" si="14"/>
        <v>1981</v>
      </c>
    </row>
    <row r="269" spans="1:109" x14ac:dyDescent="0.25">
      <c r="A269" s="59" t="s">
        <v>1318</v>
      </c>
      <c r="B269" s="103">
        <v>41568</v>
      </c>
      <c r="C269" s="105" t="s">
        <v>1580</v>
      </c>
      <c r="D269" s="14" t="s">
        <v>789</v>
      </c>
      <c r="E269" s="15"/>
      <c r="F269" s="15"/>
      <c r="G269" s="15" t="s">
        <v>188</v>
      </c>
      <c r="H269" s="15"/>
      <c r="I269" s="15">
        <v>36</v>
      </c>
      <c r="J269" s="15" t="s">
        <v>189</v>
      </c>
      <c r="K269" s="15" t="s">
        <v>190</v>
      </c>
      <c r="L269" s="15" t="s">
        <v>790</v>
      </c>
      <c r="M269" s="15" t="s">
        <v>1010</v>
      </c>
      <c r="N269" s="15" t="s">
        <v>1084</v>
      </c>
      <c r="O269" s="15">
        <v>17</v>
      </c>
      <c r="P269" s="15" t="s">
        <v>188</v>
      </c>
      <c r="Q269" s="15"/>
      <c r="R269" s="15"/>
      <c r="S269" s="15"/>
      <c r="T269" s="15"/>
      <c r="U269" s="15" t="s">
        <v>188</v>
      </c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>
        <v>1995</v>
      </c>
      <c r="AI269" s="1">
        <v>750000</v>
      </c>
      <c r="AJ269" s="15"/>
      <c r="AK269" s="15"/>
      <c r="AL269" s="15" t="s">
        <v>188</v>
      </c>
      <c r="AM269" s="15"/>
      <c r="AN269" s="15"/>
      <c r="AO269" s="15"/>
      <c r="AP269" s="15" t="s">
        <v>188</v>
      </c>
      <c r="AQ269" s="15"/>
      <c r="AR269" s="15"/>
      <c r="AS269" s="15"/>
      <c r="AT269" s="15" t="s">
        <v>322</v>
      </c>
      <c r="AU269" s="1">
        <v>3000</v>
      </c>
      <c r="AV269" s="48">
        <v>0.5</v>
      </c>
      <c r="AW269" s="15">
        <v>3</v>
      </c>
      <c r="AX269" s="15">
        <v>2.7</v>
      </c>
      <c r="AY269" s="15">
        <v>1</v>
      </c>
      <c r="AZ269" s="15">
        <v>410</v>
      </c>
      <c r="BA269" s="15">
        <v>1200</v>
      </c>
      <c r="BB269" s="15" t="s">
        <v>199</v>
      </c>
      <c r="BC269" s="15" t="s">
        <v>188</v>
      </c>
      <c r="BD269" s="15" t="s">
        <v>188</v>
      </c>
      <c r="BE269" s="1">
        <v>11000</v>
      </c>
      <c r="BF269" s="1">
        <v>20000</v>
      </c>
      <c r="BG269" s="1">
        <v>23000</v>
      </c>
      <c r="BH269" s="1">
        <v>54000</v>
      </c>
      <c r="BI269" s="1">
        <v>23000</v>
      </c>
      <c r="BJ269" s="15"/>
      <c r="BK269" s="15"/>
      <c r="BL269" s="15"/>
      <c r="BM269" s="15"/>
      <c r="BN269" s="15"/>
      <c r="BO269" s="15"/>
      <c r="BP269" s="15"/>
      <c r="BQ269" s="15"/>
      <c r="BR269" s="15"/>
      <c r="BS269" s="2" t="s">
        <v>560</v>
      </c>
      <c r="BT269" s="15"/>
      <c r="BU269" s="15" t="s">
        <v>188</v>
      </c>
      <c r="BV269" s="15"/>
      <c r="BW269" s="15"/>
      <c r="BX269" s="15">
        <v>1</v>
      </c>
      <c r="BY269" s="15">
        <v>2</v>
      </c>
      <c r="BZ269" s="15">
        <v>3</v>
      </c>
      <c r="CA269" s="15"/>
      <c r="CB269" s="15"/>
      <c r="CC269" s="15" t="s">
        <v>188</v>
      </c>
      <c r="CD269" s="15"/>
      <c r="CE269" s="15"/>
      <c r="CF269" s="15"/>
      <c r="CG269" s="15"/>
      <c r="CH269" s="15" t="s">
        <v>188</v>
      </c>
      <c r="CI269" s="15" t="s">
        <v>188</v>
      </c>
      <c r="CJ269" s="15"/>
      <c r="CK269" s="15" t="s">
        <v>188</v>
      </c>
      <c r="CL269" s="15"/>
      <c r="CM269" s="15"/>
      <c r="CN269" s="15"/>
      <c r="CO269" s="15"/>
      <c r="CP269" s="15" t="s">
        <v>193</v>
      </c>
      <c r="CQ269" s="15" t="s">
        <v>300</v>
      </c>
      <c r="CR269" s="15"/>
      <c r="CS269" s="15"/>
      <c r="CT269" s="15"/>
      <c r="CU269" s="15" t="s">
        <v>324</v>
      </c>
      <c r="CV269" s="15" t="s">
        <v>188</v>
      </c>
      <c r="CW269" s="15" t="s">
        <v>270</v>
      </c>
      <c r="CX269" s="15"/>
      <c r="CY269" s="15"/>
      <c r="CZ269" s="3"/>
      <c r="DA269" s="49"/>
      <c r="DC269" s="18">
        <f t="shared" si="12"/>
        <v>0</v>
      </c>
      <c r="DD269" s="18">
        <f t="shared" si="13"/>
        <v>3</v>
      </c>
      <c r="DE269" s="18">
        <f t="shared" si="14"/>
        <v>1995</v>
      </c>
    </row>
    <row r="270" spans="1:109" x14ac:dyDescent="0.25">
      <c r="A270" s="59" t="s">
        <v>1318</v>
      </c>
      <c r="B270" s="103">
        <v>41568</v>
      </c>
      <c r="C270" s="105" t="s">
        <v>1580</v>
      </c>
      <c r="D270" s="14" t="s">
        <v>791</v>
      </c>
      <c r="E270" s="15"/>
      <c r="F270" s="15"/>
      <c r="G270" s="15" t="s">
        <v>188</v>
      </c>
      <c r="H270" s="15"/>
      <c r="I270" s="15">
        <v>51</v>
      </c>
      <c r="J270" s="15" t="s">
        <v>189</v>
      </c>
      <c r="K270" s="15" t="s">
        <v>196</v>
      </c>
      <c r="L270" s="15" t="s">
        <v>395</v>
      </c>
      <c r="M270" s="15" t="s">
        <v>1022</v>
      </c>
      <c r="N270" s="15" t="s">
        <v>1085</v>
      </c>
      <c r="O270" s="15">
        <v>28</v>
      </c>
      <c r="P270" s="15"/>
      <c r="Q270" s="15"/>
      <c r="R270" s="15"/>
      <c r="S270" s="15" t="s">
        <v>188</v>
      </c>
      <c r="T270" s="15"/>
      <c r="U270" s="15" t="s">
        <v>188</v>
      </c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>
        <v>1998</v>
      </c>
      <c r="AI270" s="1">
        <v>800000</v>
      </c>
      <c r="AJ270" s="15"/>
      <c r="AK270" s="15"/>
      <c r="AL270" s="15" t="s">
        <v>188</v>
      </c>
      <c r="AM270" s="15"/>
      <c r="AN270" s="15"/>
      <c r="AO270" s="15"/>
      <c r="AP270" s="15" t="s">
        <v>188</v>
      </c>
      <c r="AQ270" s="15"/>
      <c r="AR270" s="15"/>
      <c r="AS270" s="15"/>
      <c r="AT270" s="15" t="s">
        <v>390</v>
      </c>
      <c r="AU270" s="1">
        <v>6000</v>
      </c>
      <c r="AV270" s="48">
        <v>0.5</v>
      </c>
      <c r="AW270" s="15">
        <v>2.6</v>
      </c>
      <c r="AX270" s="15">
        <v>2.2000000000000002</v>
      </c>
      <c r="AY270" s="15">
        <v>2</v>
      </c>
      <c r="AZ270" s="15">
        <v>750</v>
      </c>
      <c r="BA270" s="15">
        <v>1800</v>
      </c>
      <c r="BB270" s="15" t="s">
        <v>188</v>
      </c>
      <c r="BC270" s="15" t="s">
        <v>188</v>
      </c>
      <c r="BD270" s="15" t="s">
        <v>199</v>
      </c>
      <c r="BE270" s="1">
        <v>6000</v>
      </c>
      <c r="BF270" s="1">
        <v>15000</v>
      </c>
      <c r="BG270" s="1">
        <v>30000</v>
      </c>
      <c r="BH270" s="1">
        <v>150000</v>
      </c>
      <c r="BI270" s="1">
        <v>30000</v>
      </c>
      <c r="BJ270" s="15"/>
      <c r="BK270" s="15"/>
      <c r="BL270" s="15"/>
      <c r="BM270" s="15"/>
      <c r="BN270" s="15"/>
      <c r="BO270" s="15"/>
      <c r="BP270" s="15"/>
      <c r="BQ270" s="15"/>
      <c r="BR270" s="15"/>
      <c r="BS270" s="2" t="s">
        <v>314</v>
      </c>
      <c r="BT270" s="15"/>
      <c r="BU270" s="15"/>
      <c r="BV270" s="15" t="s">
        <v>188</v>
      </c>
      <c r="BW270" s="15"/>
      <c r="BX270" s="15">
        <v>1</v>
      </c>
      <c r="BY270" s="15">
        <v>3</v>
      </c>
      <c r="BZ270" s="15">
        <v>2</v>
      </c>
      <c r="CA270" s="15"/>
      <c r="CB270" s="15"/>
      <c r="CC270" s="15" t="s">
        <v>188</v>
      </c>
      <c r="CD270" s="15"/>
      <c r="CE270" s="15" t="s">
        <v>188</v>
      </c>
      <c r="CF270" s="15"/>
      <c r="CG270" s="15" t="s">
        <v>188</v>
      </c>
      <c r="CH270" s="15" t="s">
        <v>188</v>
      </c>
      <c r="CI270" s="15"/>
      <c r="CJ270" s="15"/>
      <c r="CK270" s="15" t="s">
        <v>188</v>
      </c>
      <c r="CL270" s="15"/>
      <c r="CM270" s="15"/>
      <c r="CN270" s="15"/>
      <c r="CO270" s="15"/>
      <c r="CP270" s="15" t="s">
        <v>193</v>
      </c>
      <c r="CQ270" s="15" t="s">
        <v>300</v>
      </c>
      <c r="CR270" s="15" t="s">
        <v>188</v>
      </c>
      <c r="CS270" s="15"/>
      <c r="CT270" s="15"/>
      <c r="CU270" s="15"/>
      <c r="CV270" s="15"/>
      <c r="CW270" s="15"/>
      <c r="CX270" s="15"/>
      <c r="CY270" s="15"/>
      <c r="CZ270" s="3" t="s">
        <v>792</v>
      </c>
      <c r="DA270" s="49"/>
      <c r="DC270" s="18">
        <f t="shared" si="12"/>
        <v>0</v>
      </c>
      <c r="DD270" s="18">
        <f t="shared" si="13"/>
        <v>3</v>
      </c>
      <c r="DE270" s="18">
        <f t="shared" si="14"/>
        <v>1998</v>
      </c>
    </row>
    <row r="271" spans="1:109" x14ac:dyDescent="0.25">
      <c r="A271" s="59" t="s">
        <v>1318</v>
      </c>
      <c r="B271" s="103">
        <v>41568</v>
      </c>
      <c r="C271" s="105" t="s">
        <v>1580</v>
      </c>
      <c r="D271" s="14" t="s">
        <v>793</v>
      </c>
      <c r="E271" s="15"/>
      <c r="F271" s="15"/>
      <c r="G271" s="15" t="s">
        <v>188</v>
      </c>
      <c r="H271" s="15"/>
      <c r="I271" s="15">
        <v>62</v>
      </c>
      <c r="J271" s="15" t="s">
        <v>189</v>
      </c>
      <c r="K271" s="15" t="s">
        <v>196</v>
      </c>
      <c r="L271" s="15" t="s">
        <v>592</v>
      </c>
      <c r="M271" s="15" t="s">
        <v>1059</v>
      </c>
      <c r="N271" s="15" t="s">
        <v>1085</v>
      </c>
      <c r="O271" s="15">
        <v>41</v>
      </c>
      <c r="P271" s="15"/>
      <c r="Q271" s="15"/>
      <c r="R271" s="15"/>
      <c r="S271" s="15" t="s">
        <v>188</v>
      </c>
      <c r="T271" s="15"/>
      <c r="U271" s="15" t="s">
        <v>188</v>
      </c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>
        <v>1989</v>
      </c>
      <c r="AI271" s="1">
        <v>970000</v>
      </c>
      <c r="AJ271" s="15"/>
      <c r="AK271" s="15"/>
      <c r="AL271" s="15" t="s">
        <v>188</v>
      </c>
      <c r="AM271" s="15"/>
      <c r="AN271" s="15"/>
      <c r="AO271" s="15"/>
      <c r="AP271" s="15" t="s">
        <v>188</v>
      </c>
      <c r="AQ271" s="15"/>
      <c r="AR271" s="15"/>
      <c r="AS271" s="15"/>
      <c r="AT271" s="15" t="s">
        <v>390</v>
      </c>
      <c r="AU271" s="1">
        <v>7500</v>
      </c>
      <c r="AV271" s="48">
        <v>0.5</v>
      </c>
      <c r="AW271" s="15">
        <v>2.7</v>
      </c>
      <c r="AX271" s="15">
        <v>2.2999999999999998</v>
      </c>
      <c r="AY271" s="15">
        <v>2</v>
      </c>
      <c r="AZ271" s="15">
        <v>960</v>
      </c>
      <c r="BA271" s="15">
        <v>2400</v>
      </c>
      <c r="BB271" s="15" t="s">
        <v>188</v>
      </c>
      <c r="BC271" s="15" t="s">
        <v>188</v>
      </c>
      <c r="BD271" s="15" t="s">
        <v>199</v>
      </c>
      <c r="BE271" s="1">
        <v>11000</v>
      </c>
      <c r="BF271" s="1">
        <v>8000</v>
      </c>
      <c r="BG271" s="1">
        <v>25000</v>
      </c>
      <c r="BH271" s="1">
        <v>90000</v>
      </c>
      <c r="BI271" s="1">
        <v>25000</v>
      </c>
      <c r="BJ271" s="15"/>
      <c r="BK271" s="15"/>
      <c r="BL271" s="15"/>
      <c r="BM271" s="15"/>
      <c r="BN271" s="15"/>
      <c r="BO271" s="15"/>
      <c r="BP271" s="15"/>
      <c r="BQ271" s="15"/>
      <c r="BR271" s="15"/>
      <c r="BS271" s="2" t="s">
        <v>314</v>
      </c>
      <c r="BT271" s="15"/>
      <c r="BU271" s="15" t="s">
        <v>188</v>
      </c>
      <c r="BV271" s="15"/>
      <c r="BW271" s="15"/>
      <c r="BX271" s="15">
        <v>1</v>
      </c>
      <c r="BY271" s="15">
        <v>2</v>
      </c>
      <c r="BZ271" s="15">
        <v>3</v>
      </c>
      <c r="CA271" s="15"/>
      <c r="CB271" s="15"/>
      <c r="CC271" s="15" t="s">
        <v>188</v>
      </c>
      <c r="CD271" s="15"/>
      <c r="CE271" s="15" t="s">
        <v>188</v>
      </c>
      <c r="CF271" s="15"/>
      <c r="CG271" s="15" t="s">
        <v>188</v>
      </c>
      <c r="CH271" s="15" t="s">
        <v>188</v>
      </c>
      <c r="CI271" s="15" t="s">
        <v>188</v>
      </c>
      <c r="CJ271" s="15"/>
      <c r="CK271" s="15" t="s">
        <v>188</v>
      </c>
      <c r="CL271" s="15"/>
      <c r="CM271" s="15"/>
      <c r="CN271" s="15"/>
      <c r="CO271" s="15"/>
      <c r="CP271" s="15" t="s">
        <v>193</v>
      </c>
      <c r="CQ271" s="15" t="s">
        <v>309</v>
      </c>
      <c r="CR271" s="15"/>
      <c r="CS271" s="15"/>
      <c r="CT271" s="15"/>
      <c r="CU271" s="15" t="s">
        <v>324</v>
      </c>
      <c r="CV271" s="15"/>
      <c r="CW271" s="15"/>
      <c r="CX271" s="15" t="s">
        <v>188</v>
      </c>
      <c r="CY271" s="15" t="s">
        <v>188</v>
      </c>
      <c r="CZ271" s="3"/>
      <c r="DA271" s="49"/>
      <c r="DC271" s="18">
        <f t="shared" si="12"/>
        <v>0</v>
      </c>
      <c r="DD271" s="18">
        <f t="shared" si="13"/>
        <v>3</v>
      </c>
      <c r="DE271" s="18">
        <f t="shared" si="14"/>
        <v>1989</v>
      </c>
    </row>
    <row r="272" spans="1:109" x14ac:dyDescent="0.25">
      <c r="A272" s="59" t="s">
        <v>1318</v>
      </c>
      <c r="B272" s="103">
        <v>41569</v>
      </c>
      <c r="C272" s="105" t="s">
        <v>1580</v>
      </c>
      <c r="D272" s="14" t="s">
        <v>794</v>
      </c>
      <c r="E272" s="15"/>
      <c r="F272" s="15"/>
      <c r="G272" s="15" t="s">
        <v>188</v>
      </c>
      <c r="H272" s="15"/>
      <c r="I272" s="15">
        <v>25</v>
      </c>
      <c r="J272" s="15" t="s">
        <v>189</v>
      </c>
      <c r="K272" s="15" t="s">
        <v>214</v>
      </c>
      <c r="L272" s="15" t="s">
        <v>790</v>
      </c>
      <c r="M272" s="15" t="s">
        <v>1010</v>
      </c>
      <c r="N272" s="15" t="s">
        <v>1084</v>
      </c>
      <c r="O272" s="15">
        <v>3</v>
      </c>
      <c r="P272" s="15" t="s">
        <v>188</v>
      </c>
      <c r="Q272" s="15"/>
      <c r="R272" s="15"/>
      <c r="S272" s="15"/>
      <c r="T272" s="15"/>
      <c r="U272" s="15" t="s">
        <v>188</v>
      </c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>
        <v>1996</v>
      </c>
      <c r="AI272" s="1">
        <v>630000</v>
      </c>
      <c r="AJ272" s="15"/>
      <c r="AK272" s="15"/>
      <c r="AL272" s="15" t="s">
        <v>188</v>
      </c>
      <c r="AM272" s="15"/>
      <c r="AN272" s="15"/>
      <c r="AO272" s="15"/>
      <c r="AP272" s="15" t="s">
        <v>188</v>
      </c>
      <c r="AQ272" s="15"/>
      <c r="AR272" s="15"/>
      <c r="AS272" s="15"/>
      <c r="AT272" s="15" t="s">
        <v>198</v>
      </c>
      <c r="AU272" s="1">
        <v>6000</v>
      </c>
      <c r="AV272" s="48">
        <v>0.5</v>
      </c>
      <c r="AW272" s="15">
        <v>2.8</v>
      </c>
      <c r="AX272" s="15">
        <v>2.6</v>
      </c>
      <c r="AY272" s="15">
        <v>2</v>
      </c>
      <c r="AZ272" s="15">
        <v>700</v>
      </c>
      <c r="BA272" s="15">
        <v>1900</v>
      </c>
      <c r="BB272" s="15" t="s">
        <v>188</v>
      </c>
      <c r="BC272" s="15" t="s">
        <v>188</v>
      </c>
      <c r="BD272" s="15" t="s">
        <v>199</v>
      </c>
      <c r="BE272" s="1">
        <v>10000</v>
      </c>
      <c r="BF272" s="1">
        <v>20000</v>
      </c>
      <c r="BG272" s="1">
        <v>30000</v>
      </c>
      <c r="BH272" s="1">
        <v>170000</v>
      </c>
      <c r="BI272" s="1">
        <v>30000</v>
      </c>
      <c r="BJ272" s="15"/>
      <c r="BK272" s="15"/>
      <c r="BL272" s="15"/>
      <c r="BM272" s="15"/>
      <c r="BN272" s="15"/>
      <c r="BO272" s="15"/>
      <c r="BP272" s="15"/>
      <c r="BQ272" s="15"/>
      <c r="BR272" s="15"/>
      <c r="BS272" s="2" t="s">
        <v>560</v>
      </c>
      <c r="BT272" s="15"/>
      <c r="BU272" s="15"/>
      <c r="BV272" s="15" t="s">
        <v>188</v>
      </c>
      <c r="BW272" s="15"/>
      <c r="BX272" s="15">
        <v>2</v>
      </c>
      <c r="BY272" s="15">
        <v>1</v>
      </c>
      <c r="BZ272" s="15">
        <v>3</v>
      </c>
      <c r="CA272" s="15"/>
      <c r="CB272" s="15"/>
      <c r="CC272" s="15" t="s">
        <v>188</v>
      </c>
      <c r="CD272" s="15"/>
      <c r="CE272" s="15" t="s">
        <v>188</v>
      </c>
      <c r="CF272" s="15"/>
      <c r="CG272" s="15" t="s">
        <v>188</v>
      </c>
      <c r="CH272" s="15" t="s">
        <v>188</v>
      </c>
      <c r="CI272" s="15" t="s">
        <v>188</v>
      </c>
      <c r="CJ272" s="15"/>
      <c r="CK272" s="15" t="s">
        <v>188</v>
      </c>
      <c r="CL272" s="15"/>
      <c r="CM272" s="15"/>
      <c r="CN272" s="15"/>
      <c r="CO272" s="15"/>
      <c r="CP272" s="15" t="s">
        <v>193</v>
      </c>
      <c r="CQ272" s="15" t="s">
        <v>309</v>
      </c>
      <c r="CR272" s="15" t="s">
        <v>188</v>
      </c>
      <c r="CS272" s="15"/>
      <c r="CT272" s="15"/>
      <c r="CU272" s="15"/>
      <c r="CV272" s="15"/>
      <c r="CW272" s="15"/>
      <c r="CX272" s="15"/>
      <c r="CY272" s="15" t="s">
        <v>188</v>
      </c>
      <c r="CZ272" s="3"/>
      <c r="DA272" s="49"/>
      <c r="DC272" s="18">
        <f t="shared" si="12"/>
        <v>0</v>
      </c>
      <c r="DD272" s="18">
        <f t="shared" si="13"/>
        <v>3</v>
      </c>
      <c r="DE272" s="18">
        <f t="shared" si="14"/>
        <v>1996</v>
      </c>
    </row>
    <row r="273" spans="1:109" x14ac:dyDescent="0.25">
      <c r="A273" s="59" t="s">
        <v>1318</v>
      </c>
      <c r="B273" s="103">
        <v>41569</v>
      </c>
      <c r="C273" s="105" t="s">
        <v>1580</v>
      </c>
      <c r="D273" s="14" t="s">
        <v>795</v>
      </c>
      <c r="E273" s="15"/>
      <c r="F273" s="15" t="s">
        <v>188</v>
      </c>
      <c r="G273" s="15"/>
      <c r="H273" s="15"/>
      <c r="I273" s="15">
        <v>60</v>
      </c>
      <c r="J273" s="15" t="s">
        <v>189</v>
      </c>
      <c r="K273" s="15" t="s">
        <v>196</v>
      </c>
      <c r="L273" s="15" t="s">
        <v>386</v>
      </c>
      <c r="M273" s="15" t="s">
        <v>1017</v>
      </c>
      <c r="N273" s="15" t="s">
        <v>1085</v>
      </c>
      <c r="O273" s="15">
        <v>38</v>
      </c>
      <c r="P273" s="15"/>
      <c r="Q273" s="15" t="s">
        <v>188</v>
      </c>
      <c r="R273" s="15"/>
      <c r="S273" s="15"/>
      <c r="T273" s="15"/>
      <c r="U273" s="15" t="s">
        <v>188</v>
      </c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>
        <v>1990</v>
      </c>
      <c r="AI273" s="1">
        <v>853500</v>
      </c>
      <c r="AJ273" s="15"/>
      <c r="AK273" s="15"/>
      <c r="AL273" s="15" t="s">
        <v>188</v>
      </c>
      <c r="AM273" s="15"/>
      <c r="AN273" s="15"/>
      <c r="AO273" s="15"/>
      <c r="AP273" s="15" t="s">
        <v>188</v>
      </c>
      <c r="AQ273" s="15"/>
      <c r="AR273" s="15"/>
      <c r="AS273" s="15"/>
      <c r="AT273" s="15" t="s">
        <v>322</v>
      </c>
      <c r="AU273" s="1">
        <v>4500</v>
      </c>
      <c r="AV273" s="48">
        <v>0.5</v>
      </c>
      <c r="AW273" s="15">
        <v>3.5</v>
      </c>
      <c r="AX273" s="15">
        <v>3.2</v>
      </c>
      <c r="AY273" s="15">
        <v>2</v>
      </c>
      <c r="AZ273" s="15">
        <v>750</v>
      </c>
      <c r="BA273" s="15">
        <v>1800</v>
      </c>
      <c r="BB273" s="15" t="s">
        <v>188</v>
      </c>
      <c r="BC273" s="15" t="s">
        <v>188</v>
      </c>
      <c r="BD273" s="15" t="s">
        <v>199</v>
      </c>
      <c r="BE273" s="1">
        <v>6000</v>
      </c>
      <c r="BF273" s="1">
        <v>30000</v>
      </c>
      <c r="BG273" s="1">
        <v>25000</v>
      </c>
      <c r="BH273" s="1">
        <v>81000</v>
      </c>
      <c r="BI273" s="1">
        <v>25000</v>
      </c>
      <c r="BJ273" s="15"/>
      <c r="BK273" s="15"/>
      <c r="BL273" s="15"/>
      <c r="BM273" s="15"/>
      <c r="BN273" s="15"/>
      <c r="BO273" s="15"/>
      <c r="BP273" s="15"/>
      <c r="BQ273" s="15"/>
      <c r="BR273" s="15"/>
      <c r="BS273" s="2" t="s">
        <v>314</v>
      </c>
      <c r="BT273" s="15"/>
      <c r="BU273" s="15" t="s">
        <v>188</v>
      </c>
      <c r="BV273" s="15"/>
      <c r="BW273" s="15"/>
      <c r="BX273" s="15">
        <v>1</v>
      </c>
      <c r="BY273" s="15">
        <v>3</v>
      </c>
      <c r="BZ273" s="15">
        <v>2</v>
      </c>
      <c r="CA273" s="15"/>
      <c r="CB273" s="15"/>
      <c r="CC273" s="15" t="s">
        <v>188</v>
      </c>
      <c r="CD273" s="15"/>
      <c r="CE273" s="15"/>
      <c r="CF273" s="15"/>
      <c r="CG273" s="15" t="s">
        <v>188</v>
      </c>
      <c r="CH273" s="15" t="s">
        <v>188</v>
      </c>
      <c r="CI273" s="15" t="s">
        <v>188</v>
      </c>
      <c r="CJ273" s="15"/>
      <c r="CK273" s="15" t="s">
        <v>188</v>
      </c>
      <c r="CL273" s="15"/>
      <c r="CM273" s="15"/>
      <c r="CN273" s="15"/>
      <c r="CO273" s="15"/>
      <c r="CP273" s="15" t="s">
        <v>193</v>
      </c>
      <c r="CQ273" s="15" t="s">
        <v>309</v>
      </c>
      <c r="CR273" s="15" t="s">
        <v>188</v>
      </c>
      <c r="CS273" s="15"/>
      <c r="CT273" s="15"/>
      <c r="CU273" s="15"/>
      <c r="CV273" s="15"/>
      <c r="CW273" s="15"/>
      <c r="CX273" s="15" t="s">
        <v>188</v>
      </c>
      <c r="CY273" s="15" t="s">
        <v>188</v>
      </c>
      <c r="CZ273" s="3"/>
      <c r="DA273" s="49"/>
      <c r="DC273" s="18">
        <f t="shared" si="12"/>
        <v>0</v>
      </c>
      <c r="DD273" s="18">
        <f t="shared" si="13"/>
        <v>2</v>
      </c>
      <c r="DE273" s="18">
        <f t="shared" si="14"/>
        <v>1990</v>
      </c>
    </row>
    <row r="274" spans="1:109" x14ac:dyDescent="0.25">
      <c r="A274" s="59" t="s">
        <v>1318</v>
      </c>
      <c r="B274" s="103">
        <v>41569</v>
      </c>
      <c r="C274" s="105" t="s">
        <v>1580</v>
      </c>
      <c r="D274" s="14" t="s">
        <v>796</v>
      </c>
      <c r="E274" s="15"/>
      <c r="F274" s="15"/>
      <c r="G274" s="15"/>
      <c r="H274" s="15" t="s">
        <v>188</v>
      </c>
      <c r="I274" s="15">
        <v>45</v>
      </c>
      <c r="J274" s="15" t="s">
        <v>189</v>
      </c>
      <c r="K274" s="15" t="s">
        <v>196</v>
      </c>
      <c r="L274" s="15" t="s">
        <v>413</v>
      </c>
      <c r="M274" s="15" t="s">
        <v>1041</v>
      </c>
      <c r="N274" s="15" t="s">
        <v>1085</v>
      </c>
      <c r="O274" s="15">
        <v>26</v>
      </c>
      <c r="P274" s="15" t="s">
        <v>188</v>
      </c>
      <c r="Q274" s="15"/>
      <c r="R274" s="15"/>
      <c r="S274" s="15"/>
      <c r="T274" s="15"/>
      <c r="U274" s="15" t="s">
        <v>188</v>
      </c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>
        <v>1993</v>
      </c>
      <c r="AI274" s="1">
        <v>700000</v>
      </c>
      <c r="AJ274" s="15"/>
      <c r="AK274" s="15"/>
      <c r="AL274" s="15" t="s">
        <v>188</v>
      </c>
      <c r="AM274" s="15"/>
      <c r="AN274" s="15"/>
      <c r="AO274" s="15"/>
      <c r="AP274" s="15" t="s">
        <v>188</v>
      </c>
      <c r="AQ274" s="15"/>
      <c r="AR274" s="15"/>
      <c r="AS274" s="15"/>
      <c r="AT274" s="15" t="s">
        <v>1316</v>
      </c>
      <c r="AU274" s="1">
        <v>4000</v>
      </c>
      <c r="AV274" s="48">
        <v>0.5</v>
      </c>
      <c r="AW274" s="15">
        <v>2.8</v>
      </c>
      <c r="AX274" s="15">
        <v>2.5</v>
      </c>
      <c r="AY274" s="15">
        <v>2</v>
      </c>
      <c r="AZ274" s="15">
        <v>580</v>
      </c>
      <c r="BA274" s="15">
        <v>1500</v>
      </c>
      <c r="BB274" s="15" t="s">
        <v>199</v>
      </c>
      <c r="BC274" s="15" t="s">
        <v>188</v>
      </c>
      <c r="BD274" s="15" t="s">
        <v>199</v>
      </c>
      <c r="BE274" s="1">
        <v>15000</v>
      </c>
      <c r="BF274" s="1">
        <v>20000</v>
      </c>
      <c r="BG274" s="1">
        <v>30000</v>
      </c>
      <c r="BH274" s="1">
        <v>150000</v>
      </c>
      <c r="BI274" s="1">
        <v>30000</v>
      </c>
      <c r="BJ274" s="15"/>
      <c r="BK274" s="15"/>
      <c r="BL274" s="15"/>
      <c r="BM274" s="15"/>
      <c r="BN274" s="15"/>
      <c r="BO274" s="15"/>
      <c r="BP274" s="15"/>
      <c r="BQ274" s="15"/>
      <c r="BR274" s="15"/>
      <c r="BS274" s="2" t="s">
        <v>314</v>
      </c>
      <c r="BT274" s="15"/>
      <c r="BU274" s="15"/>
      <c r="BV274" s="15" t="s">
        <v>188</v>
      </c>
      <c r="BW274" s="15"/>
      <c r="BX274" s="15"/>
      <c r="BY274" s="15"/>
      <c r="BZ274" s="15"/>
      <c r="CA274" s="15" t="s">
        <v>780</v>
      </c>
      <c r="CB274" s="15" t="s">
        <v>188</v>
      </c>
      <c r="CC274" s="15"/>
      <c r="CD274" s="15"/>
      <c r="CE274" s="15"/>
      <c r="CF274" s="15"/>
      <c r="CG274" s="15"/>
      <c r="CH274" s="15"/>
      <c r="CI274" s="15"/>
      <c r="CJ274" s="15"/>
      <c r="CK274" s="15" t="s">
        <v>188</v>
      </c>
      <c r="CL274" s="15"/>
      <c r="CM274" s="15"/>
      <c r="CN274" s="15"/>
      <c r="CO274" s="15"/>
      <c r="CP274" s="15" t="s">
        <v>193</v>
      </c>
      <c r="CQ274" s="15" t="s">
        <v>309</v>
      </c>
      <c r="CR274" s="15"/>
      <c r="CS274" s="15"/>
      <c r="CT274" s="15"/>
      <c r="CU274" s="15" t="s">
        <v>324</v>
      </c>
      <c r="CV274" s="15"/>
      <c r="CW274" s="15"/>
      <c r="CX274" s="15"/>
      <c r="CY274" s="15" t="s">
        <v>188</v>
      </c>
      <c r="CZ274" s="3"/>
      <c r="DA274" s="49"/>
      <c r="DC274" s="18">
        <f t="shared" si="12"/>
        <v>0</v>
      </c>
      <c r="DD274" s="18">
        <f t="shared" si="13"/>
        <v>7</v>
      </c>
      <c r="DE274" s="18">
        <f t="shared" si="14"/>
        <v>1993</v>
      </c>
    </row>
    <row r="275" spans="1:109" x14ac:dyDescent="0.25">
      <c r="A275" s="59" t="s">
        <v>1318</v>
      </c>
      <c r="B275" s="103">
        <v>41569</v>
      </c>
      <c r="C275" s="105" t="s">
        <v>1580</v>
      </c>
      <c r="D275" s="14" t="s">
        <v>797</v>
      </c>
      <c r="E275" s="15"/>
      <c r="F275" s="15" t="s">
        <v>188</v>
      </c>
      <c r="G275" s="15"/>
      <c r="H275" s="15"/>
      <c r="I275" s="15">
        <v>29</v>
      </c>
      <c r="J275" s="15" t="s">
        <v>189</v>
      </c>
      <c r="K275" s="15" t="s">
        <v>190</v>
      </c>
      <c r="L275" s="15" t="s">
        <v>798</v>
      </c>
      <c r="M275" s="15" t="s">
        <v>1028</v>
      </c>
      <c r="N275" s="15" t="s">
        <v>1084</v>
      </c>
      <c r="O275" s="15">
        <v>5</v>
      </c>
      <c r="P275" s="15" t="s">
        <v>188</v>
      </c>
      <c r="Q275" s="15"/>
      <c r="R275" s="15"/>
      <c r="S275" s="15"/>
      <c r="T275" s="15"/>
      <c r="U275" s="15" t="s">
        <v>188</v>
      </c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>
        <v>2005</v>
      </c>
      <c r="AI275" s="1">
        <v>300000</v>
      </c>
      <c r="AJ275" s="15"/>
      <c r="AK275" s="15"/>
      <c r="AL275" s="15" t="s">
        <v>188</v>
      </c>
      <c r="AM275" s="15"/>
      <c r="AN275" s="15"/>
      <c r="AO275" s="15"/>
      <c r="AP275" s="15" t="s">
        <v>188</v>
      </c>
      <c r="AQ275" s="15"/>
      <c r="AR275" s="15"/>
      <c r="AS275" s="15"/>
      <c r="AT275" s="15" t="s">
        <v>233</v>
      </c>
      <c r="AU275" s="1">
        <v>1200</v>
      </c>
      <c r="AV275" s="48">
        <v>0.5</v>
      </c>
      <c r="AW275" s="15">
        <v>5</v>
      </c>
      <c r="AX275" s="15">
        <v>4</v>
      </c>
      <c r="AY275" s="15">
        <v>1</v>
      </c>
      <c r="AZ275" s="15">
        <v>100</v>
      </c>
      <c r="BA275" s="15">
        <v>400</v>
      </c>
      <c r="BB275" s="15" t="s">
        <v>199</v>
      </c>
      <c r="BC275" s="15" t="s">
        <v>199</v>
      </c>
      <c r="BD275" s="15" t="s">
        <v>188</v>
      </c>
      <c r="BE275" s="1">
        <v>20000</v>
      </c>
      <c r="BF275" s="1">
        <v>24000</v>
      </c>
      <c r="BG275" s="1">
        <v>60000</v>
      </c>
      <c r="BH275" s="1">
        <v>28000</v>
      </c>
      <c r="BI275" s="1" t="s">
        <v>234</v>
      </c>
      <c r="BJ275" s="15"/>
      <c r="BK275" s="15"/>
      <c r="BL275" s="15"/>
      <c r="BM275" s="15"/>
      <c r="BN275" s="15"/>
      <c r="BO275" s="15"/>
      <c r="BP275" s="15"/>
      <c r="BQ275" s="15"/>
      <c r="BR275" s="15"/>
      <c r="BS275" s="2" t="s">
        <v>314</v>
      </c>
      <c r="BT275" s="15"/>
      <c r="BU275" s="15"/>
      <c r="BV275" s="15" t="s">
        <v>188</v>
      </c>
      <c r="BW275" s="15"/>
      <c r="BX275" s="15"/>
      <c r="BY275" s="15"/>
      <c r="BZ275" s="15"/>
      <c r="CA275" s="15" t="s">
        <v>780</v>
      </c>
      <c r="CB275" s="15" t="s">
        <v>188</v>
      </c>
      <c r="CC275" s="15"/>
      <c r="CD275" s="15"/>
      <c r="CE275" s="15"/>
      <c r="CF275" s="15"/>
      <c r="CG275" s="15"/>
      <c r="CH275" s="15"/>
      <c r="CI275" s="15"/>
      <c r="CJ275" s="15"/>
      <c r="CK275" s="15" t="s">
        <v>188</v>
      </c>
      <c r="CL275" s="15"/>
      <c r="CM275" s="15"/>
      <c r="CN275" s="15"/>
      <c r="CO275" s="15"/>
      <c r="CP275" s="15" t="s">
        <v>193</v>
      </c>
      <c r="CQ275" s="15" t="s">
        <v>300</v>
      </c>
      <c r="CR275" s="15" t="s">
        <v>188</v>
      </c>
      <c r="CS275" s="15"/>
      <c r="CT275" s="15"/>
      <c r="CU275" s="15"/>
      <c r="CV275" s="15" t="s">
        <v>188</v>
      </c>
      <c r="CW275" s="15" t="s">
        <v>799</v>
      </c>
      <c r="CX275" s="15"/>
      <c r="CY275" s="15"/>
      <c r="CZ275" s="3"/>
      <c r="DA275" s="49"/>
      <c r="DC275" s="18">
        <f t="shared" si="12"/>
        <v>0</v>
      </c>
      <c r="DD275" s="18">
        <f t="shared" si="13"/>
        <v>2</v>
      </c>
      <c r="DE275" s="18">
        <f t="shared" si="14"/>
        <v>2005</v>
      </c>
    </row>
    <row r="276" spans="1:109" x14ac:dyDescent="0.25">
      <c r="A276" s="59" t="s">
        <v>1318</v>
      </c>
      <c r="B276" s="103">
        <v>41569</v>
      </c>
      <c r="C276" s="105" t="s">
        <v>1580</v>
      </c>
      <c r="D276" s="14" t="s">
        <v>800</v>
      </c>
      <c r="E276" s="15"/>
      <c r="F276" s="15"/>
      <c r="G276" s="15" t="s">
        <v>188</v>
      </c>
      <c r="H276" s="15"/>
      <c r="I276" s="15">
        <v>36</v>
      </c>
      <c r="J276" s="15" t="s">
        <v>189</v>
      </c>
      <c r="K276" s="15" t="s">
        <v>190</v>
      </c>
      <c r="L276" s="15" t="s">
        <v>790</v>
      </c>
      <c r="M276" s="15" t="s">
        <v>1010</v>
      </c>
      <c r="N276" s="15" t="s">
        <v>1084</v>
      </c>
      <c r="O276" s="15">
        <v>10</v>
      </c>
      <c r="P276" s="15" t="s">
        <v>188</v>
      </c>
      <c r="Q276" s="15"/>
      <c r="R276" s="15"/>
      <c r="S276" s="15"/>
      <c r="T276" s="15"/>
      <c r="U276" s="15" t="s">
        <v>188</v>
      </c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>
        <v>1995</v>
      </c>
      <c r="AI276" s="1">
        <v>650000</v>
      </c>
      <c r="AJ276" s="15"/>
      <c r="AK276" s="15"/>
      <c r="AL276" s="15" t="s">
        <v>188</v>
      </c>
      <c r="AM276" s="15"/>
      <c r="AN276" s="15"/>
      <c r="AO276" s="15"/>
      <c r="AP276" s="15" t="s">
        <v>188</v>
      </c>
      <c r="AQ276" s="15"/>
      <c r="AR276" s="15"/>
      <c r="AS276" s="15"/>
      <c r="AT276" s="15" t="s">
        <v>237</v>
      </c>
      <c r="AU276" s="1">
        <v>5000</v>
      </c>
      <c r="AV276" s="48">
        <v>0.5</v>
      </c>
      <c r="AW276" s="15">
        <v>2.9</v>
      </c>
      <c r="AX276" s="15">
        <v>2.5</v>
      </c>
      <c r="AY276" s="15">
        <v>2</v>
      </c>
      <c r="AZ276" s="15">
        <v>670</v>
      </c>
      <c r="BA276" s="15">
        <v>1800</v>
      </c>
      <c r="BB276" s="15" t="s">
        <v>188</v>
      </c>
      <c r="BC276" s="15" t="s">
        <v>188</v>
      </c>
      <c r="BD276" s="15" t="s">
        <v>199</v>
      </c>
      <c r="BE276" s="1">
        <v>10000</v>
      </c>
      <c r="BF276" s="1">
        <v>8000</v>
      </c>
      <c r="BG276" s="1">
        <v>30000</v>
      </c>
      <c r="BH276" s="1">
        <f>AU276*24</f>
        <v>120000</v>
      </c>
      <c r="BI276" s="1">
        <v>30000</v>
      </c>
      <c r="BJ276" s="15"/>
      <c r="BK276" s="15"/>
      <c r="BL276" s="15"/>
      <c r="BM276" s="15"/>
      <c r="BN276" s="15"/>
      <c r="BO276" s="15"/>
      <c r="BP276" s="15"/>
      <c r="BQ276" s="15"/>
      <c r="BR276" s="15"/>
      <c r="BS276" s="2" t="s">
        <v>314</v>
      </c>
      <c r="BT276" s="15"/>
      <c r="BU276" s="15" t="s">
        <v>188</v>
      </c>
      <c r="BV276" s="15"/>
      <c r="BW276" s="15"/>
      <c r="BX276" s="15">
        <v>1</v>
      </c>
      <c r="BY276" s="15">
        <v>3</v>
      </c>
      <c r="BZ276" s="15">
        <v>2</v>
      </c>
      <c r="CA276" s="15"/>
      <c r="CB276" s="15"/>
      <c r="CC276" s="15" t="s">
        <v>188</v>
      </c>
      <c r="CD276" s="15"/>
      <c r="CE276" s="15"/>
      <c r="CF276" s="15"/>
      <c r="CG276" s="15" t="s">
        <v>188</v>
      </c>
      <c r="CH276" s="15" t="s">
        <v>188</v>
      </c>
      <c r="CI276" s="15" t="s">
        <v>188</v>
      </c>
      <c r="CJ276" s="15"/>
      <c r="CK276" s="15" t="s">
        <v>188</v>
      </c>
      <c r="CL276" s="15"/>
      <c r="CM276" s="15"/>
      <c r="CN276" s="15"/>
      <c r="CO276" s="15"/>
      <c r="CP276" s="15" t="s">
        <v>193</v>
      </c>
      <c r="CQ276" s="15" t="s">
        <v>300</v>
      </c>
      <c r="CR276" s="15" t="s">
        <v>188</v>
      </c>
      <c r="CS276" s="15"/>
      <c r="CT276" s="15"/>
      <c r="CU276" s="15"/>
      <c r="CV276" s="15"/>
      <c r="CW276" s="15"/>
      <c r="CX276" s="15"/>
      <c r="CY276" s="15"/>
      <c r="CZ276" s="3" t="s">
        <v>324</v>
      </c>
      <c r="DA276" s="49"/>
      <c r="DC276" s="18">
        <f t="shared" si="12"/>
        <v>0</v>
      </c>
      <c r="DD276" s="18">
        <f t="shared" si="13"/>
        <v>3</v>
      </c>
      <c r="DE276" s="18">
        <f t="shared" si="14"/>
        <v>1995</v>
      </c>
    </row>
    <row r="277" spans="1:109" x14ac:dyDescent="0.25">
      <c r="A277" s="59" t="s">
        <v>1318</v>
      </c>
      <c r="B277" s="103">
        <v>41570</v>
      </c>
      <c r="C277" s="105" t="s">
        <v>1580</v>
      </c>
      <c r="D277" s="14" t="s">
        <v>801</v>
      </c>
      <c r="E277" s="15"/>
      <c r="F277" s="15"/>
      <c r="G277" s="15" t="s">
        <v>188</v>
      </c>
      <c r="H277" s="15"/>
      <c r="I277" s="15">
        <v>40</v>
      </c>
      <c r="J277" s="15" t="s">
        <v>189</v>
      </c>
      <c r="K277" s="15" t="s">
        <v>190</v>
      </c>
      <c r="L277" s="15" t="s">
        <v>802</v>
      </c>
      <c r="M277" s="15" t="s">
        <v>1100</v>
      </c>
      <c r="N277" s="15" t="s">
        <v>1085</v>
      </c>
      <c r="O277" s="15">
        <v>23</v>
      </c>
      <c r="P277" s="15"/>
      <c r="Q277" s="15"/>
      <c r="R277" s="15"/>
      <c r="S277" s="15" t="s">
        <v>188</v>
      </c>
      <c r="T277" s="15"/>
      <c r="U277" s="15" t="s">
        <v>188</v>
      </c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>
        <v>1998</v>
      </c>
      <c r="AI277" s="1">
        <v>1200000</v>
      </c>
      <c r="AJ277" s="15"/>
      <c r="AK277" s="15"/>
      <c r="AL277" s="15" t="s">
        <v>188</v>
      </c>
      <c r="AM277" s="15"/>
      <c r="AN277" s="15"/>
      <c r="AO277" s="15"/>
      <c r="AP277" s="15" t="s">
        <v>188</v>
      </c>
      <c r="AQ277" s="15"/>
      <c r="AR277" s="15"/>
      <c r="AS277" s="15"/>
      <c r="AT277" s="15" t="s">
        <v>390</v>
      </c>
      <c r="AU277" s="1">
        <v>5000</v>
      </c>
      <c r="AV277" s="48">
        <v>0.5</v>
      </c>
      <c r="AW277" s="15">
        <v>2.2999999999999998</v>
      </c>
      <c r="AX277" s="15">
        <v>2</v>
      </c>
      <c r="AY277" s="15">
        <v>2</v>
      </c>
      <c r="AZ277" s="15">
        <v>1000</v>
      </c>
      <c r="BA277" s="15">
        <v>2200</v>
      </c>
      <c r="BB277" s="15" t="s">
        <v>199</v>
      </c>
      <c r="BC277" s="15" t="s">
        <v>188</v>
      </c>
      <c r="BD277" s="15" t="s">
        <v>199</v>
      </c>
      <c r="BE277" s="1">
        <v>16000</v>
      </c>
      <c r="BF277" s="1">
        <v>10000</v>
      </c>
      <c r="BG277" s="1">
        <v>30000</v>
      </c>
      <c r="BH277" s="1">
        <v>220000</v>
      </c>
      <c r="BI277" s="1">
        <v>30000</v>
      </c>
      <c r="BJ277" s="15"/>
      <c r="BK277" s="15"/>
      <c r="BL277" s="15"/>
      <c r="BM277" s="15"/>
      <c r="BN277" s="15"/>
      <c r="BO277" s="15"/>
      <c r="BP277" s="15"/>
      <c r="BQ277" s="15"/>
      <c r="BR277" s="15"/>
      <c r="BS277" s="2" t="s">
        <v>803</v>
      </c>
      <c r="BT277" s="15"/>
      <c r="BU277" s="15" t="s">
        <v>188</v>
      </c>
      <c r="BV277" s="15"/>
      <c r="BW277" s="15"/>
      <c r="BX277" s="15">
        <v>3</v>
      </c>
      <c r="BY277" s="15">
        <v>2</v>
      </c>
      <c r="BZ277" s="15">
        <v>1</v>
      </c>
      <c r="CA277" s="15"/>
      <c r="CB277" s="15" t="s">
        <v>188</v>
      </c>
      <c r="CC277" s="15"/>
      <c r="CD277" s="15"/>
      <c r="CE277" s="15"/>
      <c r="CF277" s="15"/>
      <c r="CG277" s="15"/>
      <c r="CH277" s="15"/>
      <c r="CI277" s="15"/>
      <c r="CJ277" s="15"/>
      <c r="CK277" s="15" t="s">
        <v>188</v>
      </c>
      <c r="CL277" s="15"/>
      <c r="CM277" s="15"/>
      <c r="CN277" s="15"/>
      <c r="CO277" s="15"/>
      <c r="CP277" s="15" t="s">
        <v>193</v>
      </c>
      <c r="CQ277" s="15" t="s">
        <v>300</v>
      </c>
      <c r="CR277" s="15" t="s">
        <v>188</v>
      </c>
      <c r="CS277" s="15"/>
      <c r="CT277" s="15"/>
      <c r="CU277" s="15"/>
      <c r="CV277" s="15" t="s">
        <v>188</v>
      </c>
      <c r="CW277" s="15" t="s">
        <v>270</v>
      </c>
      <c r="CX277" s="15"/>
      <c r="CY277" s="15"/>
      <c r="CZ277" s="3"/>
      <c r="DA277" s="49"/>
      <c r="DC277" s="18">
        <f t="shared" si="12"/>
        <v>0</v>
      </c>
      <c r="DD277" s="18">
        <f t="shared" si="13"/>
        <v>3</v>
      </c>
      <c r="DE277" s="18">
        <f t="shared" si="14"/>
        <v>1998</v>
      </c>
    </row>
    <row r="278" spans="1:109" x14ac:dyDescent="0.25">
      <c r="A278" s="59" t="s">
        <v>1318</v>
      </c>
      <c r="B278" s="103">
        <v>41570</v>
      </c>
      <c r="C278" s="105" t="s">
        <v>1580</v>
      </c>
      <c r="D278" s="14" t="s">
        <v>804</v>
      </c>
      <c r="E278" s="15"/>
      <c r="F278" s="15" t="s">
        <v>188</v>
      </c>
      <c r="G278" s="15"/>
      <c r="H278" s="15"/>
      <c r="I278" s="15">
        <v>65</v>
      </c>
      <c r="J278" s="15" t="s">
        <v>189</v>
      </c>
      <c r="K278" s="15" t="s">
        <v>196</v>
      </c>
      <c r="L278" s="15" t="s">
        <v>415</v>
      </c>
      <c r="M278" s="15" t="s">
        <v>1043</v>
      </c>
      <c r="N278" s="15" t="s">
        <v>1085</v>
      </c>
      <c r="O278" s="15">
        <v>43</v>
      </c>
      <c r="P278" s="15"/>
      <c r="Q278" s="15"/>
      <c r="R278" s="15"/>
      <c r="S278" s="15" t="s">
        <v>188</v>
      </c>
      <c r="T278" s="15"/>
      <c r="U278" s="15" t="s">
        <v>188</v>
      </c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>
        <v>1986</v>
      </c>
      <c r="AI278" s="1">
        <v>1500000</v>
      </c>
      <c r="AJ278" s="15"/>
      <c r="AK278" s="15"/>
      <c r="AL278" s="15" t="s">
        <v>188</v>
      </c>
      <c r="AM278" s="15"/>
      <c r="AN278" s="15"/>
      <c r="AO278" s="15"/>
      <c r="AP278" s="15" t="s">
        <v>188</v>
      </c>
      <c r="AQ278" s="15"/>
      <c r="AR278" s="15"/>
      <c r="AS278" s="15"/>
      <c r="AT278" s="15" t="s">
        <v>1316</v>
      </c>
      <c r="AU278" s="1">
        <v>5000</v>
      </c>
      <c r="AV278" s="48">
        <v>0.5</v>
      </c>
      <c r="AW278" s="15">
        <v>2.2999999999999998</v>
      </c>
      <c r="AX278" s="15">
        <v>2</v>
      </c>
      <c r="AY278" s="15">
        <v>1</v>
      </c>
      <c r="AZ278" s="15">
        <v>400</v>
      </c>
      <c r="BA278" s="15">
        <v>1200</v>
      </c>
      <c r="BB278" s="15" t="s">
        <v>199</v>
      </c>
      <c r="BC278" s="15" t="s">
        <v>188</v>
      </c>
      <c r="BD278" s="15" t="s">
        <v>199</v>
      </c>
      <c r="BE278" s="1">
        <v>12000</v>
      </c>
      <c r="BF278" s="1">
        <v>6000</v>
      </c>
      <c r="BG278" s="1">
        <v>30000</v>
      </c>
      <c r="BH278" s="1">
        <v>120000</v>
      </c>
      <c r="BI278" s="1">
        <v>30000</v>
      </c>
      <c r="BJ278" s="15"/>
      <c r="BK278" s="15"/>
      <c r="BL278" s="15"/>
      <c r="BM278" s="15"/>
      <c r="BN278" s="15"/>
      <c r="BO278" s="15"/>
      <c r="BP278" s="15"/>
      <c r="BQ278" s="15"/>
      <c r="BR278" s="15"/>
      <c r="BS278" s="2" t="s">
        <v>314</v>
      </c>
      <c r="BT278" s="15"/>
      <c r="BU278" s="15"/>
      <c r="BV278" s="15" t="s">
        <v>188</v>
      </c>
      <c r="BW278" s="15"/>
      <c r="BX278" s="15">
        <v>2</v>
      </c>
      <c r="BY278" s="15">
        <v>3</v>
      </c>
      <c r="BZ278" s="15">
        <v>1</v>
      </c>
      <c r="CA278" s="15"/>
      <c r="CB278" s="15" t="s">
        <v>188</v>
      </c>
      <c r="CC278" s="15"/>
      <c r="CD278" s="15"/>
      <c r="CE278" s="15"/>
      <c r="CF278" s="15"/>
      <c r="CG278" s="15"/>
      <c r="CH278" s="15"/>
      <c r="CI278" s="15"/>
      <c r="CJ278" s="15"/>
      <c r="CK278" s="15" t="s">
        <v>188</v>
      </c>
      <c r="CL278" s="15"/>
      <c r="CM278" s="15"/>
      <c r="CN278" s="15"/>
      <c r="CO278" s="15"/>
      <c r="CP278" s="15" t="s">
        <v>193</v>
      </c>
      <c r="CQ278" s="15" t="s">
        <v>193</v>
      </c>
      <c r="CR278" s="15"/>
      <c r="CS278" s="15"/>
      <c r="CT278" s="15"/>
      <c r="CU278" s="15" t="s">
        <v>324</v>
      </c>
      <c r="CV278" s="15"/>
      <c r="CW278" s="15"/>
      <c r="CX278" s="15"/>
      <c r="CY278" s="15" t="s">
        <v>188</v>
      </c>
      <c r="CZ278" s="3"/>
      <c r="DA278" s="49"/>
      <c r="DC278" s="18">
        <f t="shared" si="12"/>
        <v>0</v>
      </c>
      <c r="DD278" s="18">
        <f t="shared" si="13"/>
        <v>2</v>
      </c>
      <c r="DE278" s="18">
        <f t="shared" si="14"/>
        <v>1986</v>
      </c>
    </row>
    <row r="279" spans="1:109" x14ac:dyDescent="0.25">
      <c r="A279" s="59" t="s">
        <v>1318</v>
      </c>
      <c r="B279" s="103">
        <v>41570</v>
      </c>
      <c r="C279" s="105" t="s">
        <v>1580</v>
      </c>
      <c r="D279" s="14" t="s">
        <v>805</v>
      </c>
      <c r="E279" s="15"/>
      <c r="F279" s="15"/>
      <c r="G279" s="15" t="s">
        <v>188</v>
      </c>
      <c r="H279" s="15"/>
      <c r="I279" s="15">
        <v>57</v>
      </c>
      <c r="J279" s="15" t="s">
        <v>189</v>
      </c>
      <c r="K279" s="15" t="s">
        <v>196</v>
      </c>
      <c r="L279" s="15" t="s">
        <v>395</v>
      </c>
      <c r="M279" s="15" t="s">
        <v>1022</v>
      </c>
      <c r="N279" s="15" t="s">
        <v>1085</v>
      </c>
      <c r="O279" s="15">
        <v>32</v>
      </c>
      <c r="P279" s="15"/>
      <c r="Q279" s="15" t="s">
        <v>188</v>
      </c>
      <c r="R279" s="15"/>
      <c r="S279" s="15"/>
      <c r="T279" s="15"/>
      <c r="U279" s="15" t="s">
        <v>188</v>
      </c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>
        <v>1988</v>
      </c>
      <c r="AI279" s="1">
        <v>1250000</v>
      </c>
      <c r="AJ279" s="15"/>
      <c r="AK279" s="15"/>
      <c r="AL279" s="15" t="s">
        <v>188</v>
      </c>
      <c r="AM279" s="15"/>
      <c r="AN279" s="15"/>
      <c r="AO279" s="15"/>
      <c r="AP279" s="15" t="s">
        <v>188</v>
      </c>
      <c r="AQ279" s="15"/>
      <c r="AR279" s="15"/>
      <c r="AS279" s="15"/>
      <c r="AT279" s="15" t="s">
        <v>198</v>
      </c>
      <c r="AU279" s="1">
        <v>5000</v>
      </c>
      <c r="AV279" s="48">
        <v>0.5</v>
      </c>
      <c r="AW279" s="15">
        <v>2.7</v>
      </c>
      <c r="AX279" s="15">
        <v>2.5</v>
      </c>
      <c r="AY279" s="15">
        <v>2</v>
      </c>
      <c r="AZ279" s="15">
        <v>620</v>
      </c>
      <c r="BA279" s="15">
        <v>1600</v>
      </c>
      <c r="BB279" s="15" t="s">
        <v>199</v>
      </c>
      <c r="BC279" s="15" t="s">
        <v>188</v>
      </c>
      <c r="BD279" s="15" t="s">
        <v>199</v>
      </c>
      <c r="BE279" s="1">
        <v>6000</v>
      </c>
      <c r="BF279" s="1">
        <v>10000</v>
      </c>
      <c r="BG279" s="1">
        <v>40000</v>
      </c>
      <c r="BH279" s="1">
        <v>90000</v>
      </c>
      <c r="BI279" s="1">
        <v>40000</v>
      </c>
      <c r="BJ279" s="15"/>
      <c r="BK279" s="15"/>
      <c r="BL279" s="15"/>
      <c r="BM279" s="15"/>
      <c r="BN279" s="15"/>
      <c r="BO279" s="15"/>
      <c r="BP279" s="15"/>
      <c r="BQ279" s="15"/>
      <c r="BR279" s="15"/>
      <c r="BS279" s="2" t="s">
        <v>314</v>
      </c>
      <c r="BT279" s="15"/>
      <c r="BU279" s="15" t="s">
        <v>188</v>
      </c>
      <c r="BV279" s="15"/>
      <c r="BW279" s="15"/>
      <c r="BX279" s="15">
        <v>1</v>
      </c>
      <c r="BY279" s="15">
        <v>3</v>
      </c>
      <c r="BZ279" s="15">
        <v>2</v>
      </c>
      <c r="CA279" s="15"/>
      <c r="CB279" s="15" t="s">
        <v>188</v>
      </c>
      <c r="CC279" s="15"/>
      <c r="CD279" s="15"/>
      <c r="CE279" s="15"/>
      <c r="CF279" s="15"/>
      <c r="CG279" s="15"/>
      <c r="CH279" s="15"/>
      <c r="CI279" s="15"/>
      <c r="CJ279" s="15"/>
      <c r="CK279" s="15" t="s">
        <v>188</v>
      </c>
      <c r="CL279" s="15"/>
      <c r="CM279" s="15"/>
      <c r="CN279" s="15"/>
      <c r="CO279" s="15"/>
      <c r="CP279" s="15" t="s">
        <v>193</v>
      </c>
      <c r="CQ279" s="15" t="s">
        <v>193</v>
      </c>
      <c r="CR279" s="15"/>
      <c r="CS279" s="15"/>
      <c r="CT279" s="15"/>
      <c r="CU279" s="15" t="s">
        <v>324</v>
      </c>
      <c r="CV279" s="15" t="s">
        <v>188</v>
      </c>
      <c r="CW279" s="15" t="s">
        <v>270</v>
      </c>
      <c r="CX279" s="15"/>
      <c r="CY279" s="15"/>
      <c r="CZ279" s="3"/>
      <c r="DA279" s="49"/>
      <c r="DC279" s="18">
        <f t="shared" si="12"/>
        <v>0</v>
      </c>
      <c r="DD279" s="18">
        <f t="shared" si="13"/>
        <v>3</v>
      </c>
      <c r="DE279" s="18">
        <f t="shared" si="14"/>
        <v>1988</v>
      </c>
    </row>
    <row r="280" spans="1:109" x14ac:dyDescent="0.25">
      <c r="A280" s="59" t="s">
        <v>1318</v>
      </c>
      <c r="B280" s="103">
        <v>41570</v>
      </c>
      <c r="C280" s="105" t="s">
        <v>1580</v>
      </c>
      <c r="D280" s="14" t="s">
        <v>806</v>
      </c>
      <c r="E280" s="15"/>
      <c r="F280" s="15"/>
      <c r="G280" s="15" t="s">
        <v>188</v>
      </c>
      <c r="H280" s="15"/>
      <c r="I280" s="15">
        <v>36</v>
      </c>
      <c r="J280" s="15" t="s">
        <v>189</v>
      </c>
      <c r="K280" s="15" t="s">
        <v>190</v>
      </c>
      <c r="L280" s="15" t="s">
        <v>807</v>
      </c>
      <c r="M280" s="15" t="s">
        <v>1010</v>
      </c>
      <c r="N280" s="15" t="s">
        <v>1084</v>
      </c>
      <c r="O280" s="15">
        <v>12</v>
      </c>
      <c r="P280" s="15"/>
      <c r="Q280" s="15" t="s">
        <v>188</v>
      </c>
      <c r="R280" s="15"/>
      <c r="S280" s="15"/>
      <c r="T280" s="15"/>
      <c r="U280" s="15" t="s">
        <v>188</v>
      </c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>
        <v>1990</v>
      </c>
      <c r="AI280" s="1">
        <v>950000</v>
      </c>
      <c r="AJ280" s="15"/>
      <c r="AK280" s="15"/>
      <c r="AL280" s="15" t="s">
        <v>188</v>
      </c>
      <c r="AM280" s="15"/>
      <c r="AN280" s="15"/>
      <c r="AO280" s="15"/>
      <c r="AP280" s="15" t="s">
        <v>188</v>
      </c>
      <c r="AQ280" s="15"/>
      <c r="AR280" s="15"/>
      <c r="AS280" s="15"/>
      <c r="AT280" s="15" t="s">
        <v>198</v>
      </c>
      <c r="AU280" s="1">
        <v>4000</v>
      </c>
      <c r="AV280" s="48">
        <v>0.5</v>
      </c>
      <c r="AW280" s="15">
        <v>2.5</v>
      </c>
      <c r="AX280" s="15">
        <v>2.1</v>
      </c>
      <c r="AY280" s="15">
        <v>1</v>
      </c>
      <c r="AZ280" s="15">
        <v>460</v>
      </c>
      <c r="BA280" s="15">
        <v>1100</v>
      </c>
      <c r="BB280" s="15" t="s">
        <v>199</v>
      </c>
      <c r="BC280" s="15" t="s">
        <v>188</v>
      </c>
      <c r="BD280" s="15" t="s">
        <v>188</v>
      </c>
      <c r="BE280" s="1">
        <v>15000</v>
      </c>
      <c r="BF280" s="1">
        <v>10000</v>
      </c>
      <c r="BG280" s="1">
        <v>35000</v>
      </c>
      <c r="BH280" s="1">
        <v>200000</v>
      </c>
      <c r="BI280" s="1">
        <v>35000</v>
      </c>
      <c r="BJ280" s="15"/>
      <c r="BK280" s="15"/>
      <c r="BL280" s="15"/>
      <c r="BM280" s="15"/>
      <c r="BN280" s="15"/>
      <c r="BO280" s="15"/>
      <c r="BP280" s="15"/>
      <c r="BQ280" s="15"/>
      <c r="BR280" s="15"/>
      <c r="BS280" s="2" t="s">
        <v>560</v>
      </c>
      <c r="BT280" s="15"/>
      <c r="BU280" s="15"/>
      <c r="BV280" s="15" t="s">
        <v>188</v>
      </c>
      <c r="BW280" s="15"/>
      <c r="BX280" s="15">
        <v>1</v>
      </c>
      <c r="BY280" s="15">
        <v>2</v>
      </c>
      <c r="BZ280" s="15">
        <v>3</v>
      </c>
      <c r="CA280" s="15"/>
      <c r="CB280" s="15" t="s">
        <v>188</v>
      </c>
      <c r="CC280" s="15"/>
      <c r="CD280" s="15"/>
      <c r="CE280" s="15"/>
      <c r="CF280" s="15"/>
      <c r="CG280" s="15"/>
      <c r="CH280" s="15"/>
      <c r="CI280" s="15"/>
      <c r="CJ280" s="15"/>
      <c r="CK280" s="15" t="s">
        <v>188</v>
      </c>
      <c r="CL280" s="15"/>
      <c r="CM280" s="15"/>
      <c r="CN280" s="15"/>
      <c r="CO280" s="15"/>
      <c r="CP280" s="15" t="s">
        <v>193</v>
      </c>
      <c r="CQ280" s="15" t="s">
        <v>193</v>
      </c>
      <c r="CR280" s="15" t="s">
        <v>188</v>
      </c>
      <c r="CS280" s="15"/>
      <c r="CT280" s="15"/>
      <c r="CU280" s="15"/>
      <c r="CV280" s="15"/>
      <c r="CW280" s="15"/>
      <c r="CX280" s="15"/>
      <c r="CY280" s="15"/>
      <c r="CZ280" s="3" t="s">
        <v>324</v>
      </c>
      <c r="DA280" s="49"/>
      <c r="DC280" s="18">
        <f t="shared" si="12"/>
        <v>0</v>
      </c>
      <c r="DD280" s="18">
        <f t="shared" si="13"/>
        <v>3</v>
      </c>
      <c r="DE280" s="18">
        <f t="shared" si="14"/>
        <v>1990</v>
      </c>
    </row>
    <row r="281" spans="1:109" x14ac:dyDescent="0.25">
      <c r="A281" s="59" t="s">
        <v>1321</v>
      </c>
      <c r="B281" s="103">
        <v>41554</v>
      </c>
      <c r="C281" s="105" t="s">
        <v>1562</v>
      </c>
      <c r="D281" s="14" t="s">
        <v>808</v>
      </c>
      <c r="E281" s="15"/>
      <c r="F281" s="15" t="s">
        <v>188</v>
      </c>
      <c r="G281" s="15"/>
      <c r="H281" s="15"/>
      <c r="I281" s="15">
        <v>22</v>
      </c>
      <c r="J281" s="15" t="s">
        <v>189</v>
      </c>
      <c r="K281" s="15" t="s">
        <v>190</v>
      </c>
      <c r="L281" s="15" t="s">
        <v>809</v>
      </c>
      <c r="M281" s="15" t="s">
        <v>1101</v>
      </c>
      <c r="N281" s="15" t="s">
        <v>1102</v>
      </c>
      <c r="O281" s="15">
        <v>7</v>
      </c>
      <c r="P281" s="15"/>
      <c r="Q281" s="15"/>
      <c r="R281" s="15"/>
      <c r="S281" s="15" t="s">
        <v>188</v>
      </c>
      <c r="T281" s="15"/>
      <c r="U281" s="15" t="s">
        <v>188</v>
      </c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>
        <v>1998</v>
      </c>
      <c r="AI281" s="1">
        <v>973815</v>
      </c>
      <c r="AJ281" s="15"/>
      <c r="AK281" s="15"/>
      <c r="AL281" s="15" t="s">
        <v>188</v>
      </c>
      <c r="AM281" s="15"/>
      <c r="AN281" s="15"/>
      <c r="AO281" s="15" t="s">
        <v>188</v>
      </c>
      <c r="AP281" s="15"/>
      <c r="AQ281" s="15"/>
      <c r="AR281" s="15"/>
      <c r="AS281" s="15"/>
      <c r="AT281" s="15" t="s">
        <v>322</v>
      </c>
      <c r="AU281" s="1">
        <v>9000</v>
      </c>
      <c r="AV281" s="48">
        <v>0.1</v>
      </c>
      <c r="AW281" s="15">
        <v>2.7</v>
      </c>
      <c r="AX281" s="15">
        <v>2.4</v>
      </c>
      <c r="AY281" s="15">
        <v>2</v>
      </c>
      <c r="AZ281" s="15">
        <v>830</v>
      </c>
      <c r="BA281" s="15">
        <v>2150</v>
      </c>
      <c r="BB281" s="15" t="s">
        <v>188</v>
      </c>
      <c r="BC281" s="15" t="s">
        <v>199</v>
      </c>
      <c r="BD281" s="15" t="s">
        <v>199</v>
      </c>
      <c r="BE281" s="1">
        <v>18000</v>
      </c>
      <c r="BF281" s="1" t="s">
        <v>193</v>
      </c>
      <c r="BG281" s="1">
        <v>27000</v>
      </c>
      <c r="BH281" s="1">
        <v>100000</v>
      </c>
      <c r="BI281" s="1" t="s">
        <v>193</v>
      </c>
      <c r="BJ281" s="15"/>
      <c r="BK281" s="15" t="s">
        <v>188</v>
      </c>
      <c r="BL281" s="15"/>
      <c r="BM281" s="15"/>
      <c r="BN281" s="15"/>
      <c r="BO281" s="15"/>
      <c r="BP281" s="15"/>
      <c r="BQ281" s="15"/>
      <c r="BR281" s="15"/>
      <c r="BS281" s="2"/>
      <c r="BT281" s="15"/>
      <c r="BU281" s="15" t="s">
        <v>188</v>
      </c>
      <c r="BV281" s="15"/>
      <c r="BW281" s="15"/>
      <c r="BX281" s="15">
        <v>1</v>
      </c>
      <c r="BY281" s="15">
        <v>2</v>
      </c>
      <c r="BZ281" s="15">
        <v>3</v>
      </c>
      <c r="CA281" s="15"/>
      <c r="CB281" s="15" t="s">
        <v>188</v>
      </c>
      <c r="CC281" s="15"/>
      <c r="CD281" s="15"/>
      <c r="CE281" s="15"/>
      <c r="CF281" s="15"/>
      <c r="CG281" s="15"/>
      <c r="CH281" s="15"/>
      <c r="CI281" s="15"/>
      <c r="CJ281" s="15"/>
      <c r="CK281" s="15" t="s">
        <v>188</v>
      </c>
      <c r="CL281" s="15"/>
      <c r="CM281" s="15"/>
      <c r="CN281" s="15"/>
      <c r="CO281" s="15"/>
      <c r="CP281" s="15" t="s">
        <v>193</v>
      </c>
      <c r="CQ281" s="15" t="s">
        <v>193</v>
      </c>
      <c r="CR281" s="15" t="s">
        <v>188</v>
      </c>
      <c r="CS281" s="15"/>
      <c r="CT281" s="15"/>
      <c r="CU281" s="15"/>
      <c r="CV281" s="15"/>
      <c r="CW281" s="15"/>
      <c r="CX281" s="15"/>
      <c r="CY281" s="15" t="s">
        <v>188</v>
      </c>
      <c r="CZ281" s="3"/>
      <c r="DA281" s="49"/>
      <c r="DC281" s="18">
        <f t="shared" si="12"/>
        <v>0</v>
      </c>
      <c r="DD281" s="18">
        <f t="shared" si="13"/>
        <v>2</v>
      </c>
      <c r="DE281" s="18">
        <f t="shared" si="14"/>
        <v>1998</v>
      </c>
    </row>
    <row r="282" spans="1:109" x14ac:dyDescent="0.25">
      <c r="A282" s="59" t="s">
        <v>1321</v>
      </c>
      <c r="B282" s="103">
        <v>41554</v>
      </c>
      <c r="C282" s="105" t="s">
        <v>1562</v>
      </c>
      <c r="D282" s="14" t="s">
        <v>810</v>
      </c>
      <c r="E282" s="15"/>
      <c r="F282" s="15"/>
      <c r="G282" s="15"/>
      <c r="H282" s="15" t="s">
        <v>188</v>
      </c>
      <c r="I282" s="15">
        <v>42</v>
      </c>
      <c r="J282" s="15" t="s">
        <v>189</v>
      </c>
      <c r="K282" s="15" t="s">
        <v>214</v>
      </c>
      <c r="L282" s="15" t="s">
        <v>811</v>
      </c>
      <c r="M282" s="15" t="s">
        <v>1103</v>
      </c>
      <c r="N282" s="15" t="s">
        <v>1104</v>
      </c>
      <c r="O282" s="15">
        <v>20</v>
      </c>
      <c r="P282" s="15"/>
      <c r="Q282" s="15"/>
      <c r="R282" s="15"/>
      <c r="S282" s="15" t="s">
        <v>188</v>
      </c>
      <c r="T282" s="15"/>
      <c r="U282" s="15"/>
      <c r="V282" s="15" t="s">
        <v>188</v>
      </c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>
        <v>2007</v>
      </c>
      <c r="AI282" s="1">
        <v>618923</v>
      </c>
      <c r="AJ282" s="15"/>
      <c r="AK282" s="15"/>
      <c r="AL282" s="15" t="s">
        <v>188</v>
      </c>
      <c r="AM282" s="15"/>
      <c r="AN282" s="15"/>
      <c r="AO282" s="15"/>
      <c r="AP282" s="15" t="s">
        <v>188</v>
      </c>
      <c r="AQ282" s="15"/>
      <c r="AR282" s="15"/>
      <c r="AS282" s="15"/>
      <c r="AT282" s="15" t="s">
        <v>322</v>
      </c>
      <c r="AU282" s="1">
        <f>100000/12</f>
        <v>8333.3333333333339</v>
      </c>
      <c r="AV282" s="48">
        <v>0.5</v>
      </c>
      <c r="AW282" s="15">
        <v>2.8</v>
      </c>
      <c r="AX282" s="15">
        <v>2.5</v>
      </c>
      <c r="AY282" s="15">
        <v>2</v>
      </c>
      <c r="AZ282" s="15">
        <v>810</v>
      </c>
      <c r="BA282" s="15">
        <v>2200</v>
      </c>
      <c r="BB282" s="15" t="s">
        <v>188</v>
      </c>
      <c r="BC282" s="15" t="s">
        <v>188</v>
      </c>
      <c r="BD282" s="15" t="s">
        <v>199</v>
      </c>
      <c r="BE282" s="1">
        <v>18000</v>
      </c>
      <c r="BF282" s="1">
        <v>240000</v>
      </c>
      <c r="BG282" s="1">
        <v>36000</v>
      </c>
      <c r="BH282" s="1">
        <v>120000</v>
      </c>
      <c r="BI282" s="1" t="s">
        <v>193</v>
      </c>
      <c r="BJ282" s="15"/>
      <c r="BK282" s="15"/>
      <c r="BL282" s="15"/>
      <c r="BM282" s="15"/>
      <c r="BN282" s="15"/>
      <c r="BO282" s="15"/>
      <c r="BP282" s="15"/>
      <c r="BQ282" s="15" t="s">
        <v>188</v>
      </c>
      <c r="BR282" s="15"/>
      <c r="BS282" s="2"/>
      <c r="BT282" s="15"/>
      <c r="BU282" s="15" t="s">
        <v>188</v>
      </c>
      <c r="BV282" s="15"/>
      <c r="BW282" s="15"/>
      <c r="BX282" s="15">
        <v>1</v>
      </c>
      <c r="BY282" s="15">
        <v>3</v>
      </c>
      <c r="BZ282" s="15">
        <v>2</v>
      </c>
      <c r="CA282" s="15"/>
      <c r="CB282" s="15"/>
      <c r="CC282" s="15" t="s">
        <v>188</v>
      </c>
      <c r="CD282" s="15"/>
      <c r="CE282" s="15"/>
      <c r="CF282" s="15"/>
      <c r="CG282" s="15"/>
      <c r="CH282" s="15" t="s">
        <v>188</v>
      </c>
      <c r="CI282" s="15"/>
      <c r="CJ282" s="15"/>
      <c r="CK282" s="15" t="s">
        <v>188</v>
      </c>
      <c r="CL282" s="15"/>
      <c r="CM282" s="15"/>
      <c r="CN282" s="15"/>
      <c r="CO282" s="15"/>
      <c r="CP282" s="15" t="s">
        <v>193</v>
      </c>
      <c r="CQ282" s="15" t="s">
        <v>193</v>
      </c>
      <c r="CR282" s="15" t="s">
        <v>188</v>
      </c>
      <c r="CS282" s="15"/>
      <c r="CT282" s="15"/>
      <c r="CU282" s="15"/>
      <c r="CV282" s="15"/>
      <c r="CW282" s="15"/>
      <c r="CX282" s="15" t="s">
        <v>188</v>
      </c>
      <c r="CY282" s="15"/>
      <c r="CZ282" s="3"/>
      <c r="DA282" s="49"/>
      <c r="DC282" s="18">
        <f t="shared" si="12"/>
        <v>0</v>
      </c>
      <c r="DD282" s="18">
        <f t="shared" si="13"/>
        <v>7</v>
      </c>
      <c r="DE282" s="18">
        <f t="shared" si="14"/>
        <v>2007</v>
      </c>
    </row>
    <row r="283" spans="1:109" x14ac:dyDescent="0.25">
      <c r="A283" s="59" t="s">
        <v>1321</v>
      </c>
      <c r="B283" s="103">
        <v>41554</v>
      </c>
      <c r="C283" s="105" t="s">
        <v>1562</v>
      </c>
      <c r="D283" s="14" t="s">
        <v>812</v>
      </c>
      <c r="E283" s="15" t="s">
        <v>188</v>
      </c>
      <c r="F283" s="15"/>
      <c r="G283" s="15"/>
      <c r="H283" s="15"/>
      <c r="I283" s="15">
        <v>19</v>
      </c>
      <c r="J283" s="15" t="s">
        <v>189</v>
      </c>
      <c r="K283" s="15" t="s">
        <v>190</v>
      </c>
      <c r="L283" s="15" t="s">
        <v>813</v>
      </c>
      <c r="M283" s="15" t="s">
        <v>1105</v>
      </c>
      <c r="N283" s="15" t="s">
        <v>1106</v>
      </c>
      <c r="O283" s="15">
        <v>3</v>
      </c>
      <c r="P283" s="15" t="s">
        <v>188</v>
      </c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 t="s">
        <v>188</v>
      </c>
      <c r="AG283" s="15"/>
      <c r="AH283" s="15">
        <v>1997</v>
      </c>
      <c r="AI283" s="1" t="s">
        <v>269</v>
      </c>
      <c r="AJ283" s="15" t="s">
        <v>188</v>
      </c>
      <c r="AK283" s="15"/>
      <c r="AL283" s="15"/>
      <c r="AM283" s="15"/>
      <c r="AN283" s="15"/>
      <c r="AO283" s="15" t="s">
        <v>188</v>
      </c>
      <c r="AP283" s="15"/>
      <c r="AQ283" s="15"/>
      <c r="AR283" s="15"/>
      <c r="AS283" s="15"/>
      <c r="AT283" s="15" t="s">
        <v>192</v>
      </c>
      <c r="AU283" s="1">
        <v>3000</v>
      </c>
      <c r="AV283" s="48">
        <v>0.5</v>
      </c>
      <c r="AW283" s="15">
        <v>5</v>
      </c>
      <c r="AX283" s="15">
        <v>4.2</v>
      </c>
      <c r="AY283" s="15">
        <v>1</v>
      </c>
      <c r="AZ283" s="15">
        <v>210</v>
      </c>
      <c r="BA283" s="15">
        <v>800</v>
      </c>
      <c r="BB283" s="15" t="s">
        <v>199</v>
      </c>
      <c r="BC283" s="15" t="s">
        <v>199</v>
      </c>
      <c r="BD283" s="15" t="s">
        <v>199</v>
      </c>
      <c r="BE283" s="1">
        <v>20000</v>
      </c>
      <c r="BF283" s="1" t="s">
        <v>193</v>
      </c>
      <c r="BG283" s="1">
        <v>20000</v>
      </c>
      <c r="BH283" s="1" t="s">
        <v>193</v>
      </c>
      <c r="BI283" s="1" t="s">
        <v>234</v>
      </c>
      <c r="BJ283" s="15"/>
      <c r="BK283" s="15"/>
      <c r="BL283" s="15"/>
      <c r="BM283" s="15"/>
      <c r="BN283" s="15"/>
      <c r="BO283" s="15" t="s">
        <v>188</v>
      </c>
      <c r="BP283" s="15"/>
      <c r="BQ283" s="15"/>
      <c r="BR283" s="15"/>
      <c r="BS283" s="2"/>
      <c r="BT283" s="15"/>
      <c r="BU283" s="15" t="s">
        <v>188</v>
      </c>
      <c r="BV283" s="15"/>
      <c r="BW283" s="15"/>
      <c r="BX283" s="15">
        <v>3</v>
      </c>
      <c r="BY283" s="15">
        <v>2</v>
      </c>
      <c r="BZ283" s="15">
        <v>1</v>
      </c>
      <c r="CA283" s="15"/>
      <c r="CB283" s="15" t="s">
        <v>188</v>
      </c>
      <c r="CC283" s="15"/>
      <c r="CD283" s="15"/>
      <c r="CE283" s="15"/>
      <c r="CF283" s="15"/>
      <c r="CG283" s="15"/>
      <c r="CH283" s="15"/>
      <c r="CI283" s="15"/>
      <c r="CJ283" s="15"/>
      <c r="CK283" s="15" t="s">
        <v>188</v>
      </c>
      <c r="CL283" s="15"/>
      <c r="CM283" s="15"/>
      <c r="CN283" s="15"/>
      <c r="CO283" s="15"/>
      <c r="CP283" s="15" t="s">
        <v>193</v>
      </c>
      <c r="CQ283" s="15" t="s">
        <v>193</v>
      </c>
      <c r="CR283" s="15" t="s">
        <v>188</v>
      </c>
      <c r="CS283" s="15"/>
      <c r="CT283" s="15"/>
      <c r="CU283" s="15"/>
      <c r="CV283" s="15"/>
      <c r="CW283" s="15"/>
      <c r="CX283" s="15" t="s">
        <v>188</v>
      </c>
      <c r="CY283" s="15" t="s">
        <v>188</v>
      </c>
      <c r="CZ283" s="3"/>
      <c r="DA283" s="49"/>
      <c r="DC283" s="18">
        <f t="shared" si="12"/>
        <v>0</v>
      </c>
      <c r="DD283" s="18">
        <f t="shared" si="13"/>
        <v>1</v>
      </c>
      <c r="DE283" s="18">
        <f t="shared" si="14"/>
        <v>1997</v>
      </c>
    </row>
    <row r="284" spans="1:109" x14ac:dyDescent="0.25">
      <c r="A284" s="59" t="s">
        <v>1321</v>
      </c>
      <c r="B284" s="103">
        <v>41554</v>
      </c>
      <c r="C284" s="105" t="s">
        <v>1562</v>
      </c>
      <c r="D284" s="14" t="s">
        <v>814</v>
      </c>
      <c r="E284" s="15"/>
      <c r="F284" s="15"/>
      <c r="G284" s="15" t="s">
        <v>188</v>
      </c>
      <c r="H284" s="15"/>
      <c r="I284" s="15">
        <v>48</v>
      </c>
      <c r="J284" s="15" t="s">
        <v>189</v>
      </c>
      <c r="K284" s="15" t="s">
        <v>196</v>
      </c>
      <c r="L284" s="15" t="s">
        <v>815</v>
      </c>
      <c r="M284" s="15" t="s">
        <v>1107</v>
      </c>
      <c r="N284" s="15" t="s">
        <v>1009</v>
      </c>
      <c r="O284" s="15">
        <v>29</v>
      </c>
      <c r="P284" s="15"/>
      <c r="Q284" s="15" t="s">
        <v>188</v>
      </c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 t="s">
        <v>188</v>
      </c>
      <c r="AG284" s="15"/>
      <c r="AH284" s="15">
        <v>2000</v>
      </c>
      <c r="AI284" s="1">
        <v>937616</v>
      </c>
      <c r="AJ284" s="15"/>
      <c r="AK284" s="15"/>
      <c r="AL284" s="15" t="s">
        <v>188</v>
      </c>
      <c r="AM284" s="15"/>
      <c r="AN284" s="15"/>
      <c r="AO284" s="15"/>
      <c r="AP284" s="15" t="s">
        <v>188</v>
      </c>
      <c r="AQ284" s="15"/>
      <c r="AR284" s="15"/>
      <c r="AS284" s="15"/>
      <c r="AT284" s="15" t="s">
        <v>322</v>
      </c>
      <c r="AU284" s="1">
        <v>6000</v>
      </c>
      <c r="AV284" s="48">
        <v>0.2</v>
      </c>
      <c r="AW284" s="15">
        <v>3.8</v>
      </c>
      <c r="AX284" s="15">
        <v>3.1</v>
      </c>
      <c r="AY284" s="15">
        <v>2</v>
      </c>
      <c r="AZ284" s="15">
        <v>1080</v>
      </c>
      <c r="BA284" s="15">
        <v>2700</v>
      </c>
      <c r="BB284" s="15" t="s">
        <v>188</v>
      </c>
      <c r="BC284" s="15" t="s">
        <v>199</v>
      </c>
      <c r="BD284" s="15" t="s">
        <v>199</v>
      </c>
      <c r="BE284" s="1">
        <v>24000</v>
      </c>
      <c r="BF284" s="1">
        <v>180000</v>
      </c>
      <c r="BG284" s="1">
        <v>24000</v>
      </c>
      <c r="BH284" s="1">
        <v>120000</v>
      </c>
      <c r="BI284" s="1" t="s">
        <v>193</v>
      </c>
      <c r="BJ284" s="15"/>
      <c r="BK284" s="15" t="s">
        <v>188</v>
      </c>
      <c r="BL284" s="15"/>
      <c r="BM284" s="15"/>
      <c r="BN284" s="15"/>
      <c r="BO284" s="15" t="s">
        <v>188</v>
      </c>
      <c r="BP284" s="15"/>
      <c r="BQ284" s="15"/>
      <c r="BR284" s="15"/>
      <c r="BS284" s="2"/>
      <c r="BT284" s="15"/>
      <c r="BU284" s="15" t="s">
        <v>188</v>
      </c>
      <c r="BV284" s="15"/>
      <c r="BW284" s="15"/>
      <c r="BX284" s="15">
        <v>1</v>
      </c>
      <c r="BY284" s="15">
        <v>2</v>
      </c>
      <c r="BZ284" s="15">
        <v>3</v>
      </c>
      <c r="CA284" s="15"/>
      <c r="CB284" s="15" t="s">
        <v>188</v>
      </c>
      <c r="CC284" s="15"/>
      <c r="CD284" s="15"/>
      <c r="CE284" s="15"/>
      <c r="CF284" s="15"/>
      <c r="CG284" s="15"/>
      <c r="CH284" s="15"/>
      <c r="CI284" s="15"/>
      <c r="CJ284" s="15"/>
      <c r="CK284" s="15" t="s">
        <v>188</v>
      </c>
      <c r="CL284" s="15"/>
      <c r="CM284" s="15"/>
      <c r="CN284" s="15"/>
      <c r="CO284" s="15"/>
      <c r="CP284" s="15" t="s">
        <v>193</v>
      </c>
      <c r="CQ284" s="15" t="s">
        <v>193</v>
      </c>
      <c r="CR284" s="15"/>
      <c r="CS284" s="15"/>
      <c r="CT284" s="15" t="s">
        <v>188</v>
      </c>
      <c r="CU284" s="15"/>
      <c r="CV284" s="15"/>
      <c r="CW284" s="15"/>
      <c r="CX284" s="15" t="s">
        <v>188</v>
      </c>
      <c r="CY284" s="15"/>
      <c r="CZ284" s="3"/>
      <c r="DA284" s="49"/>
      <c r="DC284" s="18">
        <f t="shared" si="12"/>
        <v>0</v>
      </c>
      <c r="DD284" s="18">
        <f t="shared" si="13"/>
        <v>3</v>
      </c>
      <c r="DE284" s="18">
        <f t="shared" si="14"/>
        <v>2000</v>
      </c>
    </row>
    <row r="285" spans="1:109" x14ac:dyDescent="0.25">
      <c r="A285" s="59" t="s">
        <v>1321</v>
      </c>
      <c r="B285" s="103">
        <v>41554</v>
      </c>
      <c r="C285" s="105" t="s">
        <v>1562</v>
      </c>
      <c r="D285" s="14" t="s">
        <v>816</v>
      </c>
      <c r="E285" s="15"/>
      <c r="F285" s="15"/>
      <c r="G285" s="15" t="s">
        <v>188</v>
      </c>
      <c r="H285" s="15"/>
      <c r="I285" s="15">
        <v>53</v>
      </c>
      <c r="J285" s="15" t="s">
        <v>189</v>
      </c>
      <c r="K285" s="15" t="s">
        <v>445</v>
      </c>
      <c r="L285" s="15" t="s">
        <v>817</v>
      </c>
      <c r="M285" s="15" t="s">
        <v>1108</v>
      </c>
      <c r="N285" s="15" t="s">
        <v>1009</v>
      </c>
      <c r="O285" s="15">
        <v>33</v>
      </c>
      <c r="P285" s="15"/>
      <c r="Q285" s="15" t="s">
        <v>188</v>
      </c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 t="s">
        <v>188</v>
      </c>
      <c r="AG285" s="15"/>
      <c r="AH285" s="15">
        <v>1997</v>
      </c>
      <c r="AI285" s="1" t="s">
        <v>269</v>
      </c>
      <c r="AJ285" s="15"/>
      <c r="AK285" s="15"/>
      <c r="AL285" s="15" t="s">
        <v>188</v>
      </c>
      <c r="AM285" s="15"/>
      <c r="AN285" s="15"/>
      <c r="AO285" s="15" t="s">
        <v>188</v>
      </c>
      <c r="AP285" s="15"/>
      <c r="AQ285" s="15"/>
      <c r="AR285" s="15"/>
      <c r="AS285" s="15"/>
      <c r="AT285" s="15" t="s">
        <v>266</v>
      </c>
      <c r="AU285" s="1">
        <v>8000</v>
      </c>
      <c r="AV285" s="48">
        <v>0.1</v>
      </c>
      <c r="AW285" s="15">
        <v>3.6</v>
      </c>
      <c r="AX285" s="15">
        <v>2.9</v>
      </c>
      <c r="AY285" s="15">
        <v>2</v>
      </c>
      <c r="AZ285" s="15">
        <v>730</v>
      </c>
      <c r="BA285" s="15">
        <v>2400</v>
      </c>
      <c r="BB285" s="15" t="s">
        <v>188</v>
      </c>
      <c r="BC285" s="15" t="s">
        <v>199</v>
      </c>
      <c r="BD285" s="15" t="s">
        <v>199</v>
      </c>
      <c r="BE285" s="1">
        <v>30000</v>
      </c>
      <c r="BF285" s="1" t="s">
        <v>193</v>
      </c>
      <c r="BG285" s="1">
        <v>30000</v>
      </c>
      <c r="BH285" s="1" t="s">
        <v>193</v>
      </c>
      <c r="BI285" s="1" t="s">
        <v>193</v>
      </c>
      <c r="BJ285" s="15"/>
      <c r="BK285" s="15" t="s">
        <v>188</v>
      </c>
      <c r="BL285" s="15"/>
      <c r="BM285" s="15"/>
      <c r="BN285" s="15"/>
      <c r="BO285" s="15" t="s">
        <v>188</v>
      </c>
      <c r="BP285" s="15"/>
      <c r="BQ285" s="15"/>
      <c r="BR285" s="15"/>
      <c r="BS285" s="2"/>
      <c r="BT285" s="15" t="s">
        <v>188</v>
      </c>
      <c r="BU285" s="15"/>
      <c r="BV285" s="15"/>
      <c r="BW285" s="15"/>
      <c r="BX285" s="15">
        <v>3</v>
      </c>
      <c r="BY285" s="15">
        <v>1</v>
      </c>
      <c r="BZ285" s="15">
        <v>2</v>
      </c>
      <c r="CA285" s="15"/>
      <c r="CB285" s="15" t="s">
        <v>188</v>
      </c>
      <c r="CC285" s="15"/>
      <c r="CD285" s="15"/>
      <c r="CE285" s="15"/>
      <c r="CF285" s="15"/>
      <c r="CG285" s="15"/>
      <c r="CH285" s="15"/>
      <c r="CI285" s="15"/>
      <c r="CJ285" s="15"/>
      <c r="CK285" s="15" t="s">
        <v>188</v>
      </c>
      <c r="CL285" s="15"/>
      <c r="CM285" s="15"/>
      <c r="CN285" s="15"/>
      <c r="CO285" s="15"/>
      <c r="CP285" s="15" t="s">
        <v>193</v>
      </c>
      <c r="CQ285" s="15" t="s">
        <v>193</v>
      </c>
      <c r="CR285" s="15" t="s">
        <v>188</v>
      </c>
      <c r="CS285" s="15"/>
      <c r="CT285" s="15"/>
      <c r="CU285" s="15"/>
      <c r="CV285" s="15"/>
      <c r="CW285" s="15"/>
      <c r="CX285" s="15" t="s">
        <v>188</v>
      </c>
      <c r="CY285" s="15"/>
      <c r="CZ285" s="3"/>
      <c r="DA285" s="49"/>
      <c r="DC285" s="18">
        <f t="shared" si="12"/>
        <v>0</v>
      </c>
      <c r="DD285" s="18">
        <f t="shared" si="13"/>
        <v>3</v>
      </c>
      <c r="DE285" s="18">
        <f t="shared" si="14"/>
        <v>1997</v>
      </c>
    </row>
    <row r="286" spans="1:109" x14ac:dyDescent="0.25">
      <c r="A286" s="59" t="s">
        <v>1321</v>
      </c>
      <c r="B286" s="103">
        <v>41554</v>
      </c>
      <c r="C286" s="105" t="s">
        <v>1562</v>
      </c>
      <c r="D286" s="14" t="s">
        <v>818</v>
      </c>
      <c r="E286" s="15" t="s">
        <v>188</v>
      </c>
      <c r="F286" s="15"/>
      <c r="G286" s="15"/>
      <c r="H286" s="15"/>
      <c r="I286" s="15">
        <v>30</v>
      </c>
      <c r="J286" s="15" t="s">
        <v>189</v>
      </c>
      <c r="K286" s="15" t="s">
        <v>196</v>
      </c>
      <c r="L286" s="15" t="s">
        <v>819</v>
      </c>
      <c r="M286" s="15" t="s">
        <v>1109</v>
      </c>
      <c r="N286" s="15" t="s">
        <v>1106</v>
      </c>
      <c r="O286" s="15">
        <v>11</v>
      </c>
      <c r="P286" s="15"/>
      <c r="Q286" s="15" t="s">
        <v>188</v>
      </c>
      <c r="R286" s="15"/>
      <c r="S286" s="15"/>
      <c r="T286" s="15"/>
      <c r="U286" s="15" t="s">
        <v>188</v>
      </c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>
        <v>2001</v>
      </c>
      <c r="AI286" s="1">
        <v>917890</v>
      </c>
      <c r="AJ286" s="15"/>
      <c r="AK286" s="15"/>
      <c r="AL286" s="15" t="s">
        <v>188</v>
      </c>
      <c r="AM286" s="15"/>
      <c r="AN286" s="15"/>
      <c r="AO286" s="15" t="s">
        <v>188</v>
      </c>
      <c r="AP286" s="15"/>
      <c r="AQ286" s="15"/>
      <c r="AR286" s="15"/>
      <c r="AS286" s="15"/>
      <c r="AT286" s="15" t="s">
        <v>322</v>
      </c>
      <c r="AU286" s="1">
        <v>7500</v>
      </c>
      <c r="AV286" s="48">
        <v>0.5</v>
      </c>
      <c r="AW286" s="15">
        <v>3.8</v>
      </c>
      <c r="AX286" s="15">
        <v>3.2</v>
      </c>
      <c r="AY286" s="15">
        <v>2</v>
      </c>
      <c r="AZ286" s="15">
        <v>800</v>
      </c>
      <c r="BA286" s="15">
        <v>2800</v>
      </c>
      <c r="BB286" s="15" t="s">
        <v>188</v>
      </c>
      <c r="BC286" s="15" t="s">
        <v>199</v>
      </c>
      <c r="BD286" s="15" t="s">
        <v>199</v>
      </c>
      <c r="BE286" s="1">
        <v>30000</v>
      </c>
      <c r="BF286" s="1" t="s">
        <v>193</v>
      </c>
      <c r="BG286" s="1">
        <v>30000</v>
      </c>
      <c r="BH286" s="1" t="s">
        <v>193</v>
      </c>
      <c r="BI286" s="1" t="s">
        <v>193</v>
      </c>
      <c r="BJ286" s="15"/>
      <c r="BK286" s="15" t="s">
        <v>188</v>
      </c>
      <c r="BL286" s="15"/>
      <c r="BM286" s="15"/>
      <c r="BN286" s="15"/>
      <c r="BO286" s="15"/>
      <c r="BP286" s="15"/>
      <c r="BQ286" s="15"/>
      <c r="BR286" s="15"/>
      <c r="BS286" s="2"/>
      <c r="BT286" s="15"/>
      <c r="BU286" s="15" t="s">
        <v>188</v>
      </c>
      <c r="BV286" s="15"/>
      <c r="BW286" s="15"/>
      <c r="BX286" s="15">
        <v>1</v>
      </c>
      <c r="BY286" s="15">
        <v>3</v>
      </c>
      <c r="BZ286" s="15">
        <v>2</v>
      </c>
      <c r="CA286" s="15"/>
      <c r="CB286" s="15" t="s">
        <v>188</v>
      </c>
      <c r="CC286" s="15"/>
      <c r="CD286" s="15"/>
      <c r="CE286" s="15"/>
      <c r="CF286" s="15"/>
      <c r="CG286" s="15"/>
      <c r="CH286" s="15"/>
      <c r="CI286" s="15"/>
      <c r="CJ286" s="15"/>
      <c r="CK286" s="15" t="s">
        <v>188</v>
      </c>
      <c r="CL286" s="15"/>
      <c r="CM286" s="15"/>
      <c r="CN286" s="15"/>
      <c r="CO286" s="15"/>
      <c r="CP286" s="15" t="s">
        <v>193</v>
      </c>
      <c r="CQ286" s="15" t="s">
        <v>193</v>
      </c>
      <c r="CR286" s="15" t="s">
        <v>188</v>
      </c>
      <c r="CS286" s="15"/>
      <c r="CT286" s="15"/>
      <c r="CU286" s="15"/>
      <c r="CV286" s="15"/>
      <c r="CW286" s="15"/>
      <c r="CX286" s="15" t="s">
        <v>188</v>
      </c>
      <c r="CY286" s="15"/>
      <c r="CZ286" s="3"/>
      <c r="DA286" s="49"/>
      <c r="DC286" s="18">
        <f t="shared" si="12"/>
        <v>0</v>
      </c>
      <c r="DD286" s="18">
        <f t="shared" si="13"/>
        <v>1</v>
      </c>
      <c r="DE286" s="18">
        <f t="shared" si="14"/>
        <v>2001</v>
      </c>
    </row>
    <row r="287" spans="1:109" x14ac:dyDescent="0.25">
      <c r="A287" s="59" t="s">
        <v>1321</v>
      </c>
      <c r="B287" s="103">
        <v>41554</v>
      </c>
      <c r="C287" s="105" t="s">
        <v>1562</v>
      </c>
      <c r="D287" s="14" t="s">
        <v>820</v>
      </c>
      <c r="E287" s="15"/>
      <c r="F287" s="15"/>
      <c r="G287" s="15" t="s">
        <v>188</v>
      </c>
      <c r="H287" s="15"/>
      <c r="I287" s="15">
        <v>46</v>
      </c>
      <c r="J287" s="15" t="s">
        <v>189</v>
      </c>
      <c r="K287" s="15" t="s">
        <v>190</v>
      </c>
      <c r="L287" s="15" t="s">
        <v>821</v>
      </c>
      <c r="M287" s="15" t="s">
        <v>1110</v>
      </c>
      <c r="N287" s="15" t="s">
        <v>1089</v>
      </c>
      <c r="O287" s="15">
        <v>23</v>
      </c>
      <c r="P287" s="15"/>
      <c r="Q287" s="15" t="s">
        <v>188</v>
      </c>
      <c r="R287" s="15"/>
      <c r="S287" s="15"/>
      <c r="T287" s="15"/>
      <c r="U287" s="15" t="s">
        <v>188</v>
      </c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>
        <v>2006</v>
      </c>
      <c r="AI287" s="1">
        <v>746922</v>
      </c>
      <c r="AJ287" s="15"/>
      <c r="AK287" s="15"/>
      <c r="AL287" s="15" t="s">
        <v>188</v>
      </c>
      <c r="AM287" s="15"/>
      <c r="AN287" s="15"/>
      <c r="AO287" s="15"/>
      <c r="AP287" s="15" t="s">
        <v>188</v>
      </c>
      <c r="AQ287" s="15"/>
      <c r="AR287" s="15"/>
      <c r="AS287" s="15"/>
      <c r="AT287" s="15" t="s">
        <v>322</v>
      </c>
      <c r="AU287" s="1">
        <v>8000</v>
      </c>
      <c r="AV287" s="48">
        <v>0.05</v>
      </c>
      <c r="AW287" s="15">
        <v>3.7</v>
      </c>
      <c r="AX287" s="15">
        <v>3.2</v>
      </c>
      <c r="AY287" s="15">
        <v>2</v>
      </c>
      <c r="AZ287" s="15">
        <v>830</v>
      </c>
      <c r="BA287" s="15">
        <v>2900</v>
      </c>
      <c r="BB287" s="15" t="s">
        <v>188</v>
      </c>
      <c r="BC287" s="15" t="s">
        <v>188</v>
      </c>
      <c r="BD287" s="15" t="s">
        <v>199</v>
      </c>
      <c r="BE287" s="1">
        <v>24000</v>
      </c>
      <c r="BF287" s="1">
        <v>240000</v>
      </c>
      <c r="BG287" s="1">
        <v>24000</v>
      </c>
      <c r="BH287" s="1">
        <v>120000</v>
      </c>
      <c r="BI287" s="1" t="s">
        <v>193</v>
      </c>
      <c r="BJ287" s="15"/>
      <c r="BK287" s="15" t="s">
        <v>188</v>
      </c>
      <c r="BL287" s="15"/>
      <c r="BM287" s="15"/>
      <c r="BN287" s="15"/>
      <c r="BO287" s="15" t="s">
        <v>188</v>
      </c>
      <c r="BP287" s="15"/>
      <c r="BQ287" s="15"/>
      <c r="BR287" s="15"/>
      <c r="BS287" s="2"/>
      <c r="BT287" s="15"/>
      <c r="BU287" s="15"/>
      <c r="BV287" s="15" t="s">
        <v>188</v>
      </c>
      <c r="BW287" s="15"/>
      <c r="BX287" s="15">
        <v>1</v>
      </c>
      <c r="BY287" s="15">
        <v>2</v>
      </c>
      <c r="BZ287" s="15">
        <v>3</v>
      </c>
      <c r="CA287" s="15"/>
      <c r="CB287" s="15" t="s">
        <v>188</v>
      </c>
      <c r="CC287" s="15"/>
      <c r="CD287" s="15"/>
      <c r="CE287" s="15"/>
      <c r="CF287" s="15"/>
      <c r="CG287" s="15"/>
      <c r="CH287" s="15"/>
      <c r="CI287" s="15"/>
      <c r="CJ287" s="15"/>
      <c r="CK287" s="15" t="s">
        <v>188</v>
      </c>
      <c r="CL287" s="15"/>
      <c r="CM287" s="15"/>
      <c r="CN287" s="15"/>
      <c r="CO287" s="15"/>
      <c r="CP287" s="15" t="s">
        <v>193</v>
      </c>
      <c r="CQ287" s="15" t="s">
        <v>193</v>
      </c>
      <c r="CR287" s="15" t="s">
        <v>188</v>
      </c>
      <c r="CS287" s="15"/>
      <c r="CT287" s="15"/>
      <c r="CU287" s="15"/>
      <c r="CV287" s="15"/>
      <c r="CW287" s="15"/>
      <c r="CX287" s="15" t="s">
        <v>188</v>
      </c>
      <c r="CY287" s="15" t="s">
        <v>188</v>
      </c>
      <c r="CZ287" s="3"/>
      <c r="DA287" s="49"/>
      <c r="DC287" s="18">
        <f t="shared" si="12"/>
        <v>0</v>
      </c>
      <c r="DD287" s="18">
        <f t="shared" si="13"/>
        <v>3</v>
      </c>
      <c r="DE287" s="18">
        <f t="shared" si="14"/>
        <v>2006</v>
      </c>
    </row>
    <row r="288" spans="1:109" x14ac:dyDescent="0.25">
      <c r="A288" s="59" t="s">
        <v>1321</v>
      </c>
      <c r="B288" s="103">
        <v>41554</v>
      </c>
      <c r="C288" s="105" t="s">
        <v>1562</v>
      </c>
      <c r="D288" s="14" t="s">
        <v>822</v>
      </c>
      <c r="E288" s="15"/>
      <c r="F288" s="15"/>
      <c r="G288" s="15" t="s">
        <v>188</v>
      </c>
      <c r="H288" s="15"/>
      <c r="I288" s="15">
        <v>51</v>
      </c>
      <c r="J288" s="15" t="s">
        <v>189</v>
      </c>
      <c r="K288" s="15" t="s">
        <v>445</v>
      </c>
      <c r="L288" s="15" t="s">
        <v>823</v>
      </c>
      <c r="M288" s="15" t="s">
        <v>1111</v>
      </c>
      <c r="N288" s="15" t="s">
        <v>1112</v>
      </c>
      <c r="O288" s="15">
        <v>33</v>
      </c>
      <c r="P288" s="15"/>
      <c r="Q288" s="15"/>
      <c r="R288" s="15"/>
      <c r="S288" s="15" t="s">
        <v>188</v>
      </c>
      <c r="T288" s="15"/>
      <c r="U288" s="15" t="s">
        <v>188</v>
      </c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>
        <v>2004</v>
      </c>
      <c r="AI288" s="1">
        <v>973600</v>
      </c>
      <c r="AJ288" s="15"/>
      <c r="AK288" s="15"/>
      <c r="AL288" s="15" t="s">
        <v>188</v>
      </c>
      <c r="AM288" s="15"/>
      <c r="AN288" s="15"/>
      <c r="AO288" s="15" t="s">
        <v>188</v>
      </c>
      <c r="AP288" s="15"/>
      <c r="AQ288" s="15"/>
      <c r="AR288" s="15"/>
      <c r="AS288" s="15"/>
      <c r="AT288" s="15" t="s">
        <v>266</v>
      </c>
      <c r="AU288" s="1">
        <v>10000</v>
      </c>
      <c r="AV288" s="48">
        <v>0.05</v>
      </c>
      <c r="AW288" s="15">
        <v>2.7</v>
      </c>
      <c r="AX288" s="15">
        <v>2.4</v>
      </c>
      <c r="AY288" s="15">
        <v>3</v>
      </c>
      <c r="AZ288" s="15">
        <v>1070</v>
      </c>
      <c r="BA288" s="15">
        <v>2800</v>
      </c>
      <c r="BB288" s="15" t="s">
        <v>188</v>
      </c>
      <c r="BC288" s="15" t="s">
        <v>199</v>
      </c>
      <c r="BD288" s="15" t="s">
        <v>199</v>
      </c>
      <c r="BE288" s="1">
        <v>20000</v>
      </c>
      <c r="BF288" s="1">
        <v>240000</v>
      </c>
      <c r="BG288" s="1">
        <v>20000</v>
      </c>
      <c r="BH288" s="1">
        <v>120000</v>
      </c>
      <c r="BI288" s="1" t="s">
        <v>193</v>
      </c>
      <c r="BJ288" s="15" t="s">
        <v>188</v>
      </c>
      <c r="BK288" s="15" t="s">
        <v>188</v>
      </c>
      <c r="BL288" s="15"/>
      <c r="BM288" s="15"/>
      <c r="BN288" s="15"/>
      <c r="BO288" s="15"/>
      <c r="BP288" s="15"/>
      <c r="BQ288" s="15"/>
      <c r="BR288" s="15"/>
      <c r="BS288" s="2"/>
      <c r="BT288" s="15"/>
      <c r="BU288" s="15"/>
      <c r="BV288" s="15" t="s">
        <v>188</v>
      </c>
      <c r="BW288" s="15"/>
      <c r="BX288" s="15">
        <v>1</v>
      </c>
      <c r="BY288" s="15">
        <v>3</v>
      </c>
      <c r="BZ288" s="15">
        <v>2</v>
      </c>
      <c r="CA288" s="15"/>
      <c r="CB288" s="15" t="s">
        <v>188</v>
      </c>
      <c r="CC288" s="15"/>
      <c r="CD288" s="15"/>
      <c r="CE288" s="15"/>
      <c r="CF288" s="15"/>
      <c r="CG288" s="15"/>
      <c r="CH288" s="15"/>
      <c r="CI288" s="15"/>
      <c r="CJ288" s="15"/>
      <c r="CK288" s="15" t="s">
        <v>188</v>
      </c>
      <c r="CL288" s="15"/>
      <c r="CM288" s="15"/>
      <c r="CN288" s="15"/>
      <c r="CO288" s="15"/>
      <c r="CP288" s="15" t="s">
        <v>193</v>
      </c>
      <c r="CQ288" s="15" t="s">
        <v>193</v>
      </c>
      <c r="CR288" s="15"/>
      <c r="CS288" s="15"/>
      <c r="CT288" s="15" t="s">
        <v>188</v>
      </c>
      <c r="CU288" s="15"/>
      <c r="CV288" s="15"/>
      <c r="CW288" s="15"/>
      <c r="CX288" s="15" t="s">
        <v>188</v>
      </c>
      <c r="CY288" s="15"/>
      <c r="CZ288" s="3"/>
      <c r="DA288" s="49"/>
      <c r="DC288" s="18">
        <f t="shared" si="12"/>
        <v>0</v>
      </c>
      <c r="DD288" s="18">
        <f t="shared" si="13"/>
        <v>3</v>
      </c>
      <c r="DE288" s="18">
        <f t="shared" si="14"/>
        <v>2004</v>
      </c>
    </row>
    <row r="289" spans="1:109" x14ac:dyDescent="0.25">
      <c r="A289" s="59" t="s">
        <v>1321</v>
      </c>
      <c r="B289" s="103">
        <v>41554</v>
      </c>
      <c r="C289" s="105" t="s">
        <v>1562</v>
      </c>
      <c r="D289" s="14" t="s">
        <v>824</v>
      </c>
      <c r="E289" s="15" t="s">
        <v>188</v>
      </c>
      <c r="F289" s="15"/>
      <c r="G289" s="15"/>
      <c r="H289" s="15"/>
      <c r="I289" s="15">
        <v>31</v>
      </c>
      <c r="J289" s="15" t="s">
        <v>189</v>
      </c>
      <c r="K289" s="15" t="s">
        <v>214</v>
      </c>
      <c r="L289" s="15" t="s">
        <v>591</v>
      </c>
      <c r="M289" s="15" t="s">
        <v>1058</v>
      </c>
      <c r="N289" s="15" t="s">
        <v>1085</v>
      </c>
      <c r="O289" s="15">
        <v>11</v>
      </c>
      <c r="P289" s="15"/>
      <c r="Q289" s="15"/>
      <c r="R289" s="15"/>
      <c r="S289" s="15" t="s">
        <v>188</v>
      </c>
      <c r="T289" s="15"/>
      <c r="U289" s="15" t="s">
        <v>188</v>
      </c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>
        <v>2003</v>
      </c>
      <c r="AI289" s="1">
        <v>803973</v>
      </c>
      <c r="AJ289" s="15"/>
      <c r="AK289" s="15"/>
      <c r="AL289" s="15" t="s">
        <v>188</v>
      </c>
      <c r="AM289" s="15"/>
      <c r="AN289" s="15"/>
      <c r="AO289" s="15" t="s">
        <v>188</v>
      </c>
      <c r="AP289" s="15"/>
      <c r="AQ289" s="15"/>
      <c r="AR289" s="15"/>
      <c r="AS289" s="15"/>
      <c r="AT289" s="15" t="s">
        <v>266</v>
      </c>
      <c r="AU289" s="1">
        <v>8000</v>
      </c>
      <c r="AV289" s="48">
        <v>0.1</v>
      </c>
      <c r="AW289" s="15">
        <v>2.7</v>
      </c>
      <c r="AX289" s="15">
        <v>2.4</v>
      </c>
      <c r="AY289" s="15">
        <v>2</v>
      </c>
      <c r="AZ289" s="15">
        <v>810</v>
      </c>
      <c r="BA289" s="15">
        <v>2100</v>
      </c>
      <c r="BB289" s="15" t="s">
        <v>188</v>
      </c>
      <c r="BC289" s="15" t="s">
        <v>199</v>
      </c>
      <c r="BD289" s="15" t="s">
        <v>199</v>
      </c>
      <c r="BE289" s="1">
        <v>17000</v>
      </c>
      <c r="BF289" s="1" t="s">
        <v>193</v>
      </c>
      <c r="BG289" s="1">
        <v>35000</v>
      </c>
      <c r="BH289" s="1">
        <v>100000</v>
      </c>
      <c r="BI289" s="1" t="s">
        <v>193</v>
      </c>
      <c r="BJ289" s="15"/>
      <c r="BK289" s="15" t="s">
        <v>188</v>
      </c>
      <c r="BL289" s="15"/>
      <c r="BM289" s="15"/>
      <c r="BN289" s="15"/>
      <c r="BO289" s="15"/>
      <c r="BP289" s="15"/>
      <c r="BQ289" s="15"/>
      <c r="BR289" s="15"/>
      <c r="BS289" s="2"/>
      <c r="BT289" s="15"/>
      <c r="BU289" s="15" t="s">
        <v>188</v>
      </c>
      <c r="BV289" s="15"/>
      <c r="BW289" s="15"/>
      <c r="BX289" s="15">
        <v>2</v>
      </c>
      <c r="BY289" s="15">
        <v>3</v>
      </c>
      <c r="BZ289" s="15">
        <v>1</v>
      </c>
      <c r="CA289" s="15"/>
      <c r="CB289" s="15" t="s">
        <v>188</v>
      </c>
      <c r="CC289" s="15"/>
      <c r="CD289" s="15"/>
      <c r="CE289" s="15"/>
      <c r="CF289" s="15"/>
      <c r="CG289" s="15"/>
      <c r="CH289" s="15"/>
      <c r="CI289" s="15"/>
      <c r="CJ289" s="15"/>
      <c r="CK289" s="15" t="s">
        <v>188</v>
      </c>
      <c r="CL289" s="15"/>
      <c r="CM289" s="15"/>
      <c r="CN289" s="15"/>
      <c r="CO289" s="15"/>
      <c r="CP289" s="15" t="s">
        <v>193</v>
      </c>
      <c r="CQ289" s="15" t="s">
        <v>193</v>
      </c>
      <c r="CR289" s="15" t="s">
        <v>188</v>
      </c>
      <c r="CS289" s="15"/>
      <c r="CT289" s="15"/>
      <c r="CU289" s="15"/>
      <c r="CV289" s="15" t="s">
        <v>188</v>
      </c>
      <c r="CW289" s="15" t="s">
        <v>599</v>
      </c>
      <c r="CX289" s="15"/>
      <c r="CY289" s="15"/>
      <c r="CZ289" s="3"/>
      <c r="DA289" s="49"/>
      <c r="DC289" s="18">
        <f t="shared" si="12"/>
        <v>0</v>
      </c>
      <c r="DD289" s="18">
        <f t="shared" si="13"/>
        <v>1</v>
      </c>
      <c r="DE289" s="18">
        <f t="shared" si="14"/>
        <v>2003</v>
      </c>
    </row>
    <row r="290" spans="1:109" x14ac:dyDescent="0.25">
      <c r="A290" s="59" t="s">
        <v>1321</v>
      </c>
      <c r="B290" s="103">
        <v>41554</v>
      </c>
      <c r="C290" s="105" t="s">
        <v>1562</v>
      </c>
      <c r="D290" s="14" t="s">
        <v>825</v>
      </c>
      <c r="E290" s="15"/>
      <c r="F290" s="15"/>
      <c r="G290" s="15"/>
      <c r="H290" s="15" t="s">
        <v>188</v>
      </c>
      <c r="I290" s="15">
        <v>54</v>
      </c>
      <c r="J290" s="15" t="s">
        <v>189</v>
      </c>
      <c r="K290" s="15" t="s">
        <v>190</v>
      </c>
      <c r="L290" s="15" t="s">
        <v>646</v>
      </c>
      <c r="M290" s="15" t="s">
        <v>1071</v>
      </c>
      <c r="N290" s="15" t="s">
        <v>1089</v>
      </c>
      <c r="O290" s="15">
        <v>32</v>
      </c>
      <c r="P290" s="15"/>
      <c r="Q290" s="15"/>
      <c r="R290" s="15"/>
      <c r="S290" s="15" t="s">
        <v>188</v>
      </c>
      <c r="T290" s="15"/>
      <c r="U290" s="15" t="s">
        <v>188</v>
      </c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>
        <v>2008</v>
      </c>
      <c r="AI290" s="1">
        <v>615371</v>
      </c>
      <c r="AJ290" s="15"/>
      <c r="AK290" s="15"/>
      <c r="AL290" s="15" t="s">
        <v>188</v>
      </c>
      <c r="AM290" s="15"/>
      <c r="AN290" s="15"/>
      <c r="AO290" s="15"/>
      <c r="AP290" s="15" t="s">
        <v>188</v>
      </c>
      <c r="AQ290" s="15"/>
      <c r="AR290" s="15"/>
      <c r="AS290" s="15"/>
      <c r="AT290" s="15" t="s">
        <v>322</v>
      </c>
      <c r="AU290" s="1">
        <v>9000</v>
      </c>
      <c r="AV290" s="48">
        <v>0.05</v>
      </c>
      <c r="AW290" s="15">
        <v>2.7</v>
      </c>
      <c r="AX290" s="15">
        <v>2.4</v>
      </c>
      <c r="AY290" s="15">
        <v>2</v>
      </c>
      <c r="AZ290" s="15">
        <v>830</v>
      </c>
      <c r="BA290" s="15">
        <v>2150</v>
      </c>
      <c r="BB290" s="15" t="s">
        <v>188</v>
      </c>
      <c r="BC290" s="15" t="s">
        <v>188</v>
      </c>
      <c r="BD290" s="15" t="s">
        <v>199</v>
      </c>
      <c r="BE290" s="1">
        <v>18000</v>
      </c>
      <c r="BF290" s="1">
        <v>240000</v>
      </c>
      <c r="BG290" s="1">
        <v>36000</v>
      </c>
      <c r="BH290" s="1">
        <v>120000</v>
      </c>
      <c r="BI290" s="1" t="s">
        <v>193</v>
      </c>
      <c r="BJ290" s="15"/>
      <c r="BK290" s="15" t="s">
        <v>188</v>
      </c>
      <c r="BL290" s="15"/>
      <c r="BM290" s="15"/>
      <c r="BN290" s="15"/>
      <c r="BO290" s="15"/>
      <c r="BP290" s="15"/>
      <c r="BQ290" s="15"/>
      <c r="BR290" s="15"/>
      <c r="BS290" s="2"/>
      <c r="BT290" s="15"/>
      <c r="BU290" s="15"/>
      <c r="BV290" s="15" t="s">
        <v>188</v>
      </c>
      <c r="BW290" s="15"/>
      <c r="BX290" s="15">
        <v>1</v>
      </c>
      <c r="BY290" s="15">
        <v>3</v>
      </c>
      <c r="BZ290" s="15">
        <v>2</v>
      </c>
      <c r="CA290" s="15"/>
      <c r="CB290" s="15" t="s">
        <v>188</v>
      </c>
      <c r="CC290" s="15"/>
      <c r="CD290" s="15"/>
      <c r="CE290" s="15"/>
      <c r="CF290" s="15"/>
      <c r="CG290" s="15"/>
      <c r="CH290" s="15"/>
      <c r="CI290" s="15"/>
      <c r="CJ290" s="15"/>
      <c r="CK290" s="15" t="s">
        <v>188</v>
      </c>
      <c r="CL290" s="15"/>
      <c r="CM290" s="15"/>
      <c r="CN290" s="15"/>
      <c r="CO290" s="15"/>
      <c r="CP290" s="15" t="s">
        <v>193</v>
      </c>
      <c r="CQ290" s="15" t="s">
        <v>193</v>
      </c>
      <c r="CR290" s="15" t="s">
        <v>188</v>
      </c>
      <c r="CS290" s="15"/>
      <c r="CT290" s="15"/>
      <c r="CU290" s="15"/>
      <c r="CV290" s="15"/>
      <c r="CW290" s="15"/>
      <c r="CX290" s="15" t="s">
        <v>188</v>
      </c>
      <c r="CY290" s="15" t="s">
        <v>188</v>
      </c>
      <c r="CZ290" s="3"/>
      <c r="DA290" s="49"/>
      <c r="DC290" s="18">
        <f t="shared" si="12"/>
        <v>0</v>
      </c>
      <c r="DD290" s="18">
        <f t="shared" si="13"/>
        <v>7</v>
      </c>
      <c r="DE290" s="18">
        <f t="shared" si="14"/>
        <v>2008</v>
      </c>
    </row>
    <row r="291" spans="1:109" x14ac:dyDescent="0.25">
      <c r="A291" s="59" t="s">
        <v>1321</v>
      </c>
      <c r="B291" s="103">
        <v>41554</v>
      </c>
      <c r="C291" s="105" t="s">
        <v>1562</v>
      </c>
      <c r="D291" s="14" t="s">
        <v>826</v>
      </c>
      <c r="E291" s="15"/>
      <c r="F291" s="15" t="s">
        <v>188</v>
      </c>
      <c r="G291" s="15"/>
      <c r="H291" s="15"/>
      <c r="I291" s="15">
        <v>39</v>
      </c>
      <c r="J291" s="15" t="s">
        <v>189</v>
      </c>
      <c r="K291" s="15" t="s">
        <v>190</v>
      </c>
      <c r="L291" s="15" t="s">
        <v>827</v>
      </c>
      <c r="M291" s="15" t="s">
        <v>1113</v>
      </c>
      <c r="N291" s="15" t="s">
        <v>1114</v>
      </c>
      <c r="O291" s="15">
        <v>20</v>
      </c>
      <c r="P291" s="15"/>
      <c r="Q291" s="15" t="s">
        <v>188</v>
      </c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 t="s">
        <v>188</v>
      </c>
      <c r="AG291" s="15"/>
      <c r="AH291" s="15">
        <v>1997</v>
      </c>
      <c r="AI291" s="1">
        <v>881752</v>
      </c>
      <c r="AJ291" s="15"/>
      <c r="AK291" s="15"/>
      <c r="AL291" s="15" t="s">
        <v>188</v>
      </c>
      <c r="AM291" s="15"/>
      <c r="AN291" s="15"/>
      <c r="AO291" s="15" t="s">
        <v>188</v>
      </c>
      <c r="AP291" s="15"/>
      <c r="AQ291" s="15"/>
      <c r="AR291" s="15"/>
      <c r="AS291" s="15"/>
      <c r="AT291" s="15" t="s">
        <v>407</v>
      </c>
      <c r="AU291" s="1">
        <v>6000</v>
      </c>
      <c r="AV291" s="48">
        <v>0.1</v>
      </c>
      <c r="AW291" s="15">
        <v>3.6</v>
      </c>
      <c r="AX291" s="15">
        <v>3.1</v>
      </c>
      <c r="AY291" s="15">
        <v>2</v>
      </c>
      <c r="AZ291" s="15">
        <v>700</v>
      </c>
      <c r="BA291" s="15">
        <v>2400</v>
      </c>
      <c r="BB291" s="15" t="s">
        <v>199</v>
      </c>
      <c r="BC291" s="15" t="s">
        <v>199</v>
      </c>
      <c r="BD291" s="15" t="s">
        <v>199</v>
      </c>
      <c r="BE291" s="1">
        <v>24000</v>
      </c>
      <c r="BF291" s="1" t="s">
        <v>193</v>
      </c>
      <c r="BG291" s="1">
        <v>24000</v>
      </c>
      <c r="BH291" s="1" t="s">
        <v>193</v>
      </c>
      <c r="BI291" s="1" t="s">
        <v>193</v>
      </c>
      <c r="BJ291" s="15" t="s">
        <v>188</v>
      </c>
      <c r="BK291" s="15"/>
      <c r="BL291" s="15"/>
      <c r="BM291" s="15"/>
      <c r="BN291" s="15"/>
      <c r="BO291" s="15" t="s">
        <v>188</v>
      </c>
      <c r="BP291" s="15"/>
      <c r="BQ291" s="15"/>
      <c r="BR291" s="15"/>
      <c r="BS291" s="2"/>
      <c r="BT291" s="15"/>
      <c r="BU291" s="15"/>
      <c r="BV291" s="15" t="s">
        <v>188</v>
      </c>
      <c r="BW291" s="15"/>
      <c r="BX291" s="15">
        <v>1</v>
      </c>
      <c r="BY291" s="15">
        <v>3</v>
      </c>
      <c r="BZ291" s="15">
        <v>2</v>
      </c>
      <c r="CA291" s="15"/>
      <c r="CB291" s="15" t="s">
        <v>188</v>
      </c>
      <c r="CC291" s="15"/>
      <c r="CD291" s="15"/>
      <c r="CE291" s="15"/>
      <c r="CF291" s="15"/>
      <c r="CG291" s="15"/>
      <c r="CH291" s="15"/>
      <c r="CI291" s="15"/>
      <c r="CJ291" s="15"/>
      <c r="CK291" s="15" t="s">
        <v>188</v>
      </c>
      <c r="CL291" s="15"/>
      <c r="CM291" s="15"/>
      <c r="CN291" s="15"/>
      <c r="CO291" s="15"/>
      <c r="CP291" s="15" t="s">
        <v>193</v>
      </c>
      <c r="CQ291" s="15" t="s">
        <v>193</v>
      </c>
      <c r="CR291" s="15" t="s">
        <v>188</v>
      </c>
      <c r="CS291" s="15"/>
      <c r="CT291" s="15"/>
      <c r="CU291" s="15"/>
      <c r="CV291" s="15"/>
      <c r="CW291" s="15"/>
      <c r="CX291" s="15" t="s">
        <v>188</v>
      </c>
      <c r="CY291" s="15"/>
      <c r="CZ291" s="3"/>
      <c r="DA291" s="49"/>
      <c r="DC291" s="18">
        <f t="shared" si="12"/>
        <v>0</v>
      </c>
      <c r="DD291" s="18">
        <f t="shared" si="13"/>
        <v>2</v>
      </c>
      <c r="DE291" s="18">
        <f t="shared" si="14"/>
        <v>1997</v>
      </c>
    </row>
    <row r="292" spans="1:109" x14ac:dyDescent="0.25">
      <c r="A292" s="59" t="s">
        <v>1321</v>
      </c>
      <c r="B292" s="103">
        <v>41554</v>
      </c>
      <c r="C292" s="105" t="s">
        <v>1562</v>
      </c>
      <c r="D292" s="14" t="s">
        <v>828</v>
      </c>
      <c r="E292" s="15"/>
      <c r="F292" s="15"/>
      <c r="G292" s="15" t="s">
        <v>188</v>
      </c>
      <c r="H292" s="15"/>
      <c r="I292" s="15">
        <v>33</v>
      </c>
      <c r="J292" s="15" t="s">
        <v>189</v>
      </c>
      <c r="K292" s="15" t="s">
        <v>214</v>
      </c>
      <c r="L292" s="15" t="s">
        <v>829</v>
      </c>
      <c r="M292" s="15" t="s">
        <v>1115</v>
      </c>
      <c r="N292" s="15" t="s">
        <v>1106</v>
      </c>
      <c r="O292" s="15">
        <v>10</v>
      </c>
      <c r="P292" s="15"/>
      <c r="Q292" s="15" t="s">
        <v>188</v>
      </c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 t="s">
        <v>188</v>
      </c>
      <c r="AG292" s="15"/>
      <c r="AH292" s="15">
        <v>1999</v>
      </c>
      <c r="AI292" s="1">
        <v>763415</v>
      </c>
      <c r="AJ292" s="15"/>
      <c r="AK292" s="15"/>
      <c r="AL292" s="15" t="s">
        <v>188</v>
      </c>
      <c r="AM292" s="15"/>
      <c r="AN292" s="15"/>
      <c r="AO292" s="15" t="s">
        <v>188</v>
      </c>
      <c r="AP292" s="15"/>
      <c r="AQ292" s="15"/>
      <c r="AR292" s="15"/>
      <c r="AS292" s="15"/>
      <c r="AT292" s="15" t="s">
        <v>322</v>
      </c>
      <c r="AU292" s="1">
        <v>4000</v>
      </c>
      <c r="AV292" s="48">
        <v>0.5</v>
      </c>
      <c r="AW292" s="15">
        <v>3.6</v>
      </c>
      <c r="AX292" s="15">
        <v>3.2</v>
      </c>
      <c r="AY292" s="15">
        <v>2</v>
      </c>
      <c r="AZ292" s="15">
        <v>820</v>
      </c>
      <c r="BA292" s="15">
        <v>2800</v>
      </c>
      <c r="BB292" s="15" t="s">
        <v>188</v>
      </c>
      <c r="BC292" s="15" t="s">
        <v>199</v>
      </c>
      <c r="BD292" s="15" t="s">
        <v>199</v>
      </c>
      <c r="BE292" s="1">
        <v>24000</v>
      </c>
      <c r="BF292" s="1">
        <v>180000</v>
      </c>
      <c r="BG292" s="1">
        <v>24000</v>
      </c>
      <c r="BH292" s="1">
        <v>100000</v>
      </c>
      <c r="BI292" s="1" t="s">
        <v>193</v>
      </c>
      <c r="BJ292" s="15" t="s">
        <v>188</v>
      </c>
      <c r="BK292" s="15"/>
      <c r="BL292" s="15"/>
      <c r="BM292" s="15"/>
      <c r="BN292" s="15"/>
      <c r="BO292" s="15" t="s">
        <v>188</v>
      </c>
      <c r="BP292" s="15"/>
      <c r="BQ292" s="15"/>
      <c r="BR292" s="15"/>
      <c r="BS292" s="2"/>
      <c r="BT292" s="15"/>
      <c r="BU292" s="15"/>
      <c r="BV292" s="15" t="s">
        <v>188</v>
      </c>
      <c r="BW292" s="15"/>
      <c r="BX292" s="15">
        <v>1</v>
      </c>
      <c r="BY292" s="15">
        <v>3</v>
      </c>
      <c r="BZ292" s="15">
        <v>2</v>
      </c>
      <c r="CA292" s="15"/>
      <c r="CB292" s="15" t="s">
        <v>188</v>
      </c>
      <c r="CC292" s="15"/>
      <c r="CD292" s="15"/>
      <c r="CE292" s="15"/>
      <c r="CF292" s="15"/>
      <c r="CG292" s="15"/>
      <c r="CH292" s="15"/>
      <c r="CI292" s="15"/>
      <c r="CJ292" s="15"/>
      <c r="CK292" s="15" t="s">
        <v>188</v>
      </c>
      <c r="CL292" s="15"/>
      <c r="CM292" s="15"/>
      <c r="CN292" s="15"/>
      <c r="CO292" s="15"/>
      <c r="CP292" s="15" t="s">
        <v>193</v>
      </c>
      <c r="CQ292" s="15" t="s">
        <v>193</v>
      </c>
      <c r="CR292" s="15" t="s">
        <v>188</v>
      </c>
      <c r="CS292" s="15"/>
      <c r="CT292" s="15"/>
      <c r="CU292" s="15"/>
      <c r="CV292" s="15"/>
      <c r="CW292" s="15"/>
      <c r="CX292" s="15" t="s">
        <v>188</v>
      </c>
      <c r="CY292" s="15"/>
      <c r="CZ292" s="3"/>
      <c r="DA292" s="49"/>
      <c r="DC292" s="18">
        <f t="shared" si="12"/>
        <v>0</v>
      </c>
      <c r="DD292" s="18">
        <f t="shared" si="13"/>
        <v>3</v>
      </c>
      <c r="DE292" s="18">
        <f t="shared" si="14"/>
        <v>1999</v>
      </c>
    </row>
    <row r="293" spans="1:109" x14ac:dyDescent="0.25">
      <c r="A293" s="59" t="s">
        <v>1321</v>
      </c>
      <c r="B293" s="103">
        <v>41554</v>
      </c>
      <c r="C293" s="105" t="s">
        <v>1562</v>
      </c>
      <c r="D293" s="14" t="s">
        <v>830</v>
      </c>
      <c r="E293" s="15"/>
      <c r="F293" s="15"/>
      <c r="G293" s="15"/>
      <c r="H293" s="15" t="s">
        <v>188</v>
      </c>
      <c r="I293" s="15">
        <v>46</v>
      </c>
      <c r="J293" s="15" t="s">
        <v>189</v>
      </c>
      <c r="K293" s="15" t="s">
        <v>190</v>
      </c>
      <c r="L293" s="15" t="s">
        <v>821</v>
      </c>
      <c r="M293" s="15" t="s">
        <v>1110</v>
      </c>
      <c r="N293" s="15" t="s">
        <v>1089</v>
      </c>
      <c r="O293" s="15">
        <v>22</v>
      </c>
      <c r="P293" s="15"/>
      <c r="Q293" s="15"/>
      <c r="R293" s="15"/>
      <c r="S293" s="15" t="s">
        <v>188</v>
      </c>
      <c r="T293" s="15"/>
      <c r="U293" s="15" t="s">
        <v>188</v>
      </c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>
        <v>2009</v>
      </c>
      <c r="AI293" s="1">
        <v>323892</v>
      </c>
      <c r="AJ293" s="15"/>
      <c r="AK293" s="15"/>
      <c r="AL293" s="15" t="s">
        <v>188</v>
      </c>
      <c r="AM293" s="15"/>
      <c r="AN293" s="15"/>
      <c r="AO293" s="15"/>
      <c r="AP293" s="15" t="s">
        <v>188</v>
      </c>
      <c r="AQ293" s="15"/>
      <c r="AR293" s="15"/>
      <c r="AS293" s="15"/>
      <c r="AT293" s="15" t="s">
        <v>322</v>
      </c>
      <c r="AU293" s="1">
        <v>8000</v>
      </c>
      <c r="AV293" s="48">
        <v>0.5</v>
      </c>
      <c r="AW293" s="15">
        <v>2.7</v>
      </c>
      <c r="AX293" s="15">
        <v>2.4</v>
      </c>
      <c r="AY293" s="15">
        <v>2</v>
      </c>
      <c r="AZ293" s="15">
        <v>840</v>
      </c>
      <c r="BA293" s="15">
        <v>2100</v>
      </c>
      <c r="BB293" s="15" t="s">
        <v>188</v>
      </c>
      <c r="BC293" s="15" t="s">
        <v>188</v>
      </c>
      <c r="BD293" s="15" t="s">
        <v>199</v>
      </c>
      <c r="BE293" s="1">
        <v>18000</v>
      </c>
      <c r="BF293" s="1">
        <v>180000</v>
      </c>
      <c r="BG293" s="1">
        <v>24000</v>
      </c>
      <c r="BH293" s="1">
        <v>120000</v>
      </c>
      <c r="BI293" s="1" t="s">
        <v>193</v>
      </c>
      <c r="BJ293" s="15"/>
      <c r="BK293" s="15" t="s">
        <v>188</v>
      </c>
      <c r="BL293" s="15"/>
      <c r="BM293" s="15"/>
      <c r="BN293" s="15" t="s">
        <v>188</v>
      </c>
      <c r="BO293" s="15"/>
      <c r="BP293" s="15"/>
      <c r="BQ293" s="15"/>
      <c r="BR293" s="15"/>
      <c r="BS293" s="2"/>
      <c r="BT293" s="15"/>
      <c r="BU293" s="15" t="s">
        <v>188</v>
      </c>
      <c r="BV293" s="15"/>
      <c r="BW293" s="15"/>
      <c r="BX293" s="15">
        <v>1</v>
      </c>
      <c r="BY293" s="15">
        <v>3</v>
      </c>
      <c r="BZ293" s="15">
        <v>2</v>
      </c>
      <c r="CA293" s="15"/>
      <c r="CB293" s="15" t="s">
        <v>188</v>
      </c>
      <c r="CC293" s="15"/>
      <c r="CD293" s="15"/>
      <c r="CE293" s="15"/>
      <c r="CF293" s="15"/>
      <c r="CG293" s="15"/>
      <c r="CH293" s="15"/>
      <c r="CI293" s="15"/>
      <c r="CJ293" s="15"/>
      <c r="CK293" s="15" t="s">
        <v>188</v>
      </c>
      <c r="CL293" s="15"/>
      <c r="CM293" s="15"/>
      <c r="CN293" s="15"/>
      <c r="CO293" s="15"/>
      <c r="CP293" s="15" t="s">
        <v>193</v>
      </c>
      <c r="CQ293" s="15" t="s">
        <v>193</v>
      </c>
      <c r="CR293" s="15"/>
      <c r="CS293" s="15"/>
      <c r="CT293" s="15"/>
      <c r="CU293" s="2" t="s">
        <v>831</v>
      </c>
      <c r="CV293" s="15" t="s">
        <v>188</v>
      </c>
      <c r="CW293" s="15" t="s">
        <v>832</v>
      </c>
      <c r="CX293" s="15"/>
      <c r="CY293" s="15"/>
      <c r="CZ293" s="3"/>
      <c r="DA293" s="49"/>
      <c r="DC293" s="18">
        <f t="shared" si="12"/>
        <v>0</v>
      </c>
      <c r="DD293" s="18">
        <f t="shared" si="13"/>
        <v>7</v>
      </c>
      <c r="DE293" s="18">
        <f t="shared" si="14"/>
        <v>2009</v>
      </c>
    </row>
    <row r="294" spans="1:109" x14ac:dyDescent="0.25">
      <c r="A294" s="59" t="s">
        <v>1321</v>
      </c>
      <c r="B294" s="103">
        <v>41554</v>
      </c>
      <c r="C294" s="105" t="s">
        <v>1562</v>
      </c>
      <c r="D294" s="14" t="s">
        <v>833</v>
      </c>
      <c r="E294" s="15"/>
      <c r="F294" s="15"/>
      <c r="G294" s="15" t="s">
        <v>188</v>
      </c>
      <c r="H294" s="15"/>
      <c r="I294" s="15">
        <v>36</v>
      </c>
      <c r="J294" s="15" t="s">
        <v>189</v>
      </c>
      <c r="K294" s="15" t="s">
        <v>190</v>
      </c>
      <c r="L294" s="15" t="s">
        <v>834</v>
      </c>
      <c r="M294" s="15" t="s">
        <v>1116</v>
      </c>
      <c r="N294" s="15" t="s">
        <v>1090</v>
      </c>
      <c r="O294" s="15">
        <v>17</v>
      </c>
      <c r="P294" s="15"/>
      <c r="Q294" s="15"/>
      <c r="R294" s="15"/>
      <c r="S294" s="15" t="s">
        <v>188</v>
      </c>
      <c r="T294" s="15"/>
      <c r="U294" s="15"/>
      <c r="V294" s="15" t="s">
        <v>188</v>
      </c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>
        <v>2007</v>
      </c>
      <c r="AI294" s="1">
        <v>536789</v>
      </c>
      <c r="AJ294" s="15"/>
      <c r="AK294" s="15"/>
      <c r="AL294" s="15" t="s">
        <v>188</v>
      </c>
      <c r="AM294" s="15"/>
      <c r="AN294" s="15"/>
      <c r="AO294" s="15"/>
      <c r="AP294" s="15" t="s">
        <v>188</v>
      </c>
      <c r="AQ294" s="15"/>
      <c r="AR294" s="15"/>
      <c r="AS294" s="15"/>
      <c r="AT294" s="15" t="s">
        <v>266</v>
      </c>
      <c r="AU294" s="1">
        <v>8000</v>
      </c>
      <c r="AV294" s="48">
        <v>0.5</v>
      </c>
      <c r="AW294" s="15">
        <v>2.7</v>
      </c>
      <c r="AX294" s="15">
        <v>2.5</v>
      </c>
      <c r="AY294" s="15">
        <v>2</v>
      </c>
      <c r="AZ294" s="15">
        <v>870</v>
      </c>
      <c r="BA294" s="15">
        <v>2250</v>
      </c>
      <c r="BB294" s="15" t="s">
        <v>188</v>
      </c>
      <c r="BC294" s="15" t="s">
        <v>199</v>
      </c>
      <c r="BD294" s="15" t="s">
        <v>199</v>
      </c>
      <c r="BE294" s="1">
        <v>24000</v>
      </c>
      <c r="BF294" s="1">
        <v>240000</v>
      </c>
      <c r="BG294" s="1">
        <v>24000</v>
      </c>
      <c r="BH294" s="1">
        <v>120000</v>
      </c>
      <c r="BI294" s="1" t="s">
        <v>193</v>
      </c>
      <c r="BJ294" s="15" t="s">
        <v>188</v>
      </c>
      <c r="BK294" s="15"/>
      <c r="BL294" s="15"/>
      <c r="BM294" s="15"/>
      <c r="BN294" s="15"/>
      <c r="BO294" s="15"/>
      <c r="BP294" s="15"/>
      <c r="BQ294" s="15" t="s">
        <v>188</v>
      </c>
      <c r="BR294" s="15"/>
      <c r="BS294" s="2"/>
      <c r="BT294" s="15"/>
      <c r="BU294" s="15" t="s">
        <v>188</v>
      </c>
      <c r="BV294" s="15"/>
      <c r="BW294" s="15"/>
      <c r="BX294" s="15">
        <v>1</v>
      </c>
      <c r="BY294" s="15">
        <v>2</v>
      </c>
      <c r="BZ294" s="15">
        <v>3</v>
      </c>
      <c r="CA294" s="15"/>
      <c r="CB294" s="15"/>
      <c r="CC294" s="15" t="s">
        <v>188</v>
      </c>
      <c r="CD294" s="15"/>
      <c r="CE294" s="15"/>
      <c r="CF294" s="15"/>
      <c r="CG294" s="15"/>
      <c r="CH294" s="15" t="s">
        <v>188</v>
      </c>
      <c r="CI294" s="15"/>
      <c r="CJ294" s="15"/>
      <c r="CK294" s="15" t="s">
        <v>188</v>
      </c>
      <c r="CL294" s="15"/>
      <c r="CM294" s="15"/>
      <c r="CN294" s="15"/>
      <c r="CO294" s="15"/>
      <c r="CP294" s="15" t="s">
        <v>193</v>
      </c>
      <c r="CQ294" s="15" t="s">
        <v>193</v>
      </c>
      <c r="CR294" s="15"/>
      <c r="CS294" s="15"/>
      <c r="CT294" s="15" t="s">
        <v>835</v>
      </c>
      <c r="CU294" s="15"/>
      <c r="CV294" s="15"/>
      <c r="CW294" s="15"/>
      <c r="CX294" s="15" t="s">
        <v>188</v>
      </c>
      <c r="CY294" s="15"/>
      <c r="CZ294" s="3"/>
      <c r="DA294" s="49"/>
      <c r="DC294" s="18">
        <f t="shared" si="12"/>
        <v>0</v>
      </c>
      <c r="DD294" s="18">
        <f t="shared" si="13"/>
        <v>3</v>
      </c>
      <c r="DE294" s="18">
        <f t="shared" si="14"/>
        <v>2007</v>
      </c>
    </row>
    <row r="295" spans="1:109" x14ac:dyDescent="0.25">
      <c r="A295" s="59" t="s">
        <v>1321</v>
      </c>
      <c r="B295" s="103">
        <v>41554</v>
      </c>
      <c r="C295" s="105" t="s">
        <v>1562</v>
      </c>
      <c r="D295" s="14" t="s">
        <v>836</v>
      </c>
      <c r="E295" s="15"/>
      <c r="F295" s="15" t="s">
        <v>188</v>
      </c>
      <c r="G295" s="15"/>
      <c r="H295" s="15"/>
      <c r="I295" s="15">
        <v>48</v>
      </c>
      <c r="J295" s="15" t="s">
        <v>189</v>
      </c>
      <c r="K295" s="15" t="s">
        <v>190</v>
      </c>
      <c r="L295" s="15" t="s">
        <v>662</v>
      </c>
      <c r="M295" s="15" t="s">
        <v>1077</v>
      </c>
      <c r="N295" s="15" t="s">
        <v>1091</v>
      </c>
      <c r="O295" s="15">
        <v>29</v>
      </c>
      <c r="P295" s="15"/>
      <c r="Q295" s="15"/>
      <c r="R295" s="15"/>
      <c r="S295" s="15" t="s">
        <v>188</v>
      </c>
      <c r="T295" s="15"/>
      <c r="U295" s="15"/>
      <c r="V295" s="15"/>
      <c r="W295" s="15"/>
      <c r="X295" s="15"/>
      <c r="Y295" s="15"/>
      <c r="Z295" s="15"/>
      <c r="AA295" s="15"/>
      <c r="AB295" s="15" t="s">
        <v>188</v>
      </c>
      <c r="AC295" s="15"/>
      <c r="AD295" s="15"/>
      <c r="AE295" s="15"/>
      <c r="AF295" s="15"/>
      <c r="AG295" s="15"/>
      <c r="AH295" s="15">
        <v>2007</v>
      </c>
      <c r="AI295" s="1">
        <v>726430</v>
      </c>
      <c r="AJ295" s="15"/>
      <c r="AK295" s="15"/>
      <c r="AL295" s="15" t="s">
        <v>188</v>
      </c>
      <c r="AM295" s="15"/>
      <c r="AN295" s="15"/>
      <c r="AO295" s="15"/>
      <c r="AP295" s="15" t="s">
        <v>188</v>
      </c>
      <c r="AQ295" s="15"/>
      <c r="AR295" s="15"/>
      <c r="AS295" s="15"/>
      <c r="AT295" s="15" t="s">
        <v>322</v>
      </c>
      <c r="AU295" s="1">
        <v>10000</v>
      </c>
      <c r="AV295" s="48">
        <v>0.5</v>
      </c>
      <c r="AW295" s="15">
        <v>1.8</v>
      </c>
      <c r="AX295" s="15">
        <v>1.6</v>
      </c>
      <c r="AY295" s="15">
        <v>3</v>
      </c>
      <c r="AZ295" s="15">
        <v>1180</v>
      </c>
      <c r="BA295" s="15">
        <v>2000</v>
      </c>
      <c r="BB295" s="15" t="s">
        <v>188</v>
      </c>
      <c r="BC295" s="15" t="s">
        <v>188</v>
      </c>
      <c r="BD295" s="15" t="s">
        <v>199</v>
      </c>
      <c r="BE295" s="1">
        <v>20000</v>
      </c>
      <c r="BF295" s="1">
        <v>240000</v>
      </c>
      <c r="BG295" s="1">
        <v>20000</v>
      </c>
      <c r="BH295" s="1">
        <v>120000</v>
      </c>
      <c r="BI295" s="1" t="s">
        <v>193</v>
      </c>
      <c r="BJ295" s="15"/>
      <c r="BK295" s="15"/>
      <c r="BL295" s="15"/>
      <c r="BM295" s="15"/>
      <c r="BN295" s="15"/>
      <c r="BO295" s="15"/>
      <c r="BP295" s="15"/>
      <c r="BQ295" s="15"/>
      <c r="BR295" s="15"/>
      <c r="BS295" s="2" t="s">
        <v>837</v>
      </c>
      <c r="BT295" s="15"/>
      <c r="BU295" s="15"/>
      <c r="BV295" s="15" t="s">
        <v>188</v>
      </c>
      <c r="BW295" s="15"/>
      <c r="BX295" s="15">
        <v>1</v>
      </c>
      <c r="BY295" s="15">
        <v>3</v>
      </c>
      <c r="BZ295" s="15">
        <v>2</v>
      </c>
      <c r="CA295" s="15"/>
      <c r="CB295" s="15" t="s">
        <v>188</v>
      </c>
      <c r="CC295" s="15"/>
      <c r="CD295" s="15"/>
      <c r="CE295" s="15"/>
      <c r="CF295" s="15"/>
      <c r="CG295" s="15"/>
      <c r="CH295" s="15"/>
      <c r="CI295" s="15"/>
      <c r="CJ295" s="15"/>
      <c r="CK295" s="15" t="s">
        <v>188</v>
      </c>
      <c r="CL295" s="15"/>
      <c r="CM295" s="15"/>
      <c r="CN295" s="15"/>
      <c r="CO295" s="15"/>
      <c r="CP295" s="15" t="s">
        <v>193</v>
      </c>
      <c r="CQ295" s="15" t="s">
        <v>193</v>
      </c>
      <c r="CR295" s="15" t="s">
        <v>188</v>
      </c>
      <c r="CS295" s="15"/>
      <c r="CT295" s="15"/>
      <c r="CU295" s="15"/>
      <c r="CV295" s="15"/>
      <c r="CW295" s="15"/>
      <c r="CX295" s="15" t="s">
        <v>188</v>
      </c>
      <c r="CY295" s="15" t="s">
        <v>188</v>
      </c>
      <c r="CZ295" s="3"/>
      <c r="DA295" s="49"/>
      <c r="DC295" s="18">
        <f t="shared" si="12"/>
        <v>0</v>
      </c>
      <c r="DD295" s="18">
        <f t="shared" si="13"/>
        <v>2</v>
      </c>
      <c r="DE295" s="18">
        <f t="shared" si="14"/>
        <v>2007</v>
      </c>
    </row>
    <row r="296" spans="1:109" x14ac:dyDescent="0.25">
      <c r="A296" s="59" t="s">
        <v>1321</v>
      </c>
      <c r="B296" s="103">
        <v>41554</v>
      </c>
      <c r="C296" s="105" t="s">
        <v>1562</v>
      </c>
      <c r="D296" s="14" t="s">
        <v>838</v>
      </c>
      <c r="E296" s="15" t="s">
        <v>188</v>
      </c>
      <c r="F296" s="15"/>
      <c r="G296" s="15"/>
      <c r="H296" s="15"/>
      <c r="I296" s="15">
        <v>30</v>
      </c>
      <c r="J296" s="15" t="s">
        <v>189</v>
      </c>
      <c r="K296" s="15" t="s">
        <v>196</v>
      </c>
      <c r="L296" s="15" t="s">
        <v>839</v>
      </c>
      <c r="M296" s="15" t="s">
        <v>1117</v>
      </c>
      <c r="N296" s="15" t="s">
        <v>1006</v>
      </c>
      <c r="O296" s="15">
        <v>5</v>
      </c>
      <c r="P296" s="15" t="s">
        <v>188</v>
      </c>
      <c r="Q296" s="15"/>
      <c r="R296" s="15"/>
      <c r="S296" s="15"/>
      <c r="T296" s="15"/>
      <c r="U296" s="15" t="s">
        <v>188</v>
      </c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>
        <v>2005</v>
      </c>
      <c r="AI296" s="1">
        <v>471032</v>
      </c>
      <c r="AJ296" s="15" t="s">
        <v>188</v>
      </c>
      <c r="AK296" s="15"/>
      <c r="AL296" s="15"/>
      <c r="AM296" s="15"/>
      <c r="AN296" s="15"/>
      <c r="AO296" s="15"/>
      <c r="AP296" s="15" t="s">
        <v>188</v>
      </c>
      <c r="AQ296" s="15"/>
      <c r="AR296" s="15"/>
      <c r="AS296" s="15"/>
      <c r="AT296" s="15" t="s">
        <v>192</v>
      </c>
      <c r="AU296" s="1">
        <v>5000</v>
      </c>
      <c r="AV296" s="48">
        <v>0.1</v>
      </c>
      <c r="AW296" s="15">
        <v>5</v>
      </c>
      <c r="AX296" s="15">
        <v>4.7</v>
      </c>
      <c r="AY296" s="15">
        <v>2</v>
      </c>
      <c r="AZ296" s="15">
        <v>330</v>
      </c>
      <c r="BA296" s="15">
        <v>1600</v>
      </c>
      <c r="BB296" s="15" t="s">
        <v>199</v>
      </c>
      <c r="BC296" s="15" t="s">
        <v>199</v>
      </c>
      <c r="BD296" s="15" t="s">
        <v>199</v>
      </c>
      <c r="BE296" s="1">
        <v>20000</v>
      </c>
      <c r="BF296" s="1" t="s">
        <v>193</v>
      </c>
      <c r="BG296" s="1">
        <v>30000</v>
      </c>
      <c r="BH296" s="1">
        <v>100000</v>
      </c>
      <c r="BI296" s="1" t="s">
        <v>193</v>
      </c>
      <c r="BJ296" s="15"/>
      <c r="BK296" s="15" t="s">
        <v>188</v>
      </c>
      <c r="BL296" s="15"/>
      <c r="BM296" s="15"/>
      <c r="BN296" s="15" t="s">
        <v>188</v>
      </c>
      <c r="BO296" s="15"/>
      <c r="BP296" s="15"/>
      <c r="BQ296" s="15"/>
      <c r="BR296" s="15"/>
      <c r="BS296" s="2"/>
      <c r="BT296" s="15"/>
      <c r="BU296" s="15" t="s">
        <v>188</v>
      </c>
      <c r="BV296" s="15"/>
      <c r="BW296" s="15"/>
      <c r="BX296" s="15">
        <v>1</v>
      </c>
      <c r="BY296" s="15">
        <v>2</v>
      </c>
      <c r="BZ296" s="15">
        <v>3</v>
      </c>
      <c r="CA296" s="15"/>
      <c r="CB296" s="15" t="s">
        <v>188</v>
      </c>
      <c r="CC296" s="15"/>
      <c r="CD296" s="15"/>
      <c r="CE296" s="15"/>
      <c r="CF296" s="15"/>
      <c r="CG296" s="15"/>
      <c r="CH296" s="15"/>
      <c r="CI296" s="15"/>
      <c r="CJ296" s="15"/>
      <c r="CK296" s="15" t="s">
        <v>188</v>
      </c>
      <c r="CL296" s="15"/>
      <c r="CM296" s="15"/>
      <c r="CN296" s="15"/>
      <c r="CO296" s="15"/>
      <c r="CP296" s="15" t="s">
        <v>193</v>
      </c>
      <c r="CQ296" s="15" t="s">
        <v>193</v>
      </c>
      <c r="CR296" s="15" t="s">
        <v>188</v>
      </c>
      <c r="CS296" s="15"/>
      <c r="CT296" s="15"/>
      <c r="CU296" s="15"/>
      <c r="CV296" s="15"/>
      <c r="CW296" s="15"/>
      <c r="CX296" s="15"/>
      <c r="CY296" s="15" t="s">
        <v>188</v>
      </c>
      <c r="CZ296" s="3"/>
      <c r="DA296" s="49"/>
      <c r="DC296" s="18">
        <f t="shared" si="12"/>
        <v>0</v>
      </c>
      <c r="DD296" s="18">
        <f t="shared" si="13"/>
        <v>1</v>
      </c>
      <c r="DE296" s="18">
        <f t="shared" si="14"/>
        <v>2005</v>
      </c>
    </row>
    <row r="297" spans="1:109" x14ac:dyDescent="0.25">
      <c r="A297" s="59" t="s">
        <v>1321</v>
      </c>
      <c r="B297" s="103">
        <v>41554</v>
      </c>
      <c r="C297" s="105" t="s">
        <v>1562</v>
      </c>
      <c r="D297" s="14" t="s">
        <v>840</v>
      </c>
      <c r="E297" s="15"/>
      <c r="F297" s="15" t="s">
        <v>188</v>
      </c>
      <c r="G297" s="15"/>
      <c r="H297" s="15"/>
      <c r="I297" s="15">
        <v>28</v>
      </c>
      <c r="J297" s="15" t="s">
        <v>189</v>
      </c>
      <c r="K297" s="15" t="s">
        <v>841</v>
      </c>
      <c r="L297" s="15" t="s">
        <v>842</v>
      </c>
      <c r="M297" s="15" t="s">
        <v>1118</v>
      </c>
      <c r="N297" s="15" t="s">
        <v>1118</v>
      </c>
      <c r="O297" s="15">
        <v>4</v>
      </c>
      <c r="P297" s="15"/>
      <c r="Q297" s="15"/>
      <c r="R297" s="15"/>
      <c r="S297" s="15" t="s">
        <v>188</v>
      </c>
      <c r="T297" s="15"/>
      <c r="U297" s="15" t="s">
        <v>188</v>
      </c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>
        <v>2006</v>
      </c>
      <c r="AI297" s="1">
        <v>637902</v>
      </c>
      <c r="AJ297" s="15"/>
      <c r="AK297" s="15"/>
      <c r="AL297" s="15" t="s">
        <v>188</v>
      </c>
      <c r="AM297" s="15"/>
      <c r="AN297" s="15"/>
      <c r="AO297" s="15"/>
      <c r="AP297" s="15" t="s">
        <v>188</v>
      </c>
      <c r="AQ297" s="15"/>
      <c r="AR297" s="15"/>
      <c r="AS297" s="15"/>
      <c r="AT297" s="15" t="s">
        <v>322</v>
      </c>
      <c r="AU297" s="1">
        <v>8000</v>
      </c>
      <c r="AV297" s="48">
        <v>0.05</v>
      </c>
      <c r="AW297" s="15">
        <v>2.8</v>
      </c>
      <c r="AX297" s="15">
        <v>2.5</v>
      </c>
      <c r="AY297" s="15">
        <v>2</v>
      </c>
      <c r="AZ297" s="15">
        <v>830</v>
      </c>
      <c r="BA297" s="15">
        <v>2250</v>
      </c>
      <c r="BB297" s="15" t="s">
        <v>188</v>
      </c>
      <c r="BC297" s="15" t="s">
        <v>199</v>
      </c>
      <c r="BD297" s="15" t="s">
        <v>199</v>
      </c>
      <c r="BE297" s="1">
        <v>24000</v>
      </c>
      <c r="BF297" s="1" t="s">
        <v>193</v>
      </c>
      <c r="BG297" s="1">
        <v>24000</v>
      </c>
      <c r="BH297" s="1">
        <v>120000</v>
      </c>
      <c r="BI297" s="1" t="s">
        <v>193</v>
      </c>
      <c r="BJ297" s="15"/>
      <c r="BK297" s="15" t="s">
        <v>188</v>
      </c>
      <c r="BL297" s="15"/>
      <c r="BM297" s="15"/>
      <c r="BN297" s="15"/>
      <c r="BO297" s="15" t="s">
        <v>188</v>
      </c>
      <c r="BP297" s="15"/>
      <c r="BQ297" s="15"/>
      <c r="BR297" s="15"/>
      <c r="BS297" s="2"/>
      <c r="BT297" s="15"/>
      <c r="BU297" s="15"/>
      <c r="BV297" s="15" t="s">
        <v>188</v>
      </c>
      <c r="BW297" s="15"/>
      <c r="BX297" s="15">
        <v>1</v>
      </c>
      <c r="BY297" s="15">
        <v>3</v>
      </c>
      <c r="BZ297" s="15">
        <v>2</v>
      </c>
      <c r="CA297" s="15"/>
      <c r="CB297" s="15" t="s">
        <v>188</v>
      </c>
      <c r="CC297" s="15"/>
      <c r="CD297" s="15"/>
      <c r="CE297" s="15"/>
      <c r="CF297" s="15"/>
      <c r="CG297" s="15"/>
      <c r="CH297" s="15"/>
      <c r="CI297" s="15"/>
      <c r="CJ297" s="15"/>
      <c r="CK297" s="15" t="s">
        <v>188</v>
      </c>
      <c r="CL297" s="15"/>
      <c r="CM297" s="15"/>
      <c r="CN297" s="15"/>
      <c r="CO297" s="15"/>
      <c r="CP297" s="15" t="s">
        <v>193</v>
      </c>
      <c r="CQ297" s="15" t="s">
        <v>193</v>
      </c>
      <c r="CR297" s="15" t="s">
        <v>188</v>
      </c>
      <c r="CS297" s="15"/>
      <c r="CT297" s="15"/>
      <c r="CU297" s="15"/>
      <c r="CV297" s="15"/>
      <c r="CW297" s="15"/>
      <c r="CX297" s="15" t="s">
        <v>188</v>
      </c>
      <c r="CY297" s="15"/>
      <c r="CZ297" s="3"/>
      <c r="DA297" s="49"/>
      <c r="DC297" s="18">
        <f t="shared" si="12"/>
        <v>0</v>
      </c>
      <c r="DD297" s="18">
        <f t="shared" si="13"/>
        <v>2</v>
      </c>
      <c r="DE297" s="18">
        <f t="shared" si="14"/>
        <v>2006</v>
      </c>
    </row>
    <row r="298" spans="1:109" x14ac:dyDescent="0.25">
      <c r="A298" s="59" t="s">
        <v>1321</v>
      </c>
      <c r="B298" s="103">
        <v>41554</v>
      </c>
      <c r="C298" s="105" t="s">
        <v>1562</v>
      </c>
      <c r="D298" s="14" t="s">
        <v>843</v>
      </c>
      <c r="E298" s="15"/>
      <c r="F298" s="15"/>
      <c r="G298" s="15" t="s">
        <v>188</v>
      </c>
      <c r="H298" s="15"/>
      <c r="I298" s="15">
        <v>41</v>
      </c>
      <c r="J298" s="15" t="s">
        <v>189</v>
      </c>
      <c r="K298" s="15" t="s">
        <v>214</v>
      </c>
      <c r="L298" s="15" t="s">
        <v>844</v>
      </c>
      <c r="M298" s="15" t="s">
        <v>1119</v>
      </c>
      <c r="N298" s="15" t="s">
        <v>1106</v>
      </c>
      <c r="O298" s="15">
        <v>20</v>
      </c>
      <c r="P298" s="15"/>
      <c r="Q298" s="15"/>
      <c r="R298" s="15"/>
      <c r="S298" s="15" t="s">
        <v>188</v>
      </c>
      <c r="T298" s="15"/>
      <c r="U298" s="15" t="s">
        <v>188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>
        <v>2005</v>
      </c>
      <c r="AI298" s="1">
        <v>630244</v>
      </c>
      <c r="AJ298" s="15"/>
      <c r="AK298" s="15"/>
      <c r="AL298" s="15" t="s">
        <v>188</v>
      </c>
      <c r="AM298" s="15"/>
      <c r="AN298" s="15"/>
      <c r="AO298" s="15"/>
      <c r="AP298" s="15" t="s">
        <v>188</v>
      </c>
      <c r="AQ298" s="15"/>
      <c r="AR298" s="15"/>
      <c r="AS298" s="15"/>
      <c r="AT298" s="15" t="s">
        <v>266</v>
      </c>
      <c r="AU298" s="1">
        <v>8000</v>
      </c>
      <c r="AV298" s="48">
        <v>0.5</v>
      </c>
      <c r="AW298" s="15">
        <v>2.8</v>
      </c>
      <c r="AX298" s="15">
        <v>2.5</v>
      </c>
      <c r="AY298" s="15">
        <v>2</v>
      </c>
      <c r="AZ298" s="15">
        <v>880</v>
      </c>
      <c r="BA298" s="15">
        <v>2300</v>
      </c>
      <c r="BB298" s="15" t="s">
        <v>188</v>
      </c>
      <c r="BC298" s="15" t="s">
        <v>188</v>
      </c>
      <c r="BD298" s="15" t="s">
        <v>199</v>
      </c>
      <c r="BE298" s="1">
        <v>18000</v>
      </c>
      <c r="BF298" s="1">
        <v>200000</v>
      </c>
      <c r="BG298" s="1">
        <v>25000</v>
      </c>
      <c r="BH298" s="1">
        <v>100000</v>
      </c>
      <c r="BI298" s="1" t="s">
        <v>193</v>
      </c>
      <c r="BJ298" s="15"/>
      <c r="BK298" s="15" t="s">
        <v>188</v>
      </c>
      <c r="BL298" s="15"/>
      <c r="BM298" s="15"/>
      <c r="BN298" s="15" t="s">
        <v>188</v>
      </c>
      <c r="BO298" s="15"/>
      <c r="BP298" s="15"/>
      <c r="BQ298" s="15"/>
      <c r="BR298" s="15"/>
      <c r="BS298" s="2"/>
      <c r="BT298" s="15"/>
      <c r="BU298" s="15"/>
      <c r="BV298" s="15" t="s">
        <v>188</v>
      </c>
      <c r="BW298" s="15"/>
      <c r="BX298" s="15">
        <v>1</v>
      </c>
      <c r="BY298" s="15">
        <v>3</v>
      </c>
      <c r="BZ298" s="15">
        <v>2</v>
      </c>
      <c r="CA298" s="15"/>
      <c r="CB298" s="15" t="s">
        <v>188</v>
      </c>
      <c r="CC298" s="15"/>
      <c r="CD298" s="15"/>
      <c r="CE298" s="15"/>
      <c r="CF298" s="15"/>
      <c r="CG298" s="15"/>
      <c r="CH298" s="15"/>
      <c r="CI298" s="15"/>
      <c r="CJ298" s="15"/>
      <c r="CK298" s="15" t="s">
        <v>188</v>
      </c>
      <c r="CL298" s="15"/>
      <c r="CM298" s="15"/>
      <c r="CN298" s="15"/>
      <c r="CO298" s="15"/>
      <c r="CP298" s="15" t="s">
        <v>193</v>
      </c>
      <c r="CQ298" s="15" t="s">
        <v>193</v>
      </c>
      <c r="CR298" s="15" t="s">
        <v>188</v>
      </c>
      <c r="CS298" s="15"/>
      <c r="CT298" s="15"/>
      <c r="CU298" s="15"/>
      <c r="CV298" s="15"/>
      <c r="CW298" s="15"/>
      <c r="CX298" s="15"/>
      <c r="CY298" s="15" t="s">
        <v>188</v>
      </c>
      <c r="CZ298" s="3"/>
      <c r="DA298" s="49"/>
      <c r="DC298" s="18">
        <f t="shared" si="12"/>
        <v>0</v>
      </c>
      <c r="DD298" s="18">
        <f t="shared" si="13"/>
        <v>3</v>
      </c>
      <c r="DE298" s="18">
        <f t="shared" si="14"/>
        <v>2005</v>
      </c>
    </row>
    <row r="299" spans="1:109" x14ac:dyDescent="0.25">
      <c r="A299" s="59" t="s">
        <v>1321</v>
      </c>
      <c r="B299" s="103">
        <v>41555</v>
      </c>
      <c r="C299" s="105" t="s">
        <v>1562</v>
      </c>
      <c r="D299" s="14" t="s">
        <v>845</v>
      </c>
      <c r="E299" s="15"/>
      <c r="F299" s="15"/>
      <c r="G299" s="15" t="s">
        <v>188</v>
      </c>
      <c r="H299" s="15"/>
      <c r="I299" s="15">
        <v>32</v>
      </c>
      <c r="J299" s="15" t="s">
        <v>189</v>
      </c>
      <c r="K299" s="15" t="s">
        <v>190</v>
      </c>
      <c r="L299" s="15" t="s">
        <v>846</v>
      </c>
      <c r="M299" s="15" t="s">
        <v>1120</v>
      </c>
      <c r="N299" s="15" t="s">
        <v>1091</v>
      </c>
      <c r="O299" s="15">
        <v>7</v>
      </c>
      <c r="P299" s="15"/>
      <c r="Q299" s="15" t="s">
        <v>188</v>
      </c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 t="s">
        <v>188</v>
      </c>
      <c r="AG299" s="15"/>
      <c r="AH299" s="15">
        <v>1995</v>
      </c>
      <c r="AI299" s="1">
        <v>793611</v>
      </c>
      <c r="AJ299" s="15"/>
      <c r="AK299" s="15"/>
      <c r="AL299" s="15" t="s">
        <v>188</v>
      </c>
      <c r="AM299" s="15"/>
      <c r="AN299" s="15"/>
      <c r="AO299" s="15" t="s">
        <v>188</v>
      </c>
      <c r="AP299" s="15"/>
      <c r="AQ299" s="15"/>
      <c r="AR299" s="15"/>
      <c r="AS299" s="15"/>
      <c r="AT299" s="15" t="s">
        <v>237</v>
      </c>
      <c r="AU299" s="1">
        <v>5000</v>
      </c>
      <c r="AV299" s="48">
        <v>0.2</v>
      </c>
      <c r="AW299" s="15">
        <v>3.4</v>
      </c>
      <c r="AX299" s="15">
        <v>3</v>
      </c>
      <c r="AY299" s="15">
        <v>2</v>
      </c>
      <c r="AZ299" s="15">
        <v>660</v>
      </c>
      <c r="BA299" s="15">
        <v>2100</v>
      </c>
      <c r="BB299" s="15" t="s">
        <v>199</v>
      </c>
      <c r="BC299" s="15" t="s">
        <v>199</v>
      </c>
      <c r="BD299" s="15" t="s">
        <v>199</v>
      </c>
      <c r="BE299" s="1">
        <v>30000</v>
      </c>
      <c r="BF299" s="1" t="s">
        <v>193</v>
      </c>
      <c r="BG299" s="1">
        <v>30000</v>
      </c>
      <c r="BH299" s="1" t="s">
        <v>193</v>
      </c>
      <c r="BI299" s="1" t="s">
        <v>193</v>
      </c>
      <c r="BJ299" s="15" t="s">
        <v>188</v>
      </c>
      <c r="BK299" s="15"/>
      <c r="BL299" s="15"/>
      <c r="BM299" s="15"/>
      <c r="BN299" s="15"/>
      <c r="BO299" s="15"/>
      <c r="BP299" s="15"/>
      <c r="BQ299" s="15"/>
      <c r="BR299" s="15"/>
      <c r="BS299" s="2"/>
      <c r="BT299" s="15"/>
      <c r="BU299" s="15"/>
      <c r="BV299" s="15" t="s">
        <v>188</v>
      </c>
      <c r="BW299" s="15"/>
      <c r="BX299" s="15">
        <v>1</v>
      </c>
      <c r="BY299" s="15">
        <v>3</v>
      </c>
      <c r="BZ299" s="15">
        <v>2</v>
      </c>
      <c r="CA299" s="15"/>
      <c r="CB299" s="15" t="s">
        <v>188</v>
      </c>
      <c r="CC299" s="15"/>
      <c r="CD299" s="15"/>
      <c r="CE299" s="15"/>
      <c r="CF299" s="15"/>
      <c r="CG299" s="15"/>
      <c r="CH299" s="15"/>
      <c r="CI299" s="15"/>
      <c r="CJ299" s="15"/>
      <c r="CK299" s="15" t="s">
        <v>188</v>
      </c>
      <c r="CL299" s="15"/>
      <c r="CM299" s="15"/>
      <c r="CN299" s="15"/>
      <c r="CO299" s="15"/>
      <c r="CP299" s="15" t="s">
        <v>193</v>
      </c>
      <c r="CQ299" s="15" t="s">
        <v>193</v>
      </c>
      <c r="CR299" s="15" t="s">
        <v>188</v>
      </c>
      <c r="CS299" s="15"/>
      <c r="CT299" s="15"/>
      <c r="CU299" s="15"/>
      <c r="CV299" s="15" t="s">
        <v>188</v>
      </c>
      <c r="CW299" s="15" t="s">
        <v>270</v>
      </c>
      <c r="CX299" s="15"/>
      <c r="CY299" s="15"/>
      <c r="CZ299" s="3"/>
      <c r="DA299" s="49"/>
      <c r="DC299" s="18">
        <f t="shared" si="12"/>
        <v>0</v>
      </c>
      <c r="DD299" s="18">
        <f t="shared" si="13"/>
        <v>3</v>
      </c>
      <c r="DE299" s="18">
        <f t="shared" si="14"/>
        <v>1995</v>
      </c>
    </row>
    <row r="300" spans="1:109" x14ac:dyDescent="0.25">
      <c r="A300" s="59" t="s">
        <v>1321</v>
      </c>
      <c r="B300" s="103">
        <v>41555</v>
      </c>
      <c r="C300" s="105" t="s">
        <v>1562</v>
      </c>
      <c r="D300" s="14" t="s">
        <v>847</v>
      </c>
      <c r="E300" s="15"/>
      <c r="F300" s="15"/>
      <c r="G300" s="15" t="s">
        <v>188</v>
      </c>
      <c r="H300" s="15"/>
      <c r="I300" s="15">
        <v>53</v>
      </c>
      <c r="J300" s="15" t="s">
        <v>189</v>
      </c>
      <c r="K300" s="15" t="s">
        <v>190</v>
      </c>
      <c r="L300" s="15" t="s">
        <v>848</v>
      </c>
      <c r="M300" s="15" t="s">
        <v>1121</v>
      </c>
      <c r="N300" s="15" t="s">
        <v>1106</v>
      </c>
      <c r="O300" s="15">
        <v>33</v>
      </c>
      <c r="P300" s="15"/>
      <c r="Q300" s="15"/>
      <c r="R300" s="15"/>
      <c r="S300" s="15" t="s">
        <v>188</v>
      </c>
      <c r="T300" s="15"/>
      <c r="U300" s="15" t="s">
        <v>188</v>
      </c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>
        <v>2001</v>
      </c>
      <c r="AI300" s="1">
        <v>868321</v>
      </c>
      <c r="AJ300" s="15"/>
      <c r="AK300" s="15"/>
      <c r="AL300" s="15" t="s">
        <v>188</v>
      </c>
      <c r="AM300" s="15"/>
      <c r="AN300" s="15"/>
      <c r="AO300" s="15" t="s">
        <v>188</v>
      </c>
      <c r="AP300" s="15"/>
      <c r="AQ300" s="15"/>
      <c r="AR300" s="15"/>
      <c r="AS300" s="15"/>
      <c r="AT300" s="15" t="s">
        <v>322</v>
      </c>
      <c r="AU300" s="1">
        <v>4000</v>
      </c>
      <c r="AV300" s="48">
        <v>0.2</v>
      </c>
      <c r="AW300" s="15">
        <v>2.7</v>
      </c>
      <c r="AX300" s="15">
        <v>2.4</v>
      </c>
      <c r="AY300" s="15">
        <v>2</v>
      </c>
      <c r="AZ300" s="15">
        <v>850</v>
      </c>
      <c r="BA300" s="15">
        <v>2200</v>
      </c>
      <c r="BB300" s="15" t="s">
        <v>188</v>
      </c>
      <c r="BC300" s="15" t="s">
        <v>188</v>
      </c>
      <c r="BD300" s="15" t="s">
        <v>199</v>
      </c>
      <c r="BE300" s="1">
        <v>20000</v>
      </c>
      <c r="BF300" s="1" t="s">
        <v>193</v>
      </c>
      <c r="BG300" s="1">
        <v>20000</v>
      </c>
      <c r="BH300" s="1">
        <v>100000</v>
      </c>
      <c r="BI300" s="1" t="s">
        <v>193</v>
      </c>
      <c r="BJ300" s="15"/>
      <c r="BK300" s="15" t="s">
        <v>188</v>
      </c>
      <c r="BL300" s="15"/>
      <c r="BM300" s="15"/>
      <c r="BN300" s="15"/>
      <c r="BO300" s="15"/>
      <c r="BP300" s="15"/>
      <c r="BQ300" s="15"/>
      <c r="BR300" s="15"/>
      <c r="BS300" s="2"/>
      <c r="BT300" s="15"/>
      <c r="BU300" s="15" t="s">
        <v>188</v>
      </c>
      <c r="BV300" s="15"/>
      <c r="BW300" s="15"/>
      <c r="BX300" s="15">
        <v>1</v>
      </c>
      <c r="BY300" s="15">
        <v>3</v>
      </c>
      <c r="BZ300" s="15">
        <v>2</v>
      </c>
      <c r="CA300" s="15"/>
      <c r="CB300" s="15" t="s">
        <v>188</v>
      </c>
      <c r="CC300" s="15"/>
      <c r="CD300" s="15"/>
      <c r="CE300" s="15"/>
      <c r="CF300" s="15"/>
      <c r="CG300" s="15"/>
      <c r="CH300" s="15"/>
      <c r="CI300" s="15"/>
      <c r="CJ300" s="15"/>
      <c r="CK300" s="15" t="s">
        <v>188</v>
      </c>
      <c r="CL300" s="15"/>
      <c r="CM300" s="15"/>
      <c r="CN300" s="15"/>
      <c r="CO300" s="15"/>
      <c r="CP300" s="15" t="s">
        <v>193</v>
      </c>
      <c r="CQ300" s="15" t="s">
        <v>193</v>
      </c>
      <c r="CR300" s="15" t="s">
        <v>188</v>
      </c>
      <c r="CS300" s="15"/>
      <c r="CT300" s="15"/>
      <c r="CU300" s="15"/>
      <c r="CV300" s="15"/>
      <c r="CW300" s="15"/>
      <c r="CX300" s="15"/>
      <c r="CY300" s="15" t="s">
        <v>188</v>
      </c>
      <c r="CZ300" s="3"/>
      <c r="DA300" s="49"/>
      <c r="DC300" s="18">
        <f t="shared" si="12"/>
        <v>0</v>
      </c>
      <c r="DD300" s="18">
        <f t="shared" si="13"/>
        <v>3</v>
      </c>
      <c r="DE300" s="18">
        <f t="shared" si="14"/>
        <v>2001</v>
      </c>
    </row>
    <row r="301" spans="1:109" x14ac:dyDescent="0.25">
      <c r="A301" s="59" t="s">
        <v>1321</v>
      </c>
      <c r="B301" s="103">
        <v>41555</v>
      </c>
      <c r="C301" s="105" t="s">
        <v>1562</v>
      </c>
      <c r="D301" s="14" t="s">
        <v>849</v>
      </c>
      <c r="E301" s="15" t="s">
        <v>188</v>
      </c>
      <c r="F301" s="15"/>
      <c r="G301" s="15"/>
      <c r="H301" s="15"/>
      <c r="I301" s="15">
        <v>63</v>
      </c>
      <c r="J301" s="15" t="s">
        <v>189</v>
      </c>
      <c r="K301" s="15" t="s">
        <v>445</v>
      </c>
      <c r="L301" s="15" t="s">
        <v>197</v>
      </c>
      <c r="M301" s="15" t="s">
        <v>1006</v>
      </c>
      <c r="N301" s="15" t="s">
        <v>1006</v>
      </c>
      <c r="O301" s="15">
        <v>40</v>
      </c>
      <c r="P301" s="15"/>
      <c r="Q301" s="15" t="s">
        <v>188</v>
      </c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 t="s">
        <v>188</v>
      </c>
      <c r="AG301" s="15"/>
      <c r="AH301" s="15">
        <v>1987</v>
      </c>
      <c r="AI301" s="1" t="s">
        <v>269</v>
      </c>
      <c r="AJ301" s="15"/>
      <c r="AK301" s="15"/>
      <c r="AL301" s="15" t="s">
        <v>188</v>
      </c>
      <c r="AM301" s="15"/>
      <c r="AN301" s="15"/>
      <c r="AO301" s="15" t="s">
        <v>188</v>
      </c>
      <c r="AP301" s="15"/>
      <c r="AQ301" s="15"/>
      <c r="AR301" s="15"/>
      <c r="AS301" s="15"/>
      <c r="AT301" s="15" t="s">
        <v>237</v>
      </c>
      <c r="AU301" s="1">
        <v>6000</v>
      </c>
      <c r="AV301" s="48">
        <v>0.1</v>
      </c>
      <c r="AW301" s="15">
        <v>3.5</v>
      </c>
      <c r="AX301" s="15">
        <v>3</v>
      </c>
      <c r="AY301" s="15">
        <v>2</v>
      </c>
      <c r="AZ301" s="15">
        <v>450</v>
      </c>
      <c r="BA301" s="15">
        <v>1500</v>
      </c>
      <c r="BB301" s="15" t="s">
        <v>199</v>
      </c>
      <c r="BC301" s="15" t="s">
        <v>199</v>
      </c>
      <c r="BD301" s="15" t="s">
        <v>199</v>
      </c>
      <c r="BE301" s="1">
        <v>30000</v>
      </c>
      <c r="BF301" s="1" t="s">
        <v>193</v>
      </c>
      <c r="BG301" s="1">
        <v>30000</v>
      </c>
      <c r="BH301" s="1" t="s">
        <v>193</v>
      </c>
      <c r="BI301" s="1" t="s">
        <v>193</v>
      </c>
      <c r="BJ301" s="15" t="s">
        <v>188</v>
      </c>
      <c r="BK301" s="15"/>
      <c r="BL301" s="15"/>
      <c r="BM301" s="15"/>
      <c r="BN301" s="15"/>
      <c r="BO301" s="15" t="s">
        <v>188</v>
      </c>
      <c r="BP301" s="15"/>
      <c r="BQ301" s="15"/>
      <c r="BR301" s="15"/>
      <c r="BS301" s="2"/>
      <c r="BT301" s="15" t="s">
        <v>188</v>
      </c>
      <c r="BU301" s="15"/>
      <c r="BV301" s="15"/>
      <c r="BW301" s="15"/>
      <c r="BX301" s="15">
        <v>3</v>
      </c>
      <c r="BY301" s="15">
        <v>1</v>
      </c>
      <c r="BZ301" s="15">
        <v>2</v>
      </c>
      <c r="CA301" s="15"/>
      <c r="CB301" s="15" t="s">
        <v>188</v>
      </c>
      <c r="CC301" s="15"/>
      <c r="CD301" s="15"/>
      <c r="CE301" s="15"/>
      <c r="CF301" s="15"/>
      <c r="CG301" s="15"/>
      <c r="CH301" s="15"/>
      <c r="CI301" s="15"/>
      <c r="CJ301" s="15"/>
      <c r="CK301" s="15" t="s">
        <v>188</v>
      </c>
      <c r="CL301" s="15"/>
      <c r="CM301" s="15"/>
      <c r="CN301" s="15"/>
      <c r="CO301" s="15"/>
      <c r="CP301" s="15" t="s">
        <v>193</v>
      </c>
      <c r="CQ301" s="15" t="s">
        <v>193</v>
      </c>
      <c r="CR301" s="15" t="s">
        <v>188</v>
      </c>
      <c r="CS301" s="15"/>
      <c r="CT301" s="15"/>
      <c r="CU301" s="15"/>
      <c r="CV301" s="15" t="s">
        <v>188</v>
      </c>
      <c r="CW301" s="15" t="s">
        <v>270</v>
      </c>
      <c r="CX301" s="15"/>
      <c r="CY301" s="15"/>
      <c r="CZ301" s="3"/>
      <c r="DA301" s="49"/>
      <c r="DC301" s="18">
        <f t="shared" si="12"/>
        <v>0</v>
      </c>
      <c r="DD301" s="18">
        <f t="shared" si="13"/>
        <v>1</v>
      </c>
      <c r="DE301" s="18">
        <f t="shared" si="14"/>
        <v>1987</v>
      </c>
    </row>
    <row r="302" spans="1:109" x14ac:dyDescent="0.25">
      <c r="A302" s="59" t="s">
        <v>1321</v>
      </c>
      <c r="B302" s="103">
        <v>41555</v>
      </c>
      <c r="C302" s="105" t="s">
        <v>1562</v>
      </c>
      <c r="D302" s="14" t="s">
        <v>850</v>
      </c>
      <c r="E302" s="15"/>
      <c r="F302" s="15"/>
      <c r="G302" s="15"/>
      <c r="H302" s="15" t="s">
        <v>188</v>
      </c>
      <c r="I302" s="15">
        <v>28</v>
      </c>
      <c r="J302" s="15" t="s">
        <v>189</v>
      </c>
      <c r="K302" s="15" t="s">
        <v>214</v>
      </c>
      <c r="L302" s="15" t="s">
        <v>851</v>
      </c>
      <c r="M302" s="15" t="s">
        <v>1122</v>
      </c>
      <c r="N302" s="15" t="s">
        <v>1009</v>
      </c>
      <c r="O302" s="15">
        <v>11</v>
      </c>
      <c r="P302" s="15"/>
      <c r="Q302" s="15"/>
      <c r="R302" s="15"/>
      <c r="S302" s="15" t="s">
        <v>188</v>
      </c>
      <c r="T302" s="15"/>
      <c r="U302" s="15" t="s">
        <v>188</v>
      </c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>
        <v>2007</v>
      </c>
      <c r="AI302" s="1">
        <v>598301</v>
      </c>
      <c r="AJ302" s="15"/>
      <c r="AK302" s="15"/>
      <c r="AL302" s="15" t="s">
        <v>188</v>
      </c>
      <c r="AM302" s="15"/>
      <c r="AN302" s="15"/>
      <c r="AO302" s="15"/>
      <c r="AP302" s="15" t="s">
        <v>188</v>
      </c>
      <c r="AQ302" s="15"/>
      <c r="AR302" s="15"/>
      <c r="AS302" s="15"/>
      <c r="AT302" s="15" t="s">
        <v>322</v>
      </c>
      <c r="AU302" s="1">
        <v>8000</v>
      </c>
      <c r="AV302" s="48">
        <v>0.05</v>
      </c>
      <c r="AW302" s="15">
        <v>2.7</v>
      </c>
      <c r="AX302" s="15">
        <v>2.5</v>
      </c>
      <c r="AY302" s="15">
        <v>2</v>
      </c>
      <c r="AZ302" s="15">
        <v>960</v>
      </c>
      <c r="BA302" s="15">
        <v>2500</v>
      </c>
      <c r="BB302" s="15" t="s">
        <v>188</v>
      </c>
      <c r="BC302" s="15" t="s">
        <v>188</v>
      </c>
      <c r="BD302" s="15" t="s">
        <v>199</v>
      </c>
      <c r="BE302" s="1">
        <v>24000</v>
      </c>
      <c r="BF302" s="1">
        <v>200000</v>
      </c>
      <c r="BG302" s="1">
        <v>24000</v>
      </c>
      <c r="BH302" s="1">
        <v>120000</v>
      </c>
      <c r="BI302" s="1" t="s">
        <v>193</v>
      </c>
      <c r="BJ302" s="15"/>
      <c r="BK302" s="15" t="s">
        <v>188</v>
      </c>
      <c r="BL302" s="15"/>
      <c r="BM302" s="15"/>
      <c r="BN302" s="15" t="s">
        <v>188</v>
      </c>
      <c r="BO302" s="15"/>
      <c r="BP302" s="15"/>
      <c r="BQ302" s="15"/>
      <c r="BR302" s="15"/>
      <c r="BS302" s="2"/>
      <c r="BT302" s="15"/>
      <c r="BU302" s="15" t="s">
        <v>188</v>
      </c>
      <c r="BV302" s="15"/>
      <c r="BW302" s="15"/>
      <c r="BX302" s="15">
        <v>1</v>
      </c>
      <c r="BY302" s="15">
        <v>3</v>
      </c>
      <c r="BZ302" s="15">
        <v>2</v>
      </c>
      <c r="CA302" s="15"/>
      <c r="CB302" s="15"/>
      <c r="CC302" s="15" t="s">
        <v>188</v>
      </c>
      <c r="CD302" s="15"/>
      <c r="CE302" s="15"/>
      <c r="CF302" s="15"/>
      <c r="CG302" s="15"/>
      <c r="CH302" s="15" t="s">
        <v>188</v>
      </c>
      <c r="CI302" s="15"/>
      <c r="CJ302" s="15"/>
      <c r="CK302" s="15" t="s">
        <v>188</v>
      </c>
      <c r="CL302" s="15"/>
      <c r="CM302" s="15"/>
      <c r="CN302" s="15"/>
      <c r="CO302" s="15"/>
      <c r="CP302" s="15" t="s">
        <v>193</v>
      </c>
      <c r="CQ302" s="15" t="s">
        <v>193</v>
      </c>
      <c r="CR302" s="15"/>
      <c r="CS302" s="15"/>
      <c r="CT302" s="15" t="s">
        <v>852</v>
      </c>
      <c r="CU302" s="15"/>
      <c r="CV302" s="15"/>
      <c r="CW302" s="15"/>
      <c r="CX302" s="15" t="s">
        <v>188</v>
      </c>
      <c r="CY302" s="15"/>
      <c r="CZ302" s="3"/>
      <c r="DA302" s="49"/>
      <c r="DC302" s="18">
        <f t="shared" si="12"/>
        <v>0</v>
      </c>
      <c r="DD302" s="18">
        <f t="shared" si="13"/>
        <v>7</v>
      </c>
      <c r="DE302" s="18">
        <f t="shared" si="14"/>
        <v>2007</v>
      </c>
    </row>
    <row r="303" spans="1:109" x14ac:dyDescent="0.25">
      <c r="A303" s="59" t="s">
        <v>1321</v>
      </c>
      <c r="B303" s="103">
        <v>41555</v>
      </c>
      <c r="C303" s="105" t="s">
        <v>1562</v>
      </c>
      <c r="D303" s="14" t="s">
        <v>853</v>
      </c>
      <c r="E303" s="15"/>
      <c r="F303" s="15" t="s">
        <v>188</v>
      </c>
      <c r="G303" s="15"/>
      <c r="H303" s="15"/>
      <c r="I303" s="15">
        <v>42</v>
      </c>
      <c r="J303" s="15" t="s">
        <v>189</v>
      </c>
      <c r="K303" s="15" t="s">
        <v>190</v>
      </c>
      <c r="L303" s="15" t="s">
        <v>846</v>
      </c>
      <c r="M303" s="15" t="s">
        <v>1120</v>
      </c>
      <c r="N303" s="15" t="s">
        <v>1091</v>
      </c>
      <c r="O303" s="15">
        <v>18</v>
      </c>
      <c r="P303" s="15" t="s">
        <v>188</v>
      </c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 t="s">
        <v>188</v>
      </c>
      <c r="AG303" s="15"/>
      <c r="AH303" s="15">
        <v>1997</v>
      </c>
      <c r="AI303" s="1">
        <v>1348215</v>
      </c>
      <c r="AJ303" s="15" t="s">
        <v>188</v>
      </c>
      <c r="AK303" s="15"/>
      <c r="AL303" s="15"/>
      <c r="AM303" s="15"/>
      <c r="AN303" s="15"/>
      <c r="AO303" s="15"/>
      <c r="AP303" s="15" t="s">
        <v>188</v>
      </c>
      <c r="AQ303" s="15"/>
      <c r="AR303" s="15"/>
      <c r="AS303" s="15"/>
      <c r="AT303" s="15" t="s">
        <v>233</v>
      </c>
      <c r="AU303" s="1">
        <v>3000</v>
      </c>
      <c r="AV303" s="48">
        <v>0.1</v>
      </c>
      <c r="AW303" s="15">
        <v>4.9000000000000004</v>
      </c>
      <c r="AX303" s="15">
        <v>4</v>
      </c>
      <c r="AY303" s="15">
        <v>2</v>
      </c>
      <c r="AZ303" s="15">
        <v>330</v>
      </c>
      <c r="BA303" s="15">
        <v>1500</v>
      </c>
      <c r="BB303" s="15" t="s">
        <v>199</v>
      </c>
      <c r="BC303" s="15" t="s">
        <v>199</v>
      </c>
      <c r="BD303" s="15" t="s">
        <v>199</v>
      </c>
      <c r="BE303" s="1">
        <v>30000</v>
      </c>
      <c r="BF303" s="1" t="s">
        <v>193</v>
      </c>
      <c r="BG303" s="1">
        <v>30000</v>
      </c>
      <c r="BH303" s="1" t="s">
        <v>193</v>
      </c>
      <c r="BI303" s="1" t="s">
        <v>234</v>
      </c>
      <c r="BJ303" s="15" t="s">
        <v>188</v>
      </c>
      <c r="BK303" s="15"/>
      <c r="BL303" s="15"/>
      <c r="BM303" s="15"/>
      <c r="BN303" s="15"/>
      <c r="BO303" s="15"/>
      <c r="BP303" s="15"/>
      <c r="BQ303" s="15"/>
      <c r="BR303" s="15"/>
      <c r="BS303" s="2"/>
      <c r="BT303" s="15"/>
      <c r="BU303" s="15"/>
      <c r="BV303" s="15" t="s">
        <v>188</v>
      </c>
      <c r="BW303" s="15"/>
      <c r="BX303" s="15">
        <v>1</v>
      </c>
      <c r="BY303" s="15">
        <v>3</v>
      </c>
      <c r="BZ303" s="15">
        <v>2</v>
      </c>
      <c r="CA303" s="15"/>
      <c r="CB303" s="15" t="s">
        <v>188</v>
      </c>
      <c r="CC303" s="15"/>
      <c r="CD303" s="15"/>
      <c r="CE303" s="15"/>
      <c r="CF303" s="15"/>
      <c r="CG303" s="15"/>
      <c r="CH303" s="15"/>
      <c r="CI303" s="15"/>
      <c r="CJ303" s="15"/>
      <c r="CK303" s="15" t="s">
        <v>188</v>
      </c>
      <c r="CL303" s="15"/>
      <c r="CM303" s="15"/>
      <c r="CN303" s="15"/>
      <c r="CO303" s="15"/>
      <c r="CP303" s="15" t="s">
        <v>193</v>
      </c>
      <c r="CQ303" s="15" t="s">
        <v>193</v>
      </c>
      <c r="CR303" s="15" t="s">
        <v>188</v>
      </c>
      <c r="CS303" s="15"/>
      <c r="CT303" s="15"/>
      <c r="CU303" s="15"/>
      <c r="CV303" s="15"/>
      <c r="CW303" s="15"/>
      <c r="CX303" s="15" t="s">
        <v>188</v>
      </c>
      <c r="CY303" s="15" t="s">
        <v>188</v>
      </c>
      <c r="CZ303" s="3"/>
      <c r="DA303" s="49"/>
      <c r="DC303" s="18">
        <f t="shared" si="12"/>
        <v>0</v>
      </c>
      <c r="DD303" s="18">
        <f t="shared" si="13"/>
        <v>2</v>
      </c>
      <c r="DE303" s="18">
        <f t="shared" si="14"/>
        <v>1997</v>
      </c>
    </row>
    <row r="304" spans="1:109" x14ac:dyDescent="0.25">
      <c r="A304" s="59" t="s">
        <v>1321</v>
      </c>
      <c r="B304" s="103">
        <v>41555</v>
      </c>
      <c r="C304" s="105" t="s">
        <v>1562</v>
      </c>
      <c r="D304" s="14" t="s">
        <v>854</v>
      </c>
      <c r="E304" s="15"/>
      <c r="F304" s="15"/>
      <c r="G304" s="15" t="s">
        <v>188</v>
      </c>
      <c r="H304" s="15"/>
      <c r="I304" s="15">
        <v>36</v>
      </c>
      <c r="J304" s="15" t="s">
        <v>189</v>
      </c>
      <c r="K304" s="15" t="s">
        <v>196</v>
      </c>
      <c r="L304" s="15" t="s">
        <v>855</v>
      </c>
      <c r="M304" s="15" t="s">
        <v>1123</v>
      </c>
      <c r="N304" s="15" t="s">
        <v>1086</v>
      </c>
      <c r="O304" s="15">
        <v>15</v>
      </c>
      <c r="P304" s="15"/>
      <c r="Q304" s="15" t="s">
        <v>188</v>
      </c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 t="s">
        <v>188</v>
      </c>
      <c r="AG304" s="15"/>
      <c r="AH304" s="15">
        <v>1999</v>
      </c>
      <c r="AI304" s="1">
        <v>966412</v>
      </c>
      <c r="AJ304" s="15"/>
      <c r="AK304" s="15"/>
      <c r="AL304" s="15" t="s">
        <v>188</v>
      </c>
      <c r="AM304" s="15"/>
      <c r="AN304" s="15"/>
      <c r="AO304" s="15"/>
      <c r="AP304" s="15" t="s">
        <v>188</v>
      </c>
      <c r="AQ304" s="15"/>
      <c r="AR304" s="15"/>
      <c r="AS304" s="15"/>
      <c r="AT304" s="15" t="s">
        <v>322</v>
      </c>
      <c r="AU304" s="1">
        <v>8000</v>
      </c>
      <c r="AV304" s="48">
        <v>0.5</v>
      </c>
      <c r="AW304" s="15">
        <v>3.6</v>
      </c>
      <c r="AX304" s="15">
        <v>3</v>
      </c>
      <c r="AY304" s="15">
        <v>2</v>
      </c>
      <c r="AZ304" s="15">
        <v>700</v>
      </c>
      <c r="BA304" s="15">
        <v>2400</v>
      </c>
      <c r="BB304" s="15" t="s">
        <v>188</v>
      </c>
      <c r="BC304" s="15" t="s">
        <v>199</v>
      </c>
      <c r="BD304" s="15" t="s">
        <v>199</v>
      </c>
      <c r="BE304" s="1" t="s">
        <v>856</v>
      </c>
      <c r="BF304" s="1" t="s">
        <v>856</v>
      </c>
      <c r="BG304" s="1" t="s">
        <v>856</v>
      </c>
      <c r="BH304" s="1" t="s">
        <v>856</v>
      </c>
      <c r="BI304" s="1" t="s">
        <v>856</v>
      </c>
      <c r="BJ304" s="15"/>
      <c r="BK304" s="15"/>
      <c r="BL304" s="15"/>
      <c r="BM304" s="15"/>
      <c r="BN304" s="15"/>
      <c r="BO304" s="15"/>
      <c r="BP304" s="15"/>
      <c r="BQ304" s="15"/>
      <c r="BR304" s="15"/>
      <c r="BS304" s="2" t="s">
        <v>856</v>
      </c>
      <c r="BT304" s="15" t="s">
        <v>856</v>
      </c>
      <c r="BU304" s="15" t="s">
        <v>856</v>
      </c>
      <c r="BV304" s="15" t="s">
        <v>856</v>
      </c>
      <c r="BW304" s="15" t="s">
        <v>856</v>
      </c>
      <c r="BX304" s="15" t="s">
        <v>856</v>
      </c>
      <c r="BY304" s="15" t="s">
        <v>856</v>
      </c>
      <c r="BZ304" s="15" t="s">
        <v>856</v>
      </c>
      <c r="CA304" s="15"/>
      <c r="CB304" s="15" t="s">
        <v>856</v>
      </c>
      <c r="CC304" s="15"/>
      <c r="CD304" s="15"/>
      <c r="CE304" s="15"/>
      <c r="CF304" s="15"/>
      <c r="CG304" s="15"/>
      <c r="CH304" s="15"/>
      <c r="CI304" s="15"/>
      <c r="CJ304" s="15"/>
      <c r="CK304" s="15" t="s">
        <v>856</v>
      </c>
      <c r="CL304" s="15"/>
      <c r="CM304" s="15"/>
      <c r="CN304" s="15"/>
      <c r="CO304" s="15"/>
      <c r="CP304" s="15" t="s">
        <v>193</v>
      </c>
      <c r="CQ304" s="15" t="s">
        <v>193</v>
      </c>
      <c r="CR304" s="15" t="s">
        <v>856</v>
      </c>
      <c r="CS304" s="15"/>
      <c r="CT304" s="15"/>
      <c r="CU304" s="15"/>
      <c r="CV304" s="15" t="s">
        <v>856</v>
      </c>
      <c r="CW304" s="15"/>
      <c r="CX304" s="15"/>
      <c r="CY304" s="15"/>
      <c r="CZ304" s="3"/>
      <c r="DA304" s="49"/>
      <c r="DC304" s="18">
        <f t="shared" si="12"/>
        <v>0</v>
      </c>
      <c r="DD304" s="18">
        <f t="shared" si="13"/>
        <v>3</v>
      </c>
      <c r="DE304" s="18">
        <f t="shared" si="14"/>
        <v>1999</v>
      </c>
    </row>
    <row r="305" spans="1:109" x14ac:dyDescent="0.25">
      <c r="A305" s="59" t="s">
        <v>1321</v>
      </c>
      <c r="B305" s="103">
        <v>41555</v>
      </c>
      <c r="C305" s="105" t="s">
        <v>1562</v>
      </c>
      <c r="D305" s="14" t="s">
        <v>857</v>
      </c>
      <c r="E305" s="15"/>
      <c r="F305" s="15"/>
      <c r="G305" s="15"/>
      <c r="H305" s="15" t="s">
        <v>188</v>
      </c>
      <c r="I305" s="15">
        <v>28</v>
      </c>
      <c r="J305" s="15" t="s">
        <v>189</v>
      </c>
      <c r="K305" s="15" t="s">
        <v>190</v>
      </c>
      <c r="L305" s="15" t="s">
        <v>819</v>
      </c>
      <c r="M305" s="15" t="s">
        <v>1109</v>
      </c>
      <c r="N305" s="15" t="s">
        <v>1106</v>
      </c>
      <c r="O305" s="15">
        <v>6</v>
      </c>
      <c r="P305" s="15"/>
      <c r="Q305" s="15"/>
      <c r="R305" s="15"/>
      <c r="S305" s="15" t="s">
        <v>188</v>
      </c>
      <c r="T305" s="15"/>
      <c r="U305" s="15" t="s">
        <v>188</v>
      </c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>
        <v>2004</v>
      </c>
      <c r="AI305" s="1">
        <v>874561</v>
      </c>
      <c r="AJ305" s="15"/>
      <c r="AK305" s="15"/>
      <c r="AL305" s="15" t="s">
        <v>188</v>
      </c>
      <c r="AM305" s="15"/>
      <c r="AN305" s="15"/>
      <c r="AO305" s="15"/>
      <c r="AP305" s="15" t="s">
        <v>188</v>
      </c>
      <c r="AQ305" s="15"/>
      <c r="AR305" s="15"/>
      <c r="AS305" s="15"/>
      <c r="AT305" s="15" t="s">
        <v>266</v>
      </c>
      <c r="AU305" s="1">
        <v>10000</v>
      </c>
      <c r="AV305" s="48">
        <v>0.1</v>
      </c>
      <c r="AW305" s="15">
        <v>2.7</v>
      </c>
      <c r="AX305" s="15">
        <v>2.4</v>
      </c>
      <c r="AY305" s="15">
        <v>2</v>
      </c>
      <c r="AZ305" s="15">
        <v>870</v>
      </c>
      <c r="BA305" s="15">
        <v>2250</v>
      </c>
      <c r="BB305" s="15" t="s">
        <v>188</v>
      </c>
      <c r="BC305" s="15" t="s">
        <v>199</v>
      </c>
      <c r="BD305" s="15" t="s">
        <v>199</v>
      </c>
      <c r="BE305" s="1">
        <v>18000</v>
      </c>
      <c r="BF305" s="1">
        <v>220000</v>
      </c>
      <c r="BG305" s="1">
        <v>36000</v>
      </c>
      <c r="BH305" s="1">
        <v>140000</v>
      </c>
      <c r="BI305" s="1" t="s">
        <v>193</v>
      </c>
      <c r="BJ305" s="15"/>
      <c r="BK305" s="15" t="s">
        <v>188</v>
      </c>
      <c r="BL305" s="15"/>
      <c r="BM305" s="15"/>
      <c r="BN305" s="15" t="s">
        <v>188</v>
      </c>
      <c r="BO305" s="15"/>
      <c r="BP305" s="15" t="s">
        <v>188</v>
      </c>
      <c r="BQ305" s="15"/>
      <c r="BR305" s="15"/>
      <c r="BS305" s="2"/>
      <c r="BT305" s="15"/>
      <c r="BU305" s="15" t="s">
        <v>188</v>
      </c>
      <c r="BV305" s="15"/>
      <c r="BW305" s="15"/>
      <c r="BX305" s="15">
        <v>1</v>
      </c>
      <c r="BY305" s="15">
        <v>3</v>
      </c>
      <c r="BZ305" s="15">
        <v>2</v>
      </c>
      <c r="CA305" s="15"/>
      <c r="CB305" s="15" t="s">
        <v>188</v>
      </c>
      <c r="CC305" s="15"/>
      <c r="CD305" s="15"/>
      <c r="CE305" s="15"/>
      <c r="CF305" s="15"/>
      <c r="CG305" s="15"/>
      <c r="CH305" s="15"/>
      <c r="CI305" s="15"/>
      <c r="CJ305" s="15"/>
      <c r="CK305" s="15" t="s">
        <v>188</v>
      </c>
      <c r="CL305" s="15"/>
      <c r="CM305" s="15"/>
      <c r="CN305" s="15"/>
      <c r="CO305" s="15"/>
      <c r="CP305" s="15" t="s">
        <v>193</v>
      </c>
      <c r="CQ305" s="15" t="s">
        <v>193</v>
      </c>
      <c r="CR305" s="15" t="s">
        <v>188</v>
      </c>
      <c r="CS305" s="15"/>
      <c r="CT305" s="15"/>
      <c r="CU305" s="15"/>
      <c r="CV305" s="15"/>
      <c r="CW305" s="15"/>
      <c r="CX305" s="15" t="s">
        <v>188</v>
      </c>
      <c r="CY305" s="15" t="s">
        <v>188</v>
      </c>
      <c r="CZ305" s="3"/>
      <c r="DA305" s="49"/>
      <c r="DC305" s="18">
        <f t="shared" si="12"/>
        <v>0</v>
      </c>
      <c r="DD305" s="18">
        <f t="shared" si="13"/>
        <v>7</v>
      </c>
      <c r="DE305" s="18">
        <f t="shared" si="14"/>
        <v>2004</v>
      </c>
    </row>
    <row r="306" spans="1:109" x14ac:dyDescent="0.25">
      <c r="A306" s="59" t="s">
        <v>1321</v>
      </c>
      <c r="B306" s="103">
        <v>41555</v>
      </c>
      <c r="C306" s="105" t="s">
        <v>1562</v>
      </c>
      <c r="D306" s="14" t="s">
        <v>858</v>
      </c>
      <c r="E306" s="15"/>
      <c r="F306" s="15" t="s">
        <v>188</v>
      </c>
      <c r="G306" s="15"/>
      <c r="H306" s="15"/>
      <c r="I306" s="15">
        <v>32</v>
      </c>
      <c r="J306" s="15" t="s">
        <v>189</v>
      </c>
      <c r="K306" s="15" t="s">
        <v>445</v>
      </c>
      <c r="L306" s="15" t="s">
        <v>859</v>
      </c>
      <c r="M306" s="15" t="s">
        <v>1124</v>
      </c>
      <c r="N306" s="15" t="s">
        <v>1125</v>
      </c>
      <c r="O306" s="15">
        <v>13</v>
      </c>
      <c r="P306" s="15" t="s">
        <v>188</v>
      </c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 t="s">
        <v>188</v>
      </c>
      <c r="AG306" s="15"/>
      <c r="AH306" s="15">
        <v>1985</v>
      </c>
      <c r="AI306" s="1" t="s">
        <v>193</v>
      </c>
      <c r="AJ306" s="15" t="s">
        <v>188</v>
      </c>
      <c r="AK306" s="15"/>
      <c r="AL306" s="15"/>
      <c r="AM306" s="15"/>
      <c r="AN306" s="15"/>
      <c r="AO306" s="15" t="s">
        <v>188</v>
      </c>
      <c r="AP306" s="15"/>
      <c r="AQ306" s="15"/>
      <c r="AR306" s="15"/>
      <c r="AS306" s="15"/>
      <c r="AT306" s="15" t="s">
        <v>860</v>
      </c>
      <c r="AU306" s="1">
        <v>5000</v>
      </c>
      <c r="AV306" s="48">
        <v>0.3</v>
      </c>
      <c r="AW306" s="15">
        <v>4.8</v>
      </c>
      <c r="AX306" s="15">
        <v>4.0999999999999996</v>
      </c>
      <c r="AY306" s="15">
        <v>2</v>
      </c>
      <c r="AZ306" s="15">
        <v>290</v>
      </c>
      <c r="BA306" s="15">
        <v>1300</v>
      </c>
      <c r="BB306" s="15" t="s">
        <v>199</v>
      </c>
      <c r="BC306" s="15" t="s">
        <v>199</v>
      </c>
      <c r="BD306" s="15" t="s">
        <v>199</v>
      </c>
      <c r="BE306" s="1">
        <v>30000</v>
      </c>
      <c r="BF306" s="1" t="s">
        <v>193</v>
      </c>
      <c r="BG306" s="1">
        <v>30000</v>
      </c>
      <c r="BH306" s="1" t="s">
        <v>193</v>
      </c>
      <c r="BI306" s="1" t="s">
        <v>193</v>
      </c>
      <c r="BJ306" s="15" t="s">
        <v>188</v>
      </c>
      <c r="BK306" s="15"/>
      <c r="BL306" s="15"/>
      <c r="BM306" s="15"/>
      <c r="BN306" s="15"/>
      <c r="BO306" s="15" t="s">
        <v>188</v>
      </c>
      <c r="BP306" s="15"/>
      <c r="BQ306" s="15"/>
      <c r="BR306" s="15"/>
      <c r="BS306" s="2"/>
      <c r="BT306" s="15"/>
      <c r="BU306" s="15"/>
      <c r="BV306" s="15" t="s">
        <v>188</v>
      </c>
      <c r="BW306" s="15"/>
      <c r="BX306" s="15">
        <v>3</v>
      </c>
      <c r="BY306" s="15">
        <v>2</v>
      </c>
      <c r="BZ306" s="15">
        <v>1</v>
      </c>
      <c r="CA306" s="15"/>
      <c r="CB306" s="15" t="s">
        <v>188</v>
      </c>
      <c r="CC306" s="15"/>
      <c r="CD306" s="15"/>
      <c r="CE306" s="15"/>
      <c r="CF306" s="15"/>
      <c r="CG306" s="15"/>
      <c r="CH306" s="15"/>
      <c r="CI306" s="15"/>
      <c r="CJ306" s="15"/>
      <c r="CK306" s="15" t="s">
        <v>188</v>
      </c>
      <c r="CL306" s="15"/>
      <c r="CM306" s="15"/>
      <c r="CN306" s="15"/>
      <c r="CO306" s="15"/>
      <c r="CP306" s="15" t="s">
        <v>193</v>
      </c>
      <c r="CQ306" s="15" t="s">
        <v>193</v>
      </c>
      <c r="CR306" s="15" t="s">
        <v>188</v>
      </c>
      <c r="CS306" s="15"/>
      <c r="CT306" s="15"/>
      <c r="CU306" s="15"/>
      <c r="CV306" s="15" t="s">
        <v>188</v>
      </c>
      <c r="CW306" s="15" t="s">
        <v>270</v>
      </c>
      <c r="CX306" s="15"/>
      <c r="CY306" s="15"/>
      <c r="CZ306" s="3"/>
      <c r="DA306" s="49"/>
      <c r="DC306" s="18">
        <f t="shared" si="12"/>
        <v>0</v>
      </c>
      <c r="DD306" s="18">
        <f t="shared" si="13"/>
        <v>2</v>
      </c>
      <c r="DE306" s="18">
        <f t="shared" si="14"/>
        <v>1985</v>
      </c>
    </row>
    <row r="307" spans="1:109" x14ac:dyDescent="0.25">
      <c r="A307" s="59" t="s">
        <v>1321</v>
      </c>
      <c r="B307" s="103">
        <v>41555</v>
      </c>
      <c r="C307" s="105" t="s">
        <v>1562</v>
      </c>
      <c r="D307" s="14" t="s">
        <v>861</v>
      </c>
      <c r="E307" s="15"/>
      <c r="F307" s="15"/>
      <c r="G307" s="15" t="s">
        <v>188</v>
      </c>
      <c r="H307" s="15"/>
      <c r="I307" s="15">
        <v>41</v>
      </c>
      <c r="J307" s="15" t="s">
        <v>189</v>
      </c>
      <c r="K307" s="15" t="s">
        <v>196</v>
      </c>
      <c r="L307" s="15" t="s">
        <v>862</v>
      </c>
      <c r="M307" s="15" t="s">
        <v>1126</v>
      </c>
      <c r="N307" s="15" t="s">
        <v>1009</v>
      </c>
      <c r="O307" s="15">
        <v>19</v>
      </c>
      <c r="P307" s="15"/>
      <c r="Q307" s="15" t="s">
        <v>188</v>
      </c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 t="s">
        <v>188</v>
      </c>
      <c r="AG307" s="15"/>
      <c r="AH307" s="15">
        <v>1997</v>
      </c>
      <c r="AI307" s="1">
        <v>1083219</v>
      </c>
      <c r="AJ307" s="15"/>
      <c r="AK307" s="15"/>
      <c r="AL307" s="15" t="s">
        <v>188</v>
      </c>
      <c r="AM307" s="15"/>
      <c r="AN307" s="15"/>
      <c r="AO307" s="15"/>
      <c r="AP307" s="15" t="s">
        <v>188</v>
      </c>
      <c r="AQ307" s="15"/>
      <c r="AR307" s="15"/>
      <c r="AS307" s="15"/>
      <c r="AT307" s="15" t="s">
        <v>322</v>
      </c>
      <c r="AU307" s="1">
        <v>9000</v>
      </c>
      <c r="AV307" s="48">
        <v>0.5</v>
      </c>
      <c r="AW307" s="15">
        <v>3.4</v>
      </c>
      <c r="AX307" s="15">
        <v>2.9</v>
      </c>
      <c r="AY307" s="15">
        <v>2</v>
      </c>
      <c r="AZ307" s="15">
        <v>910</v>
      </c>
      <c r="BA307" s="15">
        <v>3000</v>
      </c>
      <c r="BB307" s="15" t="s">
        <v>188</v>
      </c>
      <c r="BC307" s="15" t="s">
        <v>199</v>
      </c>
      <c r="BD307" s="15" t="s">
        <v>199</v>
      </c>
      <c r="BE307" s="1">
        <v>20000</v>
      </c>
      <c r="BF307" s="1" t="s">
        <v>193</v>
      </c>
      <c r="BG307" s="1">
        <v>20000</v>
      </c>
      <c r="BH307" s="1">
        <v>120000</v>
      </c>
      <c r="BI307" s="1" t="s">
        <v>193</v>
      </c>
      <c r="BJ307" s="15" t="s">
        <v>188</v>
      </c>
      <c r="BK307" s="15" t="s">
        <v>188</v>
      </c>
      <c r="BL307" s="15"/>
      <c r="BM307" s="15"/>
      <c r="BN307" s="15"/>
      <c r="BO307" s="15" t="s">
        <v>188</v>
      </c>
      <c r="BP307" s="15"/>
      <c r="BQ307" s="15"/>
      <c r="BR307" s="15"/>
      <c r="BS307" s="2"/>
      <c r="BT307" s="15"/>
      <c r="BU307" s="15"/>
      <c r="BV307" s="15" t="s">
        <v>188</v>
      </c>
      <c r="BW307" s="15"/>
      <c r="BX307" s="15">
        <v>1</v>
      </c>
      <c r="BY307" s="15">
        <v>3</v>
      </c>
      <c r="BZ307" s="15">
        <v>2</v>
      </c>
      <c r="CA307" s="15"/>
      <c r="CB307" s="15" t="s">
        <v>188</v>
      </c>
      <c r="CC307" s="15"/>
      <c r="CD307" s="15"/>
      <c r="CE307" s="15"/>
      <c r="CF307" s="15"/>
      <c r="CG307" s="15"/>
      <c r="CH307" s="15"/>
      <c r="CI307" s="15"/>
      <c r="CJ307" s="15"/>
      <c r="CK307" s="15" t="s">
        <v>188</v>
      </c>
      <c r="CL307" s="15"/>
      <c r="CM307" s="15"/>
      <c r="CN307" s="15"/>
      <c r="CO307" s="15"/>
      <c r="CP307" s="15" t="s">
        <v>193</v>
      </c>
      <c r="CQ307" s="15" t="s">
        <v>193</v>
      </c>
      <c r="CR307" s="15" t="s">
        <v>188</v>
      </c>
      <c r="CS307" s="15"/>
      <c r="CT307" s="15"/>
      <c r="CU307" s="15"/>
      <c r="CV307" s="15"/>
      <c r="CW307" s="15"/>
      <c r="CX307" s="15" t="s">
        <v>188</v>
      </c>
      <c r="CY307" s="15"/>
      <c r="CZ307" s="3"/>
      <c r="DA307" s="49"/>
      <c r="DC307" s="18">
        <f t="shared" si="12"/>
        <v>0</v>
      </c>
      <c r="DD307" s="18">
        <f t="shared" si="13"/>
        <v>3</v>
      </c>
      <c r="DE307" s="18">
        <f t="shared" si="14"/>
        <v>1997</v>
      </c>
    </row>
    <row r="308" spans="1:109" x14ac:dyDescent="0.25">
      <c r="A308" s="59" t="s">
        <v>1321</v>
      </c>
      <c r="B308" s="103">
        <v>41555</v>
      </c>
      <c r="C308" s="105" t="s">
        <v>1562</v>
      </c>
      <c r="D308" s="14" t="s">
        <v>863</v>
      </c>
      <c r="E308" s="15" t="s">
        <v>188</v>
      </c>
      <c r="F308" s="15"/>
      <c r="G308" s="15"/>
      <c r="H308" s="15"/>
      <c r="I308" s="15">
        <v>23</v>
      </c>
      <c r="J308" s="15" t="s">
        <v>189</v>
      </c>
      <c r="K308" s="15" t="s">
        <v>190</v>
      </c>
      <c r="L308" s="15" t="s">
        <v>829</v>
      </c>
      <c r="M308" s="15" t="s">
        <v>1115</v>
      </c>
      <c r="N308" s="15" t="s">
        <v>1106</v>
      </c>
      <c r="O308" s="15">
        <v>2</v>
      </c>
      <c r="P308" s="15"/>
      <c r="Q308" s="15"/>
      <c r="R308" s="15" t="s">
        <v>188</v>
      </c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 t="s">
        <v>188</v>
      </c>
      <c r="AG308" s="15"/>
      <c r="AH308" s="15">
        <v>1987</v>
      </c>
      <c r="AI308" s="1" t="s">
        <v>193</v>
      </c>
      <c r="AJ308" s="15" t="s">
        <v>188</v>
      </c>
      <c r="AK308" s="15"/>
      <c r="AL308" s="15"/>
      <c r="AM308" s="15"/>
      <c r="AN308" s="15"/>
      <c r="AO308" s="15"/>
      <c r="AP308" s="15"/>
      <c r="AQ308" s="15"/>
      <c r="AR308" s="15"/>
      <c r="AS308" s="15"/>
      <c r="AT308" s="15" t="s">
        <v>233</v>
      </c>
      <c r="AU308" s="1">
        <v>6000</v>
      </c>
      <c r="AV308" s="48">
        <v>0.5</v>
      </c>
      <c r="AW308" s="15">
        <v>5</v>
      </c>
      <c r="AX308" s="15">
        <v>4.2</v>
      </c>
      <c r="AY308" s="15">
        <v>2</v>
      </c>
      <c r="AZ308" s="15">
        <v>330</v>
      </c>
      <c r="BA308" s="15">
        <v>1500</v>
      </c>
      <c r="BB308" s="15" t="s">
        <v>199</v>
      </c>
      <c r="BC308" s="15" t="s">
        <v>199</v>
      </c>
      <c r="BD308" s="15" t="s">
        <v>199</v>
      </c>
      <c r="BE308" s="1">
        <v>16000</v>
      </c>
      <c r="BF308" s="1" t="s">
        <v>193</v>
      </c>
      <c r="BG308" s="1">
        <v>32000</v>
      </c>
      <c r="BH308" s="1" t="s">
        <v>193</v>
      </c>
      <c r="BI308" s="1" t="s">
        <v>234</v>
      </c>
      <c r="BJ308" s="15" t="s">
        <v>188</v>
      </c>
      <c r="BK308" s="15"/>
      <c r="BL308" s="15"/>
      <c r="BM308" s="15"/>
      <c r="BN308" s="15"/>
      <c r="BO308" s="15" t="s">
        <v>188</v>
      </c>
      <c r="BP308" s="15"/>
      <c r="BQ308" s="15"/>
      <c r="BR308" s="15"/>
      <c r="BS308" s="2"/>
      <c r="BT308" s="15"/>
      <c r="BU308" s="15" t="s">
        <v>188</v>
      </c>
      <c r="BV308" s="15"/>
      <c r="BW308" s="15"/>
      <c r="BX308" s="15">
        <v>2</v>
      </c>
      <c r="BY308" s="15">
        <v>1</v>
      </c>
      <c r="BZ308" s="15">
        <v>3</v>
      </c>
      <c r="CA308" s="15"/>
      <c r="CB308" s="15" t="s">
        <v>188</v>
      </c>
      <c r="CC308" s="15"/>
      <c r="CD308" s="15"/>
      <c r="CE308" s="15"/>
      <c r="CF308" s="15"/>
      <c r="CG308" s="15"/>
      <c r="CH308" s="15"/>
      <c r="CI308" s="15"/>
      <c r="CJ308" s="15"/>
      <c r="CK308" s="15" t="s">
        <v>188</v>
      </c>
      <c r="CL308" s="15"/>
      <c r="CM308" s="15"/>
      <c r="CN308" s="15"/>
      <c r="CO308" s="15"/>
      <c r="CP308" s="15" t="s">
        <v>193</v>
      </c>
      <c r="CQ308" s="15" t="s">
        <v>193</v>
      </c>
      <c r="CR308" s="15" t="s">
        <v>188</v>
      </c>
      <c r="CS308" s="15"/>
      <c r="CT308" s="15"/>
      <c r="CU308" s="15"/>
      <c r="CV308" s="15"/>
      <c r="CW308" s="15"/>
      <c r="CX308" s="15" t="s">
        <v>188</v>
      </c>
      <c r="CY308" s="15"/>
      <c r="CZ308" s="3"/>
      <c r="DA308" s="49"/>
      <c r="DC308" s="18">
        <f t="shared" si="12"/>
        <v>0</v>
      </c>
      <c r="DD308" s="18">
        <f t="shared" si="13"/>
        <v>1</v>
      </c>
      <c r="DE308" s="18">
        <f t="shared" si="14"/>
        <v>1987</v>
      </c>
    </row>
    <row r="309" spans="1:109" x14ac:dyDescent="0.25">
      <c r="A309" s="59" t="s">
        <v>1321</v>
      </c>
      <c r="B309" s="103">
        <v>41555</v>
      </c>
      <c r="C309" s="105" t="s">
        <v>1562</v>
      </c>
      <c r="D309" s="56" t="s">
        <v>864</v>
      </c>
      <c r="E309" s="15"/>
      <c r="F309" s="15"/>
      <c r="G309" s="15" t="s">
        <v>188</v>
      </c>
      <c r="H309" s="15"/>
      <c r="I309" s="15">
        <v>42</v>
      </c>
      <c r="J309" s="15" t="s">
        <v>189</v>
      </c>
      <c r="K309" s="15" t="s">
        <v>196</v>
      </c>
      <c r="L309" s="15" t="s">
        <v>865</v>
      </c>
      <c r="M309" s="15" t="s">
        <v>1127</v>
      </c>
      <c r="N309" s="15" t="s">
        <v>1112</v>
      </c>
      <c r="O309" s="15">
        <v>23</v>
      </c>
      <c r="P309" s="15"/>
      <c r="Q309" s="15"/>
      <c r="R309" s="15"/>
      <c r="S309" s="15" t="s">
        <v>188</v>
      </c>
      <c r="T309" s="15"/>
      <c r="U309" s="15" t="s">
        <v>188</v>
      </c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>
        <v>2007</v>
      </c>
      <c r="AI309" s="1">
        <v>763821</v>
      </c>
      <c r="AJ309" s="15"/>
      <c r="AK309" s="15"/>
      <c r="AL309" s="15" t="s">
        <v>188</v>
      </c>
      <c r="AM309" s="15"/>
      <c r="AN309" s="15"/>
      <c r="AO309" s="15"/>
      <c r="AP309" s="15" t="s">
        <v>188</v>
      </c>
      <c r="AQ309" s="15"/>
      <c r="AR309" s="15"/>
      <c r="AS309" s="15"/>
      <c r="AT309" s="15" t="s">
        <v>266</v>
      </c>
      <c r="AU309" s="1">
        <v>10000</v>
      </c>
      <c r="AV309" s="48">
        <v>0.05</v>
      </c>
      <c r="AW309" s="15">
        <v>2.8</v>
      </c>
      <c r="AX309" s="15">
        <v>2.5</v>
      </c>
      <c r="AY309" s="15">
        <v>2</v>
      </c>
      <c r="AZ309" s="15">
        <v>1080</v>
      </c>
      <c r="BA309" s="15">
        <v>2800</v>
      </c>
      <c r="BB309" s="15" t="s">
        <v>188</v>
      </c>
      <c r="BC309" s="15" t="s">
        <v>199</v>
      </c>
      <c r="BD309" s="15" t="s">
        <v>199</v>
      </c>
      <c r="BE309" s="1">
        <v>20000</v>
      </c>
      <c r="BF309" s="1">
        <v>200000</v>
      </c>
      <c r="BG309" s="1">
        <v>20000</v>
      </c>
      <c r="BH309" s="1">
        <v>120000</v>
      </c>
      <c r="BI309" s="1" t="s">
        <v>193</v>
      </c>
      <c r="BJ309" s="15"/>
      <c r="BK309" s="15" t="s">
        <v>188</v>
      </c>
      <c r="BL309" s="15"/>
      <c r="BM309" s="15" t="s">
        <v>188</v>
      </c>
      <c r="BN309" s="15" t="s">
        <v>188</v>
      </c>
      <c r="BO309" s="15" t="s">
        <v>188</v>
      </c>
      <c r="BP309" s="15" t="s">
        <v>188</v>
      </c>
      <c r="BQ309" s="15"/>
      <c r="BR309" s="15"/>
      <c r="BS309" s="2"/>
      <c r="BT309" s="15"/>
      <c r="BU309" s="15" t="s">
        <v>188</v>
      </c>
      <c r="BV309" s="15"/>
      <c r="BW309" s="15"/>
      <c r="BX309" s="15">
        <v>3</v>
      </c>
      <c r="BY309" s="15">
        <v>2</v>
      </c>
      <c r="BZ309" s="15">
        <v>1</v>
      </c>
      <c r="CA309" s="15"/>
      <c r="CB309" s="15" t="s">
        <v>188</v>
      </c>
      <c r="CC309" s="15"/>
      <c r="CD309" s="15"/>
      <c r="CE309" s="15"/>
      <c r="CF309" s="15"/>
      <c r="CG309" s="15"/>
      <c r="CH309" s="15"/>
      <c r="CI309" s="15"/>
      <c r="CJ309" s="15"/>
      <c r="CK309" s="15" t="s">
        <v>188</v>
      </c>
      <c r="CL309" s="15"/>
      <c r="CM309" s="15"/>
      <c r="CN309" s="15"/>
      <c r="CO309" s="15"/>
      <c r="CP309" s="15" t="s">
        <v>193</v>
      </c>
      <c r="CQ309" s="15" t="s">
        <v>193</v>
      </c>
      <c r="CR309" s="15" t="s">
        <v>188</v>
      </c>
      <c r="CS309" s="15"/>
      <c r="CT309" s="15"/>
      <c r="CU309" s="15"/>
      <c r="CV309" s="15"/>
      <c r="CW309" s="15"/>
      <c r="CX309" s="15" t="s">
        <v>188</v>
      </c>
      <c r="CY309" s="15"/>
      <c r="CZ309" s="3"/>
      <c r="DA309" s="49"/>
      <c r="DC309" s="18">
        <f t="shared" si="12"/>
        <v>0</v>
      </c>
      <c r="DD309" s="18">
        <f t="shared" si="13"/>
        <v>3</v>
      </c>
      <c r="DE309" s="18">
        <f t="shared" si="14"/>
        <v>2007</v>
      </c>
    </row>
    <row r="310" spans="1:109" x14ac:dyDescent="0.25">
      <c r="A310" s="59" t="s">
        <v>1321</v>
      </c>
      <c r="B310" s="103">
        <v>41555</v>
      </c>
      <c r="C310" s="105" t="s">
        <v>1562</v>
      </c>
      <c r="D310" s="14" t="s">
        <v>866</v>
      </c>
      <c r="E310" s="15"/>
      <c r="F310" s="15" t="s">
        <v>188</v>
      </c>
      <c r="G310" s="15"/>
      <c r="H310" s="15"/>
      <c r="I310" s="15">
        <v>39</v>
      </c>
      <c r="J310" s="15" t="s">
        <v>189</v>
      </c>
      <c r="K310" s="15" t="s">
        <v>190</v>
      </c>
      <c r="L310" s="15" t="s">
        <v>819</v>
      </c>
      <c r="M310" s="15" t="s">
        <v>1109</v>
      </c>
      <c r="N310" s="15" t="s">
        <v>1106</v>
      </c>
      <c r="O310" s="15">
        <v>12</v>
      </c>
      <c r="P310" s="15"/>
      <c r="Q310" s="15" t="s">
        <v>188</v>
      </c>
      <c r="R310" s="15"/>
      <c r="S310" s="15"/>
      <c r="T310" s="15"/>
      <c r="U310" s="15" t="s">
        <v>188</v>
      </c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>
        <v>2003</v>
      </c>
      <c r="AI310" s="1">
        <v>793680</v>
      </c>
      <c r="AJ310" s="15"/>
      <c r="AK310" s="15"/>
      <c r="AL310" s="15" t="s">
        <v>188</v>
      </c>
      <c r="AM310" s="15"/>
      <c r="AN310" s="15"/>
      <c r="AO310" s="15"/>
      <c r="AP310" s="15"/>
      <c r="AQ310" s="15"/>
      <c r="AR310" s="15"/>
      <c r="AS310" s="15"/>
      <c r="AT310" s="15" t="s">
        <v>198</v>
      </c>
      <c r="AU310" s="1">
        <v>7500</v>
      </c>
      <c r="AV310" s="48">
        <v>0.1</v>
      </c>
      <c r="AW310" s="15">
        <v>3.6</v>
      </c>
      <c r="AX310" s="15">
        <v>3.1</v>
      </c>
      <c r="AY310" s="15">
        <v>2</v>
      </c>
      <c r="AZ310" s="15">
        <v>710</v>
      </c>
      <c r="BA310" s="15">
        <v>2400</v>
      </c>
      <c r="BB310" s="15" t="s">
        <v>188</v>
      </c>
      <c r="BC310" s="15" t="s">
        <v>199</v>
      </c>
      <c r="BD310" s="15" t="s">
        <v>199</v>
      </c>
      <c r="BE310" s="1">
        <v>15000</v>
      </c>
      <c r="BF310" s="1">
        <v>210000</v>
      </c>
      <c r="BG310" s="1">
        <v>30000</v>
      </c>
      <c r="BH310" s="1">
        <v>135000</v>
      </c>
      <c r="BI310" s="1" t="s">
        <v>193</v>
      </c>
      <c r="BJ310" s="15"/>
      <c r="BK310" s="15" t="s">
        <v>188</v>
      </c>
      <c r="BL310" s="15"/>
      <c r="BM310" s="15"/>
      <c r="BN310" s="15"/>
      <c r="BO310" s="15" t="s">
        <v>188</v>
      </c>
      <c r="BP310" s="15"/>
      <c r="BQ310" s="15"/>
      <c r="BR310" s="15"/>
      <c r="BS310" s="2"/>
      <c r="BT310" s="15"/>
      <c r="BU310" s="15"/>
      <c r="BV310" s="15" t="s">
        <v>188</v>
      </c>
      <c r="BW310" s="15"/>
      <c r="BX310" s="15">
        <v>3</v>
      </c>
      <c r="BY310" s="15">
        <v>2</v>
      </c>
      <c r="BZ310" s="15">
        <v>1</v>
      </c>
      <c r="CA310" s="15"/>
      <c r="CB310" s="15" t="s">
        <v>188</v>
      </c>
      <c r="CC310" s="15"/>
      <c r="CD310" s="15"/>
      <c r="CE310" s="15"/>
      <c r="CF310" s="15"/>
      <c r="CG310" s="15"/>
      <c r="CH310" s="15"/>
      <c r="CI310" s="15"/>
      <c r="CJ310" s="15"/>
      <c r="CK310" s="15" t="s">
        <v>188</v>
      </c>
      <c r="CL310" s="15"/>
      <c r="CM310" s="15"/>
      <c r="CN310" s="15"/>
      <c r="CO310" s="15"/>
      <c r="CP310" s="15" t="s">
        <v>193</v>
      </c>
      <c r="CQ310" s="15" t="s">
        <v>193</v>
      </c>
      <c r="CR310" s="15" t="s">
        <v>188</v>
      </c>
      <c r="CS310" s="15"/>
      <c r="CT310" s="15"/>
      <c r="CU310" s="15"/>
      <c r="CV310" s="15"/>
      <c r="CW310" s="15"/>
      <c r="CX310" s="15"/>
      <c r="CY310" s="15" t="s">
        <v>188</v>
      </c>
      <c r="CZ310" s="3"/>
      <c r="DA310" s="49"/>
      <c r="DC310" s="18">
        <f t="shared" si="12"/>
        <v>0</v>
      </c>
      <c r="DD310" s="18">
        <f t="shared" si="13"/>
        <v>2</v>
      </c>
      <c r="DE310" s="18">
        <f t="shared" si="14"/>
        <v>2003</v>
      </c>
    </row>
    <row r="311" spans="1:109" x14ac:dyDescent="0.25">
      <c r="A311" s="59" t="s">
        <v>1321</v>
      </c>
      <c r="B311" s="103">
        <v>41555</v>
      </c>
      <c r="C311" s="106" t="s">
        <v>1581</v>
      </c>
      <c r="D311" s="14" t="s">
        <v>867</v>
      </c>
      <c r="E311" s="15"/>
      <c r="F311" s="15"/>
      <c r="G311" s="15" t="s">
        <v>188</v>
      </c>
      <c r="H311" s="15"/>
      <c r="I311" s="15">
        <v>31</v>
      </c>
      <c r="J311" s="15" t="s">
        <v>189</v>
      </c>
      <c r="K311" s="15" t="s">
        <v>214</v>
      </c>
      <c r="L311" s="15" t="s">
        <v>868</v>
      </c>
      <c r="M311" s="15" t="s">
        <v>1128</v>
      </c>
      <c r="N311" s="15" t="s">
        <v>1086</v>
      </c>
      <c r="O311" s="15">
        <v>10</v>
      </c>
      <c r="P311" s="15"/>
      <c r="Q311" s="15"/>
      <c r="R311" s="15"/>
      <c r="S311" s="15" t="s">
        <v>188</v>
      </c>
      <c r="T311" s="15"/>
      <c r="U311" s="15" t="s">
        <v>188</v>
      </c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>
        <v>2007</v>
      </c>
      <c r="AI311" s="1">
        <v>820406</v>
      </c>
      <c r="AJ311" s="15"/>
      <c r="AK311" s="15"/>
      <c r="AL311" s="15" t="s">
        <v>188</v>
      </c>
      <c r="AM311" s="15"/>
      <c r="AN311" s="15"/>
      <c r="AO311" s="15"/>
      <c r="AP311" s="15" t="s">
        <v>188</v>
      </c>
      <c r="AQ311" s="15"/>
      <c r="AR311" s="15"/>
      <c r="AS311" s="15"/>
      <c r="AT311" s="15" t="s">
        <v>322</v>
      </c>
      <c r="AU311" s="1">
        <v>10000</v>
      </c>
      <c r="AV311" s="48">
        <v>0.1</v>
      </c>
      <c r="AW311" s="15">
        <v>2.7</v>
      </c>
      <c r="AX311" s="15">
        <v>2.4</v>
      </c>
      <c r="AY311" s="15">
        <v>2</v>
      </c>
      <c r="AZ311" s="15">
        <v>920</v>
      </c>
      <c r="BA311" s="15">
        <v>2400</v>
      </c>
      <c r="BB311" s="15" t="s">
        <v>188</v>
      </c>
      <c r="BC311" s="15" t="s">
        <v>188</v>
      </c>
      <c r="BD311" s="15" t="s">
        <v>199</v>
      </c>
      <c r="BE311" s="1">
        <v>20000</v>
      </c>
      <c r="BF311" s="1">
        <v>200000</v>
      </c>
      <c r="BG311" s="1">
        <v>20000</v>
      </c>
      <c r="BH311" s="1">
        <v>120000</v>
      </c>
      <c r="BI311" s="1" t="s">
        <v>193</v>
      </c>
      <c r="BJ311" s="15"/>
      <c r="BK311" s="15"/>
      <c r="BL311" s="15"/>
      <c r="BM311" s="15"/>
      <c r="BN311" s="15" t="s">
        <v>188</v>
      </c>
      <c r="BO311" s="15"/>
      <c r="BP311" s="15" t="s">
        <v>188</v>
      </c>
      <c r="BQ311" s="15"/>
      <c r="BR311" s="15"/>
      <c r="BS311" s="2"/>
      <c r="BT311" s="15"/>
      <c r="BU311" s="15"/>
      <c r="BV311" s="15" t="s">
        <v>188</v>
      </c>
      <c r="BW311" s="15"/>
      <c r="BX311" s="15">
        <v>1</v>
      </c>
      <c r="BY311" s="15">
        <v>2</v>
      </c>
      <c r="BZ311" s="15">
        <v>3</v>
      </c>
      <c r="CA311" s="15"/>
      <c r="CB311" s="15" t="s">
        <v>188</v>
      </c>
      <c r="CC311" s="15"/>
      <c r="CD311" s="15"/>
      <c r="CE311" s="15"/>
      <c r="CF311" s="15"/>
      <c r="CG311" s="15"/>
      <c r="CH311" s="15"/>
      <c r="CI311" s="15"/>
      <c r="CJ311" s="15"/>
      <c r="CK311" s="15" t="s">
        <v>188</v>
      </c>
      <c r="CL311" s="15"/>
      <c r="CM311" s="15"/>
      <c r="CN311" s="15"/>
      <c r="CO311" s="15"/>
      <c r="CP311" s="15" t="s">
        <v>193</v>
      </c>
      <c r="CQ311" s="15" t="s">
        <v>193</v>
      </c>
      <c r="CR311" s="15"/>
      <c r="CS311" s="15"/>
      <c r="CT311" s="15" t="s">
        <v>188</v>
      </c>
      <c r="CU311" s="15"/>
      <c r="CV311" s="15"/>
      <c r="CW311" s="15"/>
      <c r="CX311" s="15" t="s">
        <v>188</v>
      </c>
      <c r="CY311" s="15"/>
      <c r="CZ311" s="3"/>
      <c r="DA311" s="49"/>
      <c r="DC311" s="18">
        <f t="shared" si="12"/>
        <v>0</v>
      </c>
      <c r="DD311" s="18">
        <f t="shared" si="13"/>
        <v>3</v>
      </c>
      <c r="DE311" s="18">
        <f t="shared" si="14"/>
        <v>2007</v>
      </c>
    </row>
    <row r="312" spans="1:109" x14ac:dyDescent="0.25">
      <c r="A312" s="59" t="s">
        <v>1321</v>
      </c>
      <c r="B312" s="103">
        <v>41555</v>
      </c>
      <c r="C312" s="106" t="s">
        <v>1581</v>
      </c>
      <c r="D312" s="14" t="s">
        <v>1175</v>
      </c>
      <c r="E312" s="15"/>
      <c r="F312" s="15"/>
      <c r="G312" s="15" t="s">
        <v>188</v>
      </c>
      <c r="H312" s="15"/>
      <c r="I312" s="15">
        <v>54</v>
      </c>
      <c r="J312" s="15" t="s">
        <v>189</v>
      </c>
      <c r="K312" s="15" t="s">
        <v>196</v>
      </c>
      <c r="L312" s="15" t="s">
        <v>869</v>
      </c>
      <c r="M312" s="15" t="s">
        <v>1042</v>
      </c>
      <c r="N312" s="15" t="s">
        <v>1085</v>
      </c>
      <c r="O312" s="15">
        <v>30</v>
      </c>
      <c r="P312" s="15"/>
      <c r="Q312" s="15"/>
      <c r="R312" s="15"/>
      <c r="S312" s="15" t="s">
        <v>188</v>
      </c>
      <c r="T312" s="15"/>
      <c r="U312" s="15"/>
      <c r="V312" s="15"/>
      <c r="W312" s="15"/>
      <c r="X312" s="15"/>
      <c r="Y312" s="15"/>
      <c r="Z312" s="15"/>
      <c r="AA312" s="15"/>
      <c r="AB312" s="15" t="s">
        <v>188</v>
      </c>
      <c r="AC312" s="15"/>
      <c r="AD312" s="15"/>
      <c r="AE312" s="15"/>
      <c r="AF312" s="15"/>
      <c r="AG312" s="15"/>
      <c r="AH312" s="15">
        <v>2007</v>
      </c>
      <c r="AI312" s="1">
        <v>693802</v>
      </c>
      <c r="AJ312" s="15"/>
      <c r="AK312" s="15"/>
      <c r="AL312" s="15" t="s">
        <v>188</v>
      </c>
      <c r="AM312" s="15"/>
      <c r="AN312" s="15"/>
      <c r="AO312" s="15"/>
      <c r="AP312" s="15" t="s">
        <v>188</v>
      </c>
      <c r="AQ312" s="15"/>
      <c r="AR312" s="15"/>
      <c r="AS312" s="15"/>
      <c r="AT312" s="15" t="s">
        <v>322</v>
      </c>
      <c r="AU312" s="1">
        <v>10000</v>
      </c>
      <c r="AV312" s="48">
        <v>0.5</v>
      </c>
      <c r="AW312" s="15">
        <v>1.7</v>
      </c>
      <c r="AX312" s="15">
        <v>1.5</v>
      </c>
      <c r="AY312" s="15">
        <v>3</v>
      </c>
      <c r="AZ312" s="15">
        <v>1100</v>
      </c>
      <c r="BA312" s="15">
        <v>1800</v>
      </c>
      <c r="BB312" s="15" t="s">
        <v>188</v>
      </c>
      <c r="BC312" s="15" t="s">
        <v>188</v>
      </c>
      <c r="BD312" s="15" t="s">
        <v>199</v>
      </c>
      <c r="BE312" s="1">
        <v>15000</v>
      </c>
      <c r="BF312" s="1" t="s">
        <v>193</v>
      </c>
      <c r="BG312" s="1">
        <v>30000</v>
      </c>
      <c r="BH312" s="1">
        <v>120000</v>
      </c>
      <c r="BI312" s="1" t="s">
        <v>193</v>
      </c>
      <c r="BJ312" s="15"/>
      <c r="BK312" s="15"/>
      <c r="BL312" s="15"/>
      <c r="BM312" s="15"/>
      <c r="BN312" s="15"/>
      <c r="BO312" s="15"/>
      <c r="BP312" s="15"/>
      <c r="BQ312" s="15"/>
      <c r="BR312" s="15"/>
      <c r="BS312" s="2" t="s">
        <v>837</v>
      </c>
      <c r="BT312" s="15"/>
      <c r="BU312" s="15" t="s">
        <v>188</v>
      </c>
      <c r="BV312" s="15"/>
      <c r="BW312" s="15"/>
      <c r="BX312" s="15">
        <v>1</v>
      </c>
      <c r="BY312" s="15">
        <v>2</v>
      </c>
      <c r="BZ312" s="15">
        <v>3</v>
      </c>
      <c r="CA312" s="15"/>
      <c r="CB312" s="15" t="s">
        <v>188</v>
      </c>
      <c r="CC312" s="15"/>
      <c r="CD312" s="15"/>
      <c r="CE312" s="15"/>
      <c r="CF312" s="15"/>
      <c r="CG312" s="15"/>
      <c r="CH312" s="15"/>
      <c r="CI312" s="15"/>
      <c r="CJ312" s="15"/>
      <c r="CK312" s="15" t="s">
        <v>188</v>
      </c>
      <c r="CL312" s="15"/>
      <c r="CM312" s="15"/>
      <c r="CN312" s="15"/>
      <c r="CO312" s="15"/>
      <c r="CP312" s="15" t="s">
        <v>193</v>
      </c>
      <c r="CQ312" s="15" t="s">
        <v>193</v>
      </c>
      <c r="CR312" s="15" t="s">
        <v>188</v>
      </c>
      <c r="CS312" s="15"/>
      <c r="CT312" s="15"/>
      <c r="CU312" s="15"/>
      <c r="CV312" s="15"/>
      <c r="CW312" s="15"/>
      <c r="CX312" s="15" t="s">
        <v>188</v>
      </c>
      <c r="CY312" s="15"/>
      <c r="CZ312" s="3"/>
      <c r="DA312" s="49"/>
      <c r="DC312" s="18">
        <f t="shared" si="12"/>
        <v>0</v>
      </c>
      <c r="DD312" s="18">
        <f t="shared" si="13"/>
        <v>3</v>
      </c>
      <c r="DE312" s="18">
        <f t="shared" si="14"/>
        <v>2007</v>
      </c>
    </row>
    <row r="313" spans="1:109" x14ac:dyDescent="0.25">
      <c r="A313" s="59" t="s">
        <v>1321</v>
      </c>
      <c r="B313" s="103">
        <v>41555</v>
      </c>
      <c r="C313" s="106" t="s">
        <v>1581</v>
      </c>
      <c r="D313" s="14" t="s">
        <v>1176</v>
      </c>
      <c r="E313" s="15"/>
      <c r="F313" s="15"/>
      <c r="G313" s="15" t="s">
        <v>188</v>
      </c>
      <c r="H313" s="15"/>
      <c r="I313" s="15">
        <v>44</v>
      </c>
      <c r="J313" s="15" t="s">
        <v>189</v>
      </c>
      <c r="K313" s="15" t="s">
        <v>190</v>
      </c>
      <c r="L313" s="15" t="s">
        <v>870</v>
      </c>
      <c r="M313" s="15" t="s">
        <v>1129</v>
      </c>
      <c r="N313" s="15" t="s">
        <v>1130</v>
      </c>
      <c r="O313" s="15">
        <v>20</v>
      </c>
      <c r="P313" s="15"/>
      <c r="Q313" s="15" t="s">
        <v>188</v>
      </c>
      <c r="R313" s="15"/>
      <c r="S313" s="15"/>
      <c r="T313" s="15"/>
      <c r="U313" s="15" t="s">
        <v>188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>
        <v>2000</v>
      </c>
      <c r="AI313" s="1" t="s">
        <v>193</v>
      </c>
      <c r="AJ313" s="15"/>
      <c r="AK313" s="15"/>
      <c r="AL313" s="15" t="s">
        <v>188</v>
      </c>
      <c r="AM313" s="15"/>
      <c r="AN313" s="15"/>
      <c r="AO313" s="15" t="s">
        <v>188</v>
      </c>
      <c r="AP313" s="15"/>
      <c r="AQ313" s="15"/>
      <c r="AR313" s="15"/>
      <c r="AS313" s="15"/>
      <c r="AT313" s="15" t="s">
        <v>322</v>
      </c>
      <c r="AU313" s="1">
        <v>8500</v>
      </c>
      <c r="AV313" s="48">
        <v>0.1</v>
      </c>
      <c r="AW313" s="15">
        <v>3.6</v>
      </c>
      <c r="AX313" s="15">
        <v>3.1</v>
      </c>
      <c r="AY313" s="15">
        <v>2</v>
      </c>
      <c r="AZ313" s="15">
        <v>790</v>
      </c>
      <c r="BA313" s="15">
        <v>2700</v>
      </c>
      <c r="BB313" s="15" t="s">
        <v>188</v>
      </c>
      <c r="BC313" s="15" t="s">
        <v>199</v>
      </c>
      <c r="BD313" s="15" t="s">
        <v>199</v>
      </c>
      <c r="BE313" s="1">
        <v>18000</v>
      </c>
      <c r="BF313" s="1">
        <v>200000</v>
      </c>
      <c r="BG313" s="1">
        <v>24000</v>
      </c>
      <c r="BH313" s="1">
        <v>100000</v>
      </c>
      <c r="BI313" s="1" t="s">
        <v>193</v>
      </c>
      <c r="BJ313" s="15" t="s">
        <v>188</v>
      </c>
      <c r="BK313" s="15" t="s">
        <v>188</v>
      </c>
      <c r="BL313" s="15"/>
      <c r="BM313" s="15"/>
      <c r="BN313" s="15" t="s">
        <v>188</v>
      </c>
      <c r="BO313" s="15"/>
      <c r="BP313" s="15"/>
      <c r="BQ313" s="15"/>
      <c r="BR313" s="15"/>
      <c r="BS313" s="2"/>
      <c r="BT313" s="15" t="s">
        <v>188</v>
      </c>
      <c r="BU313" s="15"/>
      <c r="BV313" s="15"/>
      <c r="BW313" s="15"/>
      <c r="BX313" s="15">
        <v>2</v>
      </c>
      <c r="BY313" s="15">
        <v>3</v>
      </c>
      <c r="BZ313" s="15">
        <v>1</v>
      </c>
      <c r="CA313" s="15"/>
      <c r="CB313" s="15" t="s">
        <v>188</v>
      </c>
      <c r="CC313" s="15"/>
      <c r="CD313" s="15"/>
      <c r="CE313" s="15"/>
      <c r="CF313" s="15"/>
      <c r="CG313" s="15"/>
      <c r="CH313" s="15"/>
      <c r="CI313" s="15"/>
      <c r="CJ313" s="15"/>
      <c r="CK313" s="15" t="s">
        <v>188</v>
      </c>
      <c r="CL313" s="15"/>
      <c r="CM313" s="15"/>
      <c r="CN313" s="15"/>
      <c r="CO313" s="15"/>
      <c r="CP313" s="15" t="s">
        <v>193</v>
      </c>
      <c r="CQ313" s="15" t="s">
        <v>193</v>
      </c>
      <c r="CR313" s="15" t="s">
        <v>188</v>
      </c>
      <c r="CS313" s="15"/>
      <c r="CT313" s="15"/>
      <c r="CU313" s="15"/>
      <c r="CV313" s="15"/>
      <c r="CW313" s="15"/>
      <c r="CX313" s="15" t="s">
        <v>188</v>
      </c>
      <c r="CY313" s="15"/>
      <c r="CZ313" s="3"/>
      <c r="DA313" s="49"/>
      <c r="DC313" s="18">
        <f t="shared" si="12"/>
        <v>0</v>
      </c>
      <c r="DD313" s="18">
        <f t="shared" si="13"/>
        <v>3</v>
      </c>
      <c r="DE313" s="18">
        <f t="shared" si="14"/>
        <v>2000</v>
      </c>
    </row>
    <row r="314" spans="1:109" x14ac:dyDescent="0.25">
      <c r="A314" s="59" t="s">
        <v>1321</v>
      </c>
      <c r="B314" s="103">
        <v>41555</v>
      </c>
      <c r="C314" s="106" t="s">
        <v>1581</v>
      </c>
      <c r="D314" s="14" t="s">
        <v>871</v>
      </c>
      <c r="E314" s="15"/>
      <c r="F314" s="15"/>
      <c r="G314" s="15" t="s">
        <v>188</v>
      </c>
      <c r="H314" s="15"/>
      <c r="I314" s="15">
        <v>27</v>
      </c>
      <c r="J314" s="15" t="s">
        <v>189</v>
      </c>
      <c r="K314" s="15" t="s">
        <v>196</v>
      </c>
      <c r="L314" s="15" t="s">
        <v>872</v>
      </c>
      <c r="M314" s="15" t="s">
        <v>1131</v>
      </c>
      <c r="N314" s="15" t="s">
        <v>1102</v>
      </c>
      <c r="O314" s="15">
        <v>8</v>
      </c>
      <c r="P314" s="15" t="s">
        <v>188</v>
      </c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 t="s">
        <v>188</v>
      </c>
      <c r="AG314" s="15"/>
      <c r="AH314" s="15">
        <v>1985</v>
      </c>
      <c r="AI314" s="1" t="s">
        <v>193</v>
      </c>
      <c r="AJ314" s="15" t="s">
        <v>188</v>
      </c>
      <c r="AK314" s="15"/>
      <c r="AL314" s="15"/>
      <c r="AM314" s="15"/>
      <c r="AN314" s="15"/>
      <c r="AO314" s="15"/>
      <c r="AP314" s="15"/>
      <c r="AQ314" s="15"/>
      <c r="AR314" s="15"/>
      <c r="AS314" s="15"/>
      <c r="AT314" s="15" t="s">
        <v>860</v>
      </c>
      <c r="AU314" s="1">
        <v>7000</v>
      </c>
      <c r="AV314" s="48">
        <v>0.3</v>
      </c>
      <c r="AW314" s="15">
        <v>4.9000000000000004</v>
      </c>
      <c r="AX314" s="15">
        <v>4</v>
      </c>
      <c r="AY314" s="15">
        <v>2</v>
      </c>
      <c r="AZ314" s="15">
        <v>310</v>
      </c>
      <c r="BA314" s="15">
        <v>1400</v>
      </c>
      <c r="BB314" s="15" t="s">
        <v>199</v>
      </c>
      <c r="BC314" s="15" t="s">
        <v>199</v>
      </c>
      <c r="BD314" s="15" t="s">
        <v>199</v>
      </c>
      <c r="BE314" s="1">
        <v>14000</v>
      </c>
      <c r="BF314" s="1" t="s">
        <v>193</v>
      </c>
      <c r="BG314" s="1">
        <v>28000</v>
      </c>
      <c r="BH314" s="1" t="s">
        <v>193</v>
      </c>
      <c r="BI314" s="1" t="s">
        <v>193</v>
      </c>
      <c r="BJ314" s="15" t="s">
        <v>188</v>
      </c>
      <c r="BK314" s="15"/>
      <c r="BL314" s="15"/>
      <c r="BM314" s="15"/>
      <c r="BN314" s="15"/>
      <c r="BO314" s="15" t="s">
        <v>188</v>
      </c>
      <c r="BP314" s="15"/>
      <c r="BQ314" s="15"/>
      <c r="BR314" s="15"/>
      <c r="BS314" s="2"/>
      <c r="BT314" s="15"/>
      <c r="BU314" s="15" t="s">
        <v>188</v>
      </c>
      <c r="BV314" s="15"/>
      <c r="BW314" s="15"/>
      <c r="BX314" s="15">
        <v>2</v>
      </c>
      <c r="BY314" s="15">
        <v>3</v>
      </c>
      <c r="BZ314" s="15">
        <v>1</v>
      </c>
      <c r="CA314" s="15"/>
      <c r="CB314" s="15" t="s">
        <v>188</v>
      </c>
      <c r="CC314" s="15"/>
      <c r="CD314" s="15"/>
      <c r="CE314" s="15"/>
      <c r="CF314" s="15"/>
      <c r="CG314" s="15"/>
      <c r="CH314" s="15"/>
      <c r="CI314" s="15"/>
      <c r="CJ314" s="15"/>
      <c r="CK314" s="15" t="s">
        <v>188</v>
      </c>
      <c r="CL314" s="15"/>
      <c r="CM314" s="15"/>
      <c r="CN314" s="15"/>
      <c r="CO314" s="15"/>
      <c r="CP314" s="15" t="s">
        <v>193</v>
      </c>
      <c r="CQ314" s="15" t="s">
        <v>193</v>
      </c>
      <c r="CR314" s="15" t="s">
        <v>188</v>
      </c>
      <c r="CS314" s="15"/>
      <c r="CT314" s="15"/>
      <c r="CU314" s="15"/>
      <c r="CV314" s="15"/>
      <c r="CW314" s="15"/>
      <c r="CX314" s="15" t="s">
        <v>188</v>
      </c>
      <c r="CY314" s="15"/>
      <c r="CZ314" s="3"/>
      <c r="DA314" s="49"/>
      <c r="DC314" s="18">
        <f t="shared" si="12"/>
        <v>0</v>
      </c>
      <c r="DD314" s="18">
        <f t="shared" si="13"/>
        <v>3</v>
      </c>
      <c r="DE314" s="18">
        <f t="shared" si="14"/>
        <v>1985</v>
      </c>
    </row>
    <row r="315" spans="1:109" x14ac:dyDescent="0.25">
      <c r="A315" s="59" t="s">
        <v>1321</v>
      </c>
      <c r="B315" s="103">
        <v>41555</v>
      </c>
      <c r="C315" s="106" t="s">
        <v>1581</v>
      </c>
      <c r="D315" s="14" t="s">
        <v>873</v>
      </c>
      <c r="E315" s="15"/>
      <c r="F315" s="15"/>
      <c r="G315" s="15"/>
      <c r="H315" s="15" t="s">
        <v>188</v>
      </c>
      <c r="I315" s="15">
        <v>56</v>
      </c>
      <c r="J315" s="15" t="s">
        <v>189</v>
      </c>
      <c r="K315" s="15" t="s">
        <v>190</v>
      </c>
      <c r="L315" s="15" t="s">
        <v>648</v>
      </c>
      <c r="M315" s="15" t="s">
        <v>1072</v>
      </c>
      <c r="N315" s="15" t="s">
        <v>1089</v>
      </c>
      <c r="O315" s="15">
        <v>30</v>
      </c>
      <c r="P315" s="15"/>
      <c r="Q315" s="15"/>
      <c r="R315" s="15"/>
      <c r="S315" s="15" t="s">
        <v>188</v>
      </c>
      <c r="T315" s="15"/>
      <c r="U315" s="15"/>
      <c r="V315" s="15"/>
      <c r="W315" s="15"/>
      <c r="X315" s="15"/>
      <c r="Y315" s="15" t="s">
        <v>188</v>
      </c>
      <c r="Z315" s="15"/>
      <c r="AA315" s="15"/>
      <c r="AB315" s="15"/>
      <c r="AC315" s="15"/>
      <c r="AD315" s="15"/>
      <c r="AE315" s="15"/>
      <c r="AF315" s="15"/>
      <c r="AG315" s="15"/>
      <c r="AH315" s="15">
        <v>2008</v>
      </c>
      <c r="AI315" s="1">
        <v>568900</v>
      </c>
      <c r="AJ315" s="15"/>
      <c r="AK315" s="15"/>
      <c r="AL315" s="15" t="s">
        <v>188</v>
      </c>
      <c r="AM315" s="15"/>
      <c r="AN315" s="15"/>
      <c r="AO315" s="15"/>
      <c r="AP315" s="15" t="s">
        <v>188</v>
      </c>
      <c r="AQ315" s="15"/>
      <c r="AR315" s="15"/>
      <c r="AS315" s="15"/>
      <c r="AT315" s="15" t="s">
        <v>322</v>
      </c>
      <c r="AU315" s="1">
        <v>10000</v>
      </c>
      <c r="AV315" s="48">
        <v>0.5</v>
      </c>
      <c r="AW315" s="15">
        <v>1.6</v>
      </c>
      <c r="AX315" s="15">
        <v>1.4</v>
      </c>
      <c r="AY315" s="15">
        <v>3</v>
      </c>
      <c r="AZ315" s="15">
        <v>1200</v>
      </c>
      <c r="BA315" s="15">
        <v>1800</v>
      </c>
      <c r="BB315" s="15" t="s">
        <v>188</v>
      </c>
      <c r="BC315" s="15" t="s">
        <v>188</v>
      </c>
      <c r="BD315" s="15" t="s">
        <v>199</v>
      </c>
      <c r="BE315" s="1">
        <v>18000</v>
      </c>
      <c r="BF315" s="1">
        <v>180000</v>
      </c>
      <c r="BG315" s="1">
        <v>26000</v>
      </c>
      <c r="BH315" s="1">
        <v>120000</v>
      </c>
      <c r="BI315" s="1" t="s">
        <v>193</v>
      </c>
      <c r="BJ315" s="15"/>
      <c r="BK315" s="15"/>
      <c r="BL315" s="15" t="s">
        <v>188</v>
      </c>
      <c r="BM315" s="15"/>
      <c r="BN315" s="15"/>
      <c r="BO315" s="15"/>
      <c r="BP315" s="15"/>
      <c r="BQ315" s="15"/>
      <c r="BR315" s="15" t="s">
        <v>188</v>
      </c>
      <c r="BS315" s="2"/>
      <c r="BT315" s="15"/>
      <c r="BU315" s="15" t="s">
        <v>188</v>
      </c>
      <c r="BV315" s="15"/>
      <c r="BW315" s="15"/>
      <c r="BX315" s="15">
        <v>1</v>
      </c>
      <c r="BY315" s="15">
        <v>3</v>
      </c>
      <c r="BZ315" s="15">
        <v>2</v>
      </c>
      <c r="CA315" s="15"/>
      <c r="CB315" s="15"/>
      <c r="CC315" s="15" t="s">
        <v>188</v>
      </c>
      <c r="CD315" s="15" t="s">
        <v>188</v>
      </c>
      <c r="CE315" s="15"/>
      <c r="CF315" s="15"/>
      <c r="CG315" s="15"/>
      <c r="CH315" s="15"/>
      <c r="CI315" s="15"/>
      <c r="CJ315" s="15"/>
      <c r="CK315" s="15" t="s">
        <v>188</v>
      </c>
      <c r="CL315" s="15"/>
      <c r="CM315" s="15"/>
      <c r="CN315" s="15"/>
      <c r="CO315" s="15"/>
      <c r="CP315" s="15" t="s">
        <v>193</v>
      </c>
      <c r="CQ315" s="15" t="s">
        <v>193</v>
      </c>
      <c r="CR315" s="15"/>
      <c r="CS315" s="15"/>
      <c r="CT315" s="15"/>
      <c r="CU315" s="15" t="s">
        <v>874</v>
      </c>
      <c r="CV315" s="15" t="s">
        <v>188</v>
      </c>
      <c r="CW315" s="15" t="s">
        <v>875</v>
      </c>
      <c r="CX315" s="15"/>
      <c r="CY315" s="15"/>
      <c r="CZ315" s="3"/>
      <c r="DA315" s="49"/>
      <c r="DC315" s="18">
        <f t="shared" si="12"/>
        <v>0</v>
      </c>
      <c r="DD315" s="18">
        <f t="shared" si="13"/>
        <v>7</v>
      </c>
      <c r="DE315" s="18">
        <f t="shared" si="14"/>
        <v>2008</v>
      </c>
    </row>
    <row r="316" spans="1:109" x14ac:dyDescent="0.25">
      <c r="A316" s="59" t="s">
        <v>1321</v>
      </c>
      <c r="B316" s="103">
        <v>41555</v>
      </c>
      <c r="C316" s="106" t="s">
        <v>1581</v>
      </c>
      <c r="D316" s="14" t="s">
        <v>876</v>
      </c>
      <c r="E316" s="15"/>
      <c r="F316" s="15" t="s">
        <v>188</v>
      </c>
      <c r="G316" s="15"/>
      <c r="H316" s="15"/>
      <c r="I316" s="15">
        <v>29</v>
      </c>
      <c r="J316" s="15" t="s">
        <v>189</v>
      </c>
      <c r="K316" s="15" t="s">
        <v>190</v>
      </c>
      <c r="L316" s="15" t="s">
        <v>558</v>
      </c>
      <c r="M316" s="15" t="s">
        <v>1054</v>
      </c>
      <c r="N316" s="15" t="s">
        <v>1066</v>
      </c>
      <c r="O316" s="15">
        <v>10</v>
      </c>
      <c r="P316" s="15"/>
      <c r="Q316" s="15"/>
      <c r="R316" s="15"/>
      <c r="S316" s="15" t="s">
        <v>188</v>
      </c>
      <c r="T316" s="15"/>
      <c r="U316" s="15" t="s">
        <v>188</v>
      </c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>
        <v>2008</v>
      </c>
      <c r="AI316" s="1">
        <v>520861</v>
      </c>
      <c r="AJ316" s="15"/>
      <c r="AK316" s="15"/>
      <c r="AL316" s="15" t="s">
        <v>188</v>
      </c>
      <c r="AM316" s="15"/>
      <c r="AN316" s="15"/>
      <c r="AO316" s="15"/>
      <c r="AP316" s="15" t="s">
        <v>188</v>
      </c>
      <c r="AQ316" s="15"/>
      <c r="AR316" s="15"/>
      <c r="AS316" s="15"/>
      <c r="AT316" s="15" t="s">
        <v>266</v>
      </c>
      <c r="AU316" s="1">
        <v>9000</v>
      </c>
      <c r="AV316" s="48">
        <v>0.1</v>
      </c>
      <c r="AW316" s="15">
        <v>2.7</v>
      </c>
      <c r="AX316" s="15">
        <v>2.4</v>
      </c>
      <c r="AY316" s="15">
        <v>2</v>
      </c>
      <c r="AZ316" s="15">
        <v>850</v>
      </c>
      <c r="BA316" s="15">
        <v>2200</v>
      </c>
      <c r="BB316" s="15" t="s">
        <v>188</v>
      </c>
      <c r="BC316" s="15" t="s">
        <v>199</v>
      </c>
      <c r="BD316" s="15" t="s">
        <v>199</v>
      </c>
      <c r="BE316" s="1">
        <v>18000</v>
      </c>
      <c r="BF316" s="1">
        <v>200000</v>
      </c>
      <c r="BG316" s="1">
        <v>36000</v>
      </c>
      <c r="BH316" s="1">
        <v>108000</v>
      </c>
      <c r="BI316" s="1" t="s">
        <v>193</v>
      </c>
      <c r="BJ316" s="15"/>
      <c r="BK316" s="15"/>
      <c r="BL316" s="15" t="s">
        <v>188</v>
      </c>
      <c r="BM316" s="15"/>
      <c r="BN316" s="15" t="s">
        <v>188</v>
      </c>
      <c r="BO316" s="15"/>
      <c r="BP316" s="15"/>
      <c r="BQ316" s="15"/>
      <c r="BR316" s="15" t="s">
        <v>188</v>
      </c>
      <c r="BS316" s="2"/>
      <c r="BT316" s="15"/>
      <c r="BU316" s="15"/>
      <c r="BV316" s="15" t="s">
        <v>188</v>
      </c>
      <c r="BW316" s="15"/>
      <c r="BX316" s="15">
        <v>1</v>
      </c>
      <c r="BY316" s="15">
        <v>2</v>
      </c>
      <c r="BZ316" s="15">
        <v>3</v>
      </c>
      <c r="CA316" s="15"/>
      <c r="CB316" s="15" t="s">
        <v>188</v>
      </c>
      <c r="CC316" s="15"/>
      <c r="CD316" s="15"/>
      <c r="CE316" s="15"/>
      <c r="CF316" s="15"/>
      <c r="CG316" s="15"/>
      <c r="CH316" s="15"/>
      <c r="CI316" s="15"/>
      <c r="CJ316" s="15"/>
      <c r="CK316" s="15" t="s">
        <v>188</v>
      </c>
      <c r="CL316" s="15"/>
      <c r="CM316" s="15"/>
      <c r="CN316" s="15"/>
      <c r="CO316" s="15"/>
      <c r="CP316" s="15" t="s">
        <v>193</v>
      </c>
      <c r="CQ316" s="15" t="s">
        <v>193</v>
      </c>
      <c r="CR316" s="15"/>
      <c r="CS316" s="15"/>
      <c r="CT316" s="15" t="s">
        <v>188</v>
      </c>
      <c r="CU316" s="15"/>
      <c r="CV316" s="15"/>
      <c r="CW316" s="15"/>
      <c r="CX316" s="15" t="s">
        <v>188</v>
      </c>
      <c r="CY316" s="15"/>
      <c r="CZ316" s="3"/>
      <c r="DA316" s="49"/>
      <c r="DC316" s="18">
        <f t="shared" si="12"/>
        <v>0</v>
      </c>
      <c r="DD316" s="18">
        <f t="shared" si="13"/>
        <v>2</v>
      </c>
      <c r="DE316" s="18">
        <f t="shared" si="14"/>
        <v>2008</v>
      </c>
    </row>
    <row r="317" spans="1:109" x14ac:dyDescent="0.25">
      <c r="A317" s="59" t="s">
        <v>1321</v>
      </c>
      <c r="B317" s="103">
        <v>41555</v>
      </c>
      <c r="C317" s="106" t="s">
        <v>1581</v>
      </c>
      <c r="D317" s="14" t="s">
        <v>877</v>
      </c>
      <c r="E317" s="15"/>
      <c r="F317" s="15"/>
      <c r="G317" s="15" t="s">
        <v>188</v>
      </c>
      <c r="H317" s="15"/>
      <c r="I317" s="15">
        <v>36</v>
      </c>
      <c r="J317" s="15" t="s">
        <v>189</v>
      </c>
      <c r="K317" s="15" t="s">
        <v>190</v>
      </c>
      <c r="L317" s="15" t="s">
        <v>878</v>
      </c>
      <c r="M317" s="15" t="s">
        <v>1132</v>
      </c>
      <c r="N317" s="15" t="s">
        <v>1133</v>
      </c>
      <c r="O317" s="15">
        <v>15</v>
      </c>
      <c r="P317" s="15"/>
      <c r="Q317" s="15" t="s">
        <v>188</v>
      </c>
      <c r="R317" s="15"/>
      <c r="S317" s="15"/>
      <c r="T317" s="15"/>
      <c r="U317" s="15" t="s">
        <v>188</v>
      </c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>
        <v>2004</v>
      </c>
      <c r="AI317" s="1">
        <v>736415</v>
      </c>
      <c r="AJ317" s="15"/>
      <c r="AK317" s="15"/>
      <c r="AL317" s="15" t="s">
        <v>188</v>
      </c>
      <c r="AM317" s="15"/>
      <c r="AN317" s="15"/>
      <c r="AO317" s="15"/>
      <c r="AP317" s="15" t="s">
        <v>188</v>
      </c>
      <c r="AQ317" s="15"/>
      <c r="AR317" s="15"/>
      <c r="AS317" s="15"/>
      <c r="AT317" s="15" t="s">
        <v>322</v>
      </c>
      <c r="AU317" s="1">
        <v>8000</v>
      </c>
      <c r="AV317" s="48">
        <v>0.1</v>
      </c>
      <c r="AW317" s="15">
        <v>3.6</v>
      </c>
      <c r="AX317" s="15">
        <v>3.1</v>
      </c>
      <c r="AY317" s="15">
        <v>2</v>
      </c>
      <c r="AZ317" s="15">
        <v>790</v>
      </c>
      <c r="BA317" s="15">
        <v>2700</v>
      </c>
      <c r="BB317" s="15" t="s">
        <v>188</v>
      </c>
      <c r="BC317" s="15" t="s">
        <v>188</v>
      </c>
      <c r="BD317" s="15" t="s">
        <v>199</v>
      </c>
      <c r="BE317" s="1">
        <v>16000</v>
      </c>
      <c r="BF317" s="1">
        <v>150000</v>
      </c>
      <c r="BG317" s="1">
        <v>32000</v>
      </c>
      <c r="BH317" s="1">
        <v>100000</v>
      </c>
      <c r="BI317" s="1" t="s">
        <v>193</v>
      </c>
      <c r="BJ317" s="15"/>
      <c r="BK317" s="15"/>
      <c r="BL317" s="15" t="s">
        <v>188</v>
      </c>
      <c r="BM317" s="15"/>
      <c r="BN317" s="15" t="s">
        <v>188</v>
      </c>
      <c r="BO317" s="15"/>
      <c r="BP317" s="15"/>
      <c r="BQ317" s="15"/>
      <c r="BR317" s="15" t="s">
        <v>188</v>
      </c>
      <c r="BS317" s="2"/>
      <c r="BT317" s="15"/>
      <c r="BU317" s="15"/>
      <c r="BV317" s="15" t="s">
        <v>188</v>
      </c>
      <c r="BW317" s="15"/>
      <c r="BX317" s="15">
        <v>1</v>
      </c>
      <c r="BY317" s="15">
        <v>3</v>
      </c>
      <c r="BZ317" s="15">
        <v>2</v>
      </c>
      <c r="CA317" s="15"/>
      <c r="CB317" s="15" t="s">
        <v>188</v>
      </c>
      <c r="CC317" s="15"/>
      <c r="CD317" s="15"/>
      <c r="CE317" s="15"/>
      <c r="CF317" s="15"/>
      <c r="CG317" s="15"/>
      <c r="CH317" s="15"/>
      <c r="CI317" s="15"/>
      <c r="CJ317" s="15"/>
      <c r="CK317" s="15" t="s">
        <v>188</v>
      </c>
      <c r="CL317" s="15"/>
      <c r="CM317" s="15"/>
      <c r="CN317" s="15"/>
      <c r="CO317" s="15"/>
      <c r="CP317" s="15" t="s">
        <v>193</v>
      </c>
      <c r="CQ317" s="15" t="s">
        <v>193</v>
      </c>
      <c r="CR317" s="15" t="s">
        <v>188</v>
      </c>
      <c r="CS317" s="15"/>
      <c r="CT317" s="15"/>
      <c r="CU317" s="15"/>
      <c r="CV317" s="15"/>
      <c r="CW317" s="15"/>
      <c r="CX317" s="15" t="s">
        <v>188</v>
      </c>
      <c r="CY317" s="15"/>
      <c r="CZ317" s="3"/>
      <c r="DA317" s="49"/>
      <c r="DC317" s="18">
        <f t="shared" si="12"/>
        <v>0</v>
      </c>
      <c r="DD317" s="18">
        <f t="shared" si="13"/>
        <v>3</v>
      </c>
      <c r="DE317" s="18">
        <f t="shared" si="14"/>
        <v>2004</v>
      </c>
    </row>
    <row r="318" spans="1:109" x14ac:dyDescent="0.25">
      <c r="A318" s="59" t="s">
        <v>1321</v>
      </c>
      <c r="B318" s="103">
        <v>41555</v>
      </c>
      <c r="C318" s="106" t="s">
        <v>1581</v>
      </c>
      <c r="D318" s="14" t="s">
        <v>879</v>
      </c>
      <c r="E318" s="15"/>
      <c r="F318" s="15"/>
      <c r="G318" s="15" t="s">
        <v>188</v>
      </c>
      <c r="H318" s="15"/>
      <c r="I318" s="15">
        <v>47</v>
      </c>
      <c r="J318" s="15" t="s">
        <v>189</v>
      </c>
      <c r="K318" s="15" t="s">
        <v>190</v>
      </c>
      <c r="L318" s="15" t="s">
        <v>880</v>
      </c>
      <c r="M318" s="15" t="s">
        <v>1134</v>
      </c>
      <c r="N318" s="15" t="s">
        <v>1087</v>
      </c>
      <c r="O318" s="15">
        <v>20</v>
      </c>
      <c r="P318" s="15"/>
      <c r="Q318" s="15" t="s">
        <v>188</v>
      </c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 t="s">
        <v>188</v>
      </c>
      <c r="AG318" s="15"/>
      <c r="AH318" s="15">
        <v>1997</v>
      </c>
      <c r="AI318" s="1" t="s">
        <v>193</v>
      </c>
      <c r="AJ318" s="15"/>
      <c r="AK318" s="15"/>
      <c r="AL318" s="15" t="s">
        <v>188</v>
      </c>
      <c r="AM318" s="15"/>
      <c r="AN318" s="15"/>
      <c r="AO318" s="15"/>
      <c r="AP318" s="15" t="s">
        <v>188</v>
      </c>
      <c r="AQ318" s="15"/>
      <c r="AR318" s="15"/>
      <c r="AS318" s="15"/>
      <c r="AT318" s="15" t="s">
        <v>322</v>
      </c>
      <c r="AU318" s="1">
        <v>7000</v>
      </c>
      <c r="AV318" s="48">
        <v>0.1</v>
      </c>
      <c r="AW318" s="15">
        <v>3.6</v>
      </c>
      <c r="AX318" s="15">
        <v>3</v>
      </c>
      <c r="AY318" s="15">
        <v>2</v>
      </c>
      <c r="AZ318" s="15">
        <v>1120</v>
      </c>
      <c r="BA318" s="15">
        <v>2700</v>
      </c>
      <c r="BB318" s="15" t="s">
        <v>188</v>
      </c>
      <c r="BC318" s="15" t="s">
        <v>199</v>
      </c>
      <c r="BD318" s="15" t="s">
        <v>199</v>
      </c>
      <c r="BE318" s="1">
        <v>15000</v>
      </c>
      <c r="BF318" s="1" t="s">
        <v>193</v>
      </c>
      <c r="BG318" s="1">
        <v>30000</v>
      </c>
      <c r="BH318" s="1" t="s">
        <v>193</v>
      </c>
      <c r="BI318" s="1" t="s">
        <v>193</v>
      </c>
      <c r="BJ318" s="15" t="s">
        <v>188</v>
      </c>
      <c r="BK318" s="15"/>
      <c r="BL318" s="15"/>
      <c r="BM318" s="15"/>
      <c r="BN318" s="15"/>
      <c r="BO318" s="15" t="s">
        <v>188</v>
      </c>
      <c r="BP318" s="15"/>
      <c r="BQ318" s="15"/>
      <c r="BR318" s="15"/>
      <c r="BS318" s="2"/>
      <c r="BT318" s="15"/>
      <c r="BU318" s="15" t="s">
        <v>188</v>
      </c>
      <c r="BV318" s="15"/>
      <c r="BW318" s="15"/>
      <c r="BX318" s="15">
        <v>2</v>
      </c>
      <c r="BY318" s="15">
        <v>3</v>
      </c>
      <c r="BZ318" s="15">
        <v>1</v>
      </c>
      <c r="CA318" s="15"/>
      <c r="CB318" s="15" t="s">
        <v>188</v>
      </c>
      <c r="CC318" s="15"/>
      <c r="CD318" s="15"/>
      <c r="CE318" s="15"/>
      <c r="CF318" s="15"/>
      <c r="CG318" s="15"/>
      <c r="CH318" s="15"/>
      <c r="CI318" s="15"/>
      <c r="CJ318" s="15"/>
      <c r="CK318" s="15" t="s">
        <v>188</v>
      </c>
      <c r="CL318" s="15"/>
      <c r="CM318" s="15"/>
      <c r="CN318" s="15"/>
      <c r="CO318" s="15"/>
      <c r="CP318" s="15" t="s">
        <v>193</v>
      </c>
      <c r="CQ318" s="15" t="s">
        <v>193</v>
      </c>
      <c r="CR318" s="15" t="s">
        <v>188</v>
      </c>
      <c r="CS318" s="15"/>
      <c r="CT318" s="15"/>
      <c r="CU318" s="15"/>
      <c r="CV318" s="15"/>
      <c r="CW318" s="15"/>
      <c r="CX318" s="15"/>
      <c r="CY318" s="15" t="s">
        <v>188</v>
      </c>
      <c r="CZ318" s="3"/>
      <c r="DA318" s="49"/>
      <c r="DC318" s="18">
        <f t="shared" si="12"/>
        <v>0</v>
      </c>
      <c r="DD318" s="18">
        <f t="shared" si="13"/>
        <v>3</v>
      </c>
      <c r="DE318" s="18">
        <f t="shared" si="14"/>
        <v>1997</v>
      </c>
    </row>
    <row r="319" spans="1:109" x14ac:dyDescent="0.25">
      <c r="A319" s="59" t="s">
        <v>1321</v>
      </c>
      <c r="B319" s="103">
        <v>41555</v>
      </c>
      <c r="C319" s="106" t="s">
        <v>1581</v>
      </c>
      <c r="D319" s="14" t="s">
        <v>881</v>
      </c>
      <c r="E319" s="15"/>
      <c r="F319" s="15" t="s">
        <v>188</v>
      </c>
      <c r="G319" s="15"/>
      <c r="H319" s="15"/>
      <c r="I319" s="15">
        <v>40</v>
      </c>
      <c r="J319" s="15" t="s">
        <v>189</v>
      </c>
      <c r="K319" s="15" t="s">
        <v>190</v>
      </c>
      <c r="L319" s="15" t="s">
        <v>844</v>
      </c>
      <c r="M319" s="15" t="s">
        <v>1119</v>
      </c>
      <c r="N319" s="15" t="s">
        <v>1106</v>
      </c>
      <c r="O319" s="15">
        <v>21</v>
      </c>
      <c r="P319" s="15" t="s">
        <v>188</v>
      </c>
      <c r="Q319" s="15"/>
      <c r="R319" s="15"/>
      <c r="S319" s="15"/>
      <c r="T319" s="15"/>
      <c r="U319" s="15" t="s">
        <v>188</v>
      </c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>
        <v>2004</v>
      </c>
      <c r="AI319" s="1">
        <v>836114</v>
      </c>
      <c r="AJ319" s="15"/>
      <c r="AK319" s="15"/>
      <c r="AL319" s="15" t="s">
        <v>188</v>
      </c>
      <c r="AM319" s="15"/>
      <c r="AN319" s="15"/>
      <c r="AO319" s="15"/>
      <c r="AP319" s="15" t="s">
        <v>188</v>
      </c>
      <c r="AQ319" s="15"/>
      <c r="AR319" s="15"/>
      <c r="AS319" s="15"/>
      <c r="AT319" s="15" t="s">
        <v>322</v>
      </c>
      <c r="AU319" s="1">
        <v>8000</v>
      </c>
      <c r="AV319" s="48">
        <v>0.5</v>
      </c>
      <c r="AW319" s="15">
        <v>5</v>
      </c>
      <c r="AX319" s="15">
        <v>4.2</v>
      </c>
      <c r="AY319" s="15">
        <v>2</v>
      </c>
      <c r="AZ319" s="15">
        <v>550</v>
      </c>
      <c r="BA319" s="15">
        <v>2500</v>
      </c>
      <c r="BB319" s="15" t="s">
        <v>188</v>
      </c>
      <c r="BC319" s="15" t="s">
        <v>199</v>
      </c>
      <c r="BD319" s="15" t="s">
        <v>199</v>
      </c>
      <c r="BE319" s="1">
        <v>16000</v>
      </c>
      <c r="BF319" s="1" t="s">
        <v>193</v>
      </c>
      <c r="BG319" s="1">
        <v>32000</v>
      </c>
      <c r="BH319" s="1">
        <v>100000</v>
      </c>
      <c r="BI319" s="1" t="s">
        <v>193</v>
      </c>
      <c r="BJ319" s="15"/>
      <c r="BK319" s="15"/>
      <c r="BL319" s="15" t="s">
        <v>188</v>
      </c>
      <c r="BM319" s="15"/>
      <c r="BN319" s="15"/>
      <c r="BO319" s="15"/>
      <c r="BP319" s="15"/>
      <c r="BQ319" s="15"/>
      <c r="BR319" s="15" t="s">
        <v>188</v>
      </c>
      <c r="BS319" s="2"/>
      <c r="BT319" s="15"/>
      <c r="BU319" s="15" t="s">
        <v>188</v>
      </c>
      <c r="BV319" s="15"/>
      <c r="BW319" s="15"/>
      <c r="BX319" s="15">
        <v>1</v>
      </c>
      <c r="BY319" s="15">
        <v>3</v>
      </c>
      <c r="BZ319" s="15">
        <v>2</v>
      </c>
      <c r="CA319" s="15"/>
      <c r="CB319" s="15" t="s">
        <v>188</v>
      </c>
      <c r="CC319" s="15"/>
      <c r="CD319" s="15"/>
      <c r="CE319" s="15"/>
      <c r="CF319" s="15"/>
      <c r="CG319" s="15"/>
      <c r="CH319" s="15"/>
      <c r="CI319" s="15"/>
      <c r="CJ319" s="15"/>
      <c r="CK319" s="15" t="s">
        <v>188</v>
      </c>
      <c r="CL319" s="15"/>
      <c r="CM319" s="15"/>
      <c r="CN319" s="15"/>
      <c r="CO319" s="15"/>
      <c r="CP319" s="15" t="s">
        <v>193</v>
      </c>
      <c r="CQ319" s="15" t="s">
        <v>193</v>
      </c>
      <c r="CR319" s="15" t="s">
        <v>188</v>
      </c>
      <c r="CS319" s="15"/>
      <c r="CT319" s="15"/>
      <c r="CU319" s="15"/>
      <c r="CV319" s="15"/>
      <c r="CW319" s="15"/>
      <c r="CX319" s="15" t="s">
        <v>188</v>
      </c>
      <c r="CY319" s="15"/>
      <c r="CZ319" s="3"/>
      <c r="DA319" s="49"/>
      <c r="DC319" s="18">
        <f t="shared" si="12"/>
        <v>0</v>
      </c>
      <c r="DD319" s="18">
        <f t="shared" si="13"/>
        <v>2</v>
      </c>
      <c r="DE319" s="18">
        <f t="shared" si="14"/>
        <v>2004</v>
      </c>
    </row>
    <row r="320" spans="1:109" x14ac:dyDescent="0.25">
      <c r="A320" s="59" t="s">
        <v>1321</v>
      </c>
      <c r="B320" s="103">
        <v>41555</v>
      </c>
      <c r="C320" s="106" t="s">
        <v>1581</v>
      </c>
      <c r="D320" s="14" t="s">
        <v>882</v>
      </c>
      <c r="E320" s="15"/>
      <c r="F320" s="15"/>
      <c r="G320" s="15" t="s">
        <v>188</v>
      </c>
      <c r="H320" s="15"/>
      <c r="I320" s="15">
        <v>39</v>
      </c>
      <c r="J320" s="15" t="s">
        <v>189</v>
      </c>
      <c r="K320" s="15" t="s">
        <v>214</v>
      </c>
      <c r="L320" s="15" t="s">
        <v>883</v>
      </c>
      <c r="M320" s="15" t="s">
        <v>1135</v>
      </c>
      <c r="N320" s="15" t="s">
        <v>1118</v>
      </c>
      <c r="O320" s="15">
        <v>19</v>
      </c>
      <c r="P320" s="15"/>
      <c r="Q320" s="15" t="s">
        <v>188</v>
      </c>
      <c r="R320" s="15"/>
      <c r="S320" s="15"/>
      <c r="T320" s="15"/>
      <c r="U320" s="15" t="s">
        <v>188</v>
      </c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>
        <v>2002</v>
      </c>
      <c r="AI320" s="1">
        <v>927620</v>
      </c>
      <c r="AJ320" s="15"/>
      <c r="AK320" s="15"/>
      <c r="AL320" s="15" t="s">
        <v>188</v>
      </c>
      <c r="AM320" s="15"/>
      <c r="AN320" s="15"/>
      <c r="AO320" s="15"/>
      <c r="AP320" s="15" t="s">
        <v>188</v>
      </c>
      <c r="AQ320" s="15"/>
      <c r="AR320" s="15"/>
      <c r="AS320" s="15"/>
      <c r="AT320" s="15" t="s">
        <v>322</v>
      </c>
      <c r="AU320" s="1">
        <v>8000</v>
      </c>
      <c r="AV320" s="48">
        <v>0.3</v>
      </c>
      <c r="AW320" s="15">
        <v>3.7</v>
      </c>
      <c r="AX320" s="15">
        <v>3.2</v>
      </c>
      <c r="AY320" s="15">
        <v>2</v>
      </c>
      <c r="AZ320" s="15">
        <v>710</v>
      </c>
      <c r="BA320" s="15">
        <v>2500</v>
      </c>
      <c r="BB320" s="15" t="s">
        <v>188</v>
      </c>
      <c r="BC320" s="15" t="s">
        <v>188</v>
      </c>
      <c r="BD320" s="15" t="s">
        <v>199</v>
      </c>
      <c r="BE320" s="1">
        <v>20000</v>
      </c>
      <c r="BF320" s="1">
        <v>200000</v>
      </c>
      <c r="BG320" s="1">
        <v>20000</v>
      </c>
      <c r="BH320" s="1">
        <v>100000</v>
      </c>
      <c r="BI320" s="1" t="s">
        <v>193</v>
      </c>
      <c r="BJ320" s="15"/>
      <c r="BK320" s="15"/>
      <c r="BL320" s="15" t="s">
        <v>188</v>
      </c>
      <c r="BM320" s="15"/>
      <c r="BN320" s="15"/>
      <c r="BO320" s="15"/>
      <c r="BP320" s="15"/>
      <c r="BQ320" s="15"/>
      <c r="BR320" s="15" t="s">
        <v>188</v>
      </c>
      <c r="BS320" s="2"/>
      <c r="BT320" s="15"/>
      <c r="BU320" s="15"/>
      <c r="BV320" s="15" t="s">
        <v>188</v>
      </c>
      <c r="BW320" s="15"/>
      <c r="BX320" s="15">
        <v>1</v>
      </c>
      <c r="BY320" s="15">
        <v>3</v>
      </c>
      <c r="BZ320" s="15">
        <v>2</v>
      </c>
      <c r="CA320" s="15"/>
      <c r="CB320" s="15" t="s">
        <v>188</v>
      </c>
      <c r="CC320" s="15"/>
      <c r="CD320" s="15"/>
      <c r="CE320" s="15"/>
      <c r="CF320" s="15"/>
      <c r="CG320" s="15"/>
      <c r="CH320" s="15"/>
      <c r="CI320" s="15"/>
      <c r="CJ320" s="15"/>
      <c r="CK320" s="15" t="s">
        <v>188</v>
      </c>
      <c r="CL320" s="15"/>
      <c r="CM320" s="15"/>
      <c r="CN320" s="15"/>
      <c r="CO320" s="15"/>
      <c r="CP320" s="15" t="s">
        <v>193</v>
      </c>
      <c r="CQ320" s="15" t="s">
        <v>193</v>
      </c>
      <c r="CR320" s="15"/>
      <c r="CS320" s="15"/>
      <c r="CT320" s="15"/>
      <c r="CU320" s="15" t="s">
        <v>655</v>
      </c>
      <c r="CV320" s="15" t="s">
        <v>188</v>
      </c>
      <c r="CW320" s="15" t="s">
        <v>599</v>
      </c>
      <c r="CX320" s="15"/>
      <c r="CY320" s="15"/>
      <c r="CZ320" s="3"/>
      <c r="DA320" s="49"/>
      <c r="DC320" s="18">
        <f t="shared" si="12"/>
        <v>0</v>
      </c>
      <c r="DD320" s="18">
        <f t="shared" si="13"/>
        <v>3</v>
      </c>
      <c r="DE320" s="18">
        <f t="shared" si="14"/>
        <v>2002</v>
      </c>
    </row>
    <row r="321" spans="1:109" x14ac:dyDescent="0.25">
      <c r="A321" s="59" t="s">
        <v>1321</v>
      </c>
      <c r="B321" s="103">
        <v>41555</v>
      </c>
      <c r="C321" s="106" t="s">
        <v>1581</v>
      </c>
      <c r="D321" s="14" t="s">
        <v>884</v>
      </c>
      <c r="E321" s="15"/>
      <c r="F321" s="15"/>
      <c r="G321" s="15" t="s">
        <v>188</v>
      </c>
      <c r="H321" s="15"/>
      <c r="I321" s="15">
        <v>46</v>
      </c>
      <c r="J321" s="15" t="s">
        <v>189</v>
      </c>
      <c r="K321" s="15" t="s">
        <v>190</v>
      </c>
      <c r="L321" s="15" t="s">
        <v>855</v>
      </c>
      <c r="M321" s="15" t="s">
        <v>1123</v>
      </c>
      <c r="N321" s="15" t="s">
        <v>1086</v>
      </c>
      <c r="O321" s="15">
        <v>25</v>
      </c>
      <c r="P321" s="15"/>
      <c r="Q321" s="15"/>
      <c r="R321" s="15"/>
      <c r="S321" s="15" t="s">
        <v>188</v>
      </c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 t="s">
        <v>188</v>
      </c>
      <c r="AG321" s="15"/>
      <c r="AH321" s="15">
        <v>2006</v>
      </c>
      <c r="AI321" s="1">
        <v>815927</v>
      </c>
      <c r="AJ321" s="15"/>
      <c r="AK321" s="15"/>
      <c r="AL321" s="15" t="s">
        <v>188</v>
      </c>
      <c r="AM321" s="15"/>
      <c r="AN321" s="15"/>
      <c r="AO321" s="15"/>
      <c r="AP321" s="15" t="s">
        <v>188</v>
      </c>
      <c r="AQ321" s="15"/>
      <c r="AR321" s="15"/>
      <c r="AS321" s="15"/>
      <c r="AT321" s="15" t="s">
        <v>322</v>
      </c>
      <c r="AU321" s="1">
        <v>10000</v>
      </c>
      <c r="AV321" s="48">
        <v>0.2</v>
      </c>
      <c r="AW321" s="15">
        <v>2.7</v>
      </c>
      <c r="AX321" s="15">
        <v>2.2999999999999998</v>
      </c>
      <c r="AY321" s="15">
        <v>2</v>
      </c>
      <c r="AZ321" s="15">
        <v>1000</v>
      </c>
      <c r="BA321" s="15">
        <v>2500</v>
      </c>
      <c r="BB321" s="15" t="s">
        <v>188</v>
      </c>
      <c r="BC321" s="15" t="s">
        <v>199</v>
      </c>
      <c r="BD321" s="15" t="s">
        <v>199</v>
      </c>
      <c r="BE321" s="1">
        <v>20000</v>
      </c>
      <c r="BF321" s="1" t="s">
        <v>193</v>
      </c>
      <c r="BG321" s="1">
        <v>20000</v>
      </c>
      <c r="BH321" s="1" t="s">
        <v>193</v>
      </c>
      <c r="BI321" s="1" t="s">
        <v>193</v>
      </c>
      <c r="BJ321" s="15"/>
      <c r="BK321" s="15"/>
      <c r="BL321" s="15"/>
      <c r="BM321" s="15"/>
      <c r="BN321" s="15"/>
      <c r="BO321" s="15" t="s">
        <v>188</v>
      </c>
      <c r="BP321" s="15"/>
      <c r="BQ321" s="15"/>
      <c r="BR321" s="15"/>
      <c r="BS321" s="2"/>
      <c r="BT321" s="15"/>
      <c r="BU321" s="15" t="s">
        <v>188</v>
      </c>
      <c r="BV321" s="15"/>
      <c r="BW321" s="15"/>
      <c r="BX321" s="15">
        <v>3</v>
      </c>
      <c r="BY321" s="15">
        <v>1</v>
      </c>
      <c r="BZ321" s="15">
        <v>2</v>
      </c>
      <c r="CA321" s="15"/>
      <c r="CB321" s="15" t="s">
        <v>188</v>
      </c>
      <c r="CC321" s="15"/>
      <c r="CD321" s="15"/>
      <c r="CE321" s="15"/>
      <c r="CF321" s="15"/>
      <c r="CG321" s="15"/>
      <c r="CH321" s="15"/>
      <c r="CI321" s="15"/>
      <c r="CJ321" s="15"/>
      <c r="CK321" s="15" t="s">
        <v>188</v>
      </c>
      <c r="CL321" s="15"/>
      <c r="CM321" s="15"/>
      <c r="CN321" s="15"/>
      <c r="CO321" s="15"/>
      <c r="CP321" s="15" t="s">
        <v>193</v>
      </c>
      <c r="CQ321" s="15" t="s">
        <v>193</v>
      </c>
      <c r="CR321" s="15" t="s">
        <v>188</v>
      </c>
      <c r="CS321" s="15"/>
      <c r="CT321" s="15"/>
      <c r="CU321" s="15"/>
      <c r="CV321" s="15" t="s">
        <v>188</v>
      </c>
      <c r="CW321" s="15" t="s">
        <v>270</v>
      </c>
      <c r="CX321" s="15"/>
      <c r="CY321" s="15"/>
      <c r="CZ321" s="3"/>
      <c r="DA321" s="49"/>
      <c r="DC321" s="18">
        <f t="shared" si="12"/>
        <v>0</v>
      </c>
      <c r="DD321" s="18">
        <f t="shared" si="13"/>
        <v>3</v>
      </c>
      <c r="DE321" s="18">
        <f t="shared" si="14"/>
        <v>2006</v>
      </c>
    </row>
    <row r="322" spans="1:109" x14ac:dyDescent="0.25">
      <c r="A322" s="59" t="s">
        <v>1321</v>
      </c>
      <c r="B322" s="103">
        <v>41555</v>
      </c>
      <c r="C322" s="106" t="s">
        <v>1581</v>
      </c>
      <c r="D322" s="14" t="s">
        <v>885</v>
      </c>
      <c r="E322" s="15"/>
      <c r="F322" s="15"/>
      <c r="G322" s="15"/>
      <c r="H322" s="15" t="s">
        <v>188</v>
      </c>
      <c r="I322" s="15">
        <v>48</v>
      </c>
      <c r="J322" s="15" t="s">
        <v>189</v>
      </c>
      <c r="K322" s="15" t="s">
        <v>196</v>
      </c>
      <c r="L322" s="15" t="s">
        <v>886</v>
      </c>
      <c r="M322" s="15" t="s">
        <v>1130</v>
      </c>
      <c r="N322" s="15" t="s">
        <v>1130</v>
      </c>
      <c r="O322" s="15">
        <v>23</v>
      </c>
      <c r="P322" s="15"/>
      <c r="Q322" s="15"/>
      <c r="R322" s="15"/>
      <c r="S322" s="15" t="s">
        <v>188</v>
      </c>
      <c r="T322" s="15"/>
      <c r="U322" s="15" t="s">
        <v>188</v>
      </c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>
        <v>2005</v>
      </c>
      <c r="AI322" s="1">
        <v>923863</v>
      </c>
      <c r="AJ322" s="15"/>
      <c r="AK322" s="15"/>
      <c r="AL322" s="15" t="s">
        <v>188</v>
      </c>
      <c r="AM322" s="15"/>
      <c r="AN322" s="15"/>
      <c r="AO322" s="15"/>
      <c r="AP322" s="15" t="s">
        <v>188</v>
      </c>
      <c r="AQ322" s="15"/>
      <c r="AR322" s="15"/>
      <c r="AS322" s="15"/>
      <c r="AT322" s="15" t="s">
        <v>266</v>
      </c>
      <c r="AU322" s="1">
        <v>10000</v>
      </c>
      <c r="AV322" s="48">
        <v>0.1</v>
      </c>
      <c r="AW322" s="15">
        <v>2.7</v>
      </c>
      <c r="AX322" s="15">
        <v>2.4</v>
      </c>
      <c r="AY322" s="15">
        <v>2</v>
      </c>
      <c r="AZ322" s="15">
        <v>850</v>
      </c>
      <c r="BA322" s="15">
        <v>2200</v>
      </c>
      <c r="BB322" s="15" t="s">
        <v>188</v>
      </c>
      <c r="BC322" s="15" t="s">
        <v>199</v>
      </c>
      <c r="BD322" s="15" t="s">
        <v>199</v>
      </c>
      <c r="BE322" s="1">
        <v>18000</v>
      </c>
      <c r="BF322" s="1">
        <v>200000</v>
      </c>
      <c r="BG322" s="1">
        <v>36000</v>
      </c>
      <c r="BH322" s="1">
        <v>120000</v>
      </c>
      <c r="BI322" s="1" t="s">
        <v>193</v>
      </c>
      <c r="BJ322" s="15"/>
      <c r="BK322" s="15"/>
      <c r="BL322" s="15"/>
      <c r="BM322" s="15"/>
      <c r="BN322" s="15" t="s">
        <v>188</v>
      </c>
      <c r="BO322" s="15"/>
      <c r="BP322" s="15" t="s">
        <v>188</v>
      </c>
      <c r="BQ322" s="15"/>
      <c r="BR322" s="15"/>
      <c r="BS322" s="2"/>
      <c r="BT322" s="15"/>
      <c r="BU322" s="15" t="s">
        <v>188</v>
      </c>
      <c r="BV322" s="15"/>
      <c r="BW322" s="15"/>
      <c r="BX322" s="15">
        <v>1</v>
      </c>
      <c r="BY322" s="15">
        <v>3</v>
      </c>
      <c r="BZ322" s="15">
        <v>2</v>
      </c>
      <c r="CA322" s="15"/>
      <c r="CB322" s="15" t="s">
        <v>188</v>
      </c>
      <c r="CC322" s="15"/>
      <c r="CD322" s="15"/>
      <c r="CE322" s="15"/>
      <c r="CF322" s="15"/>
      <c r="CG322" s="15"/>
      <c r="CH322" s="15"/>
      <c r="CI322" s="15"/>
      <c r="CJ322" s="15"/>
      <c r="CK322" s="15" t="s">
        <v>188</v>
      </c>
      <c r="CL322" s="15"/>
      <c r="CM322" s="15"/>
      <c r="CN322" s="15"/>
      <c r="CO322" s="15"/>
      <c r="CP322" s="15" t="s">
        <v>193</v>
      </c>
      <c r="CQ322" s="15" t="s">
        <v>193</v>
      </c>
      <c r="CR322" s="15" t="s">
        <v>188</v>
      </c>
      <c r="CS322" s="15"/>
      <c r="CT322" s="15"/>
      <c r="CU322" s="15"/>
      <c r="CV322" s="15"/>
      <c r="CW322" s="15"/>
      <c r="CX322" s="15" t="s">
        <v>188</v>
      </c>
      <c r="CY322" s="15"/>
      <c r="CZ322" s="3"/>
      <c r="DA322" s="49"/>
      <c r="DC322" s="18">
        <f t="shared" si="12"/>
        <v>0</v>
      </c>
      <c r="DD322" s="18">
        <f t="shared" si="13"/>
        <v>7</v>
      </c>
      <c r="DE322" s="18">
        <f t="shared" si="14"/>
        <v>2005</v>
      </c>
    </row>
    <row r="323" spans="1:109" x14ac:dyDescent="0.25">
      <c r="A323" s="59" t="s">
        <v>1321</v>
      </c>
      <c r="B323" s="103">
        <v>41555</v>
      </c>
      <c r="C323" s="106" t="s">
        <v>1582</v>
      </c>
      <c r="D323" s="14" t="s">
        <v>887</v>
      </c>
      <c r="E323" s="15"/>
      <c r="F323" s="15"/>
      <c r="G323" s="15"/>
      <c r="H323" s="15" t="s">
        <v>188</v>
      </c>
      <c r="I323" s="15">
        <v>43</v>
      </c>
      <c r="J323" s="15" t="s">
        <v>189</v>
      </c>
      <c r="K323" s="15" t="s">
        <v>214</v>
      </c>
      <c r="L323" s="15" t="s">
        <v>591</v>
      </c>
      <c r="M323" s="15" t="s">
        <v>1058</v>
      </c>
      <c r="N323" s="15" t="s">
        <v>1085</v>
      </c>
      <c r="O323" s="15">
        <v>20</v>
      </c>
      <c r="P323" s="15"/>
      <c r="Q323" s="15"/>
      <c r="R323" s="15"/>
      <c r="S323" s="15" t="s">
        <v>188</v>
      </c>
      <c r="T323" s="15"/>
      <c r="U323" s="15" t="s">
        <v>188</v>
      </c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>
        <v>2007</v>
      </c>
      <c r="AI323" s="1">
        <v>700652</v>
      </c>
      <c r="AJ323" s="15"/>
      <c r="AK323" s="15"/>
      <c r="AL323" s="15" t="s">
        <v>188</v>
      </c>
      <c r="AM323" s="15"/>
      <c r="AN323" s="15"/>
      <c r="AO323" s="15"/>
      <c r="AP323" s="15" t="s">
        <v>188</v>
      </c>
      <c r="AQ323" s="15"/>
      <c r="AR323" s="15"/>
      <c r="AS323" s="15"/>
      <c r="AT323" s="15" t="s">
        <v>322</v>
      </c>
      <c r="AU323" s="1">
        <v>9500</v>
      </c>
      <c r="AV323" s="48">
        <v>0.05</v>
      </c>
      <c r="AW323" s="15">
        <v>2.8</v>
      </c>
      <c r="AX323" s="15">
        <v>2.5</v>
      </c>
      <c r="AY323" s="15">
        <v>2</v>
      </c>
      <c r="AZ323" s="15">
        <v>890</v>
      </c>
      <c r="BA323" s="15">
        <v>2400</v>
      </c>
      <c r="BB323" s="15" t="s">
        <v>188</v>
      </c>
      <c r="BC323" s="15" t="s">
        <v>188</v>
      </c>
      <c r="BD323" s="15" t="s">
        <v>199</v>
      </c>
      <c r="BE323" s="1">
        <v>19000</v>
      </c>
      <c r="BF323" s="1">
        <v>240000</v>
      </c>
      <c r="BG323" s="1">
        <v>38000</v>
      </c>
      <c r="BH323" s="1">
        <v>120000</v>
      </c>
      <c r="BI323" s="1" t="s">
        <v>193</v>
      </c>
      <c r="BJ323" s="15"/>
      <c r="BK323" s="15"/>
      <c r="BL323" s="15"/>
      <c r="BM323" s="15"/>
      <c r="BN323" s="15" t="s">
        <v>188</v>
      </c>
      <c r="BO323" s="15"/>
      <c r="BP323" s="15" t="s">
        <v>188</v>
      </c>
      <c r="BQ323" s="15"/>
      <c r="BR323" s="15"/>
      <c r="BS323" s="2"/>
      <c r="BT323" s="15"/>
      <c r="BU323" s="15" t="s">
        <v>188</v>
      </c>
      <c r="BV323" s="15"/>
      <c r="BW323" s="15"/>
      <c r="BX323" s="15">
        <v>1</v>
      </c>
      <c r="BY323" s="15">
        <v>2</v>
      </c>
      <c r="BZ323" s="15">
        <v>3</v>
      </c>
      <c r="CA323" s="15"/>
      <c r="CB323" s="15" t="s">
        <v>188</v>
      </c>
      <c r="CC323" s="15"/>
      <c r="CD323" s="15"/>
      <c r="CE323" s="15"/>
      <c r="CF323" s="15"/>
      <c r="CG323" s="15"/>
      <c r="CH323" s="15"/>
      <c r="CI323" s="15"/>
      <c r="CJ323" s="15"/>
      <c r="CK323" s="15" t="s">
        <v>188</v>
      </c>
      <c r="CL323" s="15"/>
      <c r="CM323" s="15"/>
      <c r="CN323" s="15"/>
      <c r="CO323" s="15"/>
      <c r="CP323" s="15" t="s">
        <v>193</v>
      </c>
      <c r="CQ323" s="15" t="s">
        <v>193</v>
      </c>
      <c r="CR323" s="15" t="s">
        <v>188</v>
      </c>
      <c r="CS323" s="15"/>
      <c r="CT323" s="15"/>
      <c r="CU323" s="15"/>
      <c r="CV323" s="15"/>
      <c r="CW323" s="15"/>
      <c r="CX323" s="15" t="s">
        <v>188</v>
      </c>
      <c r="CY323" s="15"/>
      <c r="CZ323" s="3"/>
      <c r="DA323" s="49"/>
      <c r="DC323" s="18">
        <f t="shared" si="12"/>
        <v>0</v>
      </c>
      <c r="DD323" s="18">
        <f t="shared" si="13"/>
        <v>7</v>
      </c>
      <c r="DE323" s="18">
        <f t="shared" si="14"/>
        <v>2007</v>
      </c>
    </row>
    <row r="324" spans="1:109" x14ac:dyDescent="0.25">
      <c r="A324" s="59" t="s">
        <v>1321</v>
      </c>
      <c r="B324" s="103">
        <v>41555</v>
      </c>
      <c r="C324" s="106" t="s">
        <v>1582</v>
      </c>
      <c r="D324" s="14" t="s">
        <v>888</v>
      </c>
      <c r="E324" s="15"/>
      <c r="F324" s="15"/>
      <c r="G324" s="15"/>
      <c r="H324" s="15" t="s">
        <v>188</v>
      </c>
      <c r="I324" s="15">
        <v>37</v>
      </c>
      <c r="J324" s="15" t="s">
        <v>189</v>
      </c>
      <c r="K324" s="15" t="s">
        <v>214</v>
      </c>
      <c r="L324" s="15" t="s">
        <v>889</v>
      </c>
      <c r="M324" s="15" t="s">
        <v>1136</v>
      </c>
      <c r="N324" s="15" t="s">
        <v>1090</v>
      </c>
      <c r="O324" s="15">
        <v>19</v>
      </c>
      <c r="P324" s="15"/>
      <c r="Q324" s="15"/>
      <c r="R324" s="15"/>
      <c r="S324" s="15" t="s">
        <v>188</v>
      </c>
      <c r="T324" s="15"/>
      <c r="U324" s="15" t="s">
        <v>188</v>
      </c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>
        <v>2008</v>
      </c>
      <c r="AI324" s="1">
        <v>573508</v>
      </c>
      <c r="AJ324" s="15"/>
      <c r="AK324" s="15"/>
      <c r="AL324" s="15" t="s">
        <v>188</v>
      </c>
      <c r="AM324" s="15"/>
      <c r="AN324" s="15"/>
      <c r="AO324" s="15" t="s">
        <v>188</v>
      </c>
      <c r="AP324" s="15"/>
      <c r="AQ324" s="15"/>
      <c r="AR324" s="15"/>
      <c r="AS324" s="15"/>
      <c r="AT324" s="15" t="s">
        <v>266</v>
      </c>
      <c r="AU324" s="1">
        <v>12000</v>
      </c>
      <c r="AV324" s="48">
        <v>0.05</v>
      </c>
      <c r="AW324" s="15">
        <v>2.8</v>
      </c>
      <c r="AX324" s="15">
        <v>2.5</v>
      </c>
      <c r="AY324" s="15">
        <v>2</v>
      </c>
      <c r="AZ324" s="15">
        <v>960</v>
      </c>
      <c r="BA324" s="15">
        <v>2500</v>
      </c>
      <c r="BB324" s="15" t="s">
        <v>188</v>
      </c>
      <c r="BC324" s="15" t="s">
        <v>188</v>
      </c>
      <c r="BD324" s="15" t="s">
        <v>199</v>
      </c>
      <c r="BE324" s="1">
        <v>24000</v>
      </c>
      <c r="BF324" s="1">
        <v>150000</v>
      </c>
      <c r="BG324" s="1">
        <v>24000</v>
      </c>
      <c r="BH324" s="1">
        <v>150000</v>
      </c>
      <c r="BI324" s="1" t="s">
        <v>193</v>
      </c>
      <c r="BJ324" s="15"/>
      <c r="BK324" s="15"/>
      <c r="BL324" s="15"/>
      <c r="BM324" s="15"/>
      <c r="BN324" s="15" t="s">
        <v>188</v>
      </c>
      <c r="BO324" s="15"/>
      <c r="BP324" s="15" t="s">
        <v>188</v>
      </c>
      <c r="BQ324" s="15"/>
      <c r="BR324" s="15"/>
      <c r="BS324" s="2"/>
      <c r="BT324" s="15"/>
      <c r="BU324" s="15" t="s">
        <v>188</v>
      </c>
      <c r="BV324" s="15"/>
      <c r="BW324" s="15"/>
      <c r="BX324" s="15">
        <v>1</v>
      </c>
      <c r="BY324" s="15">
        <v>2</v>
      </c>
      <c r="BZ324" s="15">
        <v>3</v>
      </c>
      <c r="CA324" s="15"/>
      <c r="CB324" s="15"/>
      <c r="CC324" s="15" t="s">
        <v>188</v>
      </c>
      <c r="CD324" s="15"/>
      <c r="CE324" s="15"/>
      <c r="CF324" s="15"/>
      <c r="CG324" s="15"/>
      <c r="CH324" s="15" t="s">
        <v>188</v>
      </c>
      <c r="CI324" s="15"/>
      <c r="CJ324" s="15"/>
      <c r="CK324" s="15" t="s">
        <v>188</v>
      </c>
      <c r="CL324" s="15"/>
      <c r="CM324" s="15"/>
      <c r="CN324" s="15"/>
      <c r="CO324" s="15"/>
      <c r="CP324" s="15" t="s">
        <v>193</v>
      </c>
      <c r="CQ324" s="15" t="s">
        <v>193</v>
      </c>
      <c r="CR324" s="15"/>
      <c r="CS324" s="15"/>
      <c r="CT324" s="15"/>
      <c r="CU324" s="15" t="s">
        <v>890</v>
      </c>
      <c r="CV324" s="15"/>
      <c r="CW324" s="15"/>
      <c r="CX324" s="15" t="s">
        <v>188</v>
      </c>
      <c r="CY324" s="15"/>
      <c r="CZ324" s="3"/>
      <c r="DA324" s="49"/>
      <c r="DC324" s="18">
        <f t="shared" si="12"/>
        <v>0</v>
      </c>
      <c r="DD324" s="18">
        <f t="shared" si="13"/>
        <v>7</v>
      </c>
      <c r="DE324" s="18">
        <f t="shared" si="14"/>
        <v>2008</v>
      </c>
    </row>
    <row r="325" spans="1:109" x14ac:dyDescent="0.25">
      <c r="A325" s="59" t="s">
        <v>1321</v>
      </c>
      <c r="B325" s="103">
        <v>41555</v>
      </c>
      <c r="C325" s="106" t="s">
        <v>1582</v>
      </c>
      <c r="D325" s="14" t="s">
        <v>891</v>
      </c>
      <c r="E325" s="15"/>
      <c r="F325" s="15"/>
      <c r="G325" s="15" t="s">
        <v>188</v>
      </c>
      <c r="H325" s="15"/>
      <c r="I325" s="15">
        <v>29</v>
      </c>
      <c r="J325" s="15" t="s">
        <v>189</v>
      </c>
      <c r="K325" s="15" t="s">
        <v>190</v>
      </c>
      <c r="L325" s="15" t="s">
        <v>819</v>
      </c>
      <c r="M325" s="15" t="s">
        <v>1109</v>
      </c>
      <c r="N325" s="15" t="s">
        <v>1106</v>
      </c>
      <c r="O325" s="15">
        <v>8</v>
      </c>
      <c r="P325" s="15"/>
      <c r="Q325" s="15"/>
      <c r="R325" s="15"/>
      <c r="S325" s="15" t="s">
        <v>188</v>
      </c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 t="s">
        <v>188</v>
      </c>
      <c r="AF325" s="15"/>
      <c r="AG325" s="15"/>
      <c r="AH325" s="15">
        <v>2008</v>
      </c>
      <c r="AI325" s="1">
        <v>628331</v>
      </c>
      <c r="AJ325" s="15"/>
      <c r="AK325" s="15"/>
      <c r="AL325" s="15" t="s">
        <v>188</v>
      </c>
      <c r="AM325" s="15"/>
      <c r="AN325" s="15"/>
      <c r="AO325" s="15"/>
      <c r="AP325" s="15" t="s">
        <v>188</v>
      </c>
      <c r="AQ325" s="15"/>
      <c r="AR325" s="15"/>
      <c r="AS325" s="15"/>
      <c r="AT325" s="15" t="s">
        <v>322</v>
      </c>
      <c r="AU325" s="1">
        <v>10000</v>
      </c>
      <c r="AV325" s="48">
        <v>0.5</v>
      </c>
      <c r="AW325" s="15">
        <v>2.8</v>
      </c>
      <c r="AX325" s="15">
        <v>2.5</v>
      </c>
      <c r="AY325" s="15">
        <v>2</v>
      </c>
      <c r="AZ325" s="15">
        <v>1040</v>
      </c>
      <c r="BA325" s="15">
        <v>2700</v>
      </c>
      <c r="BB325" s="15" t="s">
        <v>188</v>
      </c>
      <c r="BC325" s="15" t="s">
        <v>188</v>
      </c>
      <c r="BD325" s="15" t="s">
        <v>199</v>
      </c>
      <c r="BE325" s="1">
        <v>20000</v>
      </c>
      <c r="BF325" s="1">
        <v>240000</v>
      </c>
      <c r="BG325" s="1">
        <v>20000</v>
      </c>
      <c r="BH325" s="1">
        <v>120000</v>
      </c>
      <c r="BI325" s="1" t="s">
        <v>193</v>
      </c>
      <c r="BJ325" s="15"/>
      <c r="BK325" s="15"/>
      <c r="BL325" s="15"/>
      <c r="BM325" s="15"/>
      <c r="BN325" s="15" t="s">
        <v>188</v>
      </c>
      <c r="BO325" s="15"/>
      <c r="BP325" s="15"/>
      <c r="BQ325" s="15"/>
      <c r="BR325" s="15"/>
      <c r="BS325" s="2"/>
      <c r="BT325" s="15"/>
      <c r="BU325" s="15"/>
      <c r="BV325" s="15" t="s">
        <v>188</v>
      </c>
      <c r="BW325" s="15"/>
      <c r="BX325" s="15">
        <v>1</v>
      </c>
      <c r="BY325" s="15">
        <v>2</v>
      </c>
      <c r="BZ325" s="15">
        <v>3</v>
      </c>
      <c r="CA325" s="15"/>
      <c r="CB325" s="15" t="s">
        <v>188</v>
      </c>
      <c r="CC325" s="15"/>
      <c r="CD325" s="15"/>
      <c r="CE325" s="15"/>
      <c r="CF325" s="15"/>
      <c r="CG325" s="15"/>
      <c r="CH325" s="15"/>
      <c r="CI325" s="15"/>
      <c r="CJ325" s="15"/>
      <c r="CK325" s="15" t="s">
        <v>188</v>
      </c>
      <c r="CL325" s="15"/>
      <c r="CM325" s="15"/>
      <c r="CN325" s="15"/>
      <c r="CO325" s="15"/>
      <c r="CP325" s="15" t="s">
        <v>193</v>
      </c>
      <c r="CQ325" s="15" t="s">
        <v>193</v>
      </c>
      <c r="CR325" s="15" t="s">
        <v>188</v>
      </c>
      <c r="CS325" s="15"/>
      <c r="CT325" s="15"/>
      <c r="CU325" s="15"/>
      <c r="CV325" s="15"/>
      <c r="CW325" s="15"/>
      <c r="CX325" s="15" t="s">
        <v>188</v>
      </c>
      <c r="CY325" s="15" t="s">
        <v>188</v>
      </c>
      <c r="CZ325" s="3"/>
      <c r="DA325" s="49"/>
      <c r="DC325" s="18">
        <f t="shared" si="12"/>
        <v>0</v>
      </c>
      <c r="DD325" s="18">
        <f t="shared" si="13"/>
        <v>3</v>
      </c>
      <c r="DE325" s="18">
        <f t="shared" si="14"/>
        <v>2008</v>
      </c>
    </row>
    <row r="326" spans="1:109" x14ac:dyDescent="0.25">
      <c r="A326" s="59" t="s">
        <v>1321</v>
      </c>
      <c r="B326" s="103">
        <v>41555</v>
      </c>
      <c r="C326" s="106" t="s">
        <v>1582</v>
      </c>
      <c r="D326" s="14" t="s">
        <v>892</v>
      </c>
      <c r="E326" s="15"/>
      <c r="F326" s="15"/>
      <c r="G326" s="15" t="s">
        <v>188</v>
      </c>
      <c r="H326" s="15"/>
      <c r="I326" s="15">
        <v>57</v>
      </c>
      <c r="J326" s="15" t="s">
        <v>189</v>
      </c>
      <c r="K326" s="15" t="s">
        <v>445</v>
      </c>
      <c r="L326" s="15" t="s">
        <v>821</v>
      </c>
      <c r="M326" s="15" t="s">
        <v>1110</v>
      </c>
      <c r="N326" s="15" t="s">
        <v>1089</v>
      </c>
      <c r="O326" s="15">
        <v>39</v>
      </c>
      <c r="P326" s="15"/>
      <c r="Q326" s="15" t="s">
        <v>188</v>
      </c>
      <c r="R326" s="15"/>
      <c r="S326" s="15"/>
      <c r="T326" s="15"/>
      <c r="U326" s="15" t="s">
        <v>188</v>
      </c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>
        <v>2006</v>
      </c>
      <c r="AI326" s="1">
        <v>753821</v>
      </c>
      <c r="AJ326" s="15"/>
      <c r="AK326" s="15"/>
      <c r="AL326" s="15" t="s">
        <v>188</v>
      </c>
      <c r="AM326" s="15"/>
      <c r="AN326" s="15"/>
      <c r="AO326" s="15"/>
      <c r="AP326" s="15" t="s">
        <v>188</v>
      </c>
      <c r="AQ326" s="15"/>
      <c r="AR326" s="15"/>
      <c r="AS326" s="15"/>
      <c r="AT326" s="15" t="s">
        <v>322</v>
      </c>
      <c r="AU326" s="1">
        <v>8000</v>
      </c>
      <c r="AV326" s="48">
        <v>0.1</v>
      </c>
      <c r="AW326" s="15">
        <v>3.9</v>
      </c>
      <c r="AX326" s="15">
        <v>3.2</v>
      </c>
      <c r="AY326" s="15">
        <v>2</v>
      </c>
      <c r="AZ326" s="15">
        <v>770</v>
      </c>
      <c r="BA326" s="15">
        <v>2400</v>
      </c>
      <c r="BB326" s="15" t="s">
        <v>188</v>
      </c>
      <c r="BC326" s="15" t="s">
        <v>199</v>
      </c>
      <c r="BD326" s="15" t="s">
        <v>199</v>
      </c>
      <c r="BE326" s="1">
        <v>16000</v>
      </c>
      <c r="BF326" s="1" t="s">
        <v>193</v>
      </c>
      <c r="BG326" s="1">
        <v>32000</v>
      </c>
      <c r="BH326" s="1">
        <v>120000</v>
      </c>
      <c r="BI326" s="1" t="s">
        <v>193</v>
      </c>
      <c r="BJ326" s="15"/>
      <c r="BK326" s="15"/>
      <c r="BL326" s="15"/>
      <c r="BM326" s="15"/>
      <c r="BN326" s="15" t="s">
        <v>188</v>
      </c>
      <c r="BO326" s="15"/>
      <c r="BP326" s="15" t="s">
        <v>188</v>
      </c>
      <c r="BQ326" s="15"/>
      <c r="BR326" s="15"/>
      <c r="BS326" s="2"/>
      <c r="BT326" s="15"/>
      <c r="BU326" s="15"/>
      <c r="BV326" s="15" t="s">
        <v>188</v>
      </c>
      <c r="BW326" s="15"/>
      <c r="BX326" s="15">
        <v>1</v>
      </c>
      <c r="BY326" s="15">
        <v>2</v>
      </c>
      <c r="BZ326" s="15">
        <v>3</v>
      </c>
      <c r="CA326" s="15"/>
      <c r="CB326" s="15" t="s">
        <v>188</v>
      </c>
      <c r="CC326" s="15"/>
      <c r="CD326" s="15"/>
      <c r="CE326" s="15"/>
      <c r="CF326" s="15"/>
      <c r="CG326" s="15"/>
      <c r="CH326" s="15"/>
      <c r="CI326" s="15"/>
      <c r="CJ326" s="15"/>
      <c r="CK326" s="15" t="s">
        <v>188</v>
      </c>
      <c r="CL326" s="15"/>
      <c r="CM326" s="15"/>
      <c r="CN326" s="15"/>
      <c r="CO326" s="15"/>
      <c r="CP326" s="15" t="s">
        <v>193</v>
      </c>
      <c r="CQ326" s="15" t="s">
        <v>193</v>
      </c>
      <c r="CR326" s="15" t="s">
        <v>188</v>
      </c>
      <c r="CS326" s="15"/>
      <c r="CT326" s="15"/>
      <c r="CU326" s="15"/>
      <c r="CV326" s="15"/>
      <c r="CW326" s="15"/>
      <c r="CX326" s="15" t="s">
        <v>188</v>
      </c>
      <c r="CY326" s="15"/>
      <c r="CZ326" s="3"/>
      <c r="DA326" s="49"/>
      <c r="DC326" s="18">
        <f t="shared" si="12"/>
        <v>0</v>
      </c>
      <c r="DD326" s="18">
        <f t="shared" si="13"/>
        <v>3</v>
      </c>
      <c r="DE326" s="18">
        <f t="shared" si="14"/>
        <v>2006</v>
      </c>
    </row>
    <row r="327" spans="1:109" x14ac:dyDescent="0.25">
      <c r="A327" s="59" t="s">
        <v>1321</v>
      </c>
      <c r="B327" s="103">
        <v>41555</v>
      </c>
      <c r="C327" s="106" t="s">
        <v>1582</v>
      </c>
      <c r="D327" s="14" t="s">
        <v>893</v>
      </c>
      <c r="E327" s="15"/>
      <c r="F327" s="15"/>
      <c r="G327" s="15" t="s">
        <v>188</v>
      </c>
      <c r="H327" s="15"/>
      <c r="I327" s="15">
        <v>35</v>
      </c>
      <c r="J327" s="15" t="s">
        <v>189</v>
      </c>
      <c r="K327" s="15" t="s">
        <v>190</v>
      </c>
      <c r="L327" s="15" t="s">
        <v>1244</v>
      </c>
      <c r="M327" s="15" t="s">
        <v>1137</v>
      </c>
      <c r="N327" s="15" t="s">
        <v>1133</v>
      </c>
      <c r="O327" s="15">
        <v>16</v>
      </c>
      <c r="P327" s="15"/>
      <c r="Q327" s="15"/>
      <c r="R327" s="15"/>
      <c r="S327" s="15" t="s">
        <v>188</v>
      </c>
      <c r="T327" s="15"/>
      <c r="U327" s="15" t="s">
        <v>188</v>
      </c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>
        <v>2004</v>
      </c>
      <c r="AI327" s="1">
        <v>936415</v>
      </c>
      <c r="AJ327" s="15"/>
      <c r="AK327" s="15"/>
      <c r="AL327" s="15" t="s">
        <v>188</v>
      </c>
      <c r="AM327" s="15"/>
      <c r="AN327" s="15"/>
      <c r="AO327" s="15"/>
      <c r="AP327" s="15"/>
      <c r="AQ327" s="15"/>
      <c r="AR327" s="15"/>
      <c r="AS327" s="15"/>
      <c r="AT327" s="15" t="s">
        <v>322</v>
      </c>
      <c r="AU327" s="1">
        <v>9000</v>
      </c>
      <c r="AV327" s="48">
        <v>0.5</v>
      </c>
      <c r="AW327" s="15">
        <v>2.7</v>
      </c>
      <c r="AX327" s="15">
        <v>2.4</v>
      </c>
      <c r="AY327" s="15">
        <v>2</v>
      </c>
      <c r="AZ327" s="15">
        <v>1040</v>
      </c>
      <c r="BA327" s="15">
        <v>2700</v>
      </c>
      <c r="BB327" s="15" t="s">
        <v>188</v>
      </c>
      <c r="BC327" s="15" t="s">
        <v>199</v>
      </c>
      <c r="BD327" s="15" t="s">
        <v>199</v>
      </c>
      <c r="BE327" s="1">
        <v>18000</v>
      </c>
      <c r="BF327" s="1" t="s">
        <v>193</v>
      </c>
      <c r="BG327" s="1">
        <v>36000</v>
      </c>
      <c r="BH327" s="1" t="s">
        <v>193</v>
      </c>
      <c r="BI327" s="1" t="s">
        <v>193</v>
      </c>
      <c r="BJ327" s="15"/>
      <c r="BK327" s="15"/>
      <c r="BL327" s="15"/>
      <c r="BM327" s="15"/>
      <c r="BN327" s="15" t="s">
        <v>188</v>
      </c>
      <c r="BO327" s="15"/>
      <c r="BP327" s="15" t="s">
        <v>188</v>
      </c>
      <c r="BQ327" s="15"/>
      <c r="BR327" s="15"/>
      <c r="BS327" s="2"/>
      <c r="BT327" s="15"/>
      <c r="BU327" s="15" t="s">
        <v>188</v>
      </c>
      <c r="BV327" s="15"/>
      <c r="BW327" s="15"/>
      <c r="BX327" s="15">
        <v>1</v>
      </c>
      <c r="BY327" s="15">
        <v>3</v>
      </c>
      <c r="BZ327" s="15">
        <v>2</v>
      </c>
      <c r="CA327" s="15"/>
      <c r="CB327" s="15" t="s">
        <v>188</v>
      </c>
      <c r="CC327" s="15"/>
      <c r="CD327" s="15"/>
      <c r="CE327" s="15"/>
      <c r="CF327" s="15"/>
      <c r="CG327" s="15"/>
      <c r="CH327" s="15"/>
      <c r="CI327" s="15"/>
      <c r="CJ327" s="15"/>
      <c r="CK327" s="15" t="s">
        <v>188</v>
      </c>
      <c r="CL327" s="15"/>
      <c r="CM327" s="15"/>
      <c r="CN327" s="15"/>
      <c r="CO327" s="15"/>
      <c r="CP327" s="15" t="s">
        <v>193</v>
      </c>
      <c r="CQ327" s="15" t="s">
        <v>193</v>
      </c>
      <c r="CR327" s="15" t="s">
        <v>188</v>
      </c>
      <c r="CS327" s="15"/>
      <c r="CT327" s="15"/>
      <c r="CU327" s="15"/>
      <c r="CV327" s="15"/>
      <c r="CW327" s="15"/>
      <c r="CX327" s="15" t="s">
        <v>188</v>
      </c>
      <c r="CY327" s="15"/>
      <c r="CZ327" s="3"/>
      <c r="DA327" s="49"/>
      <c r="DC327" s="18">
        <f t="shared" si="12"/>
        <v>0</v>
      </c>
      <c r="DD327" s="18">
        <f t="shared" si="13"/>
        <v>3</v>
      </c>
      <c r="DE327" s="18">
        <f t="shared" si="14"/>
        <v>2004</v>
      </c>
    </row>
    <row r="328" spans="1:109" x14ac:dyDescent="0.25">
      <c r="A328" s="59" t="s">
        <v>1318</v>
      </c>
      <c r="B328" s="103">
        <v>41571</v>
      </c>
      <c r="C328" s="106" t="s">
        <v>1563</v>
      </c>
      <c r="D328" s="14" t="s">
        <v>894</v>
      </c>
      <c r="E328" s="15"/>
      <c r="F328" s="15"/>
      <c r="G328" s="15" t="s">
        <v>188</v>
      </c>
      <c r="H328" s="15"/>
      <c r="I328" s="15">
        <v>51</v>
      </c>
      <c r="J328" s="15" t="s">
        <v>189</v>
      </c>
      <c r="K328" s="15" t="s">
        <v>190</v>
      </c>
      <c r="L328" s="15" t="s">
        <v>802</v>
      </c>
      <c r="M328" s="15" t="s">
        <v>1100</v>
      </c>
      <c r="N328" s="15" t="s">
        <v>1085</v>
      </c>
      <c r="O328" s="15">
        <v>30</v>
      </c>
      <c r="P328" s="15"/>
      <c r="Q328" s="15" t="s">
        <v>188</v>
      </c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 t="s">
        <v>188</v>
      </c>
      <c r="AC328" s="15"/>
      <c r="AD328" s="15"/>
      <c r="AE328" s="15"/>
      <c r="AF328" s="15"/>
      <c r="AG328" s="15"/>
      <c r="AH328" s="15">
        <v>1995</v>
      </c>
      <c r="AI328" s="1">
        <v>850000</v>
      </c>
      <c r="AJ328" s="15"/>
      <c r="AK328" s="15"/>
      <c r="AL328" s="15" t="s">
        <v>188</v>
      </c>
      <c r="AM328" s="15"/>
      <c r="AN328" s="15"/>
      <c r="AO328" s="15"/>
      <c r="AP328" s="15" t="s">
        <v>188</v>
      </c>
      <c r="AQ328" s="15"/>
      <c r="AR328" s="15"/>
      <c r="AS328" s="15"/>
      <c r="AT328" s="15" t="s">
        <v>198</v>
      </c>
      <c r="AU328" s="1">
        <v>5000</v>
      </c>
      <c r="AV328" s="48">
        <v>0.5</v>
      </c>
      <c r="AW328" s="15">
        <v>2.6</v>
      </c>
      <c r="AX328" s="15">
        <v>2.4</v>
      </c>
      <c r="AY328" s="15">
        <v>1</v>
      </c>
      <c r="AZ328" s="15">
        <v>400</v>
      </c>
      <c r="BA328" s="15">
        <v>1300</v>
      </c>
      <c r="BB328" s="15" t="s">
        <v>199</v>
      </c>
      <c r="BC328" s="15" t="s">
        <v>188</v>
      </c>
      <c r="BD328" s="15" t="s">
        <v>199</v>
      </c>
      <c r="BE328" s="1">
        <v>10000</v>
      </c>
      <c r="BF328" s="1">
        <v>12000</v>
      </c>
      <c r="BG328" s="1">
        <v>35000</v>
      </c>
      <c r="BH328" s="1">
        <v>180000</v>
      </c>
      <c r="BI328" s="1">
        <v>35000</v>
      </c>
      <c r="BJ328" s="15"/>
      <c r="BK328" s="15"/>
      <c r="BL328" s="15"/>
      <c r="BM328" s="15" t="s">
        <v>188</v>
      </c>
      <c r="BN328" s="15"/>
      <c r="BO328" s="15"/>
      <c r="BP328" s="15"/>
      <c r="BQ328" s="15"/>
      <c r="BR328" s="15"/>
      <c r="BS328" s="2"/>
      <c r="BT328" s="15"/>
      <c r="BU328" s="15"/>
      <c r="BV328" s="15" t="s">
        <v>188</v>
      </c>
      <c r="BW328" s="15"/>
      <c r="BX328" s="15">
        <v>1</v>
      </c>
      <c r="BY328" s="15">
        <v>2</v>
      </c>
      <c r="BZ328" s="15">
        <v>3</v>
      </c>
      <c r="CA328" s="15"/>
      <c r="CB328" s="15" t="s">
        <v>188</v>
      </c>
      <c r="CC328" s="15"/>
      <c r="CD328" s="15"/>
      <c r="CE328" s="15"/>
      <c r="CF328" s="15"/>
      <c r="CG328" s="15"/>
      <c r="CH328" s="15"/>
      <c r="CI328" s="15"/>
      <c r="CJ328" s="15"/>
      <c r="CK328" s="15" t="s">
        <v>188</v>
      </c>
      <c r="CL328" s="15"/>
      <c r="CM328" s="15"/>
      <c r="CN328" s="15"/>
      <c r="CO328" s="15"/>
      <c r="CP328" s="15" t="s">
        <v>193</v>
      </c>
      <c r="CQ328" s="15" t="s">
        <v>193</v>
      </c>
      <c r="CR328" s="15"/>
      <c r="CS328" s="15" t="s">
        <v>188</v>
      </c>
      <c r="CT328" s="15"/>
      <c r="CU328" s="15"/>
      <c r="CV328" s="15" t="s">
        <v>188</v>
      </c>
      <c r="CW328" s="15" t="s">
        <v>270</v>
      </c>
      <c r="CX328" s="15"/>
      <c r="CY328" s="15"/>
      <c r="CZ328" s="3"/>
      <c r="DA328" s="49"/>
      <c r="DC328" s="18">
        <f t="shared" ref="DC328:DC391" si="15">IF(AX328&gt;AW328,1,0)</f>
        <v>0</v>
      </c>
      <c r="DD328" s="18">
        <f t="shared" ref="DD328:DD391" si="16">IF(E328="X",1,(IF(F328="X",2,(IF(G328="X",3,7)))))</f>
        <v>3</v>
      </c>
      <c r="DE328" s="18">
        <f t="shared" ref="DE328:DE391" si="17">IF(AS328&gt;AH328,AS328,AH328)</f>
        <v>1995</v>
      </c>
    </row>
    <row r="329" spans="1:109" x14ac:dyDescent="0.25">
      <c r="A329" s="59" t="s">
        <v>1318</v>
      </c>
      <c r="B329" s="103">
        <v>41571</v>
      </c>
      <c r="C329" s="106" t="s">
        <v>1563</v>
      </c>
      <c r="D329" s="14" t="s">
        <v>895</v>
      </c>
      <c r="E329" s="15"/>
      <c r="F329" s="15"/>
      <c r="G329" s="15" t="s">
        <v>188</v>
      </c>
      <c r="H329" s="15"/>
      <c r="I329" s="15">
        <v>37</v>
      </c>
      <c r="J329" s="15" t="s">
        <v>189</v>
      </c>
      <c r="K329" s="15" t="s">
        <v>196</v>
      </c>
      <c r="L329" s="15" t="s">
        <v>388</v>
      </c>
      <c r="M329" s="15" t="s">
        <v>1020</v>
      </c>
      <c r="N329" s="15" t="s">
        <v>1085</v>
      </c>
      <c r="O329" s="15">
        <v>20</v>
      </c>
      <c r="P329" s="15"/>
      <c r="Q329" s="15" t="s">
        <v>188</v>
      </c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 t="s">
        <v>188</v>
      </c>
      <c r="AC329" s="15"/>
      <c r="AD329" s="15"/>
      <c r="AE329" s="15"/>
      <c r="AF329" s="15"/>
      <c r="AG329" s="15"/>
      <c r="AH329" s="15">
        <v>1992</v>
      </c>
      <c r="AI329" s="1">
        <v>783524</v>
      </c>
      <c r="AJ329" s="15"/>
      <c r="AK329" s="15"/>
      <c r="AL329" s="15" t="s">
        <v>188</v>
      </c>
      <c r="AM329" s="15"/>
      <c r="AN329" s="15"/>
      <c r="AO329" s="15"/>
      <c r="AP329" s="15" t="s">
        <v>188</v>
      </c>
      <c r="AQ329" s="15"/>
      <c r="AR329" s="15"/>
      <c r="AS329" s="15"/>
      <c r="AT329" s="15" t="s">
        <v>322</v>
      </c>
      <c r="AU329" s="1">
        <v>7000</v>
      </c>
      <c r="AV329" s="48">
        <v>0.5</v>
      </c>
      <c r="AW329" s="15">
        <v>2.8</v>
      </c>
      <c r="AX329" s="15">
        <v>2.5</v>
      </c>
      <c r="AY329" s="15">
        <v>2</v>
      </c>
      <c r="AZ329" s="15">
        <v>730</v>
      </c>
      <c r="BA329" s="15">
        <v>1900</v>
      </c>
      <c r="BB329" s="15" t="s">
        <v>199</v>
      </c>
      <c r="BC329" s="15" t="s">
        <v>188</v>
      </c>
      <c r="BD329" s="15" t="s">
        <v>199</v>
      </c>
      <c r="BE329" s="1">
        <v>13000</v>
      </c>
      <c r="BF329" s="1">
        <v>11000</v>
      </c>
      <c r="BG329" s="1">
        <v>50000</v>
      </c>
      <c r="BH329" s="1">
        <v>250000</v>
      </c>
      <c r="BI329" s="1">
        <v>50000</v>
      </c>
      <c r="BJ329" s="15"/>
      <c r="BK329" s="15"/>
      <c r="BL329" s="15"/>
      <c r="BM329" s="15" t="s">
        <v>188</v>
      </c>
      <c r="BN329" s="15"/>
      <c r="BO329" s="15"/>
      <c r="BP329" s="15"/>
      <c r="BQ329" s="15"/>
      <c r="BR329" s="15"/>
      <c r="BS329" s="2"/>
      <c r="BT329" s="15"/>
      <c r="BU329" s="15" t="s">
        <v>188</v>
      </c>
      <c r="BV329" s="15"/>
      <c r="BW329" s="15"/>
      <c r="BX329" s="15">
        <v>1</v>
      </c>
      <c r="BY329" s="15">
        <v>2</v>
      </c>
      <c r="BZ329" s="15">
        <v>3</v>
      </c>
      <c r="CA329" s="15"/>
      <c r="CB329" s="15" t="s">
        <v>188</v>
      </c>
      <c r="CC329" s="15"/>
      <c r="CD329" s="15"/>
      <c r="CE329" s="15"/>
      <c r="CF329" s="15"/>
      <c r="CG329" s="15"/>
      <c r="CH329" s="15"/>
      <c r="CI329" s="15"/>
      <c r="CJ329" s="15"/>
      <c r="CK329" s="15" t="s">
        <v>188</v>
      </c>
      <c r="CL329" s="15"/>
      <c r="CM329" s="15"/>
      <c r="CN329" s="15"/>
      <c r="CO329" s="15"/>
      <c r="CP329" s="15" t="s">
        <v>193</v>
      </c>
      <c r="CQ329" s="15" t="s">
        <v>193</v>
      </c>
      <c r="CR329" s="15" t="s">
        <v>188</v>
      </c>
      <c r="CS329" s="15"/>
      <c r="CT329" s="15"/>
      <c r="CU329" s="15"/>
      <c r="CV329" s="15"/>
      <c r="CW329" s="15"/>
      <c r="CX329" s="15" t="s">
        <v>188</v>
      </c>
      <c r="CY329" s="15" t="s">
        <v>188</v>
      </c>
      <c r="CZ329" s="3"/>
      <c r="DA329" s="49"/>
      <c r="DC329" s="18">
        <f t="shared" si="15"/>
        <v>0</v>
      </c>
      <c r="DD329" s="18">
        <f t="shared" si="16"/>
        <v>3</v>
      </c>
      <c r="DE329" s="18">
        <f t="shared" si="17"/>
        <v>1992</v>
      </c>
    </row>
    <row r="330" spans="1:109" x14ac:dyDescent="0.25">
      <c r="A330" s="59" t="s">
        <v>1318</v>
      </c>
      <c r="B330" s="103">
        <v>41571</v>
      </c>
      <c r="C330" s="106" t="s">
        <v>1563</v>
      </c>
      <c r="D330" s="14" t="s">
        <v>896</v>
      </c>
      <c r="E330" s="15"/>
      <c r="F330" s="15"/>
      <c r="G330" s="15"/>
      <c r="H330" s="15" t="s">
        <v>188</v>
      </c>
      <c r="I330" s="15">
        <v>25</v>
      </c>
      <c r="J330" s="15" t="s">
        <v>189</v>
      </c>
      <c r="K330" s="15" t="s">
        <v>214</v>
      </c>
      <c r="L330" s="15" t="s">
        <v>386</v>
      </c>
      <c r="M330" s="15" t="s">
        <v>1017</v>
      </c>
      <c r="N330" s="15" t="s">
        <v>1085</v>
      </c>
      <c r="O330" s="15">
        <v>6</v>
      </c>
      <c r="P330" s="15"/>
      <c r="Q330" s="15"/>
      <c r="R330" s="15"/>
      <c r="S330" s="15" t="s">
        <v>188</v>
      </c>
      <c r="T330" s="15"/>
      <c r="U330" s="15" t="s">
        <v>188</v>
      </c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>
        <v>1990</v>
      </c>
      <c r="AI330" s="1">
        <v>750000</v>
      </c>
      <c r="AJ330" s="15"/>
      <c r="AK330" s="15"/>
      <c r="AL330" s="15" t="s">
        <v>188</v>
      </c>
      <c r="AM330" s="15"/>
      <c r="AN330" s="15"/>
      <c r="AO330" s="15"/>
      <c r="AP330" s="15" t="s">
        <v>188</v>
      </c>
      <c r="AQ330" s="15"/>
      <c r="AR330" s="15"/>
      <c r="AS330" s="15"/>
      <c r="AT330" s="15" t="s">
        <v>390</v>
      </c>
      <c r="AU330" s="1">
        <v>6000</v>
      </c>
      <c r="AV330" s="48">
        <v>0.3</v>
      </c>
      <c r="AW330" s="15">
        <v>2.5</v>
      </c>
      <c r="AX330" s="15">
        <v>2.1</v>
      </c>
      <c r="AY330" s="15">
        <v>1</v>
      </c>
      <c r="AZ330" s="15">
        <v>400</v>
      </c>
      <c r="BA330" s="15">
        <v>1300</v>
      </c>
      <c r="BB330" s="15" t="s">
        <v>199</v>
      </c>
      <c r="BC330" s="15" t="s">
        <v>188</v>
      </c>
      <c r="BD330" s="15" t="s">
        <v>199</v>
      </c>
      <c r="BE330" s="1">
        <v>17000</v>
      </c>
      <c r="BF330" s="1">
        <v>12000</v>
      </c>
      <c r="BG330" s="1">
        <v>42000</v>
      </c>
      <c r="BH330" s="1" t="s">
        <v>193</v>
      </c>
      <c r="BI330" s="1">
        <v>42000</v>
      </c>
      <c r="BJ330" s="15"/>
      <c r="BK330" s="15"/>
      <c r="BL330" s="15"/>
      <c r="BM330" s="15"/>
      <c r="BN330" s="15"/>
      <c r="BO330" s="15"/>
      <c r="BP330" s="15"/>
      <c r="BQ330" s="15"/>
      <c r="BR330" s="15"/>
      <c r="BS330" s="2" t="s">
        <v>906</v>
      </c>
      <c r="BT330" s="15"/>
      <c r="BU330" s="15"/>
      <c r="BV330" s="15" t="s">
        <v>188</v>
      </c>
      <c r="BW330" s="15"/>
      <c r="BX330" s="15">
        <v>3</v>
      </c>
      <c r="BY330" s="15">
        <v>2</v>
      </c>
      <c r="BZ330" s="15">
        <v>1</v>
      </c>
      <c r="CA330" s="15"/>
      <c r="CB330" s="15" t="s">
        <v>188</v>
      </c>
      <c r="CC330" s="15"/>
      <c r="CD330" s="15"/>
      <c r="CE330" s="15"/>
      <c r="CF330" s="15"/>
      <c r="CG330" s="15"/>
      <c r="CH330" s="15"/>
      <c r="CI330" s="15"/>
      <c r="CJ330" s="15"/>
      <c r="CK330" s="15" t="s">
        <v>188</v>
      </c>
      <c r="CL330" s="15"/>
      <c r="CM330" s="15"/>
      <c r="CN330" s="15"/>
      <c r="CO330" s="15"/>
      <c r="CP330" s="15" t="s">
        <v>193</v>
      </c>
      <c r="CQ330" s="15" t="s">
        <v>193</v>
      </c>
      <c r="CR330" s="15" t="s">
        <v>188</v>
      </c>
      <c r="CS330" s="15"/>
      <c r="CT330" s="15"/>
      <c r="CU330" s="15"/>
      <c r="CV330" s="15" t="s">
        <v>188</v>
      </c>
      <c r="CW330" s="15" t="s">
        <v>270</v>
      </c>
      <c r="CX330" s="15"/>
      <c r="CY330" s="15"/>
      <c r="CZ330" s="3"/>
      <c r="DA330" s="49"/>
      <c r="DC330" s="18">
        <f t="shared" si="15"/>
        <v>0</v>
      </c>
      <c r="DD330" s="18">
        <f t="shared" si="16"/>
        <v>7</v>
      </c>
      <c r="DE330" s="18">
        <f t="shared" si="17"/>
        <v>1990</v>
      </c>
    </row>
    <row r="331" spans="1:109" x14ac:dyDescent="0.25">
      <c r="A331" s="59" t="s">
        <v>1318</v>
      </c>
      <c r="B331" s="103">
        <v>41571</v>
      </c>
      <c r="C331" s="106" t="s">
        <v>1563</v>
      </c>
      <c r="D331" s="14" t="s">
        <v>897</v>
      </c>
      <c r="E331" s="15"/>
      <c r="F331" s="15" t="s">
        <v>188</v>
      </c>
      <c r="G331" s="15"/>
      <c r="H331" s="15"/>
      <c r="I331" s="15">
        <v>62</v>
      </c>
      <c r="J331" s="15" t="s">
        <v>189</v>
      </c>
      <c r="K331" s="15" t="s">
        <v>196</v>
      </c>
      <c r="L331" s="15" t="s">
        <v>592</v>
      </c>
      <c r="M331" s="15" t="s">
        <v>1059</v>
      </c>
      <c r="N331" s="15" t="s">
        <v>1085</v>
      </c>
      <c r="O331" s="15">
        <v>29</v>
      </c>
      <c r="P331" s="15"/>
      <c r="Q331" s="15"/>
      <c r="R331" s="15"/>
      <c r="S331" s="15" t="s">
        <v>188</v>
      </c>
      <c r="T331" s="15"/>
      <c r="U331" s="15" t="s">
        <v>188</v>
      </c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>
        <v>1986</v>
      </c>
      <c r="AI331" s="1">
        <v>1753000</v>
      </c>
      <c r="AJ331" s="15"/>
      <c r="AK331" s="15"/>
      <c r="AL331" s="15" t="s">
        <v>188</v>
      </c>
      <c r="AM331" s="15"/>
      <c r="AN331" s="15"/>
      <c r="AO331" s="15" t="s">
        <v>188</v>
      </c>
      <c r="AP331" s="15"/>
      <c r="AQ331" s="15"/>
      <c r="AR331" s="15"/>
      <c r="AS331" s="15"/>
      <c r="AT331" s="15" t="s">
        <v>198</v>
      </c>
      <c r="AU331" s="1">
        <v>9000</v>
      </c>
      <c r="AV331" s="48">
        <v>0.5</v>
      </c>
      <c r="AW331" s="15">
        <v>2.2000000000000002</v>
      </c>
      <c r="AX331" s="15">
        <v>1.8</v>
      </c>
      <c r="AY331" s="15">
        <v>3</v>
      </c>
      <c r="AZ331" s="15">
        <v>1250</v>
      </c>
      <c r="BA331" s="15">
        <v>2500</v>
      </c>
      <c r="BB331" s="15" t="s">
        <v>199</v>
      </c>
      <c r="BC331" s="15" t="s">
        <v>188</v>
      </c>
      <c r="BD331" s="15" t="s">
        <v>199</v>
      </c>
      <c r="BE331" s="1">
        <v>9000</v>
      </c>
      <c r="BF331" s="1">
        <v>7000</v>
      </c>
      <c r="BG331" s="1">
        <v>40000</v>
      </c>
      <c r="BH331" s="1">
        <v>200000</v>
      </c>
      <c r="BI331" s="1">
        <v>40000</v>
      </c>
      <c r="BJ331" s="15"/>
      <c r="BK331" s="15"/>
      <c r="BL331" s="15"/>
      <c r="BM331" s="15"/>
      <c r="BN331" s="15"/>
      <c r="BO331" s="15"/>
      <c r="BP331" s="15"/>
      <c r="BQ331" s="15"/>
      <c r="BR331" s="15"/>
      <c r="BS331" s="2" t="s">
        <v>314</v>
      </c>
      <c r="BT331" s="15"/>
      <c r="BU331" s="15"/>
      <c r="BV331" s="15" t="s">
        <v>188</v>
      </c>
      <c r="BW331" s="15"/>
      <c r="BX331" s="15">
        <v>1</v>
      </c>
      <c r="BY331" s="15">
        <v>2</v>
      </c>
      <c r="BZ331" s="15">
        <v>3</v>
      </c>
      <c r="CA331" s="15"/>
      <c r="CB331" s="15" t="s">
        <v>188</v>
      </c>
      <c r="CC331" s="15"/>
      <c r="CD331" s="15"/>
      <c r="CE331" s="15"/>
      <c r="CF331" s="15"/>
      <c r="CG331" s="15"/>
      <c r="CH331" s="15"/>
      <c r="CI331" s="15"/>
      <c r="CJ331" s="15"/>
      <c r="CK331" s="15" t="s">
        <v>188</v>
      </c>
      <c r="CL331" s="15"/>
      <c r="CM331" s="15"/>
      <c r="CN331" s="15"/>
      <c r="CO331" s="15"/>
      <c r="CP331" s="15" t="s">
        <v>193</v>
      </c>
      <c r="CQ331" s="15" t="s">
        <v>193</v>
      </c>
      <c r="CR331" s="15" t="s">
        <v>188</v>
      </c>
      <c r="CS331" s="15"/>
      <c r="CT331" s="15"/>
      <c r="CU331" s="15"/>
      <c r="CV331" s="15"/>
      <c r="CW331" s="15"/>
      <c r="CX331" s="15"/>
      <c r="CY331" s="15" t="s">
        <v>188</v>
      </c>
      <c r="CZ331" s="3"/>
      <c r="DA331" s="49"/>
      <c r="DC331" s="18">
        <f t="shared" si="15"/>
        <v>0</v>
      </c>
      <c r="DD331" s="18">
        <f t="shared" si="16"/>
        <v>2</v>
      </c>
      <c r="DE331" s="18">
        <f t="shared" si="17"/>
        <v>1986</v>
      </c>
    </row>
    <row r="332" spans="1:109" x14ac:dyDescent="0.25">
      <c r="A332" s="59" t="s">
        <v>1318</v>
      </c>
      <c r="B332" s="103">
        <v>41571</v>
      </c>
      <c r="C332" s="106" t="s">
        <v>1563</v>
      </c>
      <c r="D332" s="14" t="s">
        <v>898</v>
      </c>
      <c r="E332" s="15"/>
      <c r="F332" s="15"/>
      <c r="G332" s="15" t="s">
        <v>188</v>
      </c>
      <c r="H332" s="15"/>
      <c r="I332" s="15">
        <v>50</v>
      </c>
      <c r="J332" s="15" t="s">
        <v>189</v>
      </c>
      <c r="K332" s="15" t="s">
        <v>196</v>
      </c>
      <c r="L332" s="15" t="s">
        <v>388</v>
      </c>
      <c r="M332" s="15" t="s">
        <v>1020</v>
      </c>
      <c r="N332" s="15" t="s">
        <v>1085</v>
      </c>
      <c r="O332" s="15">
        <v>33</v>
      </c>
      <c r="P332" s="15" t="s">
        <v>188</v>
      </c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 t="s">
        <v>188</v>
      </c>
      <c r="AC332" s="15"/>
      <c r="AD332" s="15"/>
      <c r="AE332" s="15"/>
      <c r="AF332" s="15"/>
      <c r="AG332" s="15"/>
      <c r="AH332" s="15">
        <v>1990</v>
      </c>
      <c r="AI332" s="1">
        <v>985000</v>
      </c>
      <c r="AJ332" s="15"/>
      <c r="AK332" s="15"/>
      <c r="AL332" s="15" t="s">
        <v>188</v>
      </c>
      <c r="AM332" s="15"/>
      <c r="AN332" s="15"/>
      <c r="AO332" s="15" t="s">
        <v>188</v>
      </c>
      <c r="AP332" s="15"/>
      <c r="AQ332" s="15"/>
      <c r="AR332" s="15"/>
      <c r="AS332" s="15"/>
      <c r="AT332" s="15" t="s">
        <v>322</v>
      </c>
      <c r="AU332" s="1">
        <v>6000</v>
      </c>
      <c r="AV332" s="48">
        <v>0.5</v>
      </c>
      <c r="AW332" s="15">
        <v>2.2000000000000002</v>
      </c>
      <c r="AX332" s="15">
        <v>1.8</v>
      </c>
      <c r="AY332" s="15">
        <v>2</v>
      </c>
      <c r="AZ332" s="15">
        <v>1150</v>
      </c>
      <c r="BA332" s="15">
        <v>2300</v>
      </c>
      <c r="BB332" s="15" t="s">
        <v>188</v>
      </c>
      <c r="BC332" s="15" t="s">
        <v>188</v>
      </c>
      <c r="BD332" s="15" t="s">
        <v>199</v>
      </c>
      <c r="BE332" s="1">
        <v>12000</v>
      </c>
      <c r="BF332" s="1">
        <v>5000</v>
      </c>
      <c r="BG332" s="1">
        <v>35000</v>
      </c>
      <c r="BH332" s="1">
        <v>250000</v>
      </c>
      <c r="BI332" s="1">
        <v>35000</v>
      </c>
      <c r="BJ332" s="15"/>
      <c r="BK332" s="15"/>
      <c r="BL332" s="15"/>
      <c r="BM332" s="15" t="s">
        <v>188</v>
      </c>
      <c r="BN332" s="15"/>
      <c r="BO332" s="15"/>
      <c r="BP332" s="15"/>
      <c r="BQ332" s="15"/>
      <c r="BR332" s="15"/>
      <c r="BS332" s="2"/>
      <c r="BT332" s="15"/>
      <c r="BU332" s="15" t="s">
        <v>188</v>
      </c>
      <c r="BV332" s="15"/>
      <c r="BW332" s="15"/>
      <c r="BX332" s="15">
        <v>1</v>
      </c>
      <c r="BY332" s="15">
        <v>3</v>
      </c>
      <c r="BZ332" s="15">
        <v>2</v>
      </c>
      <c r="CA332" s="15"/>
      <c r="CB332" s="15" t="s">
        <v>188</v>
      </c>
      <c r="CC332" s="15"/>
      <c r="CD332" s="15"/>
      <c r="CE332" s="15"/>
      <c r="CF332" s="15"/>
      <c r="CG332" s="15"/>
      <c r="CH332" s="15"/>
      <c r="CI332" s="15"/>
      <c r="CJ332" s="15"/>
      <c r="CK332" s="15" t="s">
        <v>188</v>
      </c>
      <c r="CL332" s="15"/>
      <c r="CM332" s="15"/>
      <c r="CN332" s="15"/>
      <c r="CO332" s="15"/>
      <c r="CP332" s="15" t="s">
        <v>193</v>
      </c>
      <c r="CQ332" s="15" t="s">
        <v>193</v>
      </c>
      <c r="CR332" s="15"/>
      <c r="CS332" s="15"/>
      <c r="CT332" s="15"/>
      <c r="CU332" s="15" t="s">
        <v>324</v>
      </c>
      <c r="CV332" s="15" t="s">
        <v>188</v>
      </c>
      <c r="CW332" s="15" t="s">
        <v>270</v>
      </c>
      <c r="CX332" s="15"/>
      <c r="CY332" s="15"/>
      <c r="CZ332" s="3"/>
      <c r="DA332" s="49"/>
      <c r="DC332" s="18">
        <f t="shared" si="15"/>
        <v>0</v>
      </c>
      <c r="DD332" s="18">
        <f t="shared" si="16"/>
        <v>3</v>
      </c>
      <c r="DE332" s="18">
        <f t="shared" si="17"/>
        <v>1990</v>
      </c>
    </row>
    <row r="333" spans="1:109" x14ac:dyDescent="0.25">
      <c r="A333" s="59" t="s">
        <v>1318</v>
      </c>
      <c r="B333" s="103">
        <v>41571</v>
      </c>
      <c r="C333" s="106" t="s">
        <v>1563</v>
      </c>
      <c r="D333" s="14" t="s">
        <v>899</v>
      </c>
      <c r="E333" s="15"/>
      <c r="F333" s="15"/>
      <c r="G333" s="15" t="s">
        <v>188</v>
      </c>
      <c r="H333" s="15"/>
      <c r="I333" s="15">
        <v>47</v>
      </c>
      <c r="J333" s="15" t="s">
        <v>189</v>
      </c>
      <c r="K333" s="15" t="s">
        <v>196</v>
      </c>
      <c r="L333" s="15" t="s">
        <v>590</v>
      </c>
      <c r="M333" s="15" t="s">
        <v>1138</v>
      </c>
      <c r="N333" s="15" t="s">
        <v>1084</v>
      </c>
      <c r="O333" s="15">
        <v>25</v>
      </c>
      <c r="P333" s="15"/>
      <c r="Q333" s="15"/>
      <c r="R333" s="15"/>
      <c r="S333" s="15" t="s">
        <v>188</v>
      </c>
      <c r="T333" s="15"/>
      <c r="U333" s="15"/>
      <c r="V333" s="15"/>
      <c r="W333" s="15"/>
      <c r="X333" s="15"/>
      <c r="Y333" s="15"/>
      <c r="Z333" s="15"/>
      <c r="AA333" s="15"/>
      <c r="AB333" s="15" t="s">
        <v>188</v>
      </c>
      <c r="AC333" s="15"/>
      <c r="AD333" s="15"/>
      <c r="AE333" s="15"/>
      <c r="AF333" s="15"/>
      <c r="AG333" s="15"/>
      <c r="AH333" s="15">
        <v>1987</v>
      </c>
      <c r="AI333" s="1">
        <v>1200000</v>
      </c>
      <c r="AJ333" s="15"/>
      <c r="AK333" s="15"/>
      <c r="AL333" s="15" t="s">
        <v>188</v>
      </c>
      <c r="AM333" s="15"/>
      <c r="AN333" s="15"/>
      <c r="AO333" s="15"/>
      <c r="AP333" s="15" t="s">
        <v>188</v>
      </c>
      <c r="AQ333" s="15"/>
      <c r="AR333" s="15"/>
      <c r="AS333" s="15"/>
      <c r="AT333" s="15" t="s">
        <v>390</v>
      </c>
      <c r="AU333" s="1">
        <v>9000</v>
      </c>
      <c r="AV333" s="48">
        <v>0.5</v>
      </c>
      <c r="AW333" s="15">
        <v>2.2999999999999998</v>
      </c>
      <c r="AX333" s="15">
        <v>2</v>
      </c>
      <c r="AY333" s="15">
        <v>2</v>
      </c>
      <c r="AZ333" s="15">
        <v>950</v>
      </c>
      <c r="BA333" s="15">
        <v>2000</v>
      </c>
      <c r="BB333" s="15" t="s">
        <v>199</v>
      </c>
      <c r="BC333" s="15" t="s">
        <v>199</v>
      </c>
      <c r="BD333" s="15" t="s">
        <v>199</v>
      </c>
      <c r="BE333" s="1">
        <v>6000</v>
      </c>
      <c r="BF333" s="1">
        <v>12000</v>
      </c>
      <c r="BG333" s="1">
        <v>30000</v>
      </c>
      <c r="BH333" s="1">
        <v>120000</v>
      </c>
      <c r="BI333" s="1">
        <v>30000</v>
      </c>
      <c r="BJ333" s="15"/>
      <c r="BK333" s="15"/>
      <c r="BL333" s="15"/>
      <c r="BM333" s="15" t="s">
        <v>188</v>
      </c>
      <c r="BN333" s="15"/>
      <c r="BO333" s="15"/>
      <c r="BP333" s="15"/>
      <c r="BQ333" s="15"/>
      <c r="BR333" s="15"/>
      <c r="BS333" s="2"/>
      <c r="BT333" s="15"/>
      <c r="BU333" s="15" t="s">
        <v>188</v>
      </c>
      <c r="BV333" s="15"/>
      <c r="BW333" s="15"/>
      <c r="BX333" s="15">
        <v>1</v>
      </c>
      <c r="BY333" s="15">
        <v>2</v>
      </c>
      <c r="BZ333" s="15">
        <v>3</v>
      </c>
      <c r="CA333" s="15"/>
      <c r="CB333" s="15" t="s">
        <v>188</v>
      </c>
      <c r="CC333" s="15"/>
      <c r="CD333" s="15"/>
      <c r="CE333" s="15"/>
      <c r="CF333" s="15"/>
      <c r="CG333" s="15"/>
      <c r="CH333" s="15"/>
      <c r="CI333" s="15"/>
      <c r="CJ333" s="15"/>
      <c r="CK333" s="15" t="s">
        <v>188</v>
      </c>
      <c r="CL333" s="15"/>
      <c r="CM333" s="15"/>
      <c r="CN333" s="15"/>
      <c r="CO333" s="15"/>
      <c r="CP333" s="15" t="s">
        <v>193</v>
      </c>
      <c r="CQ333" s="15" t="s">
        <v>193</v>
      </c>
      <c r="CR333" s="15" t="s">
        <v>188</v>
      </c>
      <c r="CS333" s="15"/>
      <c r="CT333" s="15"/>
      <c r="CU333" s="15"/>
      <c r="CV333" s="15" t="s">
        <v>188</v>
      </c>
      <c r="CW333" s="15" t="s">
        <v>270</v>
      </c>
      <c r="CX333" s="15"/>
      <c r="CY333" s="15"/>
      <c r="CZ333" s="3"/>
      <c r="DA333" s="49"/>
      <c r="DC333" s="18">
        <f t="shared" si="15"/>
        <v>0</v>
      </c>
      <c r="DD333" s="18">
        <f t="shared" si="16"/>
        <v>3</v>
      </c>
      <c r="DE333" s="18">
        <f t="shared" si="17"/>
        <v>1987</v>
      </c>
    </row>
    <row r="334" spans="1:109" x14ac:dyDescent="0.25">
      <c r="A334" s="59" t="s">
        <v>1318</v>
      </c>
      <c r="B334" s="103">
        <v>41572</v>
      </c>
      <c r="C334" s="106" t="s">
        <v>1563</v>
      </c>
      <c r="D334" s="14" t="s">
        <v>900</v>
      </c>
      <c r="E334" s="15"/>
      <c r="F334" s="15"/>
      <c r="G334" s="15"/>
      <c r="H334" s="15" t="s">
        <v>188</v>
      </c>
      <c r="I334" s="15">
        <v>33</v>
      </c>
      <c r="J334" s="15" t="s">
        <v>189</v>
      </c>
      <c r="K334" s="15" t="s">
        <v>190</v>
      </c>
      <c r="L334" s="15" t="s">
        <v>228</v>
      </c>
      <c r="M334" s="15" t="s">
        <v>1010</v>
      </c>
      <c r="N334" s="15" t="s">
        <v>1084</v>
      </c>
      <c r="O334" s="15">
        <v>16</v>
      </c>
      <c r="P334" s="15"/>
      <c r="Q334" s="15"/>
      <c r="R334" s="15"/>
      <c r="S334" s="15" t="s">
        <v>188</v>
      </c>
      <c r="T334" s="15"/>
      <c r="U334" s="15"/>
      <c r="V334" s="15"/>
      <c r="W334" s="15"/>
      <c r="X334" s="15"/>
      <c r="Y334" s="15"/>
      <c r="Z334" s="15"/>
      <c r="AA334" s="15"/>
      <c r="AB334" s="15" t="s">
        <v>188</v>
      </c>
      <c r="AC334" s="15"/>
      <c r="AD334" s="15"/>
      <c r="AE334" s="15"/>
      <c r="AF334" s="15"/>
      <c r="AG334" s="15"/>
      <c r="AH334" s="15">
        <v>1986</v>
      </c>
      <c r="AI334" s="1">
        <v>1753625</v>
      </c>
      <c r="AJ334" s="15"/>
      <c r="AK334" s="15"/>
      <c r="AL334" s="15" t="s">
        <v>188</v>
      </c>
      <c r="AM334" s="15"/>
      <c r="AN334" s="15"/>
      <c r="AO334" s="15"/>
      <c r="AP334" s="15" t="s">
        <v>188</v>
      </c>
      <c r="AQ334" s="15"/>
      <c r="AR334" s="15"/>
      <c r="AS334" s="15"/>
      <c r="AT334" s="15" t="s">
        <v>322</v>
      </c>
      <c r="AU334" s="1">
        <v>7500</v>
      </c>
      <c r="AV334" s="48">
        <v>0.3</v>
      </c>
      <c r="AW334" s="15">
        <v>2</v>
      </c>
      <c r="AX334" s="15">
        <v>1.7</v>
      </c>
      <c r="AY334" s="15">
        <v>2</v>
      </c>
      <c r="AZ334" s="15">
        <v>1300</v>
      </c>
      <c r="BA334" s="15">
        <v>2500</v>
      </c>
      <c r="BB334" s="15" t="s">
        <v>199</v>
      </c>
      <c r="BC334" s="15" t="s">
        <v>199</v>
      </c>
      <c r="BD334" s="15" t="s">
        <v>199</v>
      </c>
      <c r="BE334" s="1">
        <v>12000</v>
      </c>
      <c r="BF334" s="1">
        <v>10000</v>
      </c>
      <c r="BG334" s="1">
        <v>25000</v>
      </c>
      <c r="BH334" s="1" t="s">
        <v>193</v>
      </c>
      <c r="BI334" s="1">
        <v>25000</v>
      </c>
      <c r="BJ334" s="15"/>
      <c r="BK334" s="15"/>
      <c r="BL334" s="15"/>
      <c r="BM334" s="15" t="s">
        <v>188</v>
      </c>
      <c r="BN334" s="15"/>
      <c r="BO334" s="15"/>
      <c r="BP334" s="15"/>
      <c r="BQ334" s="15"/>
      <c r="BR334" s="15"/>
      <c r="BS334" s="2"/>
      <c r="BT334" s="15"/>
      <c r="BU334" s="15"/>
      <c r="BV334" s="15" t="s">
        <v>188</v>
      </c>
      <c r="BW334" s="15"/>
      <c r="BX334" s="15">
        <v>1</v>
      </c>
      <c r="BY334" s="15">
        <v>3</v>
      </c>
      <c r="BZ334" s="15">
        <v>2</v>
      </c>
      <c r="CA334" s="15"/>
      <c r="CB334" s="15" t="s">
        <v>188</v>
      </c>
      <c r="CC334" s="15"/>
      <c r="CD334" s="15"/>
      <c r="CE334" s="15"/>
      <c r="CF334" s="15"/>
      <c r="CG334" s="15"/>
      <c r="CH334" s="15"/>
      <c r="CI334" s="15"/>
      <c r="CJ334" s="15"/>
      <c r="CK334" s="15" t="s">
        <v>188</v>
      </c>
      <c r="CL334" s="15"/>
      <c r="CM334" s="15"/>
      <c r="CN334" s="15"/>
      <c r="CO334" s="15"/>
      <c r="CP334" s="15" t="s">
        <v>193</v>
      </c>
      <c r="CQ334" s="15" t="s">
        <v>193</v>
      </c>
      <c r="CR334" s="15" t="s">
        <v>188</v>
      </c>
      <c r="CS334" s="15"/>
      <c r="CT334" s="15"/>
      <c r="CU334" s="15"/>
      <c r="CV334" s="15" t="s">
        <v>188</v>
      </c>
      <c r="CW334" s="15" t="s">
        <v>270</v>
      </c>
      <c r="CX334" s="15"/>
      <c r="CY334" s="15"/>
      <c r="CZ334" s="3"/>
      <c r="DA334" s="49"/>
      <c r="DC334" s="18">
        <f t="shared" si="15"/>
        <v>0</v>
      </c>
      <c r="DD334" s="18">
        <f t="shared" si="16"/>
        <v>7</v>
      </c>
      <c r="DE334" s="18">
        <f t="shared" si="17"/>
        <v>1986</v>
      </c>
    </row>
    <row r="335" spans="1:109" x14ac:dyDescent="0.25">
      <c r="A335" s="59" t="s">
        <v>1318</v>
      </c>
      <c r="B335" s="103">
        <v>41572</v>
      </c>
      <c r="C335" s="106" t="s">
        <v>1563</v>
      </c>
      <c r="D335" s="14" t="s">
        <v>901</v>
      </c>
      <c r="E335" s="15"/>
      <c r="F335" s="15"/>
      <c r="G335" s="15" t="s">
        <v>188</v>
      </c>
      <c r="H335" s="15"/>
      <c r="I335" s="15">
        <v>23</v>
      </c>
      <c r="J335" s="15" t="s">
        <v>189</v>
      </c>
      <c r="K335" s="15" t="s">
        <v>220</v>
      </c>
      <c r="L335" s="15" t="s">
        <v>417</v>
      </c>
      <c r="M335" s="15" t="s">
        <v>1045</v>
      </c>
      <c r="N335" s="15" t="s">
        <v>1084</v>
      </c>
      <c r="O335" s="15">
        <v>5</v>
      </c>
      <c r="P335" s="15"/>
      <c r="Q335" s="15"/>
      <c r="R335" s="15"/>
      <c r="S335" s="15" t="s">
        <v>188</v>
      </c>
      <c r="T335" s="15"/>
      <c r="U335" s="15" t="s">
        <v>188</v>
      </c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>
        <v>1988</v>
      </c>
      <c r="AI335" s="1">
        <v>1300000</v>
      </c>
      <c r="AJ335" s="15"/>
      <c r="AK335" s="15"/>
      <c r="AL335" s="15" t="s">
        <v>188</v>
      </c>
      <c r="AM335" s="15"/>
      <c r="AN335" s="15"/>
      <c r="AO335" s="15" t="s">
        <v>188</v>
      </c>
      <c r="AP335" s="15"/>
      <c r="AQ335" s="15"/>
      <c r="AR335" s="15"/>
      <c r="AS335" s="15"/>
      <c r="AT335" s="15" t="s">
        <v>390</v>
      </c>
      <c r="AU335" s="1">
        <v>9000</v>
      </c>
      <c r="AV335" s="48">
        <v>0.5</v>
      </c>
      <c r="AW335" s="15">
        <v>2.2999999999999998</v>
      </c>
      <c r="AX335" s="15">
        <v>1.9</v>
      </c>
      <c r="AY335" s="15">
        <v>3</v>
      </c>
      <c r="AZ335" s="15">
        <v>1180</v>
      </c>
      <c r="BA335" s="15">
        <v>2600</v>
      </c>
      <c r="BB335" s="15" t="s">
        <v>199</v>
      </c>
      <c r="BC335" s="15" t="s">
        <v>188</v>
      </c>
      <c r="BD335" s="15" t="s">
        <v>199</v>
      </c>
      <c r="BE335" s="1">
        <v>15000</v>
      </c>
      <c r="BF335" s="1">
        <v>40000</v>
      </c>
      <c r="BG335" s="1">
        <v>35000</v>
      </c>
      <c r="BH335" s="1" t="s">
        <v>193</v>
      </c>
      <c r="BI335" s="1">
        <v>35000</v>
      </c>
      <c r="BJ335" s="15"/>
      <c r="BK335" s="15"/>
      <c r="BL335" s="15"/>
      <c r="BM335" s="15" t="s">
        <v>188</v>
      </c>
      <c r="BN335" s="15"/>
      <c r="BO335" s="15"/>
      <c r="BP335" s="15"/>
      <c r="BQ335" s="15"/>
      <c r="BR335" s="15"/>
      <c r="BS335" s="2"/>
      <c r="BT335" s="15"/>
      <c r="BU335" s="15"/>
      <c r="BV335" s="15" t="s">
        <v>188</v>
      </c>
      <c r="BW335" s="15"/>
      <c r="BX335" s="15">
        <v>2</v>
      </c>
      <c r="BY335" s="15">
        <v>3</v>
      </c>
      <c r="BZ335" s="15">
        <v>1</v>
      </c>
      <c r="CA335" s="15"/>
      <c r="CB335" s="15"/>
      <c r="CC335" s="15" t="s">
        <v>188</v>
      </c>
      <c r="CD335" s="15"/>
      <c r="CE335" s="15"/>
      <c r="CF335" s="15"/>
      <c r="CG335" s="15" t="s">
        <v>188</v>
      </c>
      <c r="CH335" s="15" t="s">
        <v>188</v>
      </c>
      <c r="CI335" s="15" t="s">
        <v>188</v>
      </c>
      <c r="CJ335" s="15"/>
      <c r="CK335" s="15" t="s">
        <v>188</v>
      </c>
      <c r="CL335" s="15"/>
      <c r="CM335" s="15"/>
      <c r="CN335" s="15"/>
      <c r="CO335" s="15"/>
      <c r="CP335" s="15" t="s">
        <v>193</v>
      </c>
      <c r="CQ335" s="15" t="s">
        <v>193</v>
      </c>
      <c r="CR335" s="15" t="s">
        <v>188</v>
      </c>
      <c r="CS335" s="15"/>
      <c r="CT335" s="15"/>
      <c r="CU335" s="15"/>
      <c r="CV335" s="15"/>
      <c r="CW335" s="15"/>
      <c r="CX335" s="15" t="s">
        <v>188</v>
      </c>
      <c r="CY335" s="15" t="s">
        <v>188</v>
      </c>
      <c r="CZ335" s="3"/>
      <c r="DA335" s="49"/>
      <c r="DC335" s="18">
        <f t="shared" si="15"/>
        <v>0</v>
      </c>
      <c r="DD335" s="18">
        <f t="shared" si="16"/>
        <v>3</v>
      </c>
      <c r="DE335" s="18">
        <f t="shared" si="17"/>
        <v>1988</v>
      </c>
    </row>
    <row r="336" spans="1:109" x14ac:dyDescent="0.25">
      <c r="A336" s="59" t="s">
        <v>1318</v>
      </c>
      <c r="B336" s="103">
        <v>41572</v>
      </c>
      <c r="C336" s="106" t="s">
        <v>1563</v>
      </c>
      <c r="D336" s="14" t="s">
        <v>902</v>
      </c>
      <c r="E336" s="15"/>
      <c r="F336" s="15"/>
      <c r="G336" s="15"/>
      <c r="H336" s="15" t="s">
        <v>188</v>
      </c>
      <c r="I336" s="15">
        <v>43</v>
      </c>
      <c r="J336" s="15" t="s">
        <v>189</v>
      </c>
      <c r="K336" s="15" t="s">
        <v>196</v>
      </c>
      <c r="L336" s="15" t="s">
        <v>396</v>
      </c>
      <c r="M336" s="15" t="s">
        <v>1029</v>
      </c>
      <c r="N336" s="15" t="s">
        <v>1085</v>
      </c>
      <c r="O336" s="15">
        <v>17</v>
      </c>
      <c r="P336" s="15"/>
      <c r="Q336" s="15"/>
      <c r="R336" s="15"/>
      <c r="S336" s="15" t="s">
        <v>188</v>
      </c>
      <c r="T336" s="15"/>
      <c r="U336" s="15" t="s">
        <v>188</v>
      </c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>
        <v>1989</v>
      </c>
      <c r="AI336" s="1">
        <v>1375437</v>
      </c>
      <c r="AJ336" s="15"/>
      <c r="AK336" s="15"/>
      <c r="AL336" s="15" t="s">
        <v>188</v>
      </c>
      <c r="AM336" s="15"/>
      <c r="AN336" s="15"/>
      <c r="AO336" s="15"/>
      <c r="AP336" s="15" t="s">
        <v>188</v>
      </c>
      <c r="AQ336" s="15"/>
      <c r="AR336" s="15"/>
      <c r="AS336" s="15"/>
      <c r="AT336" s="15" t="s">
        <v>198</v>
      </c>
      <c r="AU336" s="1">
        <v>7000</v>
      </c>
      <c r="AV336" s="48">
        <v>0.5</v>
      </c>
      <c r="AW336" s="15">
        <v>2.5</v>
      </c>
      <c r="AX336" s="15">
        <v>1.8</v>
      </c>
      <c r="AY336" s="15">
        <v>2</v>
      </c>
      <c r="AZ336" s="15">
        <v>610</v>
      </c>
      <c r="BA336" s="15">
        <v>1400</v>
      </c>
      <c r="BB336" s="15" t="s">
        <v>199</v>
      </c>
      <c r="BC336" s="15" t="s">
        <v>188</v>
      </c>
      <c r="BD336" s="15" t="s">
        <v>199</v>
      </c>
      <c r="BE336" s="1">
        <v>15000</v>
      </c>
      <c r="BF336" s="1">
        <v>12000</v>
      </c>
      <c r="BG336" s="1">
        <v>25000</v>
      </c>
      <c r="BH336" s="1">
        <v>170000</v>
      </c>
      <c r="BI336" s="1">
        <v>25000</v>
      </c>
      <c r="BJ336" s="15"/>
      <c r="BK336" s="15"/>
      <c r="BL336" s="15"/>
      <c r="BM336" s="15" t="s">
        <v>188</v>
      </c>
      <c r="BN336" s="15"/>
      <c r="BO336" s="15"/>
      <c r="BP336" s="15"/>
      <c r="BQ336" s="15"/>
      <c r="BR336" s="15"/>
      <c r="BS336" s="2" t="s">
        <v>314</v>
      </c>
      <c r="BT336" s="15"/>
      <c r="BU336" s="15"/>
      <c r="BV336" s="15" t="s">
        <v>188</v>
      </c>
      <c r="BW336" s="15"/>
      <c r="BX336" s="15">
        <v>2</v>
      </c>
      <c r="BY336" s="15">
        <v>3</v>
      </c>
      <c r="BZ336" s="15">
        <v>1</v>
      </c>
      <c r="CA336" s="15"/>
      <c r="CB336" s="15" t="s">
        <v>188</v>
      </c>
      <c r="CC336" s="15"/>
      <c r="CD336" s="15"/>
      <c r="CE336" s="15"/>
      <c r="CF336" s="15"/>
      <c r="CG336" s="15"/>
      <c r="CH336" s="15"/>
      <c r="CI336" s="15"/>
      <c r="CJ336" s="15"/>
      <c r="CK336" s="15" t="s">
        <v>188</v>
      </c>
      <c r="CL336" s="15"/>
      <c r="CM336" s="15"/>
      <c r="CN336" s="15"/>
      <c r="CO336" s="15"/>
      <c r="CP336" s="15" t="s">
        <v>193</v>
      </c>
      <c r="CQ336" s="15" t="s">
        <v>193</v>
      </c>
      <c r="CR336" s="15" t="s">
        <v>188</v>
      </c>
      <c r="CS336" s="15"/>
      <c r="CT336" s="15"/>
      <c r="CU336" s="15"/>
      <c r="CV336" s="15"/>
      <c r="CW336" s="15"/>
      <c r="CX336" s="15" t="s">
        <v>188</v>
      </c>
      <c r="CY336" s="15" t="s">
        <v>188</v>
      </c>
      <c r="CZ336" s="3"/>
      <c r="DA336" s="49"/>
      <c r="DC336" s="18">
        <f t="shared" si="15"/>
        <v>0</v>
      </c>
      <c r="DD336" s="18">
        <f t="shared" si="16"/>
        <v>7</v>
      </c>
      <c r="DE336" s="18">
        <f t="shared" si="17"/>
        <v>1989</v>
      </c>
    </row>
    <row r="337" spans="1:109" x14ac:dyDescent="0.25">
      <c r="A337" s="59" t="s">
        <v>1318</v>
      </c>
      <c r="B337" s="103">
        <v>41572</v>
      </c>
      <c r="C337" s="106" t="s">
        <v>1563</v>
      </c>
      <c r="D337" s="14" t="s">
        <v>903</v>
      </c>
      <c r="E337" s="15"/>
      <c r="F337" s="15"/>
      <c r="G337" s="15" t="s">
        <v>188</v>
      </c>
      <c r="H337" s="15"/>
      <c r="I337" s="15">
        <v>37</v>
      </c>
      <c r="J337" s="15" t="s">
        <v>189</v>
      </c>
      <c r="K337" s="15" t="s">
        <v>190</v>
      </c>
      <c r="L337" s="15" t="s">
        <v>388</v>
      </c>
      <c r="M337" s="15" t="s">
        <v>1020</v>
      </c>
      <c r="N337" s="15" t="s">
        <v>1085</v>
      </c>
      <c r="O337" s="15">
        <v>18</v>
      </c>
      <c r="P337" s="15"/>
      <c r="Q337" s="15"/>
      <c r="R337" s="15"/>
      <c r="S337" s="15" t="s">
        <v>188</v>
      </c>
      <c r="T337" s="15"/>
      <c r="U337" s="15"/>
      <c r="V337" s="15"/>
      <c r="W337" s="15"/>
      <c r="X337" s="15"/>
      <c r="Y337" s="15"/>
      <c r="Z337" s="15"/>
      <c r="AA337" s="15"/>
      <c r="AB337" s="15" t="s">
        <v>188</v>
      </c>
      <c r="AC337" s="15"/>
      <c r="AD337" s="15"/>
      <c r="AE337" s="15"/>
      <c r="AF337" s="15"/>
      <c r="AG337" s="15"/>
      <c r="AH337" s="15">
        <v>1995</v>
      </c>
      <c r="AI337" s="1" t="s">
        <v>193</v>
      </c>
      <c r="AJ337" s="15"/>
      <c r="AK337" s="15"/>
      <c r="AL337" s="15" t="s">
        <v>188</v>
      </c>
      <c r="AM337" s="15"/>
      <c r="AN337" s="15"/>
      <c r="AO337" s="15" t="s">
        <v>188</v>
      </c>
      <c r="AP337" s="15"/>
      <c r="AQ337" s="15"/>
      <c r="AR337" s="15"/>
      <c r="AS337" s="15"/>
      <c r="AT337" s="15" t="s">
        <v>390</v>
      </c>
      <c r="AU337" s="1">
        <v>9000</v>
      </c>
      <c r="AV337" s="48">
        <v>0.5</v>
      </c>
      <c r="AW337" s="15">
        <v>2.5</v>
      </c>
      <c r="AX337" s="15">
        <v>2.2000000000000002</v>
      </c>
      <c r="AY337" s="15">
        <v>2</v>
      </c>
      <c r="AZ337" s="15">
        <v>960</v>
      </c>
      <c r="BA337" s="15">
        <v>2300</v>
      </c>
      <c r="BB337" s="15" t="s">
        <v>188</v>
      </c>
      <c r="BC337" s="15" t="s">
        <v>188</v>
      </c>
      <c r="BD337" s="15" t="s">
        <v>199</v>
      </c>
      <c r="BE337" s="1">
        <v>15000</v>
      </c>
      <c r="BF337" s="1">
        <v>10000</v>
      </c>
      <c r="BG337" s="1">
        <v>35000</v>
      </c>
      <c r="BH337" s="1" t="s">
        <v>193</v>
      </c>
      <c r="BI337" s="1">
        <v>35000</v>
      </c>
      <c r="BJ337" s="15"/>
      <c r="BK337" s="15"/>
      <c r="BL337" s="15"/>
      <c r="BM337" s="15" t="s">
        <v>188</v>
      </c>
      <c r="BN337" s="15"/>
      <c r="BO337" s="15"/>
      <c r="BP337" s="15"/>
      <c r="BQ337" s="15"/>
      <c r="BR337" s="15"/>
      <c r="BS337" s="2"/>
      <c r="BT337" s="15"/>
      <c r="BU337" s="15" t="s">
        <v>188</v>
      </c>
      <c r="BV337" s="15"/>
      <c r="BW337" s="15"/>
      <c r="BX337" s="15">
        <v>2</v>
      </c>
      <c r="BY337" s="15">
        <v>3</v>
      </c>
      <c r="BZ337" s="15">
        <v>1</v>
      </c>
      <c r="CA337" s="15"/>
      <c r="CB337" s="15"/>
      <c r="CC337" s="15" t="s">
        <v>188</v>
      </c>
      <c r="CD337" s="15"/>
      <c r="CE337" s="15"/>
      <c r="CF337" s="15"/>
      <c r="CG337" s="15" t="s">
        <v>188</v>
      </c>
      <c r="CH337" s="15" t="s">
        <v>188</v>
      </c>
      <c r="CI337" s="15" t="s">
        <v>188</v>
      </c>
      <c r="CJ337" s="15"/>
      <c r="CK337" s="15" t="s">
        <v>188</v>
      </c>
      <c r="CL337" s="15"/>
      <c r="CM337" s="15"/>
      <c r="CN337" s="15"/>
      <c r="CO337" s="15"/>
      <c r="CP337" s="15" t="s">
        <v>193</v>
      </c>
      <c r="CQ337" s="15" t="s">
        <v>193</v>
      </c>
      <c r="CR337" s="15" t="s">
        <v>188</v>
      </c>
      <c r="CS337" s="15"/>
      <c r="CT337" s="15"/>
      <c r="CU337" s="15"/>
      <c r="CV337" s="15" t="s">
        <v>188</v>
      </c>
      <c r="CW337" s="15" t="s">
        <v>270</v>
      </c>
      <c r="CX337" s="15"/>
      <c r="CY337" s="15"/>
      <c r="CZ337" s="3"/>
      <c r="DA337" s="49"/>
      <c r="DC337" s="18">
        <f t="shared" si="15"/>
        <v>0</v>
      </c>
      <c r="DD337" s="18">
        <f t="shared" si="16"/>
        <v>3</v>
      </c>
      <c r="DE337" s="18">
        <f t="shared" si="17"/>
        <v>1995</v>
      </c>
    </row>
    <row r="338" spans="1:109" x14ac:dyDescent="0.25">
      <c r="A338" s="59" t="s">
        <v>1318</v>
      </c>
      <c r="B338" s="103">
        <v>41572</v>
      </c>
      <c r="C338" s="106" t="s">
        <v>1563</v>
      </c>
      <c r="D338" s="14" t="s">
        <v>904</v>
      </c>
      <c r="E338" s="15"/>
      <c r="F338" s="15"/>
      <c r="G338" s="15"/>
      <c r="H338" s="15" t="s">
        <v>188</v>
      </c>
      <c r="I338" s="15">
        <v>43</v>
      </c>
      <c r="J338" s="15" t="s">
        <v>189</v>
      </c>
      <c r="K338" s="15" t="s">
        <v>190</v>
      </c>
      <c r="L338" s="15" t="s">
        <v>394</v>
      </c>
      <c r="M338" s="15" t="s">
        <v>1027</v>
      </c>
      <c r="N338" s="15" t="s">
        <v>1085</v>
      </c>
      <c r="O338" s="15">
        <v>7</v>
      </c>
      <c r="P338" s="15"/>
      <c r="Q338" s="15"/>
      <c r="R338" s="15"/>
      <c r="S338" s="15" t="s">
        <v>188</v>
      </c>
      <c r="T338" s="15"/>
      <c r="U338" s="15"/>
      <c r="V338" s="15"/>
      <c r="W338" s="15"/>
      <c r="X338" s="15"/>
      <c r="Y338" s="15"/>
      <c r="Z338" s="15"/>
      <c r="AA338" s="15"/>
      <c r="AB338" s="15" t="s">
        <v>188</v>
      </c>
      <c r="AC338" s="15"/>
      <c r="AD338" s="15"/>
      <c r="AE338" s="15"/>
      <c r="AF338" s="15"/>
      <c r="AG338" s="15"/>
      <c r="AH338" s="15">
        <v>1992</v>
      </c>
      <c r="AI338" s="1" t="s">
        <v>269</v>
      </c>
      <c r="AJ338" s="15"/>
      <c r="AK338" s="15"/>
      <c r="AL338" s="15" t="s">
        <v>188</v>
      </c>
      <c r="AM338" s="15"/>
      <c r="AN338" s="15"/>
      <c r="AO338" s="15"/>
      <c r="AP338" s="15" t="s">
        <v>188</v>
      </c>
      <c r="AQ338" s="15"/>
      <c r="AR338" s="15"/>
      <c r="AS338" s="15"/>
      <c r="AT338" s="15" t="s">
        <v>390</v>
      </c>
      <c r="AU338" s="1">
        <v>10000</v>
      </c>
      <c r="AV338" s="48">
        <v>0.5</v>
      </c>
      <c r="AW338" s="15">
        <v>2.5</v>
      </c>
      <c r="AX338" s="15">
        <v>2.2999999999999998</v>
      </c>
      <c r="AY338" s="15">
        <v>3</v>
      </c>
      <c r="AZ338" s="15">
        <v>1460</v>
      </c>
      <c r="BA338" s="15">
        <v>3500</v>
      </c>
      <c r="BB338" s="15" t="s">
        <v>188</v>
      </c>
      <c r="BC338" s="15" t="s">
        <v>188</v>
      </c>
      <c r="BD338" s="15" t="s">
        <v>199</v>
      </c>
      <c r="BE338" s="1">
        <v>20000</v>
      </c>
      <c r="BF338" s="1">
        <v>8000</v>
      </c>
      <c r="BG338" s="1">
        <v>40000</v>
      </c>
      <c r="BH338" s="1">
        <v>150000</v>
      </c>
      <c r="BI338" s="1">
        <v>40000</v>
      </c>
      <c r="BJ338" s="15"/>
      <c r="BK338" s="15"/>
      <c r="BL338" s="15"/>
      <c r="BM338" s="15" t="s">
        <v>188</v>
      </c>
      <c r="BN338" s="15"/>
      <c r="BO338" s="15"/>
      <c r="BP338" s="15"/>
      <c r="BQ338" s="15"/>
      <c r="BR338" s="15"/>
      <c r="BS338" s="2"/>
      <c r="BT338" s="15"/>
      <c r="BU338" s="15"/>
      <c r="BV338" s="15" t="s">
        <v>188</v>
      </c>
      <c r="BW338" s="15"/>
      <c r="BX338" s="15">
        <v>1</v>
      </c>
      <c r="BY338" s="15">
        <v>3</v>
      </c>
      <c r="BZ338" s="15">
        <v>2</v>
      </c>
      <c r="CA338" s="15"/>
      <c r="CB338" s="15"/>
      <c r="CC338" s="15" t="s">
        <v>188</v>
      </c>
      <c r="CD338" s="15"/>
      <c r="CE338" s="15"/>
      <c r="CF338" s="15"/>
      <c r="CG338" s="15" t="s">
        <v>188</v>
      </c>
      <c r="CH338" s="15" t="s">
        <v>188</v>
      </c>
      <c r="CI338" s="15" t="s">
        <v>188</v>
      </c>
      <c r="CJ338" s="15"/>
      <c r="CK338" s="15" t="s">
        <v>188</v>
      </c>
      <c r="CL338" s="15"/>
      <c r="CM338" s="15"/>
      <c r="CN338" s="15"/>
      <c r="CO338" s="15"/>
      <c r="CP338" s="15" t="s">
        <v>193</v>
      </c>
      <c r="CQ338" s="15" t="s">
        <v>193</v>
      </c>
      <c r="CR338" s="15"/>
      <c r="CS338" s="15"/>
      <c r="CT338" s="15"/>
      <c r="CU338" s="15" t="s">
        <v>324</v>
      </c>
      <c r="CV338" s="15"/>
      <c r="CW338" s="15"/>
      <c r="CX338" s="15"/>
      <c r="CY338" s="15" t="s">
        <v>188</v>
      </c>
      <c r="CZ338" s="3"/>
      <c r="DA338" s="49"/>
      <c r="DC338" s="18">
        <f t="shared" si="15"/>
        <v>0</v>
      </c>
      <c r="DD338" s="18">
        <f t="shared" si="16"/>
        <v>7</v>
      </c>
      <c r="DE338" s="18">
        <f t="shared" si="17"/>
        <v>1992</v>
      </c>
    </row>
    <row r="339" spans="1:109" x14ac:dyDescent="0.25">
      <c r="A339" s="59" t="s">
        <v>1318</v>
      </c>
      <c r="B339" s="103">
        <v>41572</v>
      </c>
      <c r="C339" s="106" t="s">
        <v>1563</v>
      </c>
      <c r="D339" s="14" t="s">
        <v>905</v>
      </c>
      <c r="E339" s="15"/>
      <c r="F339" s="15"/>
      <c r="G339" s="15" t="s">
        <v>188</v>
      </c>
      <c r="H339" s="15"/>
      <c r="I339" s="15">
        <v>29</v>
      </c>
      <c r="J339" s="15" t="s">
        <v>189</v>
      </c>
      <c r="K339" s="15" t="s">
        <v>220</v>
      </c>
      <c r="L339" s="15" t="s">
        <v>228</v>
      </c>
      <c r="M339" s="15" t="s">
        <v>1010</v>
      </c>
      <c r="N339" s="15" t="s">
        <v>1084</v>
      </c>
      <c r="O339" s="15">
        <v>7</v>
      </c>
      <c r="P339" s="15"/>
      <c r="Q339" s="15" t="s">
        <v>188</v>
      </c>
      <c r="R339" s="15"/>
      <c r="S339" s="15"/>
      <c r="T339" s="15"/>
      <c r="U339" s="15" t="s">
        <v>188</v>
      </c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>
        <v>1979</v>
      </c>
      <c r="AI339" s="1">
        <v>1833815</v>
      </c>
      <c r="AJ339" s="15"/>
      <c r="AK339" s="15"/>
      <c r="AL339" s="15" t="s">
        <v>188</v>
      </c>
      <c r="AM339" s="15"/>
      <c r="AN339" s="15"/>
      <c r="AO339" s="15" t="s">
        <v>188</v>
      </c>
      <c r="AP339" s="15"/>
      <c r="AQ339" s="15"/>
      <c r="AR339" s="15"/>
      <c r="AS339" s="15"/>
      <c r="AT339" s="15" t="s">
        <v>198</v>
      </c>
      <c r="AU339" s="1">
        <v>6500</v>
      </c>
      <c r="AV339" s="48">
        <v>0.5</v>
      </c>
      <c r="AW339" s="15">
        <v>2.1</v>
      </c>
      <c r="AX339" s="15">
        <v>1.7</v>
      </c>
      <c r="AY339" s="15">
        <v>2</v>
      </c>
      <c r="AZ339" s="15">
        <v>1100</v>
      </c>
      <c r="BA339" s="15">
        <v>2100</v>
      </c>
      <c r="BB339" s="15" t="s">
        <v>199</v>
      </c>
      <c r="BC339" s="15" t="s">
        <v>188</v>
      </c>
      <c r="BD339" s="15" t="s">
        <v>199</v>
      </c>
      <c r="BE339" s="1">
        <v>25000</v>
      </c>
      <c r="BF339" s="1">
        <v>15000</v>
      </c>
      <c r="BG339" s="1">
        <v>35000</v>
      </c>
      <c r="BH339" s="1">
        <v>140000</v>
      </c>
      <c r="BI339" s="1">
        <v>35000</v>
      </c>
      <c r="BJ339" s="15"/>
      <c r="BK339" s="15"/>
      <c r="BL339" s="15"/>
      <c r="BM339" s="15" t="s">
        <v>188</v>
      </c>
      <c r="BN339" s="15"/>
      <c r="BO339" s="15"/>
      <c r="BP339" s="15"/>
      <c r="BQ339" s="15"/>
      <c r="BR339" s="15"/>
      <c r="BS339" s="2"/>
      <c r="BT339" s="15"/>
      <c r="BU339" s="15"/>
      <c r="BV339" s="15" t="s">
        <v>188</v>
      </c>
      <c r="BW339" s="15"/>
      <c r="BX339" s="15">
        <v>2</v>
      </c>
      <c r="BY339" s="15">
        <v>3</v>
      </c>
      <c r="BZ339" s="15">
        <v>1</v>
      </c>
      <c r="CA339" s="15"/>
      <c r="CB339" s="15" t="s">
        <v>188</v>
      </c>
      <c r="CC339" s="15"/>
      <c r="CD339" s="15"/>
      <c r="CE339" s="15"/>
      <c r="CF339" s="15"/>
      <c r="CG339" s="15"/>
      <c r="CH339" s="15"/>
      <c r="CI339" s="15"/>
      <c r="CJ339" s="15"/>
      <c r="CK339" s="15" t="s">
        <v>188</v>
      </c>
      <c r="CL339" s="15"/>
      <c r="CM339" s="15"/>
      <c r="CN339" s="15"/>
      <c r="CO339" s="15"/>
      <c r="CP339" s="15" t="s">
        <v>193</v>
      </c>
      <c r="CQ339" s="15" t="s">
        <v>193</v>
      </c>
      <c r="CR339" s="15" t="s">
        <v>188</v>
      </c>
      <c r="CS339" s="15"/>
      <c r="CT339" s="15"/>
      <c r="CU339" s="15"/>
      <c r="CV339" s="15"/>
      <c r="CW339" s="15"/>
      <c r="CX339" s="15" t="s">
        <v>188</v>
      </c>
      <c r="CY339" s="15" t="s">
        <v>188</v>
      </c>
      <c r="CZ339" s="3"/>
      <c r="DA339" s="49"/>
      <c r="DC339" s="18">
        <f t="shared" si="15"/>
        <v>0</v>
      </c>
      <c r="DD339" s="18">
        <f t="shared" si="16"/>
        <v>3</v>
      </c>
      <c r="DE339" s="18">
        <f t="shared" si="17"/>
        <v>1979</v>
      </c>
    </row>
    <row r="340" spans="1:109" x14ac:dyDescent="0.25">
      <c r="A340" s="59" t="s">
        <v>1320</v>
      </c>
      <c r="B340" s="103">
        <v>41547</v>
      </c>
      <c r="C340" s="106" t="s">
        <v>1564</v>
      </c>
      <c r="D340" s="14" t="s">
        <v>907</v>
      </c>
      <c r="E340" s="15" t="s">
        <v>188</v>
      </c>
      <c r="F340" s="15"/>
      <c r="G340" s="15"/>
      <c r="H340" s="15"/>
      <c r="I340" s="15">
        <v>32</v>
      </c>
      <c r="J340" s="15" t="s">
        <v>189</v>
      </c>
      <c r="K340" s="15" t="s">
        <v>190</v>
      </c>
      <c r="L340" s="15" t="s">
        <v>967</v>
      </c>
      <c r="M340" s="15" t="s">
        <v>1139</v>
      </c>
      <c r="N340" s="15" t="s">
        <v>1140</v>
      </c>
      <c r="O340" s="15">
        <v>15</v>
      </c>
      <c r="P340" s="15" t="s">
        <v>188</v>
      </c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 t="s">
        <v>188</v>
      </c>
      <c r="AG340" s="15"/>
      <c r="AH340" s="15">
        <v>1982</v>
      </c>
      <c r="AI340" s="1">
        <v>1875620</v>
      </c>
      <c r="AJ340" s="15"/>
      <c r="AK340" s="15"/>
      <c r="AL340" s="15" t="s">
        <v>188</v>
      </c>
      <c r="AM340" s="15"/>
      <c r="AN340" s="15"/>
      <c r="AO340" s="15" t="s">
        <v>188</v>
      </c>
      <c r="AP340" s="15"/>
      <c r="AQ340" s="15"/>
      <c r="AR340" s="15"/>
      <c r="AS340" s="15"/>
      <c r="AT340" s="15" t="s">
        <v>322</v>
      </c>
      <c r="AU340" s="1">
        <v>6000</v>
      </c>
      <c r="AV340" s="48">
        <v>0.5</v>
      </c>
      <c r="AW340" s="15">
        <v>5.0999999999999996</v>
      </c>
      <c r="AX340" s="15">
        <v>4.4000000000000004</v>
      </c>
      <c r="AY340" s="15">
        <v>2</v>
      </c>
      <c r="AZ340" s="15">
        <v>310</v>
      </c>
      <c r="BA340" s="15">
        <v>1500</v>
      </c>
      <c r="BB340" s="15" t="s">
        <v>199</v>
      </c>
      <c r="BC340" s="15" t="s">
        <v>199</v>
      </c>
      <c r="BD340" s="15" t="s">
        <v>199</v>
      </c>
      <c r="BE340" s="1">
        <v>30000</v>
      </c>
      <c r="BF340" s="1" t="s">
        <v>193</v>
      </c>
      <c r="BG340" s="1" t="s">
        <v>193</v>
      </c>
      <c r="BH340" s="1" t="s">
        <v>193</v>
      </c>
      <c r="BI340" s="1" t="s">
        <v>193</v>
      </c>
      <c r="BJ340" s="15" t="s">
        <v>188</v>
      </c>
      <c r="BK340" s="15" t="s">
        <v>188</v>
      </c>
      <c r="BL340" s="15"/>
      <c r="BM340" s="15"/>
      <c r="BN340" s="15"/>
      <c r="BO340" s="15" t="s">
        <v>188</v>
      </c>
      <c r="BP340" s="15"/>
      <c r="BQ340" s="15"/>
      <c r="BR340" s="15"/>
      <c r="BS340" s="2"/>
      <c r="BT340" s="15" t="s">
        <v>188</v>
      </c>
      <c r="BU340" s="15"/>
      <c r="BV340" s="15"/>
      <c r="BW340" s="15"/>
      <c r="BX340" s="15">
        <v>3</v>
      </c>
      <c r="BY340" s="15">
        <v>2</v>
      </c>
      <c r="BZ340" s="15">
        <v>1</v>
      </c>
      <c r="CA340" s="15"/>
      <c r="CB340" s="15" t="s">
        <v>188</v>
      </c>
      <c r="CC340" s="15"/>
      <c r="CD340" s="15"/>
      <c r="CE340" s="15"/>
      <c r="CF340" s="15"/>
      <c r="CG340" s="15"/>
      <c r="CH340" s="15"/>
      <c r="CI340" s="15"/>
      <c r="CJ340" s="15"/>
      <c r="CK340" s="15" t="s">
        <v>188</v>
      </c>
      <c r="CL340" s="15"/>
      <c r="CM340" s="15"/>
      <c r="CN340" s="15"/>
      <c r="CO340" s="15"/>
      <c r="CP340" s="15" t="s">
        <v>193</v>
      </c>
      <c r="CQ340" s="15" t="s">
        <v>193</v>
      </c>
      <c r="CR340" s="15" t="s">
        <v>188</v>
      </c>
      <c r="CS340" s="15"/>
      <c r="CT340" s="15"/>
      <c r="CU340" s="15"/>
      <c r="CV340" s="15"/>
      <c r="CW340" s="15"/>
      <c r="CX340" s="15"/>
      <c r="CY340" s="15" t="s">
        <v>188</v>
      </c>
      <c r="CZ340" s="3"/>
      <c r="DA340" s="49"/>
      <c r="DC340" s="18">
        <f t="shared" si="15"/>
        <v>0</v>
      </c>
      <c r="DD340" s="18">
        <f t="shared" si="16"/>
        <v>1</v>
      </c>
      <c r="DE340" s="18">
        <f t="shared" si="17"/>
        <v>1982</v>
      </c>
    </row>
    <row r="341" spans="1:109" x14ac:dyDescent="0.25">
      <c r="A341" s="59" t="s">
        <v>1320</v>
      </c>
      <c r="B341" s="103">
        <v>41547</v>
      </c>
      <c r="C341" s="106" t="s">
        <v>1564</v>
      </c>
      <c r="D341" s="14" t="s">
        <v>908</v>
      </c>
      <c r="E341" s="15"/>
      <c r="F341" s="15"/>
      <c r="G341" s="15" t="s">
        <v>188</v>
      </c>
      <c r="H341" s="15"/>
      <c r="I341" s="15">
        <v>27</v>
      </c>
      <c r="J341" s="15" t="s">
        <v>189</v>
      </c>
      <c r="K341" s="15" t="s">
        <v>214</v>
      </c>
      <c r="L341" s="15" t="s">
        <v>590</v>
      </c>
      <c r="M341" s="15" t="s">
        <v>1138</v>
      </c>
      <c r="N341" s="15" t="s">
        <v>1084</v>
      </c>
      <c r="O341" s="15">
        <v>8</v>
      </c>
      <c r="P341" s="15"/>
      <c r="Q341" s="15" t="s">
        <v>188</v>
      </c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 t="s">
        <v>188</v>
      </c>
      <c r="AG341" s="15"/>
      <c r="AH341" s="15">
        <v>1976</v>
      </c>
      <c r="AI341" s="1" t="s">
        <v>269</v>
      </c>
      <c r="AJ341" s="15"/>
      <c r="AK341" s="15"/>
      <c r="AL341" s="15" t="s">
        <v>188</v>
      </c>
      <c r="AM341" s="15"/>
      <c r="AN341" s="15"/>
      <c r="AO341" s="15" t="s">
        <v>188</v>
      </c>
      <c r="AP341" s="15"/>
      <c r="AQ341" s="15"/>
      <c r="AR341" s="15"/>
      <c r="AS341" s="15"/>
      <c r="AT341" s="15" t="s">
        <v>322</v>
      </c>
      <c r="AU341" s="1">
        <v>7000</v>
      </c>
      <c r="AV341" s="48">
        <v>0.1</v>
      </c>
      <c r="AW341" s="15">
        <v>4.3</v>
      </c>
      <c r="AX341" s="15">
        <v>3.9</v>
      </c>
      <c r="AY341" s="15">
        <v>1</v>
      </c>
      <c r="AZ341" s="15">
        <v>200</v>
      </c>
      <c r="BA341" s="15">
        <v>800</v>
      </c>
      <c r="BB341" s="15" t="s">
        <v>199</v>
      </c>
      <c r="BC341" s="15" t="s">
        <v>199</v>
      </c>
      <c r="BD341" s="15" t="s">
        <v>199</v>
      </c>
      <c r="BE341" s="1">
        <v>28000</v>
      </c>
      <c r="BF341" s="1" t="s">
        <v>193</v>
      </c>
      <c r="BG341" s="1" t="s">
        <v>193</v>
      </c>
      <c r="BH341" s="1" t="s">
        <v>193</v>
      </c>
      <c r="BI341" s="1" t="s">
        <v>193</v>
      </c>
      <c r="BJ341" s="15" t="s">
        <v>188</v>
      </c>
      <c r="BK341" s="15" t="s">
        <v>188</v>
      </c>
      <c r="BL341" s="15"/>
      <c r="BM341" s="15"/>
      <c r="BN341" s="15"/>
      <c r="BO341" s="15" t="s">
        <v>188</v>
      </c>
      <c r="BP341" s="15"/>
      <c r="BQ341" s="15"/>
      <c r="BR341" s="15"/>
      <c r="BS341" s="2"/>
      <c r="BT341" s="15" t="s">
        <v>188</v>
      </c>
      <c r="BU341" s="15"/>
      <c r="BV341" s="15"/>
      <c r="BW341" s="15"/>
      <c r="BX341" s="15">
        <v>2</v>
      </c>
      <c r="BY341" s="15">
        <v>1</v>
      </c>
      <c r="BZ341" s="15">
        <v>3</v>
      </c>
      <c r="CA341" s="15"/>
      <c r="CB341" s="15" t="s">
        <v>188</v>
      </c>
      <c r="CC341" s="15"/>
      <c r="CD341" s="15"/>
      <c r="CE341" s="15"/>
      <c r="CF341" s="15"/>
      <c r="CG341" s="15"/>
      <c r="CH341" s="15"/>
      <c r="CI341" s="15"/>
      <c r="CJ341" s="15"/>
      <c r="CK341" s="15" t="s">
        <v>188</v>
      </c>
      <c r="CL341" s="15"/>
      <c r="CM341" s="15"/>
      <c r="CN341" s="15"/>
      <c r="CO341" s="15"/>
      <c r="CP341" s="15" t="s">
        <v>193</v>
      </c>
      <c r="CQ341" s="15" t="s">
        <v>193</v>
      </c>
      <c r="CR341" s="15"/>
      <c r="CS341" s="15"/>
      <c r="CT341" s="15" t="s">
        <v>188</v>
      </c>
      <c r="CU341" s="15"/>
      <c r="CV341" s="15" t="s">
        <v>188</v>
      </c>
      <c r="CW341" s="15" t="s">
        <v>270</v>
      </c>
      <c r="CX341" s="15"/>
      <c r="CY341" s="15"/>
      <c r="CZ341" s="3"/>
      <c r="DA341" s="49"/>
      <c r="DC341" s="18">
        <f t="shared" si="15"/>
        <v>0</v>
      </c>
      <c r="DD341" s="18">
        <f t="shared" si="16"/>
        <v>3</v>
      </c>
      <c r="DE341" s="18">
        <f t="shared" si="17"/>
        <v>1976</v>
      </c>
    </row>
    <row r="342" spans="1:109" x14ac:dyDescent="0.25">
      <c r="A342" s="59" t="s">
        <v>1320</v>
      </c>
      <c r="B342" s="103">
        <v>41547</v>
      </c>
      <c r="C342" s="106" t="s">
        <v>1564</v>
      </c>
      <c r="D342" s="14" t="s">
        <v>909</v>
      </c>
      <c r="E342" s="15"/>
      <c r="F342" s="15"/>
      <c r="G342" s="15" t="s">
        <v>188</v>
      </c>
      <c r="H342" s="15"/>
      <c r="I342" s="15">
        <v>44</v>
      </c>
      <c r="J342" s="15" t="s">
        <v>189</v>
      </c>
      <c r="K342" s="15" t="s">
        <v>445</v>
      </c>
      <c r="L342" s="15" t="s">
        <v>968</v>
      </c>
      <c r="M342" s="15" t="s">
        <v>1141</v>
      </c>
      <c r="N342" s="15" t="s">
        <v>1142</v>
      </c>
      <c r="O342" s="15">
        <v>25</v>
      </c>
      <c r="P342" s="15"/>
      <c r="Q342" s="15" t="s">
        <v>188</v>
      </c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 t="s">
        <v>188</v>
      </c>
      <c r="AG342" s="15"/>
      <c r="AH342" s="15">
        <v>1987</v>
      </c>
      <c r="AI342" s="1" t="s">
        <v>269</v>
      </c>
      <c r="AJ342" s="15"/>
      <c r="AK342" s="15"/>
      <c r="AL342" s="15" t="s">
        <v>188</v>
      </c>
      <c r="AM342" s="15"/>
      <c r="AN342" s="15"/>
      <c r="AO342" s="15" t="s">
        <v>188</v>
      </c>
      <c r="AP342" s="15"/>
      <c r="AQ342" s="15"/>
      <c r="AR342" s="15"/>
      <c r="AS342" s="15"/>
      <c r="AT342" s="15" t="s">
        <v>211</v>
      </c>
      <c r="AU342" s="1">
        <v>5000</v>
      </c>
      <c r="AV342" s="48">
        <v>0.5</v>
      </c>
      <c r="AW342" s="15">
        <v>4</v>
      </c>
      <c r="AX342" s="15">
        <v>3.5</v>
      </c>
      <c r="AY342" s="15">
        <v>2</v>
      </c>
      <c r="AZ342" s="15">
        <v>320</v>
      </c>
      <c r="BA342" s="15">
        <v>1200</v>
      </c>
      <c r="BB342" s="15" t="s">
        <v>199</v>
      </c>
      <c r="BC342" s="15" t="s">
        <v>199</v>
      </c>
      <c r="BD342" s="15" t="s">
        <v>199</v>
      </c>
      <c r="BE342" s="1">
        <v>30000</v>
      </c>
      <c r="BF342" s="1" t="s">
        <v>193</v>
      </c>
      <c r="BG342" s="1">
        <v>30000</v>
      </c>
      <c r="BH342" s="1" t="s">
        <v>193</v>
      </c>
      <c r="BI342" s="1" t="s">
        <v>193</v>
      </c>
      <c r="BJ342" s="15" t="s">
        <v>188</v>
      </c>
      <c r="BK342" s="15" t="s">
        <v>188</v>
      </c>
      <c r="BL342" s="15"/>
      <c r="BM342" s="15"/>
      <c r="BN342" s="15"/>
      <c r="BO342" s="15" t="s">
        <v>188</v>
      </c>
      <c r="BP342" s="15"/>
      <c r="BQ342" s="15"/>
      <c r="BR342" s="15"/>
      <c r="BS342" s="2"/>
      <c r="BT342" s="15" t="s">
        <v>188</v>
      </c>
      <c r="BU342" s="15"/>
      <c r="BV342" s="15"/>
      <c r="BW342" s="15"/>
      <c r="BX342" s="15">
        <v>3</v>
      </c>
      <c r="BY342" s="15">
        <v>2</v>
      </c>
      <c r="BZ342" s="15">
        <v>1</v>
      </c>
      <c r="CA342" s="15"/>
      <c r="CB342" s="15" t="s">
        <v>188</v>
      </c>
      <c r="CC342" s="15"/>
      <c r="CD342" s="15"/>
      <c r="CE342" s="15"/>
      <c r="CF342" s="15"/>
      <c r="CG342" s="15"/>
      <c r="CH342" s="15"/>
      <c r="CI342" s="15"/>
      <c r="CJ342" s="15"/>
      <c r="CK342" s="15" t="s">
        <v>188</v>
      </c>
      <c r="CL342" s="15"/>
      <c r="CM342" s="15"/>
      <c r="CN342" s="15"/>
      <c r="CO342" s="15"/>
      <c r="CP342" s="15" t="s">
        <v>193</v>
      </c>
      <c r="CQ342" s="15" t="s">
        <v>193</v>
      </c>
      <c r="CR342" s="15" t="s">
        <v>188</v>
      </c>
      <c r="CS342" s="15"/>
      <c r="CT342" s="15"/>
      <c r="CU342" s="15"/>
      <c r="CV342" s="15" t="s">
        <v>188</v>
      </c>
      <c r="CW342" s="15" t="s">
        <v>270</v>
      </c>
      <c r="CX342" s="15"/>
      <c r="CY342" s="15"/>
      <c r="CZ342" s="3"/>
      <c r="DA342" s="49"/>
      <c r="DC342" s="18">
        <f t="shared" si="15"/>
        <v>0</v>
      </c>
      <c r="DD342" s="18">
        <f t="shared" si="16"/>
        <v>3</v>
      </c>
      <c r="DE342" s="18">
        <f t="shared" si="17"/>
        <v>1987</v>
      </c>
    </row>
    <row r="343" spans="1:109" x14ac:dyDescent="0.25">
      <c r="A343" s="59" t="s">
        <v>1320</v>
      </c>
      <c r="B343" s="103">
        <v>41547</v>
      </c>
      <c r="C343" s="106" t="s">
        <v>1564</v>
      </c>
      <c r="D343" s="14" t="s">
        <v>910</v>
      </c>
      <c r="E343" s="15" t="s">
        <v>188</v>
      </c>
      <c r="F343" s="15"/>
      <c r="G343" s="15"/>
      <c r="H343" s="15"/>
      <c r="I343" s="15">
        <v>35</v>
      </c>
      <c r="J343" s="15" t="s">
        <v>189</v>
      </c>
      <c r="K343" s="15" t="s">
        <v>190</v>
      </c>
      <c r="L343" s="15" t="s">
        <v>969</v>
      </c>
      <c r="M343" s="15" t="s">
        <v>1143</v>
      </c>
      <c r="N343" s="15" t="s">
        <v>1118</v>
      </c>
      <c r="O343" s="15">
        <v>10</v>
      </c>
      <c r="P343" s="15" t="s">
        <v>188</v>
      </c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 t="s">
        <v>188</v>
      </c>
      <c r="AG343" s="15"/>
      <c r="AH343" s="15">
        <v>1985</v>
      </c>
      <c r="AI343" s="1" t="s">
        <v>269</v>
      </c>
      <c r="AJ343" s="15" t="s">
        <v>188</v>
      </c>
      <c r="AK343" s="15"/>
      <c r="AL343" s="15"/>
      <c r="AM343" s="15"/>
      <c r="AN343" s="15"/>
      <c r="AO343" s="15" t="s">
        <v>188</v>
      </c>
      <c r="AP343" s="15"/>
      <c r="AQ343" s="15"/>
      <c r="AR343" s="15"/>
      <c r="AS343" s="15"/>
      <c r="AT343" s="15" t="s">
        <v>192</v>
      </c>
      <c r="AU343" s="1">
        <v>4000</v>
      </c>
      <c r="AV343" s="48">
        <v>0.5</v>
      </c>
      <c r="AW343" s="15">
        <v>6</v>
      </c>
      <c r="AX343" s="15">
        <v>4.7</v>
      </c>
      <c r="AY343" s="15">
        <v>2</v>
      </c>
      <c r="AZ343" s="15">
        <v>190</v>
      </c>
      <c r="BA343" s="15">
        <v>1000</v>
      </c>
      <c r="BB343" s="15" t="s">
        <v>199</v>
      </c>
      <c r="BC343" s="15" t="s">
        <v>199</v>
      </c>
      <c r="BD343" s="15" t="s">
        <v>199</v>
      </c>
      <c r="BE343" s="1">
        <v>20000</v>
      </c>
      <c r="BF343" s="1" t="s">
        <v>193</v>
      </c>
      <c r="BG343" s="1" t="s">
        <v>193</v>
      </c>
      <c r="BH343" s="1" t="s">
        <v>193</v>
      </c>
      <c r="BI343" s="1" t="s">
        <v>234</v>
      </c>
      <c r="BJ343" s="15" t="s">
        <v>188</v>
      </c>
      <c r="BK343" s="15" t="s">
        <v>188</v>
      </c>
      <c r="BL343" s="15"/>
      <c r="BM343" s="15"/>
      <c r="BN343" s="15"/>
      <c r="BO343" s="15" t="s">
        <v>188</v>
      </c>
      <c r="BP343" s="15"/>
      <c r="BQ343" s="15"/>
      <c r="BR343" s="15"/>
      <c r="BS343" s="2"/>
      <c r="BT343" s="15" t="s">
        <v>188</v>
      </c>
      <c r="BU343" s="15"/>
      <c r="BV343" s="15"/>
      <c r="BW343" s="15"/>
      <c r="BX343" s="15">
        <v>2</v>
      </c>
      <c r="BY343" s="15">
        <v>3</v>
      </c>
      <c r="BZ343" s="15">
        <v>1</v>
      </c>
      <c r="CA343" s="15"/>
      <c r="CB343" s="15" t="s">
        <v>188</v>
      </c>
      <c r="CC343" s="15"/>
      <c r="CD343" s="15"/>
      <c r="CE343" s="15"/>
      <c r="CF343" s="15"/>
      <c r="CG343" s="15"/>
      <c r="CH343" s="15"/>
      <c r="CI343" s="15"/>
      <c r="CJ343" s="15"/>
      <c r="CK343" s="15" t="s">
        <v>188</v>
      </c>
      <c r="CL343" s="15"/>
      <c r="CM343" s="15"/>
      <c r="CN343" s="15"/>
      <c r="CO343" s="15"/>
      <c r="CP343" s="15" t="s">
        <v>193</v>
      </c>
      <c r="CQ343" s="15" t="s">
        <v>193</v>
      </c>
      <c r="CR343" s="15" t="s">
        <v>188</v>
      </c>
      <c r="CS343" s="15"/>
      <c r="CT343" s="15"/>
      <c r="CU343" s="15"/>
      <c r="CV343" s="15" t="s">
        <v>188</v>
      </c>
      <c r="CW343" s="15" t="s">
        <v>270</v>
      </c>
      <c r="CX343" s="15"/>
      <c r="CY343" s="15"/>
      <c r="CZ343" s="3"/>
      <c r="DA343" s="49"/>
      <c r="DC343" s="18">
        <f t="shared" si="15"/>
        <v>0</v>
      </c>
      <c r="DD343" s="18">
        <f t="shared" si="16"/>
        <v>1</v>
      </c>
      <c r="DE343" s="18">
        <f t="shared" si="17"/>
        <v>1985</v>
      </c>
    </row>
    <row r="344" spans="1:109" x14ac:dyDescent="0.25">
      <c r="A344" s="59" t="s">
        <v>1320</v>
      </c>
      <c r="B344" s="103">
        <v>41547</v>
      </c>
      <c r="C344" s="106" t="s">
        <v>1564</v>
      </c>
      <c r="D344" s="14" t="s">
        <v>911</v>
      </c>
      <c r="E344" s="15" t="s">
        <v>188</v>
      </c>
      <c r="F344" s="15"/>
      <c r="G344" s="15"/>
      <c r="H344" s="15"/>
      <c r="I344" s="15">
        <v>52</v>
      </c>
      <c r="J344" s="15" t="s">
        <v>189</v>
      </c>
      <c r="K344" s="15" t="s">
        <v>445</v>
      </c>
      <c r="L344" s="15" t="s">
        <v>970</v>
      </c>
      <c r="M344" s="15" t="s">
        <v>1144</v>
      </c>
      <c r="N344" s="15" t="s">
        <v>1106</v>
      </c>
      <c r="O344" s="15">
        <v>30</v>
      </c>
      <c r="P344" s="15"/>
      <c r="Q344" s="15" t="s">
        <v>188</v>
      </c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 t="s">
        <v>188</v>
      </c>
      <c r="AG344" s="15"/>
      <c r="AH344" s="15">
        <v>1998</v>
      </c>
      <c r="AI344" s="1">
        <v>1322678</v>
      </c>
      <c r="AJ344" s="15"/>
      <c r="AK344" s="15"/>
      <c r="AL344" s="15" t="s">
        <v>188</v>
      </c>
      <c r="AM344" s="15"/>
      <c r="AN344" s="15"/>
      <c r="AO344" s="15"/>
      <c r="AP344" s="15" t="s">
        <v>188</v>
      </c>
      <c r="AQ344" s="15"/>
      <c r="AR344" s="15"/>
      <c r="AS344" s="15"/>
      <c r="AT344" s="15" t="s">
        <v>322</v>
      </c>
      <c r="AU344" s="1">
        <v>12000</v>
      </c>
      <c r="AV344" s="48">
        <v>0.5</v>
      </c>
      <c r="AW344" s="15">
        <v>3.9</v>
      </c>
      <c r="AX344" s="15">
        <v>3.2</v>
      </c>
      <c r="AY344" s="15">
        <v>2</v>
      </c>
      <c r="AZ344" s="15">
        <v>700</v>
      </c>
      <c r="BA344" s="15">
        <v>2500</v>
      </c>
      <c r="BB344" s="15" t="s">
        <v>188</v>
      </c>
      <c r="BC344" s="15" t="s">
        <v>199</v>
      </c>
      <c r="BD344" s="15" t="s">
        <v>199</v>
      </c>
      <c r="BE344" s="1">
        <v>15000</v>
      </c>
      <c r="BF344" s="1">
        <v>180000</v>
      </c>
      <c r="BG344" s="1">
        <v>30000</v>
      </c>
      <c r="BH344" s="1">
        <v>150000</v>
      </c>
      <c r="BI344" s="1" t="s">
        <v>193</v>
      </c>
      <c r="BJ344" s="15" t="s">
        <v>188</v>
      </c>
      <c r="BK344" s="15" t="s">
        <v>188</v>
      </c>
      <c r="BL344" s="15"/>
      <c r="BM344" s="15"/>
      <c r="BN344" s="15"/>
      <c r="BO344" s="15" t="s">
        <v>188</v>
      </c>
      <c r="BP344" s="15"/>
      <c r="BQ344" s="15"/>
      <c r="BR344" s="15"/>
      <c r="BS344" s="2"/>
      <c r="BT344" s="15" t="s">
        <v>188</v>
      </c>
      <c r="BU344" s="15"/>
      <c r="BV344" s="15"/>
      <c r="BW344" s="15"/>
      <c r="BX344" s="15">
        <v>3</v>
      </c>
      <c r="BY344" s="15">
        <v>2</v>
      </c>
      <c r="BZ344" s="15">
        <v>1</v>
      </c>
      <c r="CA344" s="15"/>
      <c r="CB344" s="15" t="s">
        <v>188</v>
      </c>
      <c r="CC344" s="15"/>
      <c r="CD344" s="15"/>
      <c r="CE344" s="15"/>
      <c r="CF344" s="15"/>
      <c r="CG344" s="15"/>
      <c r="CH344" s="15"/>
      <c r="CI344" s="15"/>
      <c r="CJ344" s="15"/>
      <c r="CK344" s="15" t="s">
        <v>188</v>
      </c>
      <c r="CL344" s="15"/>
      <c r="CM344" s="15"/>
      <c r="CN344" s="15"/>
      <c r="CO344" s="15"/>
      <c r="CP344" s="15" t="s">
        <v>193</v>
      </c>
      <c r="CQ344" s="15" t="s">
        <v>193</v>
      </c>
      <c r="CR344" s="15"/>
      <c r="CS344" s="15"/>
      <c r="CT344" s="15" t="s">
        <v>188</v>
      </c>
      <c r="CU344" s="15"/>
      <c r="CV344" s="15"/>
      <c r="CW344" s="15"/>
      <c r="CX344" s="15" t="s">
        <v>188</v>
      </c>
      <c r="CY344" s="15"/>
      <c r="CZ344" s="3"/>
      <c r="DA344" s="49"/>
      <c r="DC344" s="18">
        <f t="shared" si="15"/>
        <v>0</v>
      </c>
      <c r="DD344" s="18">
        <f t="shared" si="16"/>
        <v>1</v>
      </c>
      <c r="DE344" s="18">
        <f t="shared" si="17"/>
        <v>1998</v>
      </c>
    </row>
    <row r="345" spans="1:109" x14ac:dyDescent="0.25">
      <c r="A345" s="59" t="s">
        <v>1320</v>
      </c>
      <c r="B345" s="103">
        <v>41547</v>
      </c>
      <c r="C345" s="106" t="s">
        <v>1564</v>
      </c>
      <c r="D345" s="14" t="s">
        <v>912</v>
      </c>
      <c r="E345" s="15"/>
      <c r="F345" s="15"/>
      <c r="G345" s="15"/>
      <c r="H345" s="15" t="s">
        <v>188</v>
      </c>
      <c r="I345" s="15">
        <v>32</v>
      </c>
      <c r="J345" s="15" t="s">
        <v>189</v>
      </c>
      <c r="K345" s="15" t="s">
        <v>196</v>
      </c>
      <c r="L345" s="15" t="s">
        <v>819</v>
      </c>
      <c r="M345" s="15" t="s">
        <v>1109</v>
      </c>
      <c r="N345" s="15" t="s">
        <v>1106</v>
      </c>
      <c r="O345" s="15">
        <v>15</v>
      </c>
      <c r="P345" s="15"/>
      <c r="Q345" s="15"/>
      <c r="R345" s="15"/>
      <c r="S345" s="15" t="s">
        <v>188</v>
      </c>
      <c r="T345" s="15"/>
      <c r="U345" s="15" t="s">
        <v>188</v>
      </c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>
        <v>2003</v>
      </c>
      <c r="AI345" s="1">
        <v>729811</v>
      </c>
      <c r="AJ345" s="15"/>
      <c r="AK345" s="15"/>
      <c r="AL345" s="15" t="s">
        <v>188</v>
      </c>
      <c r="AM345" s="15"/>
      <c r="AN345" s="15"/>
      <c r="AO345" s="15"/>
      <c r="AP345" s="15" t="s">
        <v>188</v>
      </c>
      <c r="AQ345" s="15"/>
      <c r="AR345" s="15"/>
      <c r="AS345" s="15"/>
      <c r="AT345" s="15" t="s">
        <v>322</v>
      </c>
      <c r="AU345" s="1">
        <v>8000</v>
      </c>
      <c r="AV345" s="48">
        <v>0.5</v>
      </c>
      <c r="AW345" s="15">
        <v>2.7</v>
      </c>
      <c r="AX345" s="15">
        <v>2.4</v>
      </c>
      <c r="AY345" s="15">
        <v>2</v>
      </c>
      <c r="AZ345" s="15">
        <v>770</v>
      </c>
      <c r="BA345" s="15">
        <v>2000</v>
      </c>
      <c r="BB345" s="15" t="s">
        <v>188</v>
      </c>
      <c r="BC345" s="15" t="s">
        <v>188</v>
      </c>
      <c r="BD345" s="15" t="s">
        <v>199</v>
      </c>
      <c r="BE345" s="1">
        <v>25000</v>
      </c>
      <c r="BF345" s="1">
        <v>200000</v>
      </c>
      <c r="BG345" s="1">
        <v>25000</v>
      </c>
      <c r="BH345" s="1">
        <v>120000</v>
      </c>
      <c r="BI345" s="1" t="s">
        <v>193</v>
      </c>
      <c r="BJ345" s="15"/>
      <c r="BK345" s="15" t="s">
        <v>188</v>
      </c>
      <c r="BL345" s="15"/>
      <c r="BM345" s="15" t="s">
        <v>188</v>
      </c>
      <c r="BN345" s="15" t="s">
        <v>188</v>
      </c>
      <c r="BO345" s="15" t="s">
        <v>188</v>
      </c>
      <c r="BP345" s="15" t="s">
        <v>188</v>
      </c>
      <c r="BQ345" s="15"/>
      <c r="BR345" s="15"/>
      <c r="BS345" s="2"/>
      <c r="BT345" s="15"/>
      <c r="BU345" s="15" t="s">
        <v>188</v>
      </c>
      <c r="BV345" s="15"/>
      <c r="BW345" s="15"/>
      <c r="BX345" s="15">
        <v>1</v>
      </c>
      <c r="BY345" s="15">
        <v>3</v>
      </c>
      <c r="BZ345" s="15">
        <v>2</v>
      </c>
      <c r="CA345" s="15"/>
      <c r="CB345" s="15" t="s">
        <v>188</v>
      </c>
      <c r="CC345" s="15"/>
      <c r="CD345" s="15"/>
      <c r="CE345" s="15"/>
      <c r="CF345" s="15"/>
      <c r="CG345" s="15"/>
      <c r="CH345" s="15"/>
      <c r="CI345" s="15"/>
      <c r="CJ345" s="15"/>
      <c r="CK345" s="15" t="s">
        <v>188</v>
      </c>
      <c r="CL345" s="15"/>
      <c r="CM345" s="15"/>
      <c r="CN345" s="15"/>
      <c r="CO345" s="15"/>
      <c r="CP345" s="15" t="s">
        <v>193</v>
      </c>
      <c r="CQ345" s="15" t="s">
        <v>193</v>
      </c>
      <c r="CR345" s="15" t="s">
        <v>188</v>
      </c>
      <c r="CS345" s="15"/>
      <c r="CT345" s="15"/>
      <c r="CU345" s="15"/>
      <c r="CV345" s="15"/>
      <c r="CW345" s="15"/>
      <c r="CX345" s="15" t="s">
        <v>188</v>
      </c>
      <c r="CY345" s="15" t="s">
        <v>188</v>
      </c>
      <c r="CZ345" s="3"/>
      <c r="DA345" s="49"/>
      <c r="DC345" s="18">
        <f t="shared" si="15"/>
        <v>0</v>
      </c>
      <c r="DD345" s="18">
        <f t="shared" si="16"/>
        <v>7</v>
      </c>
      <c r="DE345" s="18">
        <f t="shared" si="17"/>
        <v>2003</v>
      </c>
    </row>
    <row r="346" spans="1:109" x14ac:dyDescent="0.25">
      <c r="A346" s="59" t="s">
        <v>1320</v>
      </c>
      <c r="B346" s="103">
        <v>41547</v>
      </c>
      <c r="C346" s="106" t="s">
        <v>1564</v>
      </c>
      <c r="D346" s="14" t="s">
        <v>913</v>
      </c>
      <c r="E346" s="15" t="s">
        <v>188</v>
      </c>
      <c r="F346" s="15"/>
      <c r="G346" s="15"/>
      <c r="H346" s="15"/>
      <c r="I346" s="15">
        <v>30</v>
      </c>
      <c r="J346" s="15" t="s">
        <v>189</v>
      </c>
      <c r="K346" s="15" t="s">
        <v>190</v>
      </c>
      <c r="L346" s="15" t="s">
        <v>971</v>
      </c>
      <c r="M346" s="15" t="s">
        <v>1145</v>
      </c>
      <c r="N346" s="15" t="s">
        <v>1089</v>
      </c>
      <c r="O346" s="15">
        <v>12</v>
      </c>
      <c r="P346" s="15"/>
      <c r="Q346" s="15"/>
      <c r="R346" s="15"/>
      <c r="S346" s="15" t="s">
        <v>188</v>
      </c>
      <c r="T346" s="15"/>
      <c r="U346" s="15"/>
      <c r="V346" s="15" t="s">
        <v>188</v>
      </c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>
        <v>2002</v>
      </c>
      <c r="AI346" s="1">
        <v>989615</v>
      </c>
      <c r="AJ346" s="15"/>
      <c r="AK346" s="15"/>
      <c r="AL346" s="15" t="s">
        <v>188</v>
      </c>
      <c r="AM346" s="15"/>
      <c r="AN346" s="15"/>
      <c r="AO346" s="15"/>
      <c r="AP346" s="15" t="s">
        <v>188</v>
      </c>
      <c r="AQ346" s="15"/>
      <c r="AR346" s="15"/>
      <c r="AS346" s="15"/>
      <c r="AT346" s="15" t="s">
        <v>266</v>
      </c>
      <c r="AU346" s="1">
        <v>10000</v>
      </c>
      <c r="AV346" s="48">
        <v>0.1</v>
      </c>
      <c r="AW346" s="15">
        <v>2.9</v>
      </c>
      <c r="AX346" s="15">
        <v>2.5</v>
      </c>
      <c r="AY346" s="15">
        <v>2</v>
      </c>
      <c r="AZ346" s="15">
        <v>1040</v>
      </c>
      <c r="BA346" s="15">
        <v>2800</v>
      </c>
      <c r="BB346" s="15" t="s">
        <v>188</v>
      </c>
      <c r="BC346" s="15" t="s">
        <v>188</v>
      </c>
      <c r="BD346" s="15" t="s">
        <v>199</v>
      </c>
      <c r="BE346" s="1">
        <v>20000</v>
      </c>
      <c r="BF346" s="1">
        <v>120000</v>
      </c>
      <c r="BG346" s="1">
        <v>20000</v>
      </c>
      <c r="BH346" s="1">
        <v>120000</v>
      </c>
      <c r="BI346" s="1" t="s">
        <v>193</v>
      </c>
      <c r="BJ346" s="15" t="s">
        <v>188</v>
      </c>
      <c r="BK346" s="15" t="s">
        <v>188</v>
      </c>
      <c r="BL346" s="15"/>
      <c r="BM346" s="15"/>
      <c r="BN346" s="15" t="s">
        <v>188</v>
      </c>
      <c r="BO346" s="15"/>
      <c r="BP346" s="15"/>
      <c r="BQ346" s="15" t="s">
        <v>188</v>
      </c>
      <c r="BR346" s="15"/>
      <c r="BS346" s="2"/>
      <c r="BT346" s="15"/>
      <c r="BU346" s="15" t="s">
        <v>188</v>
      </c>
      <c r="BV346" s="15"/>
      <c r="BW346" s="15"/>
      <c r="BX346" s="15">
        <v>1</v>
      </c>
      <c r="BY346" s="15">
        <v>2</v>
      </c>
      <c r="BZ346" s="15">
        <v>3</v>
      </c>
      <c r="CA346" s="15"/>
      <c r="CB346" s="15"/>
      <c r="CC346" s="15" t="s">
        <v>188</v>
      </c>
      <c r="CD346" s="15"/>
      <c r="CE346" s="15"/>
      <c r="CF346" s="15"/>
      <c r="CG346" s="15"/>
      <c r="CH346" s="15" t="s">
        <v>188</v>
      </c>
      <c r="CI346" s="15"/>
      <c r="CJ346" s="15"/>
      <c r="CK346" s="15" t="s">
        <v>188</v>
      </c>
      <c r="CL346" s="15"/>
      <c r="CM346" s="15"/>
      <c r="CN346" s="15"/>
      <c r="CO346" s="15"/>
      <c r="CP346" s="15" t="s">
        <v>193</v>
      </c>
      <c r="CQ346" s="15" t="s">
        <v>193</v>
      </c>
      <c r="CR346" s="15" t="s">
        <v>188</v>
      </c>
      <c r="CS346" s="15"/>
      <c r="CT346" s="15"/>
      <c r="CU346" s="15"/>
      <c r="CV346" s="15"/>
      <c r="CW346" s="15"/>
      <c r="CX346" s="15"/>
      <c r="CY346" s="15" t="s">
        <v>188</v>
      </c>
      <c r="CZ346" s="3"/>
      <c r="DA346" s="49"/>
      <c r="DC346" s="18">
        <f t="shared" si="15"/>
        <v>0</v>
      </c>
      <c r="DD346" s="18">
        <f t="shared" si="16"/>
        <v>1</v>
      </c>
      <c r="DE346" s="18">
        <f t="shared" si="17"/>
        <v>2002</v>
      </c>
    </row>
    <row r="347" spans="1:109" x14ac:dyDescent="0.25">
      <c r="A347" s="59" t="s">
        <v>1320</v>
      </c>
      <c r="B347" s="103">
        <v>41547</v>
      </c>
      <c r="C347" s="106" t="s">
        <v>1564</v>
      </c>
      <c r="D347" s="14" t="s">
        <v>914</v>
      </c>
      <c r="E347" s="15"/>
      <c r="F347" s="15"/>
      <c r="G347" s="15" t="s">
        <v>188</v>
      </c>
      <c r="H347" s="15"/>
      <c r="I347" s="15">
        <v>37</v>
      </c>
      <c r="J347" s="15" t="s">
        <v>189</v>
      </c>
      <c r="K347" s="15" t="s">
        <v>196</v>
      </c>
      <c r="L347" s="15" t="s">
        <v>809</v>
      </c>
      <c r="M347" s="15" t="s">
        <v>1101</v>
      </c>
      <c r="N347" s="15" t="s">
        <v>1102</v>
      </c>
      <c r="O347" s="15">
        <v>20</v>
      </c>
      <c r="P347" s="15"/>
      <c r="Q347" s="15"/>
      <c r="R347" s="15"/>
      <c r="S347" s="15" t="s">
        <v>188</v>
      </c>
      <c r="T347" s="15"/>
      <c r="U347" s="15" t="s">
        <v>188</v>
      </c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>
        <v>2003</v>
      </c>
      <c r="AI347" s="1">
        <v>862115</v>
      </c>
      <c r="AJ347" s="15"/>
      <c r="AK347" s="15"/>
      <c r="AL347" s="15" t="s">
        <v>188</v>
      </c>
      <c r="AM347" s="15"/>
      <c r="AN347" s="15"/>
      <c r="AO347" s="15"/>
      <c r="AP347" s="15" t="s">
        <v>188</v>
      </c>
      <c r="AQ347" s="15"/>
      <c r="AR347" s="15"/>
      <c r="AS347" s="15"/>
      <c r="AT347" s="15" t="s">
        <v>322</v>
      </c>
      <c r="AU347" s="1">
        <v>8000</v>
      </c>
      <c r="AV347" s="48">
        <v>0.05</v>
      </c>
      <c r="AW347" s="15">
        <v>2.8</v>
      </c>
      <c r="AX347" s="15">
        <v>2.4</v>
      </c>
      <c r="AY347" s="15">
        <v>2</v>
      </c>
      <c r="AZ347" s="15">
        <v>850</v>
      </c>
      <c r="BA347" s="15">
        <v>2200</v>
      </c>
      <c r="BB347" s="15" t="s">
        <v>188</v>
      </c>
      <c r="BC347" s="15" t="s">
        <v>199</v>
      </c>
      <c r="BD347" s="15" t="s">
        <v>199</v>
      </c>
      <c r="BE347" s="1">
        <v>25000</v>
      </c>
      <c r="BF347" s="1">
        <v>150000</v>
      </c>
      <c r="BG347" s="1">
        <v>25000</v>
      </c>
      <c r="BH347" s="1">
        <v>100000</v>
      </c>
      <c r="BI347" s="1" t="s">
        <v>193</v>
      </c>
      <c r="BJ347" s="15"/>
      <c r="BK347" s="15" t="s">
        <v>188</v>
      </c>
      <c r="BL347" s="15"/>
      <c r="BM347" s="15" t="s">
        <v>188</v>
      </c>
      <c r="BN347" s="15" t="s">
        <v>188</v>
      </c>
      <c r="BO347" s="15"/>
      <c r="BP347" s="15" t="s">
        <v>188</v>
      </c>
      <c r="BQ347" s="15"/>
      <c r="BR347" s="15"/>
      <c r="BS347" s="2"/>
      <c r="BT347" s="15"/>
      <c r="BU347" s="15" t="s">
        <v>188</v>
      </c>
      <c r="BV347" s="15"/>
      <c r="BW347" s="15"/>
      <c r="BX347" s="15">
        <v>1</v>
      </c>
      <c r="BY347" s="15">
        <v>3</v>
      </c>
      <c r="BZ347" s="15">
        <v>2</v>
      </c>
      <c r="CA347" s="15"/>
      <c r="CB347" s="15" t="s">
        <v>188</v>
      </c>
      <c r="CC347" s="15"/>
      <c r="CD347" s="15"/>
      <c r="CE347" s="15"/>
      <c r="CF347" s="15"/>
      <c r="CG347" s="15"/>
      <c r="CH347" s="15"/>
      <c r="CI347" s="15"/>
      <c r="CJ347" s="15"/>
      <c r="CK347" s="15" t="s">
        <v>188</v>
      </c>
      <c r="CL347" s="15"/>
      <c r="CM347" s="15"/>
      <c r="CN347" s="15"/>
      <c r="CO347" s="15"/>
      <c r="CP347" s="15" t="s">
        <v>193</v>
      </c>
      <c r="CQ347" s="15" t="s">
        <v>193</v>
      </c>
      <c r="CR347" s="15" t="s">
        <v>188</v>
      </c>
      <c r="CS347" s="15"/>
      <c r="CT347" s="15"/>
      <c r="CU347" s="15"/>
      <c r="CV347" s="15"/>
      <c r="CW347" s="15"/>
      <c r="CX347" s="15" t="s">
        <v>188</v>
      </c>
      <c r="CY347" s="15" t="s">
        <v>188</v>
      </c>
      <c r="CZ347" s="3"/>
      <c r="DA347" s="49"/>
      <c r="DC347" s="18">
        <f t="shared" si="15"/>
        <v>0</v>
      </c>
      <c r="DD347" s="18">
        <f t="shared" si="16"/>
        <v>3</v>
      </c>
      <c r="DE347" s="18">
        <f t="shared" si="17"/>
        <v>2003</v>
      </c>
    </row>
    <row r="348" spans="1:109" x14ac:dyDescent="0.25">
      <c r="A348" s="59" t="s">
        <v>1320</v>
      </c>
      <c r="B348" s="103">
        <v>41547</v>
      </c>
      <c r="C348" s="106" t="s">
        <v>1564</v>
      </c>
      <c r="D348" s="14" t="s">
        <v>915</v>
      </c>
      <c r="E348" s="15" t="s">
        <v>188</v>
      </c>
      <c r="F348" s="15"/>
      <c r="G348" s="15"/>
      <c r="H348" s="15"/>
      <c r="I348" s="15">
        <v>49</v>
      </c>
      <c r="J348" s="15" t="s">
        <v>189</v>
      </c>
      <c r="K348" s="15" t="s">
        <v>445</v>
      </c>
      <c r="L348" s="15" t="s">
        <v>972</v>
      </c>
      <c r="M348" s="15" t="s">
        <v>1146</v>
      </c>
      <c r="N348" s="15" t="s">
        <v>1005</v>
      </c>
      <c r="O348" s="15">
        <v>30</v>
      </c>
      <c r="P348" s="15"/>
      <c r="Q348" s="15" t="s">
        <v>188</v>
      </c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 t="s">
        <v>188</v>
      </c>
      <c r="AG348" s="15"/>
      <c r="AH348" s="15">
        <v>1995</v>
      </c>
      <c r="AI348" s="1" t="s">
        <v>269</v>
      </c>
      <c r="AJ348" s="15"/>
      <c r="AK348" s="15"/>
      <c r="AL348" s="15" t="s">
        <v>188</v>
      </c>
      <c r="AM348" s="15"/>
      <c r="AN348" s="15"/>
      <c r="AO348" s="15" t="s">
        <v>188</v>
      </c>
      <c r="AP348" s="15"/>
      <c r="AQ348" s="15"/>
      <c r="AR348" s="15"/>
      <c r="AS348" s="15"/>
      <c r="AT348" s="15" t="s">
        <v>322</v>
      </c>
      <c r="AU348" s="1">
        <v>6000</v>
      </c>
      <c r="AV348" s="48">
        <v>0.2</v>
      </c>
      <c r="AW348" s="15">
        <v>3.9</v>
      </c>
      <c r="AX348" s="15">
        <v>3.1</v>
      </c>
      <c r="AY348" s="15">
        <v>2</v>
      </c>
      <c r="AZ348" s="15">
        <v>570</v>
      </c>
      <c r="BA348" s="15">
        <v>2000</v>
      </c>
      <c r="BB348" s="15" t="s">
        <v>188</v>
      </c>
      <c r="BC348" s="15" t="s">
        <v>199</v>
      </c>
      <c r="BD348" s="15" t="s">
        <v>199</v>
      </c>
      <c r="BE348" s="1">
        <v>18000</v>
      </c>
      <c r="BF348" s="1" t="s">
        <v>193</v>
      </c>
      <c r="BG348" s="1">
        <v>36000</v>
      </c>
      <c r="BH348" s="1">
        <v>100000</v>
      </c>
      <c r="BI348" s="1" t="s">
        <v>193</v>
      </c>
      <c r="BJ348" s="15"/>
      <c r="BK348" s="15" t="s">
        <v>188</v>
      </c>
      <c r="BL348" s="15"/>
      <c r="BM348" s="15"/>
      <c r="BN348" s="15"/>
      <c r="BO348" s="15" t="s">
        <v>188</v>
      </c>
      <c r="BP348" s="15"/>
      <c r="BQ348" s="15"/>
      <c r="BR348" s="15"/>
      <c r="BS348" s="2"/>
      <c r="BT348" s="15" t="s">
        <v>188</v>
      </c>
      <c r="BU348" s="15"/>
      <c r="BV348" s="15"/>
      <c r="BW348" s="15"/>
      <c r="BX348" s="15">
        <v>3</v>
      </c>
      <c r="BY348" s="15">
        <v>2</v>
      </c>
      <c r="BZ348" s="15">
        <v>1</v>
      </c>
      <c r="CA348" s="15"/>
      <c r="CB348" s="15" t="s">
        <v>188</v>
      </c>
      <c r="CC348" s="15"/>
      <c r="CD348" s="15"/>
      <c r="CE348" s="15"/>
      <c r="CF348" s="15"/>
      <c r="CG348" s="15"/>
      <c r="CH348" s="15"/>
      <c r="CI348" s="15"/>
      <c r="CJ348" s="15"/>
      <c r="CK348" s="15" t="s">
        <v>188</v>
      </c>
      <c r="CL348" s="15"/>
      <c r="CM348" s="15"/>
      <c r="CN348" s="15"/>
      <c r="CO348" s="15"/>
      <c r="CP348" s="15" t="s">
        <v>193</v>
      </c>
      <c r="CQ348" s="15" t="s">
        <v>193</v>
      </c>
      <c r="CR348" s="15" t="s">
        <v>188</v>
      </c>
      <c r="CS348" s="15"/>
      <c r="CT348" s="15"/>
      <c r="CU348" s="15"/>
      <c r="CV348" s="15"/>
      <c r="CW348" s="15"/>
      <c r="CX348" s="15" t="s">
        <v>188</v>
      </c>
      <c r="CY348" s="15" t="s">
        <v>188</v>
      </c>
      <c r="CZ348" s="3"/>
      <c r="DA348" s="49"/>
      <c r="DC348" s="18">
        <f t="shared" si="15"/>
        <v>0</v>
      </c>
      <c r="DD348" s="18">
        <f t="shared" si="16"/>
        <v>1</v>
      </c>
      <c r="DE348" s="18">
        <f t="shared" si="17"/>
        <v>1995</v>
      </c>
    </row>
    <row r="349" spans="1:109" x14ac:dyDescent="0.25">
      <c r="A349" s="59" t="s">
        <v>1320</v>
      </c>
      <c r="B349" s="103">
        <v>41547</v>
      </c>
      <c r="C349" s="106" t="s">
        <v>1565</v>
      </c>
      <c r="D349" s="14" t="s">
        <v>916</v>
      </c>
      <c r="E349" s="15"/>
      <c r="F349" s="15"/>
      <c r="G349" s="15"/>
      <c r="H349" s="15" t="s">
        <v>188</v>
      </c>
      <c r="I349" s="15">
        <v>30</v>
      </c>
      <c r="J349" s="15" t="s">
        <v>189</v>
      </c>
      <c r="K349" s="15" t="s">
        <v>190</v>
      </c>
      <c r="L349" s="15" t="s">
        <v>973</v>
      </c>
      <c r="M349" s="15" t="s">
        <v>1147</v>
      </c>
      <c r="N349" s="15" t="s">
        <v>1133</v>
      </c>
      <c r="O349" s="15">
        <v>12</v>
      </c>
      <c r="P349" s="15"/>
      <c r="Q349" s="15"/>
      <c r="R349" s="15"/>
      <c r="S349" s="15" t="s">
        <v>188</v>
      </c>
      <c r="T349" s="15"/>
      <c r="U349" s="15" t="s">
        <v>188</v>
      </c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>
        <v>2007</v>
      </c>
      <c r="AI349" s="1">
        <v>713214</v>
      </c>
      <c r="AJ349" s="15"/>
      <c r="AK349" s="15"/>
      <c r="AL349" s="15" t="s">
        <v>188</v>
      </c>
      <c r="AM349" s="15"/>
      <c r="AN349" s="15"/>
      <c r="AO349" s="15"/>
      <c r="AP349" s="15" t="s">
        <v>188</v>
      </c>
      <c r="AQ349" s="15"/>
      <c r="AR349" s="15"/>
      <c r="AS349" s="15"/>
      <c r="AT349" s="15" t="s">
        <v>266</v>
      </c>
      <c r="AU349" s="1">
        <v>12000</v>
      </c>
      <c r="AV349" s="48">
        <v>0</v>
      </c>
      <c r="AW349" s="15">
        <v>2.8</v>
      </c>
      <c r="AX349" s="15">
        <v>2.5</v>
      </c>
      <c r="AY349" s="15">
        <v>2</v>
      </c>
      <c r="AZ349" s="15">
        <v>770</v>
      </c>
      <c r="BA349" s="15">
        <v>2000</v>
      </c>
      <c r="BB349" s="15" t="s">
        <v>188</v>
      </c>
      <c r="BC349" s="15" t="s">
        <v>188</v>
      </c>
      <c r="BD349" s="15" t="s">
        <v>199</v>
      </c>
      <c r="BE349" s="1">
        <v>18000</v>
      </c>
      <c r="BF349" s="1">
        <v>220000</v>
      </c>
      <c r="BG349" s="1">
        <v>24000</v>
      </c>
      <c r="BH349" s="1">
        <v>180000</v>
      </c>
      <c r="BI349" s="1" t="s">
        <v>193</v>
      </c>
      <c r="BJ349" s="15"/>
      <c r="BK349" s="15"/>
      <c r="BL349" s="15"/>
      <c r="BM349" s="15"/>
      <c r="BN349" s="15" t="s">
        <v>188</v>
      </c>
      <c r="BO349" s="15"/>
      <c r="BP349" s="15" t="s">
        <v>188</v>
      </c>
      <c r="BQ349" s="15"/>
      <c r="BR349" s="15"/>
      <c r="BS349" s="2"/>
      <c r="BT349" s="15"/>
      <c r="BU349" s="15"/>
      <c r="BV349" s="15" t="s">
        <v>188</v>
      </c>
      <c r="BW349" s="15"/>
      <c r="BX349" s="15">
        <v>1</v>
      </c>
      <c r="BY349" s="15">
        <v>3</v>
      </c>
      <c r="BZ349" s="15">
        <v>2</v>
      </c>
      <c r="CA349" s="15"/>
      <c r="CB349" s="15"/>
      <c r="CC349" s="15" t="s">
        <v>188</v>
      </c>
      <c r="CD349" s="15"/>
      <c r="CE349" s="15"/>
      <c r="CF349" s="15"/>
      <c r="CG349" s="15"/>
      <c r="CH349" s="15" t="s">
        <v>188</v>
      </c>
      <c r="CI349" s="15"/>
      <c r="CJ349" s="15"/>
      <c r="CK349" s="15" t="s">
        <v>188</v>
      </c>
      <c r="CL349" s="15"/>
      <c r="CM349" s="15"/>
      <c r="CN349" s="15"/>
      <c r="CO349" s="15"/>
      <c r="CP349" s="15" t="s">
        <v>193</v>
      </c>
      <c r="CQ349" s="15" t="s">
        <v>193</v>
      </c>
      <c r="CR349" s="15" t="s">
        <v>188</v>
      </c>
      <c r="CS349" s="15"/>
      <c r="CT349" s="15"/>
      <c r="CU349" s="15"/>
      <c r="CV349" s="15"/>
      <c r="CW349" s="15"/>
      <c r="CX349" s="15" t="s">
        <v>188</v>
      </c>
      <c r="CY349" s="15"/>
      <c r="CZ349" s="3"/>
      <c r="DA349" s="49"/>
      <c r="DC349" s="18">
        <f t="shared" si="15"/>
        <v>0</v>
      </c>
      <c r="DD349" s="18">
        <f t="shared" si="16"/>
        <v>7</v>
      </c>
      <c r="DE349" s="18">
        <f t="shared" si="17"/>
        <v>2007</v>
      </c>
    </row>
    <row r="350" spans="1:109" x14ac:dyDescent="0.25">
      <c r="A350" s="59" t="s">
        <v>1320</v>
      </c>
      <c r="B350" s="103">
        <v>41547</v>
      </c>
      <c r="C350" s="106" t="s">
        <v>1565</v>
      </c>
      <c r="D350" s="14" t="s">
        <v>917</v>
      </c>
      <c r="E350" s="15"/>
      <c r="F350" s="15"/>
      <c r="G350" s="15"/>
      <c r="H350" s="15" t="s">
        <v>188</v>
      </c>
      <c r="I350" s="15">
        <v>42</v>
      </c>
      <c r="J350" s="15" t="s">
        <v>189</v>
      </c>
      <c r="K350" s="15" t="s">
        <v>196</v>
      </c>
      <c r="L350" s="15" t="s">
        <v>974</v>
      </c>
      <c r="M350" s="15" t="s">
        <v>1148</v>
      </c>
      <c r="N350" s="15" t="s">
        <v>1087</v>
      </c>
      <c r="O350" s="15">
        <v>22</v>
      </c>
      <c r="P350" s="15"/>
      <c r="Q350" s="15"/>
      <c r="R350" s="15"/>
      <c r="S350" s="15" t="s">
        <v>188</v>
      </c>
      <c r="T350" s="15"/>
      <c r="U350" s="15" t="s">
        <v>188</v>
      </c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>
        <v>2008</v>
      </c>
      <c r="AI350" s="1">
        <v>478213</v>
      </c>
      <c r="AJ350" s="15"/>
      <c r="AK350" s="15"/>
      <c r="AL350" s="15" t="s">
        <v>188</v>
      </c>
      <c r="AM350" s="15"/>
      <c r="AN350" s="15"/>
      <c r="AO350" s="15"/>
      <c r="AP350" s="15" t="s">
        <v>188</v>
      </c>
      <c r="AQ350" s="15"/>
      <c r="AR350" s="15"/>
      <c r="AS350" s="15"/>
      <c r="AT350" s="15" t="s">
        <v>322</v>
      </c>
      <c r="AU350" s="1">
        <v>8000</v>
      </c>
      <c r="AV350" s="48">
        <v>0</v>
      </c>
      <c r="AW350" s="15">
        <v>2.9</v>
      </c>
      <c r="AX350" s="15">
        <v>2.5</v>
      </c>
      <c r="AY350" s="15">
        <v>2</v>
      </c>
      <c r="AZ350" s="15">
        <v>930</v>
      </c>
      <c r="BA350" s="15">
        <v>2500</v>
      </c>
      <c r="BB350" s="15" t="s">
        <v>188</v>
      </c>
      <c r="BC350" s="15" t="s">
        <v>188</v>
      </c>
      <c r="BD350" s="15" t="s">
        <v>199</v>
      </c>
      <c r="BE350" s="1">
        <v>18000</v>
      </c>
      <c r="BF350" s="1">
        <v>140000</v>
      </c>
      <c r="BG350" s="1">
        <v>36000</v>
      </c>
      <c r="BH350" s="1">
        <v>140000</v>
      </c>
      <c r="BI350" s="1" t="s">
        <v>193</v>
      </c>
      <c r="BJ350" s="15"/>
      <c r="BK350" s="15"/>
      <c r="BL350" s="15"/>
      <c r="BM350" s="15" t="s">
        <v>188</v>
      </c>
      <c r="BN350" s="15" t="s">
        <v>188</v>
      </c>
      <c r="BO350" s="15"/>
      <c r="BP350" s="15" t="s">
        <v>188</v>
      </c>
      <c r="BQ350" s="15"/>
      <c r="BR350" s="15"/>
      <c r="BS350" s="2"/>
      <c r="BT350" s="15"/>
      <c r="BU350" s="15"/>
      <c r="BV350" s="15" t="s">
        <v>188</v>
      </c>
      <c r="BW350" s="15"/>
      <c r="BX350" s="15">
        <v>1</v>
      </c>
      <c r="BY350" s="15">
        <v>3</v>
      </c>
      <c r="BZ350" s="15">
        <v>2</v>
      </c>
      <c r="CA350" s="15"/>
      <c r="CB350" s="15" t="s">
        <v>188</v>
      </c>
      <c r="CC350" s="15"/>
      <c r="CD350" s="15"/>
      <c r="CE350" s="15"/>
      <c r="CF350" s="15"/>
      <c r="CG350" s="15"/>
      <c r="CH350" s="15"/>
      <c r="CI350" s="15"/>
      <c r="CJ350" s="15"/>
      <c r="CK350" s="15" t="s">
        <v>188</v>
      </c>
      <c r="CL350" s="15"/>
      <c r="CM350" s="15"/>
      <c r="CN350" s="15"/>
      <c r="CO350" s="15"/>
      <c r="CP350" s="15" t="s">
        <v>193</v>
      </c>
      <c r="CQ350" s="15" t="s">
        <v>193</v>
      </c>
      <c r="CR350" s="15"/>
      <c r="CS350" s="15"/>
      <c r="CT350" s="15" t="s">
        <v>188</v>
      </c>
      <c r="CU350" s="15"/>
      <c r="CV350" s="15"/>
      <c r="CW350" s="15"/>
      <c r="CX350" s="15" t="s">
        <v>188</v>
      </c>
      <c r="CY350" s="15"/>
      <c r="CZ350" s="3"/>
      <c r="DA350" s="49"/>
      <c r="DC350" s="18">
        <f t="shared" si="15"/>
        <v>0</v>
      </c>
      <c r="DD350" s="18">
        <f t="shared" si="16"/>
        <v>7</v>
      </c>
      <c r="DE350" s="18">
        <f t="shared" si="17"/>
        <v>2008</v>
      </c>
    </row>
    <row r="351" spans="1:109" x14ac:dyDescent="0.25">
      <c r="A351" s="59" t="s">
        <v>1320</v>
      </c>
      <c r="B351" s="103">
        <v>41547</v>
      </c>
      <c r="C351" s="106" t="s">
        <v>1565</v>
      </c>
      <c r="D351" s="14" t="s">
        <v>918</v>
      </c>
      <c r="E351" s="15"/>
      <c r="F351" s="15" t="s">
        <v>188</v>
      </c>
      <c r="G351" s="15"/>
      <c r="H351" s="15"/>
      <c r="I351" s="15">
        <v>31</v>
      </c>
      <c r="J351" s="15" t="s">
        <v>189</v>
      </c>
      <c r="K351" s="15" t="s">
        <v>214</v>
      </c>
      <c r="L351" s="15" t="s">
        <v>821</v>
      </c>
      <c r="M351" s="15" t="s">
        <v>1110</v>
      </c>
      <c r="N351" s="15" t="s">
        <v>1089</v>
      </c>
      <c r="O351" s="15">
        <v>10</v>
      </c>
      <c r="P351" s="15"/>
      <c r="Q351" s="15"/>
      <c r="R351" s="15"/>
      <c r="S351" s="15" t="s">
        <v>188</v>
      </c>
      <c r="T351" s="15"/>
      <c r="U351" s="15" t="s">
        <v>188</v>
      </c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>
        <v>2009</v>
      </c>
      <c r="AI351" s="1">
        <v>363248</v>
      </c>
      <c r="AJ351" s="15"/>
      <c r="AK351" s="15"/>
      <c r="AL351" s="15" t="s">
        <v>188</v>
      </c>
      <c r="AM351" s="15"/>
      <c r="AN351" s="15"/>
      <c r="AO351" s="15"/>
      <c r="AP351" s="15" t="s">
        <v>188</v>
      </c>
      <c r="AQ351" s="15"/>
      <c r="AR351" s="15"/>
      <c r="AS351" s="15"/>
      <c r="AT351" s="15" t="s">
        <v>266</v>
      </c>
      <c r="AU351" s="1">
        <v>10000</v>
      </c>
      <c r="AV351" s="48">
        <v>0.1</v>
      </c>
      <c r="AW351" s="15">
        <v>2.8</v>
      </c>
      <c r="AX351" s="15">
        <v>2.4</v>
      </c>
      <c r="AY351" s="15">
        <v>2</v>
      </c>
      <c r="AZ351" s="15">
        <v>920</v>
      </c>
      <c r="BA351" s="15">
        <v>2400</v>
      </c>
      <c r="BB351" s="15" t="s">
        <v>188</v>
      </c>
      <c r="BC351" s="15" t="s">
        <v>188</v>
      </c>
      <c r="BD351" s="15" t="s">
        <v>199</v>
      </c>
      <c r="BE351" s="1">
        <v>20000</v>
      </c>
      <c r="BF351" s="1">
        <v>160000</v>
      </c>
      <c r="BG351" s="1">
        <v>25000</v>
      </c>
      <c r="BH351" s="1">
        <v>120000</v>
      </c>
      <c r="BI351" s="1" t="s">
        <v>193</v>
      </c>
      <c r="BJ351" s="15"/>
      <c r="BK351" s="15"/>
      <c r="BL351" s="15"/>
      <c r="BM351" s="15"/>
      <c r="BN351" s="15" t="s">
        <v>188</v>
      </c>
      <c r="BO351" s="15"/>
      <c r="BP351" s="15" t="s">
        <v>188</v>
      </c>
      <c r="BQ351" s="15"/>
      <c r="BR351" s="15"/>
      <c r="BS351" s="2"/>
      <c r="BT351" s="15"/>
      <c r="BU351" s="15"/>
      <c r="BV351" s="15" t="s">
        <v>188</v>
      </c>
      <c r="BW351" s="15"/>
      <c r="BX351" s="15">
        <v>2</v>
      </c>
      <c r="BY351" s="15">
        <v>3</v>
      </c>
      <c r="BZ351" s="15">
        <v>1</v>
      </c>
      <c r="CA351" s="15"/>
      <c r="CB351" s="15" t="s">
        <v>188</v>
      </c>
      <c r="CC351" s="15"/>
      <c r="CD351" s="15"/>
      <c r="CE351" s="15"/>
      <c r="CF351" s="15"/>
      <c r="CG351" s="15"/>
      <c r="CH351" s="15"/>
      <c r="CI351" s="15"/>
      <c r="CJ351" s="15"/>
      <c r="CK351" s="15" t="s">
        <v>188</v>
      </c>
      <c r="CL351" s="15"/>
      <c r="CM351" s="15"/>
      <c r="CN351" s="15"/>
      <c r="CO351" s="15"/>
      <c r="CP351" s="15" t="s">
        <v>193</v>
      </c>
      <c r="CQ351" s="15" t="s">
        <v>193</v>
      </c>
      <c r="CR351" s="15" t="s">
        <v>188</v>
      </c>
      <c r="CS351" s="15"/>
      <c r="CT351" s="15"/>
      <c r="CU351" s="15"/>
      <c r="CV351" s="15"/>
      <c r="CW351" s="15"/>
      <c r="CX351" s="15" t="s">
        <v>188</v>
      </c>
      <c r="CY351" s="15" t="s">
        <v>188</v>
      </c>
      <c r="CZ351" s="3"/>
      <c r="DA351" s="49"/>
      <c r="DC351" s="18">
        <f t="shared" si="15"/>
        <v>0</v>
      </c>
      <c r="DD351" s="18">
        <f t="shared" si="16"/>
        <v>2</v>
      </c>
      <c r="DE351" s="18">
        <f t="shared" si="17"/>
        <v>2009</v>
      </c>
    </row>
    <row r="352" spans="1:109" x14ac:dyDescent="0.25">
      <c r="A352" s="59" t="s">
        <v>1320</v>
      </c>
      <c r="B352" s="103">
        <v>41547</v>
      </c>
      <c r="C352" s="106" t="s">
        <v>1565</v>
      </c>
      <c r="D352" s="14" t="s">
        <v>919</v>
      </c>
      <c r="E352" s="15"/>
      <c r="F352" s="15"/>
      <c r="G352" s="15" t="s">
        <v>188</v>
      </c>
      <c r="H352" s="15"/>
      <c r="I352" s="15">
        <v>42</v>
      </c>
      <c r="J352" s="15" t="s">
        <v>189</v>
      </c>
      <c r="K352" s="15" t="s">
        <v>190</v>
      </c>
      <c r="L352" s="15" t="s">
        <v>821</v>
      </c>
      <c r="M352" s="15" t="s">
        <v>1110</v>
      </c>
      <c r="N352" s="15" t="s">
        <v>1089</v>
      </c>
      <c r="O352" s="15">
        <v>15</v>
      </c>
      <c r="P352" s="15"/>
      <c r="Q352" s="15"/>
      <c r="R352" s="15"/>
      <c r="S352" s="15" t="s">
        <v>188</v>
      </c>
      <c r="T352" s="15"/>
      <c r="U352" s="15" t="s">
        <v>188</v>
      </c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>
        <v>2006</v>
      </c>
      <c r="AI352" s="1">
        <v>523219</v>
      </c>
      <c r="AJ352" s="15"/>
      <c r="AK352" s="15"/>
      <c r="AL352" s="15" t="s">
        <v>188</v>
      </c>
      <c r="AM352" s="15"/>
      <c r="AN352" s="15"/>
      <c r="AO352" s="15"/>
      <c r="AP352" s="15" t="s">
        <v>188</v>
      </c>
      <c r="AQ352" s="15"/>
      <c r="AR352" s="15"/>
      <c r="AS352" s="15"/>
      <c r="AT352" s="15" t="s">
        <v>322</v>
      </c>
      <c r="AU352" s="1">
        <v>12000</v>
      </c>
      <c r="AV352" s="48">
        <v>0.5</v>
      </c>
      <c r="AW352" s="15">
        <v>2.7</v>
      </c>
      <c r="AX352" s="15">
        <v>2.5</v>
      </c>
      <c r="AY352" s="15">
        <v>3</v>
      </c>
      <c r="AZ352" s="15">
        <v>1080</v>
      </c>
      <c r="BA352" s="15">
        <v>2800</v>
      </c>
      <c r="BB352" s="15" t="s">
        <v>188</v>
      </c>
      <c r="BC352" s="15" t="s">
        <v>199</v>
      </c>
      <c r="BD352" s="15" t="s">
        <v>199</v>
      </c>
      <c r="BE352" s="1">
        <v>18000</v>
      </c>
      <c r="BF352" s="1" t="s">
        <v>193</v>
      </c>
      <c r="BG352" s="1">
        <v>24000</v>
      </c>
      <c r="BH352" s="1">
        <v>120000</v>
      </c>
      <c r="BI352" s="1" t="s">
        <v>193</v>
      </c>
      <c r="BJ352" s="15"/>
      <c r="BK352" s="15"/>
      <c r="BL352" s="15"/>
      <c r="BM352" s="15"/>
      <c r="BN352" s="15" t="s">
        <v>188</v>
      </c>
      <c r="BO352" s="15"/>
      <c r="BP352" s="15" t="s">
        <v>188</v>
      </c>
      <c r="BQ352" s="15"/>
      <c r="BR352" s="15"/>
      <c r="BS352" s="2"/>
      <c r="BT352" s="15"/>
      <c r="BU352" s="15"/>
      <c r="BV352" s="15" t="s">
        <v>188</v>
      </c>
      <c r="BW352" s="15"/>
      <c r="BX352" s="15">
        <v>1</v>
      </c>
      <c r="BY352" s="15">
        <v>2</v>
      </c>
      <c r="BZ352" s="15">
        <v>3</v>
      </c>
      <c r="CA352" s="15"/>
      <c r="CB352" s="15" t="s">
        <v>188</v>
      </c>
      <c r="CC352" s="15"/>
      <c r="CD352" s="15"/>
      <c r="CE352" s="15"/>
      <c r="CF352" s="15"/>
      <c r="CG352" s="15"/>
      <c r="CH352" s="15"/>
      <c r="CI352" s="15"/>
      <c r="CJ352" s="15"/>
      <c r="CK352" s="15" t="s">
        <v>188</v>
      </c>
      <c r="CL352" s="15"/>
      <c r="CM352" s="15"/>
      <c r="CN352" s="15"/>
      <c r="CO352" s="15"/>
      <c r="CP352" s="15" t="s">
        <v>193</v>
      </c>
      <c r="CQ352" s="15" t="s">
        <v>193</v>
      </c>
      <c r="CR352" s="15"/>
      <c r="CS352" s="15" t="s">
        <v>188</v>
      </c>
      <c r="CT352" s="15"/>
      <c r="CU352" s="15"/>
      <c r="CV352" s="15"/>
      <c r="CW352" s="15"/>
      <c r="CX352" s="15"/>
      <c r="CY352" s="15" t="s">
        <v>188</v>
      </c>
      <c r="CZ352" s="3"/>
      <c r="DA352" s="49"/>
      <c r="DC352" s="18">
        <f t="shared" si="15"/>
        <v>0</v>
      </c>
      <c r="DD352" s="18">
        <f t="shared" si="16"/>
        <v>3</v>
      </c>
      <c r="DE352" s="18">
        <f t="shared" si="17"/>
        <v>2006</v>
      </c>
    </row>
    <row r="353" spans="1:109" x14ac:dyDescent="0.25">
      <c r="A353" s="59" t="s">
        <v>1320</v>
      </c>
      <c r="B353" s="103">
        <v>41547</v>
      </c>
      <c r="C353" s="106" t="s">
        <v>1565</v>
      </c>
      <c r="D353" s="14" t="s">
        <v>920</v>
      </c>
      <c r="E353" s="15" t="s">
        <v>188</v>
      </c>
      <c r="F353" s="15"/>
      <c r="G353" s="15"/>
      <c r="H353" s="15"/>
      <c r="I353" s="15">
        <v>19</v>
      </c>
      <c r="J353" s="15" t="s">
        <v>189</v>
      </c>
      <c r="K353" s="15" t="s">
        <v>190</v>
      </c>
      <c r="L353" s="15" t="s">
        <v>975</v>
      </c>
      <c r="M353" s="15" t="s">
        <v>1149</v>
      </c>
      <c r="N353" s="15" t="s">
        <v>1150</v>
      </c>
      <c r="O353" s="15">
        <v>1</v>
      </c>
      <c r="P353" s="15"/>
      <c r="Q353" s="15"/>
      <c r="R353" s="15"/>
      <c r="S353" s="15" t="s">
        <v>188</v>
      </c>
      <c r="T353" s="15"/>
      <c r="U353" s="15"/>
      <c r="V353" s="15"/>
      <c r="W353" s="15"/>
      <c r="X353" s="15"/>
      <c r="Y353" s="15"/>
      <c r="Z353" s="15"/>
      <c r="AA353" s="15"/>
      <c r="AB353" s="15" t="s">
        <v>188</v>
      </c>
      <c r="AC353" s="15"/>
      <c r="AD353" s="15"/>
      <c r="AE353" s="15"/>
      <c r="AF353" s="15"/>
      <c r="AG353" s="15"/>
      <c r="AH353" s="15">
        <v>2004</v>
      </c>
      <c r="AI353" s="1">
        <v>651733</v>
      </c>
      <c r="AJ353" s="15"/>
      <c r="AK353" s="15"/>
      <c r="AL353" s="15" t="s">
        <v>188</v>
      </c>
      <c r="AM353" s="15"/>
      <c r="AN353" s="15"/>
      <c r="AO353" s="15"/>
      <c r="AP353" s="15" t="s">
        <v>188</v>
      </c>
      <c r="AQ353" s="15"/>
      <c r="AR353" s="15"/>
      <c r="AS353" s="15"/>
      <c r="AT353" s="15" t="s">
        <v>322</v>
      </c>
      <c r="AU353" s="1">
        <v>10000</v>
      </c>
      <c r="AV353" s="48">
        <v>0.05</v>
      </c>
      <c r="AW353" s="15">
        <v>1.7</v>
      </c>
      <c r="AX353" s="15">
        <v>1.5</v>
      </c>
      <c r="AY353" s="15">
        <v>2</v>
      </c>
      <c r="AZ353" s="15">
        <v>580</v>
      </c>
      <c r="BA353" s="15">
        <v>1500</v>
      </c>
      <c r="BB353" s="15" t="s">
        <v>188</v>
      </c>
      <c r="BC353" s="15" t="s">
        <v>188</v>
      </c>
      <c r="BD353" s="15" t="s">
        <v>199</v>
      </c>
      <c r="BE353" s="1">
        <v>20000</v>
      </c>
      <c r="BF353" s="1">
        <v>120000</v>
      </c>
      <c r="BG353" s="1">
        <v>20000</v>
      </c>
      <c r="BH353" s="1">
        <v>120000</v>
      </c>
      <c r="BI353" s="1" t="s">
        <v>193</v>
      </c>
      <c r="BJ353" s="15"/>
      <c r="BK353" s="15"/>
      <c r="BL353" s="15"/>
      <c r="BM353" s="15"/>
      <c r="BN353" s="15" t="s">
        <v>188</v>
      </c>
      <c r="BO353" s="15"/>
      <c r="BP353" s="15"/>
      <c r="BQ353" s="15"/>
      <c r="BR353" s="15"/>
      <c r="BS353" s="2"/>
      <c r="BT353" s="15"/>
      <c r="BU353" s="15"/>
      <c r="BV353" s="15" t="s">
        <v>188</v>
      </c>
      <c r="BW353" s="15"/>
      <c r="BX353" s="15">
        <v>1</v>
      </c>
      <c r="BY353" s="15">
        <v>3</v>
      </c>
      <c r="BZ353" s="15">
        <v>2</v>
      </c>
      <c r="CA353" s="15"/>
      <c r="CB353" s="15" t="s">
        <v>188</v>
      </c>
      <c r="CC353" s="15"/>
      <c r="CD353" s="15"/>
      <c r="CE353" s="15"/>
      <c r="CF353" s="15"/>
      <c r="CG353" s="15"/>
      <c r="CH353" s="15"/>
      <c r="CI353" s="15"/>
      <c r="CJ353" s="15"/>
      <c r="CK353" s="15" t="s">
        <v>188</v>
      </c>
      <c r="CL353" s="15"/>
      <c r="CM353" s="15"/>
      <c r="CN353" s="15"/>
      <c r="CO353" s="15"/>
      <c r="CP353" s="15" t="s">
        <v>193</v>
      </c>
      <c r="CQ353" s="15" t="s">
        <v>193</v>
      </c>
      <c r="CR353" s="15" t="s">
        <v>188</v>
      </c>
      <c r="CS353" s="15"/>
      <c r="CT353" s="15"/>
      <c r="CU353" s="15"/>
      <c r="CV353" s="15"/>
      <c r="CW353" s="15"/>
      <c r="CX353" s="15" t="s">
        <v>188</v>
      </c>
      <c r="CY353" s="15" t="s">
        <v>188</v>
      </c>
      <c r="CZ353" s="3"/>
      <c r="DA353" s="49"/>
      <c r="DC353" s="18">
        <f t="shared" si="15"/>
        <v>0</v>
      </c>
      <c r="DD353" s="18">
        <f t="shared" si="16"/>
        <v>1</v>
      </c>
      <c r="DE353" s="18">
        <f t="shared" si="17"/>
        <v>2004</v>
      </c>
    </row>
    <row r="354" spans="1:109" x14ac:dyDescent="0.25">
      <c r="A354" s="59" t="s">
        <v>1320</v>
      </c>
      <c r="B354" s="103">
        <v>41547</v>
      </c>
      <c r="C354" s="106" t="s">
        <v>1566</v>
      </c>
      <c r="D354" s="14" t="s">
        <v>921</v>
      </c>
      <c r="E354" s="15"/>
      <c r="F354" s="15"/>
      <c r="G354" s="15" t="s">
        <v>188</v>
      </c>
      <c r="H354" s="15"/>
      <c r="I354" s="15">
        <v>36</v>
      </c>
      <c r="J354" s="15" t="s">
        <v>189</v>
      </c>
      <c r="K354" s="15" t="s">
        <v>190</v>
      </c>
      <c r="L354" s="15" t="s">
        <v>821</v>
      </c>
      <c r="M354" s="15" t="s">
        <v>1110</v>
      </c>
      <c r="N354" s="15" t="s">
        <v>1089</v>
      </c>
      <c r="O354" s="15">
        <v>10</v>
      </c>
      <c r="P354" s="15"/>
      <c r="Q354" s="15"/>
      <c r="R354" s="15"/>
      <c r="S354" s="15" t="s">
        <v>188</v>
      </c>
      <c r="T354" s="15"/>
      <c r="U354" s="15"/>
      <c r="V354" s="15"/>
      <c r="W354" s="15"/>
      <c r="X354" s="15"/>
      <c r="Y354" s="15"/>
      <c r="Z354" s="15"/>
      <c r="AA354" s="15"/>
      <c r="AB354" s="15" t="s">
        <v>188</v>
      </c>
      <c r="AC354" s="15"/>
      <c r="AD354" s="15"/>
      <c r="AE354" s="15"/>
      <c r="AF354" s="15"/>
      <c r="AG354" s="15"/>
      <c r="AH354" s="15">
        <v>2011</v>
      </c>
      <c r="AI354" s="1">
        <v>490372</v>
      </c>
      <c r="AJ354" s="15"/>
      <c r="AK354" s="15"/>
      <c r="AL354" s="15" t="s">
        <v>188</v>
      </c>
      <c r="AM354" s="15"/>
      <c r="AN354" s="15"/>
      <c r="AO354" s="15"/>
      <c r="AP354" s="15" t="s">
        <v>188</v>
      </c>
      <c r="AQ354" s="15"/>
      <c r="AR354" s="15"/>
      <c r="AS354" s="15"/>
      <c r="AT354" s="15" t="s">
        <v>322</v>
      </c>
      <c r="AU354" s="1">
        <v>10000</v>
      </c>
      <c r="AV354" s="48">
        <v>0.5</v>
      </c>
      <c r="AW354" s="15">
        <v>3</v>
      </c>
      <c r="AX354" s="15">
        <v>2.6</v>
      </c>
      <c r="AY354" s="15">
        <v>2</v>
      </c>
      <c r="AZ354" s="15">
        <v>860</v>
      </c>
      <c r="BA354" s="15">
        <v>2400</v>
      </c>
      <c r="BB354" s="15" t="s">
        <v>188</v>
      </c>
      <c r="BC354" s="15" t="s">
        <v>188</v>
      </c>
      <c r="BD354" s="15" t="s">
        <v>199</v>
      </c>
      <c r="BE354" s="1">
        <v>25000</v>
      </c>
      <c r="BF354" s="1">
        <v>150000</v>
      </c>
      <c r="BG354" s="1">
        <v>25000</v>
      </c>
      <c r="BH354" s="1">
        <v>150000</v>
      </c>
      <c r="BI354" s="1" t="s">
        <v>193</v>
      </c>
      <c r="BJ354" s="15"/>
      <c r="BK354" s="15"/>
      <c r="BL354" s="15"/>
      <c r="BM354" s="15" t="s">
        <v>188</v>
      </c>
      <c r="BN354" s="15" t="s">
        <v>188</v>
      </c>
      <c r="BO354" s="15"/>
      <c r="BP354" s="15"/>
      <c r="BQ354" s="15"/>
      <c r="BR354" s="15"/>
      <c r="BS354" s="2"/>
      <c r="BT354" s="15"/>
      <c r="BU354" s="15"/>
      <c r="BV354" s="15" t="s">
        <v>188</v>
      </c>
      <c r="BW354" s="15"/>
      <c r="BX354" s="15">
        <v>1</v>
      </c>
      <c r="BY354" s="15">
        <v>3</v>
      </c>
      <c r="BZ354" s="15">
        <v>2</v>
      </c>
      <c r="CA354" s="15"/>
      <c r="CB354" s="15" t="s">
        <v>188</v>
      </c>
      <c r="CC354" s="15"/>
      <c r="CD354" s="15"/>
      <c r="CE354" s="15"/>
      <c r="CF354" s="15"/>
      <c r="CG354" s="15"/>
      <c r="CH354" s="15"/>
      <c r="CI354" s="15"/>
      <c r="CJ354" s="15"/>
      <c r="CK354" s="15" t="s">
        <v>188</v>
      </c>
      <c r="CL354" s="15"/>
      <c r="CM354" s="15"/>
      <c r="CN354" s="15"/>
      <c r="CO354" s="15"/>
      <c r="CP354" s="15" t="s">
        <v>193</v>
      </c>
      <c r="CQ354" s="15" t="s">
        <v>193</v>
      </c>
      <c r="CR354" s="15" t="s">
        <v>188</v>
      </c>
      <c r="CS354" s="15"/>
      <c r="CT354" s="15"/>
      <c r="CU354" s="15"/>
      <c r="CV354" s="15" t="s">
        <v>188</v>
      </c>
      <c r="CW354" s="15" t="s">
        <v>270</v>
      </c>
      <c r="CX354" s="15"/>
      <c r="CY354" s="15"/>
      <c r="CZ354" s="3"/>
      <c r="DA354" s="49"/>
      <c r="DC354" s="18">
        <f t="shared" si="15"/>
        <v>0</v>
      </c>
      <c r="DD354" s="18">
        <f t="shared" si="16"/>
        <v>3</v>
      </c>
      <c r="DE354" s="18">
        <f t="shared" si="17"/>
        <v>2011</v>
      </c>
    </row>
    <row r="355" spans="1:109" x14ac:dyDescent="0.25">
      <c r="A355" s="59" t="s">
        <v>1320</v>
      </c>
      <c r="B355" s="103">
        <v>41547</v>
      </c>
      <c r="C355" s="106" t="s">
        <v>1566</v>
      </c>
      <c r="D355" s="14" t="s">
        <v>922</v>
      </c>
      <c r="E355" s="15"/>
      <c r="F355" s="15"/>
      <c r="G355" s="15"/>
      <c r="H355" s="15" t="s">
        <v>188</v>
      </c>
      <c r="I355" s="15">
        <v>44</v>
      </c>
      <c r="J355" s="15" t="s">
        <v>189</v>
      </c>
      <c r="K355" s="15" t="s">
        <v>196</v>
      </c>
      <c r="L355" s="15" t="s">
        <v>819</v>
      </c>
      <c r="M355" s="15" t="s">
        <v>1109</v>
      </c>
      <c r="N355" s="15" t="s">
        <v>1106</v>
      </c>
      <c r="O355" s="15">
        <v>20</v>
      </c>
      <c r="P355" s="15"/>
      <c r="Q355" s="15"/>
      <c r="R355" s="15"/>
      <c r="S355" s="15" t="s">
        <v>188</v>
      </c>
      <c r="T355" s="15"/>
      <c r="U355" s="15"/>
      <c r="V355" s="15"/>
      <c r="W355" s="15"/>
      <c r="X355" s="15"/>
      <c r="Y355" s="15"/>
      <c r="Z355" s="15"/>
      <c r="AA355" s="15"/>
      <c r="AB355" s="15" t="s">
        <v>188</v>
      </c>
      <c r="AC355" s="15"/>
      <c r="AD355" s="15"/>
      <c r="AE355" s="15"/>
      <c r="AF355" s="15"/>
      <c r="AG355" s="15"/>
      <c r="AH355" s="15">
        <v>2008</v>
      </c>
      <c r="AI355" s="1">
        <v>550273</v>
      </c>
      <c r="AJ355" s="15"/>
      <c r="AK355" s="15"/>
      <c r="AL355" s="15" t="s">
        <v>188</v>
      </c>
      <c r="AM355" s="15"/>
      <c r="AN355" s="15"/>
      <c r="AO355" s="15"/>
      <c r="AP355" s="15" t="s">
        <v>188</v>
      </c>
      <c r="AQ355" s="15"/>
      <c r="AR355" s="15"/>
      <c r="AS355" s="15"/>
      <c r="AT355" s="15" t="s">
        <v>322</v>
      </c>
      <c r="AU355" s="1">
        <v>10000</v>
      </c>
      <c r="AV355" s="48">
        <v>0.3</v>
      </c>
      <c r="AW355" s="15">
        <v>1.7</v>
      </c>
      <c r="AX355" s="15">
        <v>1.4</v>
      </c>
      <c r="AY355" s="15">
        <v>2</v>
      </c>
      <c r="AZ355" s="15">
        <v>940</v>
      </c>
      <c r="BA355" s="15">
        <v>1500</v>
      </c>
      <c r="BB355" s="15" t="s">
        <v>188</v>
      </c>
      <c r="BC355" s="15" t="s">
        <v>188</v>
      </c>
      <c r="BD355" s="15" t="s">
        <v>199</v>
      </c>
      <c r="BE355" s="1">
        <v>18000</v>
      </c>
      <c r="BF355" s="1">
        <v>100000</v>
      </c>
      <c r="BG355" s="1">
        <v>24000</v>
      </c>
      <c r="BH355" s="1">
        <v>100000</v>
      </c>
      <c r="BI355" s="1" t="s">
        <v>193</v>
      </c>
      <c r="BJ355" s="15"/>
      <c r="BK355" s="15"/>
      <c r="BL355" s="15"/>
      <c r="BM355" s="15" t="s">
        <v>188</v>
      </c>
      <c r="BN355" s="15" t="s">
        <v>188</v>
      </c>
      <c r="BO355" s="15"/>
      <c r="BP355" s="15" t="s">
        <v>188</v>
      </c>
      <c r="BQ355" s="15"/>
      <c r="BR355" s="15"/>
      <c r="BS355" s="2"/>
      <c r="BT355" s="15"/>
      <c r="BU355" s="15"/>
      <c r="BV355" s="15" t="s">
        <v>188</v>
      </c>
      <c r="BW355" s="15"/>
      <c r="BX355" s="15">
        <v>1</v>
      </c>
      <c r="BY355" s="15">
        <v>3</v>
      </c>
      <c r="BZ355" s="15">
        <v>2</v>
      </c>
      <c r="CA355" s="15"/>
      <c r="CB355" s="15" t="s">
        <v>188</v>
      </c>
      <c r="CC355" s="15"/>
      <c r="CD355" s="15"/>
      <c r="CE355" s="15"/>
      <c r="CF355" s="15"/>
      <c r="CG355" s="15"/>
      <c r="CH355" s="15"/>
      <c r="CI355" s="15"/>
      <c r="CJ355" s="15"/>
      <c r="CK355" s="15" t="s">
        <v>188</v>
      </c>
      <c r="CL355" s="15"/>
      <c r="CM355" s="15"/>
      <c r="CN355" s="15"/>
      <c r="CO355" s="15"/>
      <c r="CP355" s="15" t="s">
        <v>193</v>
      </c>
      <c r="CQ355" s="15" t="s">
        <v>193</v>
      </c>
      <c r="CR355" s="15" t="s">
        <v>188</v>
      </c>
      <c r="CS355" s="15"/>
      <c r="CT355" s="15"/>
      <c r="CU355" s="15"/>
      <c r="CV355" s="15" t="s">
        <v>188</v>
      </c>
      <c r="CW355" s="15" t="s">
        <v>599</v>
      </c>
      <c r="CX355" s="15"/>
      <c r="CY355" s="15"/>
      <c r="CZ355" s="3"/>
      <c r="DA355" s="49"/>
      <c r="DC355" s="18">
        <f t="shared" si="15"/>
        <v>0</v>
      </c>
      <c r="DD355" s="18">
        <f t="shared" si="16"/>
        <v>7</v>
      </c>
      <c r="DE355" s="18">
        <f t="shared" si="17"/>
        <v>2008</v>
      </c>
    </row>
    <row r="356" spans="1:109" x14ac:dyDescent="0.25">
      <c r="A356" s="59" t="s">
        <v>1320</v>
      </c>
      <c r="B356" s="103">
        <v>41547</v>
      </c>
      <c r="C356" s="106" t="s">
        <v>1566</v>
      </c>
      <c r="D356" s="14" t="s">
        <v>923</v>
      </c>
      <c r="E356" s="15"/>
      <c r="F356" s="15"/>
      <c r="G356" s="15"/>
      <c r="H356" s="15" t="s">
        <v>188</v>
      </c>
      <c r="I356" s="15">
        <v>28</v>
      </c>
      <c r="J356" s="15" t="s">
        <v>189</v>
      </c>
      <c r="K356" s="15" t="s">
        <v>214</v>
      </c>
      <c r="L356" s="15" t="s">
        <v>646</v>
      </c>
      <c r="M356" s="15" t="s">
        <v>1071</v>
      </c>
      <c r="N356" s="15" t="s">
        <v>1089</v>
      </c>
      <c r="O356" s="15">
        <v>5</v>
      </c>
      <c r="P356" s="15"/>
      <c r="Q356" s="15"/>
      <c r="R356" s="15"/>
      <c r="S356" s="15" t="s">
        <v>188</v>
      </c>
      <c r="T356" s="15"/>
      <c r="U356" s="15" t="s">
        <v>188</v>
      </c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>
        <v>2000</v>
      </c>
      <c r="AI356" s="1">
        <v>1053216</v>
      </c>
      <c r="AJ356" s="15"/>
      <c r="AK356" s="15"/>
      <c r="AL356" s="15" t="s">
        <v>188</v>
      </c>
      <c r="AM356" s="15"/>
      <c r="AN356" s="15"/>
      <c r="AO356" s="15" t="s">
        <v>188</v>
      </c>
      <c r="AP356" s="15"/>
      <c r="AQ356" s="15"/>
      <c r="AR356" s="15"/>
      <c r="AS356" s="15"/>
      <c r="AT356" s="15" t="s">
        <v>322</v>
      </c>
      <c r="AU356" s="1">
        <v>8000</v>
      </c>
      <c r="AV356" s="48">
        <v>0.1</v>
      </c>
      <c r="AW356" s="15">
        <v>2.75</v>
      </c>
      <c r="AX356" s="15">
        <v>2.4</v>
      </c>
      <c r="AY356" s="15">
        <v>2</v>
      </c>
      <c r="AZ356" s="15">
        <v>880</v>
      </c>
      <c r="BA356" s="15">
        <v>2200</v>
      </c>
      <c r="BB356" s="15" t="s">
        <v>188</v>
      </c>
      <c r="BC356" s="15" t="s">
        <v>199</v>
      </c>
      <c r="BD356" s="15" t="s">
        <v>199</v>
      </c>
      <c r="BE356" s="1">
        <v>24000</v>
      </c>
      <c r="BF356" s="1" t="s">
        <v>193</v>
      </c>
      <c r="BG356" s="1">
        <v>24000</v>
      </c>
      <c r="BH356" s="1">
        <v>100000</v>
      </c>
      <c r="BI356" s="1" t="s">
        <v>193</v>
      </c>
      <c r="BJ356" s="15"/>
      <c r="BK356" s="15"/>
      <c r="BL356" s="15"/>
      <c r="BM356" s="15"/>
      <c r="BN356" s="15" t="s">
        <v>188</v>
      </c>
      <c r="BO356" s="15"/>
      <c r="BP356" s="15" t="s">
        <v>188</v>
      </c>
      <c r="BQ356" s="15"/>
      <c r="BR356" s="15"/>
      <c r="BS356" s="2"/>
      <c r="BT356" s="15"/>
      <c r="BU356" s="15"/>
      <c r="BV356" s="15" t="s">
        <v>188</v>
      </c>
      <c r="BW356" s="15"/>
      <c r="BX356" s="15">
        <v>1</v>
      </c>
      <c r="BY356" s="15">
        <v>3</v>
      </c>
      <c r="BZ356" s="15">
        <v>2</v>
      </c>
      <c r="CA356" s="15"/>
      <c r="CB356" s="15" t="s">
        <v>188</v>
      </c>
      <c r="CC356" s="15"/>
      <c r="CD356" s="15"/>
      <c r="CE356" s="15"/>
      <c r="CF356" s="15"/>
      <c r="CG356" s="15"/>
      <c r="CH356" s="15"/>
      <c r="CI356" s="15"/>
      <c r="CJ356" s="15"/>
      <c r="CK356" s="15" t="s">
        <v>188</v>
      </c>
      <c r="CL356" s="15"/>
      <c r="CM356" s="15"/>
      <c r="CN356" s="15"/>
      <c r="CO356" s="15"/>
      <c r="CP356" s="15" t="s">
        <v>193</v>
      </c>
      <c r="CQ356" s="15" t="s">
        <v>193</v>
      </c>
      <c r="CR356" s="15" t="s">
        <v>188</v>
      </c>
      <c r="CS356" s="15"/>
      <c r="CT356" s="15"/>
      <c r="CU356" s="15"/>
      <c r="CV356" s="15"/>
      <c r="CW356" s="15"/>
      <c r="CX356" s="15" t="s">
        <v>188</v>
      </c>
      <c r="CY356" s="15" t="s">
        <v>188</v>
      </c>
      <c r="CZ356" s="3"/>
      <c r="DA356" s="49"/>
      <c r="DC356" s="18">
        <f t="shared" si="15"/>
        <v>0</v>
      </c>
      <c r="DD356" s="18">
        <f t="shared" si="16"/>
        <v>7</v>
      </c>
      <c r="DE356" s="18">
        <f t="shared" si="17"/>
        <v>2000</v>
      </c>
    </row>
    <row r="357" spans="1:109" x14ac:dyDescent="0.25">
      <c r="A357" s="59" t="s">
        <v>1320</v>
      </c>
      <c r="B357" s="103">
        <v>41548</v>
      </c>
      <c r="C357" s="106" t="s">
        <v>1567</v>
      </c>
      <c r="D357" s="14" t="s">
        <v>924</v>
      </c>
      <c r="E357" s="15"/>
      <c r="F357" s="15"/>
      <c r="G357" s="15"/>
      <c r="H357" s="15" t="s">
        <v>188</v>
      </c>
      <c r="I357" s="15">
        <v>33</v>
      </c>
      <c r="J357" s="15" t="s">
        <v>189</v>
      </c>
      <c r="K357" s="15" t="s">
        <v>190</v>
      </c>
      <c r="L357" s="15" t="s">
        <v>641</v>
      </c>
      <c r="M357" s="15" t="s">
        <v>1068</v>
      </c>
      <c r="N357" s="15" t="s">
        <v>1066</v>
      </c>
      <c r="O357" s="15">
        <v>15</v>
      </c>
      <c r="P357" s="15"/>
      <c r="Q357" s="15"/>
      <c r="R357" s="15"/>
      <c r="S357" s="15" t="s">
        <v>188</v>
      </c>
      <c r="T357" s="15"/>
      <c r="U357" s="15"/>
      <c r="V357" s="15"/>
      <c r="W357" s="15"/>
      <c r="X357" s="15"/>
      <c r="Y357" s="15"/>
      <c r="Z357" s="15"/>
      <c r="AA357" s="15"/>
      <c r="AB357" s="15" t="s">
        <v>188</v>
      </c>
      <c r="AC357" s="15"/>
      <c r="AD357" s="15"/>
      <c r="AE357" s="15"/>
      <c r="AF357" s="15"/>
      <c r="AG357" s="15"/>
      <c r="AH357" s="15">
        <v>2008</v>
      </c>
      <c r="AI357" s="1">
        <v>425617</v>
      </c>
      <c r="AJ357" s="15"/>
      <c r="AK357" s="15"/>
      <c r="AL357" s="15" t="s">
        <v>188</v>
      </c>
      <c r="AM357" s="15"/>
      <c r="AN357" s="15"/>
      <c r="AO357" s="15"/>
      <c r="AP357" s="15" t="s">
        <v>188</v>
      </c>
      <c r="AQ357" s="15"/>
      <c r="AR357" s="15"/>
      <c r="AS357" s="15"/>
      <c r="AT357" s="15" t="s">
        <v>322</v>
      </c>
      <c r="AU357" s="1">
        <v>8000</v>
      </c>
      <c r="AV357" s="48">
        <v>0</v>
      </c>
      <c r="AW357" s="15">
        <v>2.9</v>
      </c>
      <c r="AX357" s="15">
        <v>2.4</v>
      </c>
      <c r="AY357" s="15">
        <v>2</v>
      </c>
      <c r="AZ357" s="15">
        <v>740</v>
      </c>
      <c r="BA357" s="15">
        <v>2000</v>
      </c>
      <c r="BB357" s="15" t="s">
        <v>188</v>
      </c>
      <c r="BC357" s="15" t="s">
        <v>188</v>
      </c>
      <c r="BD357" s="15" t="s">
        <v>199</v>
      </c>
      <c r="BE357" s="1">
        <v>16000</v>
      </c>
      <c r="BF357" s="1">
        <v>120000</v>
      </c>
      <c r="BG357" s="1">
        <v>32000</v>
      </c>
      <c r="BH357" s="1">
        <v>120000</v>
      </c>
      <c r="BI357" s="1" t="s">
        <v>193</v>
      </c>
      <c r="BJ357" s="15"/>
      <c r="BK357" s="15"/>
      <c r="BL357" s="15"/>
      <c r="BM357" s="15"/>
      <c r="BN357" s="15" t="s">
        <v>188</v>
      </c>
      <c r="BO357" s="15"/>
      <c r="BP357" s="15" t="s">
        <v>188</v>
      </c>
      <c r="BQ357" s="15"/>
      <c r="BR357" s="15"/>
      <c r="BS357" s="2"/>
      <c r="BT357" s="15"/>
      <c r="BU357" s="15"/>
      <c r="BV357" s="15" t="s">
        <v>188</v>
      </c>
      <c r="BW357" s="15"/>
      <c r="BX357" s="15">
        <v>1</v>
      </c>
      <c r="BY357" s="15">
        <v>3</v>
      </c>
      <c r="BZ357" s="15">
        <v>2</v>
      </c>
      <c r="CA357" s="15"/>
      <c r="CB357" s="15" t="s">
        <v>188</v>
      </c>
      <c r="CC357" s="15"/>
      <c r="CD357" s="15"/>
      <c r="CE357" s="15"/>
      <c r="CF357" s="15"/>
      <c r="CG357" s="15"/>
      <c r="CH357" s="15"/>
      <c r="CI357" s="15"/>
      <c r="CJ357" s="15"/>
      <c r="CK357" s="15" t="s">
        <v>188</v>
      </c>
      <c r="CL357" s="15"/>
      <c r="CM357" s="15"/>
      <c r="CN357" s="15"/>
      <c r="CO357" s="15"/>
      <c r="CP357" s="15" t="s">
        <v>193</v>
      </c>
      <c r="CQ357" s="15" t="s">
        <v>193</v>
      </c>
      <c r="CR357" s="15"/>
      <c r="CS357" s="15"/>
      <c r="CT357" s="15"/>
      <c r="CU357" s="15" t="s">
        <v>976</v>
      </c>
      <c r="CV357" s="15"/>
      <c r="CW357" s="15"/>
      <c r="CX357" s="15"/>
      <c r="CY357" s="15" t="s">
        <v>188</v>
      </c>
      <c r="CZ357" s="3"/>
      <c r="DA357" s="49"/>
      <c r="DC357" s="18">
        <f t="shared" si="15"/>
        <v>0</v>
      </c>
      <c r="DD357" s="18">
        <f t="shared" si="16"/>
        <v>7</v>
      </c>
      <c r="DE357" s="18">
        <f t="shared" si="17"/>
        <v>2008</v>
      </c>
    </row>
    <row r="358" spans="1:109" x14ac:dyDescent="0.25">
      <c r="A358" s="59" t="s">
        <v>1320</v>
      </c>
      <c r="B358" s="103">
        <v>41548</v>
      </c>
      <c r="C358" s="106" t="s">
        <v>1567</v>
      </c>
      <c r="D358" s="14" t="s">
        <v>925</v>
      </c>
      <c r="E358" s="15" t="s">
        <v>188</v>
      </c>
      <c r="F358" s="15"/>
      <c r="G358" s="15"/>
      <c r="H358" s="15"/>
      <c r="I358" s="15">
        <v>24</v>
      </c>
      <c r="J358" s="15" t="s">
        <v>189</v>
      </c>
      <c r="K358" s="15" t="s">
        <v>190</v>
      </c>
      <c r="L358" s="15" t="s">
        <v>821</v>
      </c>
      <c r="M358" s="15" t="s">
        <v>1110</v>
      </c>
      <c r="N358" s="15" t="s">
        <v>1089</v>
      </c>
      <c r="O358" s="15">
        <v>2</v>
      </c>
      <c r="P358" s="15"/>
      <c r="Q358" s="15"/>
      <c r="R358" s="15"/>
      <c r="S358" s="15" t="s">
        <v>188</v>
      </c>
      <c r="T358" s="15"/>
      <c r="U358" s="15" t="s">
        <v>188</v>
      </c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>
        <v>2003</v>
      </c>
      <c r="AI358" s="1">
        <v>658299</v>
      </c>
      <c r="AJ358" s="15"/>
      <c r="AK358" s="15"/>
      <c r="AL358" s="15" t="s">
        <v>188</v>
      </c>
      <c r="AM358" s="15"/>
      <c r="AN358" s="15"/>
      <c r="AO358" s="15"/>
      <c r="AP358" s="15" t="s">
        <v>188</v>
      </c>
      <c r="AQ358" s="15"/>
      <c r="AR358" s="15"/>
      <c r="AS358" s="15"/>
      <c r="AT358" s="15" t="s">
        <v>322</v>
      </c>
      <c r="AU358" s="1">
        <v>8000</v>
      </c>
      <c r="AV358" s="48">
        <v>0.1</v>
      </c>
      <c r="AW358" s="15">
        <v>2.7</v>
      </c>
      <c r="AX358" s="15">
        <v>2.4</v>
      </c>
      <c r="AY358" s="15">
        <v>2</v>
      </c>
      <c r="AZ358" s="15">
        <v>920</v>
      </c>
      <c r="BA358" s="15">
        <v>2400</v>
      </c>
      <c r="BB358" s="15" t="s">
        <v>188</v>
      </c>
      <c r="BC358" s="15" t="s">
        <v>199</v>
      </c>
      <c r="BD358" s="15" t="s">
        <v>199</v>
      </c>
      <c r="BE358" s="1">
        <v>24000</v>
      </c>
      <c r="BF358" s="1">
        <v>130000</v>
      </c>
      <c r="BG358" s="1">
        <v>24000</v>
      </c>
      <c r="BH358" s="1">
        <v>130000</v>
      </c>
      <c r="BI358" s="1" t="s">
        <v>272</v>
      </c>
      <c r="BJ358" s="15"/>
      <c r="BK358" s="15"/>
      <c r="BL358" s="15"/>
      <c r="BM358" s="15"/>
      <c r="BN358" s="15" t="s">
        <v>188</v>
      </c>
      <c r="BO358" s="15"/>
      <c r="BP358" s="15" t="s">
        <v>188</v>
      </c>
      <c r="BQ358" s="15"/>
      <c r="BR358" s="15"/>
      <c r="BS358" s="2"/>
      <c r="BT358" s="15"/>
      <c r="BU358" s="15"/>
      <c r="BV358" s="15" t="s">
        <v>188</v>
      </c>
      <c r="BW358" s="15"/>
      <c r="BX358" s="15">
        <v>1</v>
      </c>
      <c r="BY358" s="15">
        <v>3</v>
      </c>
      <c r="BZ358" s="15">
        <v>2</v>
      </c>
      <c r="CA358" s="15"/>
      <c r="CB358" s="15" t="s">
        <v>188</v>
      </c>
      <c r="CC358" s="15"/>
      <c r="CD358" s="15"/>
      <c r="CE358" s="15"/>
      <c r="CF358" s="15"/>
      <c r="CG358" s="15"/>
      <c r="CH358" s="15"/>
      <c r="CI358" s="15"/>
      <c r="CJ358" s="15"/>
      <c r="CK358" s="15" t="s">
        <v>188</v>
      </c>
      <c r="CL358" s="15"/>
      <c r="CM358" s="15"/>
      <c r="CN358" s="15"/>
      <c r="CO358" s="15"/>
      <c r="CP358" s="15" t="s">
        <v>193</v>
      </c>
      <c r="CQ358" s="15" t="s">
        <v>193</v>
      </c>
      <c r="CR358" s="15" t="s">
        <v>188</v>
      </c>
      <c r="CS358" s="15"/>
      <c r="CT358" s="15"/>
      <c r="CU358" s="15"/>
      <c r="CV358" s="15" t="s">
        <v>188</v>
      </c>
      <c r="CW358" s="15" t="s">
        <v>599</v>
      </c>
      <c r="CX358" s="15"/>
      <c r="CY358" s="15"/>
      <c r="CZ358" s="3"/>
      <c r="DA358" s="49"/>
      <c r="DC358" s="18">
        <f t="shared" si="15"/>
        <v>0</v>
      </c>
      <c r="DD358" s="18">
        <f t="shared" si="16"/>
        <v>1</v>
      </c>
      <c r="DE358" s="18">
        <f t="shared" si="17"/>
        <v>2003</v>
      </c>
    </row>
    <row r="359" spans="1:109" x14ac:dyDescent="0.25">
      <c r="A359" s="59" t="s">
        <v>1320</v>
      </c>
      <c r="B359" s="103">
        <v>41548</v>
      </c>
      <c r="C359" s="106" t="s">
        <v>1567</v>
      </c>
      <c r="D359" s="14" t="s">
        <v>926</v>
      </c>
      <c r="E359" s="15" t="s">
        <v>188</v>
      </c>
      <c r="F359" s="15"/>
      <c r="G359" s="15"/>
      <c r="H359" s="15"/>
      <c r="I359" s="15">
        <v>57</v>
      </c>
      <c r="J359" s="15" t="s">
        <v>189</v>
      </c>
      <c r="K359" s="15" t="s">
        <v>445</v>
      </c>
      <c r="L359" s="15" t="s">
        <v>977</v>
      </c>
      <c r="M359" s="15" t="s">
        <v>1151</v>
      </c>
      <c r="N359" s="15" t="s">
        <v>1142</v>
      </c>
      <c r="O359" s="15">
        <v>38</v>
      </c>
      <c r="P359" s="15"/>
      <c r="Q359" s="15"/>
      <c r="R359" s="15"/>
      <c r="S359" s="15" t="s">
        <v>188</v>
      </c>
      <c r="T359" s="15"/>
      <c r="U359" s="15" t="s">
        <v>188</v>
      </c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>
        <v>2001</v>
      </c>
      <c r="AI359" s="1">
        <v>861478</v>
      </c>
      <c r="AJ359" s="15"/>
      <c r="AK359" s="15"/>
      <c r="AL359" s="15" t="s">
        <v>188</v>
      </c>
      <c r="AM359" s="15"/>
      <c r="AN359" s="15"/>
      <c r="AO359" s="15"/>
      <c r="AP359" s="15" t="s">
        <v>188</v>
      </c>
      <c r="AQ359" s="15"/>
      <c r="AR359" s="15"/>
      <c r="AS359" s="15"/>
      <c r="AT359" s="15" t="s">
        <v>322</v>
      </c>
      <c r="AU359" s="1">
        <v>9000</v>
      </c>
      <c r="AV359" s="48">
        <v>0.5</v>
      </c>
      <c r="AW359" s="15">
        <v>2.7</v>
      </c>
      <c r="AX359" s="15">
        <v>2.5</v>
      </c>
      <c r="AY359" s="15">
        <v>2</v>
      </c>
      <c r="AZ359" s="15">
        <v>1080</v>
      </c>
      <c r="BA359" s="15">
        <v>2800</v>
      </c>
      <c r="BB359" s="15" t="s">
        <v>188</v>
      </c>
      <c r="BC359" s="15" t="s">
        <v>199</v>
      </c>
      <c r="BD359" s="15" t="s">
        <v>199</v>
      </c>
      <c r="BE359" s="1">
        <v>25000</v>
      </c>
      <c r="BF359" s="1">
        <v>100000</v>
      </c>
      <c r="BG359" s="1">
        <v>25000</v>
      </c>
      <c r="BH359" s="1">
        <v>100000</v>
      </c>
      <c r="BI359" s="1" t="s">
        <v>193</v>
      </c>
      <c r="BJ359" s="15"/>
      <c r="BK359" s="15"/>
      <c r="BL359" s="15"/>
      <c r="BM359" s="15"/>
      <c r="BN359" s="15" t="s">
        <v>188</v>
      </c>
      <c r="BO359" s="15"/>
      <c r="BP359" s="15" t="s">
        <v>188</v>
      </c>
      <c r="BQ359" s="15"/>
      <c r="BR359" s="15"/>
      <c r="BS359" s="2"/>
      <c r="BT359" s="15"/>
      <c r="BU359" s="15"/>
      <c r="BV359" s="15" t="s">
        <v>188</v>
      </c>
      <c r="BW359" s="15"/>
      <c r="BX359" s="15">
        <v>1</v>
      </c>
      <c r="BY359" s="15">
        <v>3</v>
      </c>
      <c r="BZ359" s="15">
        <v>2</v>
      </c>
      <c r="CA359" s="15"/>
      <c r="CB359" s="15" t="s">
        <v>188</v>
      </c>
      <c r="CC359" s="15"/>
      <c r="CD359" s="15"/>
      <c r="CE359" s="15"/>
      <c r="CF359" s="15"/>
      <c r="CG359" s="15"/>
      <c r="CH359" s="15"/>
      <c r="CI359" s="15"/>
      <c r="CJ359" s="15"/>
      <c r="CK359" s="15" t="s">
        <v>188</v>
      </c>
      <c r="CL359" s="15"/>
      <c r="CM359" s="15"/>
      <c r="CN359" s="15"/>
      <c r="CO359" s="15"/>
      <c r="CP359" s="15" t="s">
        <v>193</v>
      </c>
      <c r="CQ359" s="15" t="s">
        <v>193</v>
      </c>
      <c r="CR359" s="15" t="s">
        <v>188</v>
      </c>
      <c r="CS359" s="15"/>
      <c r="CT359" s="15"/>
      <c r="CU359" s="15"/>
      <c r="CV359" s="15"/>
      <c r="CW359" s="15"/>
      <c r="CX359" s="15"/>
      <c r="CY359" s="15" t="s">
        <v>188</v>
      </c>
      <c r="CZ359" s="3"/>
      <c r="DA359" s="49"/>
      <c r="DC359" s="18">
        <f t="shared" si="15"/>
        <v>0</v>
      </c>
      <c r="DD359" s="18">
        <f t="shared" si="16"/>
        <v>1</v>
      </c>
      <c r="DE359" s="18">
        <f t="shared" si="17"/>
        <v>2001</v>
      </c>
    </row>
    <row r="360" spans="1:109" x14ac:dyDescent="0.25">
      <c r="A360" s="59" t="s">
        <v>1320</v>
      </c>
      <c r="B360" s="103">
        <v>41548</v>
      </c>
      <c r="C360" s="106" t="s">
        <v>1567</v>
      </c>
      <c r="D360" s="14" t="s">
        <v>927</v>
      </c>
      <c r="E360" s="15"/>
      <c r="F360" s="15" t="s">
        <v>188</v>
      </c>
      <c r="G360" s="15"/>
      <c r="H360" s="15"/>
      <c r="I360" s="15">
        <v>61</v>
      </c>
      <c r="J360" s="15" t="s">
        <v>189</v>
      </c>
      <c r="K360" s="15" t="s">
        <v>445</v>
      </c>
      <c r="L360" s="15" t="s">
        <v>978</v>
      </c>
      <c r="M360" s="15" t="s">
        <v>1152</v>
      </c>
      <c r="N360" s="15" t="s">
        <v>1089</v>
      </c>
      <c r="O360" s="15">
        <v>42</v>
      </c>
      <c r="P360" s="15"/>
      <c r="Q360" s="15"/>
      <c r="R360" s="15"/>
      <c r="S360" s="15" t="s">
        <v>188</v>
      </c>
      <c r="T360" s="15"/>
      <c r="U360" s="15" t="s">
        <v>188</v>
      </c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>
        <v>2006</v>
      </c>
      <c r="AI360" s="1">
        <v>623850</v>
      </c>
      <c r="AJ360" s="15"/>
      <c r="AK360" s="15"/>
      <c r="AL360" s="15" t="s">
        <v>188</v>
      </c>
      <c r="AM360" s="15"/>
      <c r="AN360" s="15"/>
      <c r="AO360" s="15" t="s">
        <v>188</v>
      </c>
      <c r="AP360" s="15"/>
      <c r="AQ360" s="15"/>
      <c r="AR360" s="15"/>
      <c r="AS360" s="15"/>
      <c r="AT360" s="15" t="s">
        <v>266</v>
      </c>
      <c r="AU360" s="1">
        <v>8000</v>
      </c>
      <c r="AV360" s="48">
        <v>0.1</v>
      </c>
      <c r="AW360" s="15">
        <v>2.8</v>
      </c>
      <c r="AX360" s="15">
        <v>2.5</v>
      </c>
      <c r="AY360" s="15">
        <v>2</v>
      </c>
      <c r="AZ360" s="15">
        <v>740</v>
      </c>
      <c r="BA360" s="15">
        <v>2000</v>
      </c>
      <c r="BB360" s="15" t="s">
        <v>188</v>
      </c>
      <c r="BC360" s="15" t="s">
        <v>199</v>
      </c>
      <c r="BD360" s="15" t="s">
        <v>199</v>
      </c>
      <c r="BE360" s="1">
        <v>18000</v>
      </c>
      <c r="BF360" s="1" t="s">
        <v>193</v>
      </c>
      <c r="BG360" s="1">
        <v>24000</v>
      </c>
      <c r="BH360" s="1">
        <v>150000</v>
      </c>
      <c r="BI360" s="1" t="s">
        <v>193</v>
      </c>
      <c r="BJ360" s="15"/>
      <c r="BK360" s="15"/>
      <c r="BL360" s="15"/>
      <c r="BM360" s="15"/>
      <c r="BN360" s="15" t="s">
        <v>188</v>
      </c>
      <c r="BO360" s="15"/>
      <c r="BP360" s="15" t="s">
        <v>188</v>
      </c>
      <c r="BQ360" s="15"/>
      <c r="BR360" s="15"/>
      <c r="BS360" s="2"/>
      <c r="BT360" s="15"/>
      <c r="BU360" s="15"/>
      <c r="BV360" s="15" t="s">
        <v>188</v>
      </c>
      <c r="BW360" s="15"/>
      <c r="BX360" s="15">
        <v>1</v>
      </c>
      <c r="BY360" s="15">
        <v>3</v>
      </c>
      <c r="BZ360" s="15">
        <v>2</v>
      </c>
      <c r="CA360" s="15"/>
      <c r="CB360" s="15" t="s">
        <v>188</v>
      </c>
      <c r="CC360" s="15"/>
      <c r="CD360" s="15"/>
      <c r="CE360" s="15"/>
      <c r="CF360" s="15"/>
      <c r="CG360" s="15"/>
      <c r="CH360" s="15"/>
      <c r="CI360" s="15"/>
      <c r="CJ360" s="15"/>
      <c r="CK360" s="15" t="s">
        <v>188</v>
      </c>
      <c r="CL360" s="15"/>
      <c r="CM360" s="15"/>
      <c r="CN360" s="15"/>
      <c r="CO360" s="15"/>
      <c r="CP360" s="15" t="s">
        <v>193</v>
      </c>
      <c r="CQ360" s="15" t="s">
        <v>193</v>
      </c>
      <c r="CR360" s="15" t="s">
        <v>188</v>
      </c>
      <c r="CS360" s="15"/>
      <c r="CT360" s="15"/>
      <c r="CU360" s="15"/>
      <c r="CV360" s="15"/>
      <c r="CW360" s="15"/>
      <c r="CX360" s="15" t="s">
        <v>188</v>
      </c>
      <c r="CY360" s="15" t="s">
        <v>188</v>
      </c>
      <c r="CZ360" s="3"/>
      <c r="DA360" s="49"/>
      <c r="DC360" s="18">
        <f t="shared" si="15"/>
        <v>0</v>
      </c>
      <c r="DD360" s="18">
        <f t="shared" si="16"/>
        <v>2</v>
      </c>
      <c r="DE360" s="18">
        <f t="shared" si="17"/>
        <v>2006</v>
      </c>
    </row>
    <row r="361" spans="1:109" x14ac:dyDescent="0.25">
      <c r="A361" s="59" t="s">
        <v>1320</v>
      </c>
      <c r="B361" s="103">
        <v>41548</v>
      </c>
      <c r="C361" s="106" t="s">
        <v>1567</v>
      </c>
      <c r="D361" s="14" t="s">
        <v>928</v>
      </c>
      <c r="E361" s="15" t="s">
        <v>188</v>
      </c>
      <c r="F361" s="15"/>
      <c r="G361" s="15"/>
      <c r="H361" s="15"/>
      <c r="I361" s="15">
        <v>55</v>
      </c>
      <c r="J361" s="15" t="s">
        <v>189</v>
      </c>
      <c r="K361" s="15" t="s">
        <v>196</v>
      </c>
      <c r="L361" s="15" t="s">
        <v>821</v>
      </c>
      <c r="M361" s="15" t="s">
        <v>1110</v>
      </c>
      <c r="N361" s="15" t="s">
        <v>1089</v>
      </c>
      <c r="O361" s="15">
        <v>33</v>
      </c>
      <c r="P361" s="15"/>
      <c r="Q361" s="15"/>
      <c r="R361" s="15"/>
      <c r="S361" s="15" t="s">
        <v>188</v>
      </c>
      <c r="T361" s="15"/>
      <c r="U361" s="15" t="s">
        <v>188</v>
      </c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>
        <v>2004</v>
      </c>
      <c r="AI361" s="1">
        <v>715608</v>
      </c>
      <c r="AJ361" s="15"/>
      <c r="AK361" s="15"/>
      <c r="AL361" s="15" t="s">
        <v>188</v>
      </c>
      <c r="AM361" s="15"/>
      <c r="AN361" s="15"/>
      <c r="AO361" s="15"/>
      <c r="AP361" s="15" t="s">
        <v>188</v>
      </c>
      <c r="AQ361" s="15"/>
      <c r="AR361" s="15"/>
      <c r="AS361" s="15"/>
      <c r="AT361" s="15" t="s">
        <v>322</v>
      </c>
      <c r="AU361" s="1">
        <v>10000</v>
      </c>
      <c r="AV361" s="48">
        <v>0.05</v>
      </c>
      <c r="AW361" s="15">
        <v>2.7</v>
      </c>
      <c r="AX361" s="15">
        <v>2.4</v>
      </c>
      <c r="AY361" s="15">
        <v>2</v>
      </c>
      <c r="AZ361" s="15">
        <v>880</v>
      </c>
      <c r="BA361" s="15">
        <v>2200</v>
      </c>
      <c r="BB361" s="15" t="s">
        <v>188</v>
      </c>
      <c r="BC361" s="15" t="s">
        <v>188</v>
      </c>
      <c r="BD361" s="15" t="s">
        <v>199</v>
      </c>
      <c r="BE361" s="1">
        <v>20000</v>
      </c>
      <c r="BF361" s="1">
        <v>120000</v>
      </c>
      <c r="BG361" s="1">
        <v>30000</v>
      </c>
      <c r="BH361" s="1">
        <v>100000</v>
      </c>
      <c r="BI361" s="1" t="s">
        <v>272</v>
      </c>
      <c r="BJ361" s="15"/>
      <c r="BK361" s="15"/>
      <c r="BL361" s="15"/>
      <c r="BM361" s="15"/>
      <c r="BN361" s="15" t="s">
        <v>188</v>
      </c>
      <c r="BO361" s="15"/>
      <c r="BP361" s="15" t="s">
        <v>188</v>
      </c>
      <c r="BQ361" s="15"/>
      <c r="BR361" s="15"/>
      <c r="BS361" s="2"/>
      <c r="BT361" s="15"/>
      <c r="BU361" s="15"/>
      <c r="BV361" s="15" t="s">
        <v>188</v>
      </c>
      <c r="BW361" s="15"/>
      <c r="BX361" s="15">
        <v>1</v>
      </c>
      <c r="BY361" s="15">
        <v>3</v>
      </c>
      <c r="BZ361" s="15">
        <v>2</v>
      </c>
      <c r="CA361" s="15"/>
      <c r="CB361" s="15" t="s">
        <v>188</v>
      </c>
      <c r="CC361" s="15"/>
      <c r="CD361" s="15"/>
      <c r="CE361" s="15"/>
      <c r="CF361" s="15"/>
      <c r="CG361" s="15"/>
      <c r="CH361" s="15"/>
      <c r="CI361" s="15"/>
      <c r="CJ361" s="15"/>
      <c r="CK361" s="15" t="s">
        <v>188</v>
      </c>
      <c r="CL361" s="15"/>
      <c r="CM361" s="15"/>
      <c r="CN361" s="15"/>
      <c r="CO361" s="15"/>
      <c r="CP361" s="15" t="s">
        <v>193</v>
      </c>
      <c r="CQ361" s="15" t="s">
        <v>193</v>
      </c>
      <c r="CR361" s="15"/>
      <c r="CS361" s="15" t="s">
        <v>188</v>
      </c>
      <c r="CT361" s="15"/>
      <c r="CU361" s="15"/>
      <c r="CV361" s="15"/>
      <c r="CW361" s="15"/>
      <c r="CX361" s="15"/>
      <c r="CY361" s="15" t="s">
        <v>188</v>
      </c>
      <c r="CZ361" s="3"/>
      <c r="DA361" s="49"/>
      <c r="DC361" s="18">
        <f t="shared" si="15"/>
        <v>0</v>
      </c>
      <c r="DD361" s="18">
        <f t="shared" si="16"/>
        <v>1</v>
      </c>
      <c r="DE361" s="18">
        <f t="shared" si="17"/>
        <v>2004</v>
      </c>
    </row>
    <row r="362" spans="1:109" x14ac:dyDescent="0.25">
      <c r="A362" s="59" t="s">
        <v>1320</v>
      </c>
      <c r="B362" s="103">
        <v>41548</v>
      </c>
      <c r="C362" s="106" t="s">
        <v>1567</v>
      </c>
      <c r="D362" s="14" t="s">
        <v>929</v>
      </c>
      <c r="E362" s="15"/>
      <c r="F362" s="15"/>
      <c r="G362" s="15"/>
      <c r="H362" s="15" t="s">
        <v>188</v>
      </c>
      <c r="I362" s="15">
        <v>35</v>
      </c>
      <c r="J362" s="15" t="s">
        <v>189</v>
      </c>
      <c r="K362" s="15" t="s">
        <v>190</v>
      </c>
      <c r="L362" s="15" t="s">
        <v>646</v>
      </c>
      <c r="M362" s="15" t="s">
        <v>1071</v>
      </c>
      <c r="N362" s="15" t="s">
        <v>1089</v>
      </c>
      <c r="O362" s="15">
        <v>17</v>
      </c>
      <c r="P362" s="15"/>
      <c r="Q362" s="15"/>
      <c r="R362" s="15"/>
      <c r="S362" s="15" t="s">
        <v>188</v>
      </c>
      <c r="T362" s="15"/>
      <c r="U362" s="15"/>
      <c r="V362" s="15"/>
      <c r="W362" s="15"/>
      <c r="X362" s="15"/>
      <c r="Y362" s="15"/>
      <c r="Z362" s="15"/>
      <c r="AA362" s="15"/>
      <c r="AB362" s="15" t="s">
        <v>188</v>
      </c>
      <c r="AC362" s="15"/>
      <c r="AD362" s="15"/>
      <c r="AE362" s="15"/>
      <c r="AF362" s="15"/>
      <c r="AG362" s="15"/>
      <c r="AH362" s="15">
        <v>2008</v>
      </c>
      <c r="AI362" s="1">
        <v>517629</v>
      </c>
      <c r="AJ362" s="15"/>
      <c r="AK362" s="15"/>
      <c r="AL362" s="15" t="s">
        <v>188</v>
      </c>
      <c r="AM362" s="15"/>
      <c r="AN362" s="15"/>
      <c r="AO362" s="15"/>
      <c r="AP362" s="15" t="s">
        <v>188</v>
      </c>
      <c r="AQ362" s="15"/>
      <c r="AR362" s="15"/>
      <c r="AS362" s="15"/>
      <c r="AT362" s="15" t="s">
        <v>266</v>
      </c>
      <c r="AU362" s="1">
        <v>10000</v>
      </c>
      <c r="AV362" s="48">
        <v>0.4</v>
      </c>
      <c r="AW362" s="15">
        <v>1.6</v>
      </c>
      <c r="AX362" s="15">
        <v>1.4</v>
      </c>
      <c r="AY362" s="15">
        <v>2</v>
      </c>
      <c r="AZ362" s="15">
        <v>1000</v>
      </c>
      <c r="BA362" s="15">
        <v>1500</v>
      </c>
      <c r="BB362" s="15" t="s">
        <v>188</v>
      </c>
      <c r="BC362" s="15" t="s">
        <v>188</v>
      </c>
      <c r="BD362" s="15" t="s">
        <v>199</v>
      </c>
      <c r="BE362" s="1">
        <v>20000</v>
      </c>
      <c r="BF362" s="1">
        <v>80000</v>
      </c>
      <c r="BG362" s="1">
        <v>20000</v>
      </c>
      <c r="BH362" s="1">
        <v>80000</v>
      </c>
      <c r="BI362" s="1" t="s">
        <v>272</v>
      </c>
      <c r="BJ362" s="15"/>
      <c r="BK362" s="15"/>
      <c r="BL362" s="15"/>
      <c r="BM362" s="15"/>
      <c r="BN362" s="15" t="s">
        <v>188</v>
      </c>
      <c r="BO362" s="15"/>
      <c r="BP362" s="15"/>
      <c r="BQ362" s="15"/>
      <c r="BR362" s="15"/>
      <c r="BS362" s="2"/>
      <c r="BT362" s="15"/>
      <c r="BU362" s="15"/>
      <c r="BV362" s="15" t="s">
        <v>188</v>
      </c>
      <c r="BW362" s="15"/>
      <c r="BX362" s="15">
        <v>1</v>
      </c>
      <c r="BY362" s="15">
        <v>2</v>
      </c>
      <c r="BZ362" s="15">
        <v>3</v>
      </c>
      <c r="CA362" s="15"/>
      <c r="CB362" s="15" t="s">
        <v>188</v>
      </c>
      <c r="CC362" s="15"/>
      <c r="CD362" s="15"/>
      <c r="CE362" s="15"/>
      <c r="CF362" s="15"/>
      <c r="CG362" s="15"/>
      <c r="CH362" s="15"/>
      <c r="CI362" s="15"/>
      <c r="CJ362" s="15"/>
      <c r="CK362" s="15" t="s">
        <v>188</v>
      </c>
      <c r="CL362" s="15"/>
      <c r="CM362" s="15"/>
      <c r="CN362" s="15"/>
      <c r="CO362" s="15"/>
      <c r="CP362" s="15" t="s">
        <v>193</v>
      </c>
      <c r="CQ362" s="15" t="s">
        <v>193</v>
      </c>
      <c r="CR362" s="15"/>
      <c r="CS362" s="15"/>
      <c r="CT362" s="15" t="s">
        <v>188</v>
      </c>
      <c r="CU362" s="15"/>
      <c r="CV362" s="15"/>
      <c r="CW362" s="15"/>
      <c r="CX362" s="15" t="s">
        <v>188</v>
      </c>
      <c r="CY362" s="15"/>
      <c r="CZ362" s="3"/>
      <c r="DA362" s="49"/>
      <c r="DC362" s="18">
        <f t="shared" si="15"/>
        <v>0</v>
      </c>
      <c r="DD362" s="18">
        <f t="shared" si="16"/>
        <v>7</v>
      </c>
      <c r="DE362" s="18">
        <f t="shared" si="17"/>
        <v>2008</v>
      </c>
    </row>
    <row r="363" spans="1:109" x14ac:dyDescent="0.25">
      <c r="A363" s="59" t="s">
        <v>1320</v>
      </c>
      <c r="B363" s="103">
        <v>41548</v>
      </c>
      <c r="C363" s="106" t="s">
        <v>1567</v>
      </c>
      <c r="D363" s="14" t="s">
        <v>930</v>
      </c>
      <c r="E363" s="15" t="s">
        <v>188</v>
      </c>
      <c r="F363" s="15"/>
      <c r="G363" s="15"/>
      <c r="H363" s="15"/>
      <c r="I363" s="15">
        <v>23</v>
      </c>
      <c r="J363" s="15" t="s">
        <v>189</v>
      </c>
      <c r="K363" s="15" t="s">
        <v>190</v>
      </c>
      <c r="L363" s="15" t="s">
        <v>664</v>
      </c>
      <c r="M363" s="15" t="s">
        <v>1079</v>
      </c>
      <c r="N363" s="15" t="s">
        <v>1089</v>
      </c>
      <c r="O363" s="15">
        <v>5</v>
      </c>
      <c r="P363" s="15"/>
      <c r="Q363" s="15"/>
      <c r="R363" s="15"/>
      <c r="S363" s="15" t="s">
        <v>188</v>
      </c>
      <c r="T363" s="15"/>
      <c r="U363" s="15" t="s">
        <v>188</v>
      </c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>
        <v>2006</v>
      </c>
      <c r="AI363" s="1">
        <v>712601</v>
      </c>
      <c r="AJ363" s="15"/>
      <c r="AK363" s="15"/>
      <c r="AL363" s="15" t="s">
        <v>188</v>
      </c>
      <c r="AM363" s="15"/>
      <c r="AN363" s="15"/>
      <c r="AO363" s="15"/>
      <c r="AP363" s="15" t="s">
        <v>188</v>
      </c>
      <c r="AQ363" s="15"/>
      <c r="AR363" s="15"/>
      <c r="AS363" s="15"/>
      <c r="AT363" s="15" t="s">
        <v>322</v>
      </c>
      <c r="AU363" s="1">
        <v>10000</v>
      </c>
      <c r="AV363" s="48">
        <v>0.3</v>
      </c>
      <c r="AW363" s="15">
        <v>2.8</v>
      </c>
      <c r="AX363" s="15">
        <v>2.5</v>
      </c>
      <c r="AY363" s="15">
        <v>2</v>
      </c>
      <c r="AZ363" s="15">
        <v>810</v>
      </c>
      <c r="BA363" s="15">
        <v>2200</v>
      </c>
      <c r="BB363" s="15" t="s">
        <v>188</v>
      </c>
      <c r="BC363" s="15" t="s">
        <v>199</v>
      </c>
      <c r="BD363" s="15" t="s">
        <v>199</v>
      </c>
      <c r="BE363" s="1">
        <v>18000</v>
      </c>
      <c r="BF363" s="1">
        <v>120000</v>
      </c>
      <c r="BG363" s="1">
        <v>24000</v>
      </c>
      <c r="BH363" s="1">
        <v>120000</v>
      </c>
      <c r="BI363" s="1" t="s">
        <v>272</v>
      </c>
      <c r="BJ363" s="15"/>
      <c r="BK363" s="15"/>
      <c r="BL363" s="15"/>
      <c r="BM363" s="15"/>
      <c r="BN363" s="15" t="s">
        <v>188</v>
      </c>
      <c r="BO363" s="15"/>
      <c r="BP363" s="15" t="s">
        <v>188</v>
      </c>
      <c r="BQ363" s="15"/>
      <c r="BR363" s="15"/>
      <c r="BS363" s="2"/>
      <c r="BT363" s="15"/>
      <c r="BU363" s="15"/>
      <c r="BV363" s="15" t="s">
        <v>188</v>
      </c>
      <c r="BW363" s="15"/>
      <c r="BX363" s="15">
        <v>1</v>
      </c>
      <c r="BY363" s="15">
        <v>3</v>
      </c>
      <c r="BZ363" s="15">
        <v>2</v>
      </c>
      <c r="CA363" s="15"/>
      <c r="CB363" s="15" t="s">
        <v>188</v>
      </c>
      <c r="CC363" s="15"/>
      <c r="CD363" s="15"/>
      <c r="CE363" s="15"/>
      <c r="CF363" s="15"/>
      <c r="CG363" s="15"/>
      <c r="CH363" s="15"/>
      <c r="CI363" s="15"/>
      <c r="CJ363" s="15"/>
      <c r="CK363" s="15" t="s">
        <v>188</v>
      </c>
      <c r="CL363" s="15"/>
      <c r="CM363" s="15"/>
      <c r="CN363" s="15"/>
      <c r="CO363" s="15"/>
      <c r="CP363" s="15" t="s">
        <v>193</v>
      </c>
      <c r="CQ363" s="15" t="s">
        <v>193</v>
      </c>
      <c r="CR363" s="15" t="s">
        <v>188</v>
      </c>
      <c r="CS363" s="15"/>
      <c r="CT363" s="15"/>
      <c r="CU363" s="15"/>
      <c r="CV363" s="15"/>
      <c r="CW363" s="15"/>
      <c r="CX363" s="15" t="s">
        <v>188</v>
      </c>
      <c r="CY363" s="15" t="s">
        <v>188</v>
      </c>
      <c r="CZ363" s="3"/>
      <c r="DA363" s="49"/>
      <c r="DC363" s="18">
        <f t="shared" si="15"/>
        <v>0</v>
      </c>
      <c r="DD363" s="18">
        <f t="shared" si="16"/>
        <v>1</v>
      </c>
      <c r="DE363" s="18">
        <f t="shared" si="17"/>
        <v>2006</v>
      </c>
    </row>
    <row r="364" spans="1:109" x14ac:dyDescent="0.25">
      <c r="A364" s="59" t="s">
        <v>1320</v>
      </c>
      <c r="B364" s="103">
        <v>41548</v>
      </c>
      <c r="C364" s="106" t="s">
        <v>1567</v>
      </c>
      <c r="D364" s="14" t="s">
        <v>931</v>
      </c>
      <c r="E364" s="15"/>
      <c r="F364" s="15"/>
      <c r="G364" s="15"/>
      <c r="H364" s="15" t="s">
        <v>188</v>
      </c>
      <c r="I364" s="15">
        <v>31</v>
      </c>
      <c r="J364" s="15" t="s">
        <v>189</v>
      </c>
      <c r="K364" s="15" t="s">
        <v>190</v>
      </c>
      <c r="L364" s="15" t="s">
        <v>821</v>
      </c>
      <c r="M364" s="15" t="s">
        <v>1110</v>
      </c>
      <c r="N364" s="15" t="s">
        <v>1089</v>
      </c>
      <c r="O364" s="15">
        <v>6</v>
      </c>
      <c r="P364" s="15"/>
      <c r="Q364" s="15"/>
      <c r="R364" s="15"/>
      <c r="S364" s="15" t="s">
        <v>188</v>
      </c>
      <c r="T364" s="15"/>
      <c r="U364" s="15" t="s">
        <v>188</v>
      </c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>
        <v>2008</v>
      </c>
      <c r="AI364" s="1">
        <v>453115</v>
      </c>
      <c r="AJ364" s="15"/>
      <c r="AK364" s="15"/>
      <c r="AL364" s="15" t="s">
        <v>188</v>
      </c>
      <c r="AM364" s="15"/>
      <c r="AN364" s="15"/>
      <c r="AO364" s="15"/>
      <c r="AP364" s="15" t="s">
        <v>188</v>
      </c>
      <c r="AQ364" s="15"/>
      <c r="AR364" s="15"/>
      <c r="AS364" s="15"/>
      <c r="AT364" s="15" t="s">
        <v>322</v>
      </c>
      <c r="AU364" s="1">
        <v>12000</v>
      </c>
      <c r="AV364" s="48">
        <v>0.5</v>
      </c>
      <c r="AW364" s="15">
        <v>2.7</v>
      </c>
      <c r="AX364" s="15">
        <v>2.5</v>
      </c>
      <c r="AY364" s="15">
        <v>2</v>
      </c>
      <c r="AZ364" s="15">
        <v>960</v>
      </c>
      <c r="BA364" s="15">
        <v>2500</v>
      </c>
      <c r="BB364" s="15" t="s">
        <v>188</v>
      </c>
      <c r="BC364" s="15" t="s">
        <v>188</v>
      </c>
      <c r="BD364" s="15" t="s">
        <v>199</v>
      </c>
      <c r="BE364" s="1">
        <v>24000</v>
      </c>
      <c r="BF364" s="1">
        <v>140000</v>
      </c>
      <c r="BG364" s="1">
        <v>24000</v>
      </c>
      <c r="BH364" s="1">
        <v>120000</v>
      </c>
      <c r="BI364" s="1" t="s">
        <v>193</v>
      </c>
      <c r="BJ364" s="15"/>
      <c r="BK364" s="15"/>
      <c r="BL364" s="15"/>
      <c r="BM364" s="15" t="s">
        <v>188</v>
      </c>
      <c r="BN364" s="15" t="s">
        <v>188</v>
      </c>
      <c r="BO364" s="15"/>
      <c r="BP364" s="15" t="s">
        <v>188</v>
      </c>
      <c r="BQ364" s="15"/>
      <c r="BR364" s="15"/>
      <c r="BS364" s="2"/>
      <c r="BT364" s="15"/>
      <c r="BU364" s="15" t="s">
        <v>188</v>
      </c>
      <c r="BV364" s="15"/>
      <c r="BW364" s="15"/>
      <c r="BX364" s="15">
        <v>1</v>
      </c>
      <c r="BY364" s="15">
        <v>2</v>
      </c>
      <c r="BZ364" s="15">
        <v>3</v>
      </c>
      <c r="CA364" s="15"/>
      <c r="CB364" s="15" t="s">
        <v>188</v>
      </c>
      <c r="CC364" s="15"/>
      <c r="CD364" s="15"/>
      <c r="CE364" s="15"/>
      <c r="CF364" s="15"/>
      <c r="CG364" s="15"/>
      <c r="CH364" s="15"/>
      <c r="CI364" s="15"/>
      <c r="CJ364" s="15"/>
      <c r="CK364" s="15" t="s">
        <v>188</v>
      </c>
      <c r="CL364" s="15"/>
      <c r="CM364" s="15"/>
      <c r="CN364" s="15"/>
      <c r="CO364" s="15"/>
      <c r="CP364" s="15" t="s">
        <v>193</v>
      </c>
      <c r="CQ364" s="15" t="s">
        <v>193</v>
      </c>
      <c r="CR364" s="15"/>
      <c r="CS364" s="15" t="s">
        <v>188</v>
      </c>
      <c r="CT364" s="15"/>
      <c r="CU364" s="15"/>
      <c r="CV364" s="15"/>
      <c r="CW364" s="15"/>
      <c r="CX364" s="15"/>
      <c r="CY364" s="15" t="s">
        <v>188</v>
      </c>
      <c r="CZ364" s="3"/>
      <c r="DA364" s="49"/>
      <c r="DC364" s="18">
        <f t="shared" si="15"/>
        <v>0</v>
      </c>
      <c r="DD364" s="18">
        <f t="shared" si="16"/>
        <v>7</v>
      </c>
      <c r="DE364" s="18">
        <f t="shared" si="17"/>
        <v>2008</v>
      </c>
    </row>
    <row r="365" spans="1:109" x14ac:dyDescent="0.25">
      <c r="A365" s="59" t="s">
        <v>1320</v>
      </c>
      <c r="B365" s="103">
        <v>41548</v>
      </c>
      <c r="C365" s="106" t="s">
        <v>1567</v>
      </c>
      <c r="D365" s="14" t="s">
        <v>932</v>
      </c>
      <c r="E365" s="15"/>
      <c r="F365" s="15"/>
      <c r="G365" s="15" t="s">
        <v>188</v>
      </c>
      <c r="H365" s="15"/>
      <c r="I365" s="15">
        <v>47</v>
      </c>
      <c r="J365" s="15" t="s">
        <v>189</v>
      </c>
      <c r="K365" s="15" t="s">
        <v>190</v>
      </c>
      <c r="L365" s="15" t="s">
        <v>646</v>
      </c>
      <c r="M365" s="15" t="s">
        <v>1071</v>
      </c>
      <c r="N365" s="15" t="s">
        <v>1089</v>
      </c>
      <c r="O365" s="15">
        <v>22</v>
      </c>
      <c r="P365" s="15"/>
      <c r="Q365" s="15"/>
      <c r="R365" s="15"/>
      <c r="S365" s="15" t="s">
        <v>188</v>
      </c>
      <c r="T365" s="15"/>
      <c r="U365" s="15"/>
      <c r="V365" s="15"/>
      <c r="W365" s="15"/>
      <c r="X365" s="15"/>
      <c r="Y365" s="15"/>
      <c r="Z365" s="15"/>
      <c r="AA365" s="15"/>
      <c r="AB365" s="15" t="s">
        <v>188</v>
      </c>
      <c r="AC365" s="15"/>
      <c r="AD365" s="15"/>
      <c r="AE365" s="15"/>
      <c r="AF365" s="15"/>
      <c r="AG365" s="15"/>
      <c r="AH365" s="15">
        <v>2007</v>
      </c>
      <c r="AI365" s="1">
        <v>612828</v>
      </c>
      <c r="AJ365" s="15"/>
      <c r="AK365" s="15"/>
      <c r="AL365" s="15" t="s">
        <v>188</v>
      </c>
      <c r="AM365" s="15"/>
      <c r="AN365" s="15"/>
      <c r="AO365" s="15"/>
      <c r="AP365" s="15" t="s">
        <v>188</v>
      </c>
      <c r="AQ365" s="15"/>
      <c r="AR365" s="15"/>
      <c r="AS365" s="15"/>
      <c r="AT365" s="15" t="s">
        <v>266</v>
      </c>
      <c r="AU365" s="1">
        <v>10000</v>
      </c>
      <c r="AV365" s="48">
        <v>0.5</v>
      </c>
      <c r="AW365" s="15">
        <v>2.7</v>
      </c>
      <c r="AX365" s="15">
        <v>2.2999999999999998</v>
      </c>
      <c r="AY365" s="15">
        <v>2</v>
      </c>
      <c r="AZ365" s="15">
        <v>800</v>
      </c>
      <c r="BA365" s="15">
        <v>2000</v>
      </c>
      <c r="BB365" s="15" t="s">
        <v>188</v>
      </c>
      <c r="BC365" s="15" t="s">
        <v>188</v>
      </c>
      <c r="BD365" s="15" t="s">
        <v>199</v>
      </c>
      <c r="BE365" s="1">
        <v>20000</v>
      </c>
      <c r="BF365" s="1">
        <v>120000</v>
      </c>
      <c r="BG365" s="1">
        <v>30000</v>
      </c>
      <c r="BH365" s="1">
        <v>120000</v>
      </c>
      <c r="BI365" s="1" t="s">
        <v>193</v>
      </c>
      <c r="BJ365" s="15"/>
      <c r="BK365" s="15"/>
      <c r="BL365" s="15"/>
      <c r="BM365" s="15"/>
      <c r="BN365" s="15" t="s">
        <v>188</v>
      </c>
      <c r="BO365" s="15"/>
      <c r="BP365" s="15"/>
      <c r="BQ365" s="15"/>
      <c r="BR365" s="15"/>
      <c r="BS365" s="2"/>
      <c r="BT365" s="15"/>
      <c r="BU365" s="15" t="s">
        <v>188</v>
      </c>
      <c r="BV365" s="15"/>
      <c r="BW365" s="15"/>
      <c r="BX365" s="15">
        <v>2</v>
      </c>
      <c r="BY365" s="15">
        <v>1</v>
      </c>
      <c r="BZ365" s="15">
        <v>3</v>
      </c>
      <c r="CA365" s="15"/>
      <c r="CB365" s="15" t="s">
        <v>188</v>
      </c>
      <c r="CC365" s="15"/>
      <c r="CD365" s="15"/>
      <c r="CE365" s="15"/>
      <c r="CF365" s="15"/>
      <c r="CG365" s="15"/>
      <c r="CH365" s="15"/>
      <c r="CI365" s="15"/>
      <c r="CJ365" s="15"/>
      <c r="CK365" s="15" t="s">
        <v>188</v>
      </c>
      <c r="CL365" s="15"/>
      <c r="CM365" s="15"/>
      <c r="CN365" s="15"/>
      <c r="CO365" s="15"/>
      <c r="CP365" s="15" t="s">
        <v>193</v>
      </c>
      <c r="CQ365" s="15" t="s">
        <v>193</v>
      </c>
      <c r="CR365" s="15" t="s">
        <v>188</v>
      </c>
      <c r="CS365" s="15"/>
      <c r="CT365" s="15"/>
      <c r="CU365" s="15"/>
      <c r="CV365" s="15"/>
      <c r="CW365" s="15"/>
      <c r="CX365" s="15" t="s">
        <v>188</v>
      </c>
      <c r="CY365" s="15" t="s">
        <v>188</v>
      </c>
      <c r="CZ365" s="3"/>
      <c r="DA365" s="49"/>
      <c r="DC365" s="18">
        <f t="shared" si="15"/>
        <v>0</v>
      </c>
      <c r="DD365" s="18">
        <f t="shared" si="16"/>
        <v>3</v>
      </c>
      <c r="DE365" s="18">
        <f t="shared" si="17"/>
        <v>2007</v>
      </c>
    </row>
    <row r="366" spans="1:109" x14ac:dyDescent="0.25">
      <c r="A366" s="59" t="s">
        <v>1320</v>
      </c>
      <c r="B366" s="103">
        <v>41548</v>
      </c>
      <c r="C366" s="106" t="s">
        <v>1567</v>
      </c>
      <c r="D366" s="14" t="s">
        <v>933</v>
      </c>
      <c r="E366" s="15"/>
      <c r="F366" s="15"/>
      <c r="G366" s="15"/>
      <c r="H366" s="15" t="s">
        <v>188</v>
      </c>
      <c r="I366" s="15">
        <v>38</v>
      </c>
      <c r="J366" s="15" t="s">
        <v>189</v>
      </c>
      <c r="K366" s="15" t="s">
        <v>190</v>
      </c>
      <c r="L366" s="15" t="s">
        <v>878</v>
      </c>
      <c r="M366" s="15" t="s">
        <v>1132</v>
      </c>
      <c r="N366" s="15" t="s">
        <v>1133</v>
      </c>
      <c r="O366" s="15">
        <v>18</v>
      </c>
      <c r="P366" s="15"/>
      <c r="Q366" s="15"/>
      <c r="R366" s="15"/>
      <c r="S366" s="15" t="s">
        <v>188</v>
      </c>
      <c r="T366" s="15"/>
      <c r="U366" s="15" t="s">
        <v>188</v>
      </c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>
        <v>2009</v>
      </c>
      <c r="AI366" s="1">
        <v>375213</v>
      </c>
      <c r="AJ366" s="15"/>
      <c r="AK366" s="15"/>
      <c r="AL366" s="15" t="s">
        <v>188</v>
      </c>
      <c r="AM366" s="15"/>
      <c r="AN366" s="15"/>
      <c r="AO366" s="15"/>
      <c r="AP366" s="15" t="s">
        <v>188</v>
      </c>
      <c r="AQ366" s="15"/>
      <c r="AR366" s="15"/>
      <c r="AS366" s="15"/>
      <c r="AT366" s="15" t="s">
        <v>322</v>
      </c>
      <c r="AU366" s="1">
        <v>10000</v>
      </c>
      <c r="AV366" s="48">
        <v>0.5</v>
      </c>
      <c r="AW366" s="15">
        <v>2.7</v>
      </c>
      <c r="AX366" s="15">
        <v>2.5</v>
      </c>
      <c r="AY366" s="15">
        <v>2</v>
      </c>
      <c r="AZ366" s="15">
        <v>780</v>
      </c>
      <c r="BA366" s="15">
        <v>2000</v>
      </c>
      <c r="BB366" s="15" t="s">
        <v>188</v>
      </c>
      <c r="BC366" s="15" t="s">
        <v>188</v>
      </c>
      <c r="BD366" s="15" t="s">
        <v>199</v>
      </c>
      <c r="BE366" s="1">
        <v>20000</v>
      </c>
      <c r="BF366" s="1" t="s">
        <v>193</v>
      </c>
      <c r="BG366" s="1">
        <v>20000</v>
      </c>
      <c r="BH366" s="1">
        <v>120000</v>
      </c>
      <c r="BI366" s="1" t="s">
        <v>193</v>
      </c>
      <c r="BJ366" s="15"/>
      <c r="BK366" s="15"/>
      <c r="BL366" s="15"/>
      <c r="BM366" s="15"/>
      <c r="BN366" s="15" t="s">
        <v>188</v>
      </c>
      <c r="BO366" s="15"/>
      <c r="BP366" s="15" t="s">
        <v>188</v>
      </c>
      <c r="BQ366" s="15"/>
      <c r="BR366" s="15"/>
      <c r="BS366" s="2"/>
      <c r="BT366" s="15"/>
      <c r="BU366" s="15"/>
      <c r="BV366" s="15" t="s">
        <v>188</v>
      </c>
      <c r="BW366" s="15"/>
      <c r="BX366" s="15">
        <v>1</v>
      </c>
      <c r="BY366" s="15">
        <v>3</v>
      </c>
      <c r="BZ366" s="15">
        <v>2</v>
      </c>
      <c r="CA366" s="15"/>
      <c r="CB366" s="15" t="s">
        <v>188</v>
      </c>
      <c r="CC366" s="15"/>
      <c r="CD366" s="15"/>
      <c r="CE366" s="15"/>
      <c r="CF366" s="15"/>
      <c r="CG366" s="15"/>
      <c r="CH366" s="15"/>
      <c r="CI366" s="15"/>
      <c r="CJ366" s="15"/>
      <c r="CK366" s="15" t="s">
        <v>188</v>
      </c>
      <c r="CL366" s="15"/>
      <c r="CM366" s="15"/>
      <c r="CN366" s="15"/>
      <c r="CO366" s="15"/>
      <c r="CP366" s="15" t="s">
        <v>193</v>
      </c>
      <c r="CQ366" s="15" t="s">
        <v>193</v>
      </c>
      <c r="CR366" s="15" t="s">
        <v>188</v>
      </c>
      <c r="CS366" s="15"/>
      <c r="CT366" s="15"/>
      <c r="CU366" s="15"/>
      <c r="CV366" s="15"/>
      <c r="CW366" s="15"/>
      <c r="CX366" s="15" t="s">
        <v>188</v>
      </c>
      <c r="CY366" s="15" t="s">
        <v>188</v>
      </c>
      <c r="CZ366" s="3"/>
      <c r="DA366" s="49"/>
      <c r="DC366" s="18">
        <f t="shared" si="15"/>
        <v>0</v>
      </c>
      <c r="DD366" s="18">
        <f t="shared" si="16"/>
        <v>7</v>
      </c>
      <c r="DE366" s="18">
        <f t="shared" si="17"/>
        <v>2009</v>
      </c>
    </row>
    <row r="367" spans="1:109" x14ac:dyDescent="0.25">
      <c r="A367" s="59" t="s">
        <v>1320</v>
      </c>
      <c r="B367" s="103">
        <v>41548</v>
      </c>
      <c r="C367" s="106" t="s">
        <v>1568</v>
      </c>
      <c r="D367" s="14" t="s">
        <v>934</v>
      </c>
      <c r="E367" s="15"/>
      <c r="F367" s="15"/>
      <c r="G367" s="15" t="s">
        <v>188</v>
      </c>
      <c r="H367" s="15"/>
      <c r="I367" s="15">
        <v>27</v>
      </c>
      <c r="J367" s="15" t="s">
        <v>189</v>
      </c>
      <c r="K367" s="15" t="s">
        <v>190</v>
      </c>
      <c r="L367" s="15" t="s">
        <v>979</v>
      </c>
      <c r="M367" s="15" t="s">
        <v>1153</v>
      </c>
      <c r="N367" s="15" t="s">
        <v>1089</v>
      </c>
      <c r="O367" s="15">
        <v>4</v>
      </c>
      <c r="P367" s="15"/>
      <c r="Q367" s="15"/>
      <c r="R367" s="15"/>
      <c r="S367" s="15" t="s">
        <v>188</v>
      </c>
      <c r="T367" s="15"/>
      <c r="U367" s="15" t="s">
        <v>188</v>
      </c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>
        <v>2005</v>
      </c>
      <c r="AI367" s="1">
        <v>654812</v>
      </c>
      <c r="AJ367" s="15"/>
      <c r="AK367" s="15"/>
      <c r="AL367" s="15" t="s">
        <v>188</v>
      </c>
      <c r="AM367" s="15"/>
      <c r="AN367" s="15"/>
      <c r="AO367" s="15"/>
      <c r="AP367" s="15" t="s">
        <v>188</v>
      </c>
      <c r="AQ367" s="15"/>
      <c r="AR367" s="15"/>
      <c r="AS367" s="15"/>
      <c r="AT367" s="15" t="s">
        <v>266</v>
      </c>
      <c r="AU367" s="1">
        <v>8000</v>
      </c>
      <c r="AV367" s="48">
        <v>0.1</v>
      </c>
      <c r="AW367" s="15">
        <v>2.8</v>
      </c>
      <c r="AX367" s="15">
        <v>2.5</v>
      </c>
      <c r="AY367" s="15">
        <v>2</v>
      </c>
      <c r="AZ367" s="15">
        <v>960</v>
      </c>
      <c r="BA367" s="15">
        <v>2500</v>
      </c>
      <c r="BB367" s="15" t="s">
        <v>188</v>
      </c>
      <c r="BC367" s="15" t="s">
        <v>188</v>
      </c>
      <c r="BD367" s="15" t="s">
        <v>199</v>
      </c>
      <c r="BE367" s="1">
        <v>18000</v>
      </c>
      <c r="BF367" s="1">
        <v>180000</v>
      </c>
      <c r="BG367" s="1">
        <v>30000</v>
      </c>
      <c r="BH367" s="1">
        <v>120000</v>
      </c>
      <c r="BI367" s="1" t="s">
        <v>193</v>
      </c>
      <c r="BJ367" s="15"/>
      <c r="BK367" s="15"/>
      <c r="BL367" s="15"/>
      <c r="BM367" s="15"/>
      <c r="BN367" s="15" t="s">
        <v>188</v>
      </c>
      <c r="BO367" s="15"/>
      <c r="BP367" s="15" t="s">
        <v>188</v>
      </c>
      <c r="BQ367" s="15"/>
      <c r="BR367" s="15"/>
      <c r="BS367" s="2"/>
      <c r="BT367" s="15"/>
      <c r="BU367" s="15" t="s">
        <v>188</v>
      </c>
      <c r="BV367" s="15"/>
      <c r="BW367" s="15"/>
      <c r="BX367" s="15">
        <v>1</v>
      </c>
      <c r="BY367" s="15">
        <v>2</v>
      </c>
      <c r="BZ367" s="15">
        <v>3</v>
      </c>
      <c r="CA367" s="15"/>
      <c r="CB367" s="15" t="s">
        <v>188</v>
      </c>
      <c r="CC367" s="15"/>
      <c r="CD367" s="15"/>
      <c r="CE367" s="15"/>
      <c r="CF367" s="15"/>
      <c r="CG367" s="15"/>
      <c r="CH367" s="15"/>
      <c r="CI367" s="15"/>
      <c r="CJ367" s="15"/>
      <c r="CK367" s="15" t="s">
        <v>188</v>
      </c>
      <c r="CL367" s="15"/>
      <c r="CM367" s="15"/>
      <c r="CN367" s="15"/>
      <c r="CO367" s="15"/>
      <c r="CP367" s="15" t="s">
        <v>193</v>
      </c>
      <c r="CQ367" s="15" t="s">
        <v>193</v>
      </c>
      <c r="CR367" s="15" t="s">
        <v>188</v>
      </c>
      <c r="CS367" s="15"/>
      <c r="CT367" s="15"/>
      <c r="CU367" s="15"/>
      <c r="CV367" s="15"/>
      <c r="CW367" s="15"/>
      <c r="CX367" s="15" t="s">
        <v>188</v>
      </c>
      <c r="CY367" s="15"/>
      <c r="CZ367" s="3"/>
      <c r="DA367" s="49"/>
      <c r="DC367" s="18">
        <f t="shared" si="15"/>
        <v>0</v>
      </c>
      <c r="DD367" s="18">
        <f t="shared" si="16"/>
        <v>3</v>
      </c>
      <c r="DE367" s="18">
        <f t="shared" si="17"/>
        <v>2005</v>
      </c>
    </row>
    <row r="368" spans="1:109" x14ac:dyDescent="0.25">
      <c r="A368" s="59" t="s">
        <v>1320</v>
      </c>
      <c r="B368" s="103">
        <v>41548</v>
      </c>
      <c r="C368" s="106" t="s">
        <v>1568</v>
      </c>
      <c r="D368" s="14" t="s">
        <v>935</v>
      </c>
      <c r="E368" s="15"/>
      <c r="F368" s="15" t="s">
        <v>188</v>
      </c>
      <c r="G368" s="15"/>
      <c r="H368" s="15"/>
      <c r="I368" s="15">
        <v>60</v>
      </c>
      <c r="J368" s="15" t="s">
        <v>189</v>
      </c>
      <c r="K368" s="15" t="s">
        <v>445</v>
      </c>
      <c r="L368" s="15" t="s">
        <v>979</v>
      </c>
      <c r="M368" s="15" t="s">
        <v>1153</v>
      </c>
      <c r="N368" s="15" t="s">
        <v>1089</v>
      </c>
      <c r="O368" s="15">
        <v>40</v>
      </c>
      <c r="P368" s="15"/>
      <c r="Q368" s="15"/>
      <c r="R368" s="15"/>
      <c r="S368" s="15" t="s">
        <v>188</v>
      </c>
      <c r="T368" s="15"/>
      <c r="U368" s="15"/>
      <c r="V368" s="15"/>
      <c r="W368" s="15"/>
      <c r="X368" s="15"/>
      <c r="Y368" s="15"/>
      <c r="Z368" s="15"/>
      <c r="AA368" s="15"/>
      <c r="AB368" s="15" t="s">
        <v>188</v>
      </c>
      <c r="AC368" s="15"/>
      <c r="AD368" s="15"/>
      <c r="AE368" s="15"/>
      <c r="AF368" s="15"/>
      <c r="AG368" s="15"/>
      <c r="AH368" s="15">
        <v>2004</v>
      </c>
      <c r="AI368" s="1">
        <v>768496</v>
      </c>
      <c r="AJ368" s="15"/>
      <c r="AK368" s="15"/>
      <c r="AL368" s="15" t="s">
        <v>188</v>
      </c>
      <c r="AM368" s="15"/>
      <c r="AN368" s="15"/>
      <c r="AO368" s="15"/>
      <c r="AP368" s="15" t="s">
        <v>188</v>
      </c>
      <c r="AQ368" s="15"/>
      <c r="AR368" s="15"/>
      <c r="AS368" s="15"/>
      <c r="AT368" s="15" t="s">
        <v>322</v>
      </c>
      <c r="AU368" s="1">
        <v>6000</v>
      </c>
      <c r="AV368" s="48">
        <v>0.5</v>
      </c>
      <c r="AW368" s="15">
        <v>2.8</v>
      </c>
      <c r="AX368" s="15">
        <v>2.5</v>
      </c>
      <c r="AY368" s="15">
        <v>2</v>
      </c>
      <c r="AZ368" s="15">
        <v>850</v>
      </c>
      <c r="BA368" s="15">
        <v>2200</v>
      </c>
      <c r="BB368" s="15" t="s">
        <v>188</v>
      </c>
      <c r="BC368" s="15" t="s">
        <v>188</v>
      </c>
      <c r="BD368" s="15" t="s">
        <v>199</v>
      </c>
      <c r="BE368" s="1">
        <v>18000</v>
      </c>
      <c r="BF368" s="1">
        <v>200000</v>
      </c>
      <c r="BG368" s="1">
        <v>24000</v>
      </c>
      <c r="BH368" s="1">
        <v>140000</v>
      </c>
      <c r="BI368" s="1" t="s">
        <v>193</v>
      </c>
      <c r="BJ368" s="15"/>
      <c r="BK368" s="15"/>
      <c r="BL368" s="15"/>
      <c r="BM368" s="15"/>
      <c r="BN368" s="15" t="s">
        <v>188</v>
      </c>
      <c r="BO368" s="15"/>
      <c r="BP368" s="15" t="s">
        <v>188</v>
      </c>
      <c r="BQ368" s="15"/>
      <c r="BR368" s="15"/>
      <c r="BS368" s="2"/>
      <c r="BT368" s="15"/>
      <c r="BU368" s="15" t="s">
        <v>188</v>
      </c>
      <c r="BV368" s="15"/>
      <c r="BW368" s="15"/>
      <c r="BX368" s="15">
        <v>2</v>
      </c>
      <c r="BY368" s="15">
        <v>3</v>
      </c>
      <c r="BZ368" s="15">
        <v>1</v>
      </c>
      <c r="CA368" s="15"/>
      <c r="CB368" s="15" t="s">
        <v>188</v>
      </c>
      <c r="CC368" s="15"/>
      <c r="CD368" s="15"/>
      <c r="CE368" s="15"/>
      <c r="CF368" s="15"/>
      <c r="CG368" s="15"/>
      <c r="CH368" s="15"/>
      <c r="CI368" s="15"/>
      <c r="CJ368" s="15"/>
      <c r="CK368" s="15" t="s">
        <v>188</v>
      </c>
      <c r="CL368" s="15"/>
      <c r="CM368" s="15"/>
      <c r="CN368" s="15"/>
      <c r="CO368" s="15"/>
      <c r="CP368" s="15" t="s">
        <v>193</v>
      </c>
      <c r="CQ368" s="15" t="s">
        <v>193</v>
      </c>
      <c r="CR368" s="15"/>
      <c r="CS368" s="15"/>
      <c r="CT368" s="15" t="s">
        <v>188</v>
      </c>
      <c r="CU368" s="15"/>
      <c r="CV368" s="15"/>
      <c r="CW368" s="15"/>
      <c r="CX368" s="15" t="s">
        <v>188</v>
      </c>
      <c r="CY368" s="15"/>
      <c r="CZ368" s="3"/>
      <c r="DA368" s="49"/>
      <c r="DC368" s="18">
        <f t="shared" si="15"/>
        <v>0</v>
      </c>
      <c r="DD368" s="18">
        <f t="shared" si="16"/>
        <v>2</v>
      </c>
      <c r="DE368" s="18">
        <f t="shared" si="17"/>
        <v>2004</v>
      </c>
    </row>
    <row r="369" spans="1:109" x14ac:dyDescent="0.25">
      <c r="A369" s="59" t="s">
        <v>1320</v>
      </c>
      <c r="B369" s="103">
        <v>41548</v>
      </c>
      <c r="C369" s="106" t="s">
        <v>1569</v>
      </c>
      <c r="D369" s="14" t="s">
        <v>936</v>
      </c>
      <c r="E369" s="15" t="s">
        <v>188</v>
      </c>
      <c r="F369" s="15"/>
      <c r="G369" s="15"/>
      <c r="H369" s="15"/>
      <c r="I369" s="15">
        <v>32</v>
      </c>
      <c r="J369" s="15" t="s">
        <v>189</v>
      </c>
      <c r="K369" s="15" t="s">
        <v>190</v>
      </c>
      <c r="L369" s="15" t="s">
        <v>653</v>
      </c>
      <c r="M369" s="15" t="s">
        <v>1073</v>
      </c>
      <c r="N369" s="15" t="s">
        <v>1089</v>
      </c>
      <c r="O369" s="15">
        <v>8</v>
      </c>
      <c r="P369" s="15"/>
      <c r="Q369" s="15"/>
      <c r="R369" s="15"/>
      <c r="S369" s="15" t="s">
        <v>188</v>
      </c>
      <c r="T369" s="15"/>
      <c r="U369" s="15"/>
      <c r="V369" s="15"/>
      <c r="W369" s="15"/>
      <c r="X369" s="15"/>
      <c r="Y369" s="15"/>
      <c r="Z369" s="15"/>
      <c r="AA369" s="15"/>
      <c r="AB369" s="15" t="s">
        <v>188</v>
      </c>
      <c r="AC369" s="15"/>
      <c r="AD369" s="15"/>
      <c r="AE369" s="15"/>
      <c r="AF369" s="15"/>
      <c r="AG369" s="15"/>
      <c r="AH369" s="15">
        <v>2005</v>
      </c>
      <c r="AI369" s="1">
        <v>823661</v>
      </c>
      <c r="AJ369" s="15"/>
      <c r="AK369" s="15"/>
      <c r="AL369" s="15" t="s">
        <v>188</v>
      </c>
      <c r="AM369" s="15"/>
      <c r="AN369" s="15"/>
      <c r="AO369" s="15"/>
      <c r="AP369" s="15" t="s">
        <v>188</v>
      </c>
      <c r="AQ369" s="15"/>
      <c r="AR369" s="15"/>
      <c r="AS369" s="15"/>
      <c r="AT369" s="15" t="s">
        <v>266</v>
      </c>
      <c r="AU369" s="1">
        <v>8000</v>
      </c>
      <c r="AV369" s="48">
        <v>0.3</v>
      </c>
      <c r="AW369" s="15">
        <v>2.9</v>
      </c>
      <c r="AX369" s="15">
        <v>2.5</v>
      </c>
      <c r="AY369" s="15">
        <v>2</v>
      </c>
      <c r="AZ369" s="15">
        <v>810</v>
      </c>
      <c r="BA369" s="15">
        <v>2200</v>
      </c>
      <c r="BB369" s="15" t="s">
        <v>188</v>
      </c>
      <c r="BC369" s="15" t="s">
        <v>188</v>
      </c>
      <c r="BD369" s="15" t="s">
        <v>199</v>
      </c>
      <c r="BE369" s="1">
        <v>20000</v>
      </c>
      <c r="BF369" s="1">
        <v>100000</v>
      </c>
      <c r="BG369" s="1">
        <v>25000</v>
      </c>
      <c r="BH369" s="1">
        <v>100000</v>
      </c>
      <c r="BI369" s="1" t="s">
        <v>193</v>
      </c>
      <c r="BJ369" s="15"/>
      <c r="BK369" s="15"/>
      <c r="BL369" s="15" t="s">
        <v>188</v>
      </c>
      <c r="BM369" s="15"/>
      <c r="BN369" s="15" t="s">
        <v>188</v>
      </c>
      <c r="BO369" s="15"/>
      <c r="BP369" s="15"/>
      <c r="BQ369" s="15"/>
      <c r="BR369" s="15" t="s">
        <v>188</v>
      </c>
      <c r="BS369" s="2"/>
      <c r="BT369" s="15"/>
      <c r="BU369" s="15" t="s">
        <v>188</v>
      </c>
      <c r="BV369" s="15"/>
      <c r="BW369" s="15"/>
      <c r="BX369" s="15">
        <v>2</v>
      </c>
      <c r="BY369" s="15">
        <v>3</v>
      </c>
      <c r="BZ369" s="15">
        <v>4</v>
      </c>
      <c r="CA369" s="15" t="s">
        <v>208</v>
      </c>
      <c r="CB369" s="15" t="s">
        <v>188</v>
      </c>
      <c r="CC369" s="15"/>
      <c r="CD369" s="15"/>
      <c r="CE369" s="15"/>
      <c r="CF369" s="15"/>
      <c r="CG369" s="15"/>
      <c r="CH369" s="15"/>
      <c r="CI369" s="15"/>
      <c r="CJ369" s="15"/>
      <c r="CK369" s="15" t="s">
        <v>188</v>
      </c>
      <c r="CL369" s="15"/>
      <c r="CM369" s="15"/>
      <c r="CN369" s="15"/>
      <c r="CO369" s="15"/>
      <c r="CP369" s="15" t="s">
        <v>193</v>
      </c>
      <c r="CQ369" s="15" t="s">
        <v>193</v>
      </c>
      <c r="CR369" s="15"/>
      <c r="CS369" s="15"/>
      <c r="CT369" s="15"/>
      <c r="CU369" s="15" t="s">
        <v>655</v>
      </c>
      <c r="CV369" s="15"/>
      <c r="CW369" s="15"/>
      <c r="CX369" s="15" t="s">
        <v>188</v>
      </c>
      <c r="CY369" s="15"/>
      <c r="CZ369" s="3"/>
      <c r="DA369" s="49"/>
      <c r="DC369" s="18">
        <f t="shared" si="15"/>
        <v>0</v>
      </c>
      <c r="DD369" s="18">
        <f t="shared" si="16"/>
        <v>1</v>
      </c>
      <c r="DE369" s="18">
        <f t="shared" si="17"/>
        <v>2005</v>
      </c>
    </row>
    <row r="370" spans="1:109" x14ac:dyDescent="0.25">
      <c r="A370" s="59" t="s">
        <v>1320</v>
      </c>
      <c r="B370" s="103">
        <v>41548</v>
      </c>
      <c r="C370" s="106" t="s">
        <v>1569</v>
      </c>
      <c r="D370" s="14" t="s">
        <v>937</v>
      </c>
      <c r="E370" s="15" t="s">
        <v>188</v>
      </c>
      <c r="F370" s="15"/>
      <c r="G370" s="15"/>
      <c r="H370" s="15"/>
      <c r="I370" s="15">
        <v>54</v>
      </c>
      <c r="J370" s="15" t="s">
        <v>189</v>
      </c>
      <c r="K370" s="15" t="s">
        <v>196</v>
      </c>
      <c r="L370" s="15" t="s">
        <v>979</v>
      </c>
      <c r="M370" s="15" t="s">
        <v>1153</v>
      </c>
      <c r="N370" s="15" t="s">
        <v>1089</v>
      </c>
      <c r="O370" s="15">
        <v>35</v>
      </c>
      <c r="P370" s="15"/>
      <c r="Q370" s="15"/>
      <c r="R370" s="15"/>
      <c r="S370" s="15" t="s">
        <v>188</v>
      </c>
      <c r="T370" s="15"/>
      <c r="U370" s="15"/>
      <c r="V370" s="15"/>
      <c r="W370" s="15"/>
      <c r="X370" s="15"/>
      <c r="Y370" s="15"/>
      <c r="Z370" s="15"/>
      <c r="AA370" s="15"/>
      <c r="AB370" s="15" t="s">
        <v>188</v>
      </c>
      <c r="AC370" s="15"/>
      <c r="AD370" s="15"/>
      <c r="AE370" s="15"/>
      <c r="AF370" s="15"/>
      <c r="AG370" s="15"/>
      <c r="AH370" s="15">
        <v>2004</v>
      </c>
      <c r="AI370" s="1">
        <v>724392</v>
      </c>
      <c r="AJ370" s="15"/>
      <c r="AK370" s="15"/>
      <c r="AL370" s="15" t="s">
        <v>188</v>
      </c>
      <c r="AM370" s="15"/>
      <c r="AN370" s="15"/>
      <c r="AO370" s="15"/>
      <c r="AP370" s="15" t="s">
        <v>188</v>
      </c>
      <c r="AQ370" s="15"/>
      <c r="AR370" s="15"/>
      <c r="AS370" s="15"/>
      <c r="AT370" s="15" t="s">
        <v>322</v>
      </c>
      <c r="AU370" s="1">
        <v>8000</v>
      </c>
      <c r="AV370" s="48">
        <v>0.25</v>
      </c>
      <c r="AW370" s="15">
        <v>2.9</v>
      </c>
      <c r="AX370" s="15">
        <v>2.5</v>
      </c>
      <c r="AY370" s="15">
        <v>2</v>
      </c>
      <c r="AZ370" s="15">
        <v>920</v>
      </c>
      <c r="BA370" s="15">
        <v>2500</v>
      </c>
      <c r="BB370" s="15" t="s">
        <v>188</v>
      </c>
      <c r="BC370" s="15" t="s">
        <v>188</v>
      </c>
      <c r="BD370" s="15" t="s">
        <v>199</v>
      </c>
      <c r="BE370" s="1">
        <v>18000</v>
      </c>
      <c r="BF370" s="1">
        <v>120000</v>
      </c>
      <c r="BG370" s="1">
        <v>36000</v>
      </c>
      <c r="BH370" s="1">
        <v>120000</v>
      </c>
      <c r="BI370" s="1" t="s">
        <v>193</v>
      </c>
      <c r="BJ370" s="15"/>
      <c r="BK370" s="15"/>
      <c r="BL370" s="15"/>
      <c r="BM370" s="15"/>
      <c r="BN370" s="15"/>
      <c r="BO370" s="15"/>
      <c r="BP370" s="15"/>
      <c r="BQ370" s="15"/>
      <c r="BR370" s="15"/>
      <c r="BS370" s="2" t="s">
        <v>837</v>
      </c>
      <c r="BT370" s="15"/>
      <c r="BU370" s="15"/>
      <c r="BV370" s="15" t="s">
        <v>188</v>
      </c>
      <c r="BW370" s="15"/>
      <c r="BX370" s="15">
        <v>1</v>
      </c>
      <c r="BY370" s="15">
        <v>3</v>
      </c>
      <c r="BZ370" s="15">
        <v>2</v>
      </c>
      <c r="CA370" s="15"/>
      <c r="CB370" s="15" t="s">
        <v>188</v>
      </c>
      <c r="CC370" s="15"/>
      <c r="CD370" s="15"/>
      <c r="CE370" s="15"/>
      <c r="CF370" s="15"/>
      <c r="CG370" s="15"/>
      <c r="CH370" s="15"/>
      <c r="CI370" s="15"/>
      <c r="CJ370" s="15"/>
      <c r="CK370" s="15" t="s">
        <v>188</v>
      </c>
      <c r="CL370" s="15"/>
      <c r="CM370" s="15"/>
      <c r="CN370" s="15"/>
      <c r="CO370" s="15"/>
      <c r="CP370" s="15" t="s">
        <v>193</v>
      </c>
      <c r="CQ370" s="15" t="s">
        <v>193</v>
      </c>
      <c r="CR370" s="15" t="s">
        <v>188</v>
      </c>
      <c r="CS370" s="15"/>
      <c r="CT370" s="15"/>
      <c r="CU370" s="15"/>
      <c r="CV370" s="15"/>
      <c r="CW370" s="15"/>
      <c r="CX370" s="15"/>
      <c r="CY370" s="15" t="s">
        <v>188</v>
      </c>
      <c r="CZ370" s="3"/>
      <c r="DA370" s="49"/>
      <c r="DC370" s="18">
        <f t="shared" si="15"/>
        <v>0</v>
      </c>
      <c r="DD370" s="18">
        <f t="shared" si="16"/>
        <v>1</v>
      </c>
      <c r="DE370" s="18">
        <f t="shared" si="17"/>
        <v>2004</v>
      </c>
    </row>
    <row r="371" spans="1:109" x14ac:dyDescent="0.25">
      <c r="A371" s="59" t="s">
        <v>1320</v>
      </c>
      <c r="B371" s="103">
        <v>41548</v>
      </c>
      <c r="C371" s="106" t="s">
        <v>1569</v>
      </c>
      <c r="D371" s="14" t="s">
        <v>938</v>
      </c>
      <c r="E371" s="15"/>
      <c r="F371" s="15"/>
      <c r="G371" s="15"/>
      <c r="H371" s="15" t="s">
        <v>188</v>
      </c>
      <c r="I371" s="15">
        <v>42</v>
      </c>
      <c r="J371" s="15" t="s">
        <v>189</v>
      </c>
      <c r="K371" s="15" t="s">
        <v>190</v>
      </c>
      <c r="L371" s="15" t="s">
        <v>646</v>
      </c>
      <c r="M371" s="15" t="s">
        <v>1071</v>
      </c>
      <c r="N371" s="15" t="s">
        <v>1089</v>
      </c>
      <c r="O371" s="15">
        <v>20</v>
      </c>
      <c r="P371" s="15"/>
      <c r="Q371" s="15"/>
      <c r="R371" s="15"/>
      <c r="S371" s="15" t="s">
        <v>188</v>
      </c>
      <c r="T371" s="15"/>
      <c r="U371" s="15"/>
      <c r="V371" s="15"/>
      <c r="W371" s="15"/>
      <c r="X371" s="15"/>
      <c r="Y371" s="15"/>
      <c r="Z371" s="15"/>
      <c r="AA371" s="15"/>
      <c r="AB371" s="15" t="s">
        <v>188</v>
      </c>
      <c r="AC371" s="15"/>
      <c r="AD371" s="15"/>
      <c r="AE371" s="15"/>
      <c r="AF371" s="15"/>
      <c r="AG371" s="15"/>
      <c r="AH371" s="15">
        <v>2008</v>
      </c>
      <c r="AI371" s="1">
        <v>452820</v>
      </c>
      <c r="AJ371" s="15"/>
      <c r="AK371" s="15"/>
      <c r="AL371" s="15" t="s">
        <v>188</v>
      </c>
      <c r="AM371" s="15"/>
      <c r="AN371" s="15"/>
      <c r="AO371" s="15" t="s">
        <v>188</v>
      </c>
      <c r="AP371" s="15"/>
      <c r="AQ371" s="15"/>
      <c r="AR371" s="15"/>
      <c r="AS371" s="15"/>
      <c r="AT371" s="15" t="s">
        <v>193</v>
      </c>
      <c r="AU371" s="1">
        <v>6000</v>
      </c>
      <c r="AV371" s="48">
        <v>0.5</v>
      </c>
      <c r="AW371" s="15">
        <v>1.7</v>
      </c>
      <c r="AX371" s="15">
        <v>1.4</v>
      </c>
      <c r="AY371" s="15">
        <v>2</v>
      </c>
      <c r="AZ371" s="15">
        <v>1000</v>
      </c>
      <c r="BA371" s="15">
        <v>1600</v>
      </c>
      <c r="BB371" s="15" t="s">
        <v>188</v>
      </c>
      <c r="BC371" s="15" t="s">
        <v>188</v>
      </c>
      <c r="BD371" s="15" t="s">
        <v>199</v>
      </c>
      <c r="BE371" s="1">
        <v>18000</v>
      </c>
      <c r="BF371" s="1">
        <v>140000</v>
      </c>
      <c r="BG371" s="1">
        <v>18000</v>
      </c>
      <c r="BH371" s="1">
        <v>140000</v>
      </c>
      <c r="BI371" s="1" t="s">
        <v>193</v>
      </c>
      <c r="BJ371" s="15"/>
      <c r="BK371" s="15"/>
      <c r="BL371" s="15"/>
      <c r="BM371" s="15"/>
      <c r="BN371" s="15" t="s">
        <v>188</v>
      </c>
      <c r="BO371" s="15"/>
      <c r="BP371" s="15" t="s">
        <v>188</v>
      </c>
      <c r="BQ371" s="15"/>
      <c r="BR371" s="15"/>
      <c r="BS371" s="2"/>
      <c r="BT371" s="15"/>
      <c r="BU371" s="15"/>
      <c r="BV371" s="15" t="s">
        <v>188</v>
      </c>
      <c r="BW371" s="15"/>
      <c r="BX371" s="15">
        <v>1</v>
      </c>
      <c r="BY371" s="15">
        <v>3</v>
      </c>
      <c r="BZ371" s="15">
        <v>2</v>
      </c>
      <c r="CA371" s="15"/>
      <c r="CB371" s="15" t="s">
        <v>188</v>
      </c>
      <c r="CC371" s="15"/>
      <c r="CD371" s="15"/>
      <c r="CE371" s="15"/>
      <c r="CF371" s="15"/>
      <c r="CG371" s="15"/>
      <c r="CH371" s="15"/>
      <c r="CI371" s="15"/>
      <c r="CJ371" s="15"/>
      <c r="CK371" s="15" t="s">
        <v>188</v>
      </c>
      <c r="CL371" s="15"/>
      <c r="CM371" s="15"/>
      <c r="CN371" s="15"/>
      <c r="CO371" s="15"/>
      <c r="CP371" s="15" t="s">
        <v>193</v>
      </c>
      <c r="CQ371" s="15" t="s">
        <v>193</v>
      </c>
      <c r="CR371" s="15" t="s">
        <v>188</v>
      </c>
      <c r="CS371" s="15"/>
      <c r="CT371" s="15"/>
      <c r="CU371" s="15"/>
      <c r="CV371" s="15"/>
      <c r="CW371" s="15"/>
      <c r="CX371" s="15" t="s">
        <v>188</v>
      </c>
      <c r="CY371" s="15" t="s">
        <v>188</v>
      </c>
      <c r="CZ371" s="3"/>
      <c r="DA371" s="49"/>
      <c r="DC371" s="18">
        <f t="shared" si="15"/>
        <v>0</v>
      </c>
      <c r="DD371" s="18">
        <f t="shared" si="16"/>
        <v>7</v>
      </c>
      <c r="DE371" s="18">
        <f t="shared" si="17"/>
        <v>2008</v>
      </c>
    </row>
    <row r="372" spans="1:109" x14ac:dyDescent="0.25">
      <c r="A372" s="59" t="s">
        <v>1320</v>
      </c>
      <c r="B372" s="103">
        <v>41548</v>
      </c>
      <c r="C372" s="106" t="s">
        <v>1569</v>
      </c>
      <c r="D372" s="14" t="s">
        <v>939</v>
      </c>
      <c r="E372" s="15"/>
      <c r="F372" s="15"/>
      <c r="G372" s="15" t="s">
        <v>188</v>
      </c>
      <c r="H372" s="15"/>
      <c r="I372" s="15">
        <v>29</v>
      </c>
      <c r="J372" s="15" t="s">
        <v>189</v>
      </c>
      <c r="K372" s="15" t="s">
        <v>190</v>
      </c>
      <c r="L372" s="15" t="s">
        <v>821</v>
      </c>
      <c r="M372" s="15" t="s">
        <v>1110</v>
      </c>
      <c r="N372" s="15" t="s">
        <v>1089</v>
      </c>
      <c r="O372" s="15">
        <v>3</v>
      </c>
      <c r="P372" s="15"/>
      <c r="Q372" s="15"/>
      <c r="R372" s="15"/>
      <c r="S372" s="15" t="s">
        <v>188</v>
      </c>
      <c r="T372" s="15"/>
      <c r="U372" s="15"/>
      <c r="V372" s="15"/>
      <c r="W372" s="15"/>
      <c r="X372" s="15"/>
      <c r="Y372" s="15"/>
      <c r="Z372" s="15"/>
      <c r="AA372" s="15"/>
      <c r="AB372" s="15" t="s">
        <v>188</v>
      </c>
      <c r="AC372" s="15"/>
      <c r="AD372" s="15"/>
      <c r="AE372" s="15"/>
      <c r="AF372" s="15"/>
      <c r="AG372" s="15"/>
      <c r="AH372" s="15">
        <v>2008</v>
      </c>
      <c r="AI372" s="1">
        <v>388700</v>
      </c>
      <c r="AJ372" s="15"/>
      <c r="AK372" s="15"/>
      <c r="AL372" s="15" t="s">
        <v>188</v>
      </c>
      <c r="AM372" s="15"/>
      <c r="AN372" s="15"/>
      <c r="AO372" s="15"/>
      <c r="AP372" s="15" t="s">
        <v>188</v>
      </c>
      <c r="AQ372" s="15"/>
      <c r="AR372" s="15"/>
      <c r="AS372" s="15"/>
      <c r="AT372" s="15" t="s">
        <v>266</v>
      </c>
      <c r="AU372" s="1">
        <v>8000</v>
      </c>
      <c r="AV372" s="48">
        <v>0.5</v>
      </c>
      <c r="AW372" s="15">
        <v>2.9</v>
      </c>
      <c r="AX372" s="15">
        <v>2.5</v>
      </c>
      <c r="AY372" s="15">
        <v>2</v>
      </c>
      <c r="AZ372" s="15">
        <v>780</v>
      </c>
      <c r="BA372" s="15">
        <v>2200</v>
      </c>
      <c r="BB372" s="15" t="s">
        <v>188</v>
      </c>
      <c r="BC372" s="15" t="s">
        <v>188</v>
      </c>
      <c r="BD372" s="15" t="s">
        <v>199</v>
      </c>
      <c r="BE372" s="1">
        <v>16000</v>
      </c>
      <c r="BF372" s="1">
        <v>180000</v>
      </c>
      <c r="BG372" s="1">
        <v>24000</v>
      </c>
      <c r="BH372" s="1">
        <v>120000</v>
      </c>
      <c r="BI372" s="1" t="s">
        <v>193</v>
      </c>
      <c r="BJ372" s="15"/>
      <c r="BK372" s="15"/>
      <c r="BL372" s="15"/>
      <c r="BM372" s="15"/>
      <c r="BN372" s="15" t="s">
        <v>188</v>
      </c>
      <c r="BO372" s="15"/>
      <c r="BP372" s="15" t="s">
        <v>188</v>
      </c>
      <c r="BQ372" s="15"/>
      <c r="BR372" s="15"/>
      <c r="BS372" s="2" t="s">
        <v>837</v>
      </c>
      <c r="BT372" s="15"/>
      <c r="BU372" s="15" t="s">
        <v>188</v>
      </c>
      <c r="BV372" s="15"/>
      <c r="BW372" s="15"/>
      <c r="BX372" s="15">
        <v>1</v>
      </c>
      <c r="BY372" s="15">
        <v>3</v>
      </c>
      <c r="BZ372" s="15">
        <v>2</v>
      </c>
      <c r="CA372" s="15"/>
      <c r="CB372" s="15" t="s">
        <v>188</v>
      </c>
      <c r="CC372" s="15"/>
      <c r="CD372" s="15"/>
      <c r="CE372" s="15"/>
      <c r="CF372" s="15"/>
      <c r="CG372" s="15"/>
      <c r="CH372" s="15"/>
      <c r="CI372" s="15"/>
      <c r="CJ372" s="15"/>
      <c r="CK372" s="15" t="s">
        <v>188</v>
      </c>
      <c r="CL372" s="15"/>
      <c r="CM372" s="15"/>
      <c r="CN372" s="15"/>
      <c r="CO372" s="15"/>
      <c r="CP372" s="15" t="s">
        <v>193</v>
      </c>
      <c r="CQ372" s="15" t="s">
        <v>193</v>
      </c>
      <c r="CR372" s="15"/>
      <c r="CS372" s="15"/>
      <c r="CT372" s="15" t="s">
        <v>188</v>
      </c>
      <c r="CU372" s="15"/>
      <c r="CV372" s="15"/>
      <c r="CW372" s="15"/>
      <c r="CX372" s="15" t="s">
        <v>188</v>
      </c>
      <c r="CY372" s="15"/>
      <c r="CZ372" s="3"/>
      <c r="DA372" s="49"/>
      <c r="DC372" s="18">
        <f t="shared" si="15"/>
        <v>0</v>
      </c>
      <c r="DD372" s="18">
        <f t="shared" si="16"/>
        <v>3</v>
      </c>
      <c r="DE372" s="18">
        <f t="shared" si="17"/>
        <v>2008</v>
      </c>
    </row>
    <row r="373" spans="1:109" x14ac:dyDescent="0.25">
      <c r="A373" s="59" t="s">
        <v>1320</v>
      </c>
      <c r="B373" s="103">
        <v>41548</v>
      </c>
      <c r="C373" s="106" t="s">
        <v>1569</v>
      </c>
      <c r="D373" s="14" t="s">
        <v>940</v>
      </c>
      <c r="E373" s="15"/>
      <c r="F373" s="15"/>
      <c r="G373" s="15" t="s">
        <v>188</v>
      </c>
      <c r="H373" s="15"/>
      <c r="I373" s="15">
        <v>38</v>
      </c>
      <c r="J373" s="15" t="s">
        <v>189</v>
      </c>
      <c r="K373" s="15" t="s">
        <v>190</v>
      </c>
      <c r="L373" s="15" t="s">
        <v>821</v>
      </c>
      <c r="M373" s="15" t="s">
        <v>1110</v>
      </c>
      <c r="N373" s="15" t="s">
        <v>1089</v>
      </c>
      <c r="O373" s="15">
        <v>18</v>
      </c>
      <c r="P373" s="15"/>
      <c r="Q373" s="15"/>
      <c r="R373" s="15"/>
      <c r="S373" s="15" t="s">
        <v>188</v>
      </c>
      <c r="T373" s="15"/>
      <c r="U373" s="15"/>
      <c r="V373" s="15"/>
      <c r="W373" s="15"/>
      <c r="X373" s="15"/>
      <c r="Y373" s="15"/>
      <c r="Z373" s="15"/>
      <c r="AA373" s="15"/>
      <c r="AB373" s="15" t="s">
        <v>188</v>
      </c>
      <c r="AC373" s="15"/>
      <c r="AD373" s="15"/>
      <c r="AE373" s="15"/>
      <c r="AF373" s="15"/>
      <c r="AG373" s="15"/>
      <c r="AH373" s="15">
        <v>2006</v>
      </c>
      <c r="AI373" s="1">
        <v>883708</v>
      </c>
      <c r="AJ373" s="15"/>
      <c r="AK373" s="15"/>
      <c r="AL373" s="15" t="s">
        <v>188</v>
      </c>
      <c r="AM373" s="15"/>
      <c r="AN373" s="15"/>
      <c r="AO373" s="15"/>
      <c r="AP373" s="15" t="s">
        <v>188</v>
      </c>
      <c r="AQ373" s="15"/>
      <c r="AR373" s="15"/>
      <c r="AS373" s="15"/>
      <c r="AT373" s="15" t="s">
        <v>322</v>
      </c>
      <c r="AU373" s="1">
        <v>12000</v>
      </c>
      <c r="AV373" s="48">
        <v>0.25</v>
      </c>
      <c r="AW373" s="15">
        <v>1.7</v>
      </c>
      <c r="AX373" s="15">
        <v>1.4</v>
      </c>
      <c r="AY373" s="15">
        <v>2</v>
      </c>
      <c r="AZ373" s="15">
        <v>940</v>
      </c>
      <c r="BA373" s="15">
        <v>1500</v>
      </c>
      <c r="BB373" s="15" t="s">
        <v>188</v>
      </c>
      <c r="BC373" s="15" t="s">
        <v>188</v>
      </c>
      <c r="BD373" s="15" t="s">
        <v>199</v>
      </c>
      <c r="BE373" s="1">
        <v>24000</v>
      </c>
      <c r="BF373" s="1">
        <v>100000</v>
      </c>
      <c r="BG373" s="1">
        <v>24000</v>
      </c>
      <c r="BH373" s="1">
        <v>100000</v>
      </c>
      <c r="BI373" s="1" t="s">
        <v>193</v>
      </c>
      <c r="BJ373" s="15"/>
      <c r="BK373" s="15"/>
      <c r="BL373" s="15" t="s">
        <v>188</v>
      </c>
      <c r="BM373" s="15" t="s">
        <v>188</v>
      </c>
      <c r="BN373" s="15" t="s">
        <v>188</v>
      </c>
      <c r="BO373" s="15"/>
      <c r="BP373" s="15" t="s">
        <v>188</v>
      </c>
      <c r="BQ373" s="15"/>
      <c r="BR373" s="15"/>
      <c r="BS373" s="2" t="s">
        <v>837</v>
      </c>
      <c r="BT373" s="15"/>
      <c r="BU373" s="15" t="s">
        <v>188</v>
      </c>
      <c r="BV373" s="15"/>
      <c r="BW373" s="15"/>
      <c r="BX373" s="15">
        <v>1</v>
      </c>
      <c r="BY373" s="15">
        <v>3</v>
      </c>
      <c r="BZ373" s="15">
        <v>2</v>
      </c>
      <c r="CA373" s="15"/>
      <c r="CB373" s="15" t="s">
        <v>188</v>
      </c>
      <c r="CC373" s="15"/>
      <c r="CD373" s="15"/>
      <c r="CE373" s="15"/>
      <c r="CF373" s="15"/>
      <c r="CG373" s="15"/>
      <c r="CH373" s="15"/>
      <c r="CI373" s="15"/>
      <c r="CJ373" s="15"/>
      <c r="CK373" s="15" t="s">
        <v>188</v>
      </c>
      <c r="CL373" s="15"/>
      <c r="CM373" s="15"/>
      <c r="CN373" s="15"/>
      <c r="CO373" s="15"/>
      <c r="CP373" s="15" t="s">
        <v>193</v>
      </c>
      <c r="CQ373" s="15" t="s">
        <v>193</v>
      </c>
      <c r="CR373" s="15" t="s">
        <v>188</v>
      </c>
      <c r="CS373" s="15"/>
      <c r="CT373" s="15"/>
      <c r="CU373" s="15"/>
      <c r="CV373" s="15"/>
      <c r="CW373" s="15"/>
      <c r="CX373" s="15"/>
      <c r="CY373" s="15" t="s">
        <v>188</v>
      </c>
      <c r="CZ373" s="3"/>
      <c r="DA373" s="49"/>
      <c r="DC373" s="18">
        <f t="shared" si="15"/>
        <v>0</v>
      </c>
      <c r="DD373" s="18">
        <f t="shared" si="16"/>
        <v>3</v>
      </c>
      <c r="DE373" s="18">
        <f t="shared" si="17"/>
        <v>2006</v>
      </c>
    </row>
    <row r="374" spans="1:109" x14ac:dyDescent="0.25">
      <c r="A374" s="59" t="s">
        <v>1320</v>
      </c>
      <c r="B374" s="103">
        <v>41549</v>
      </c>
      <c r="C374" s="106" t="s">
        <v>1570</v>
      </c>
      <c r="D374" s="14" t="s">
        <v>941</v>
      </c>
      <c r="E374" s="15"/>
      <c r="F374" s="15"/>
      <c r="G374" s="15"/>
      <c r="H374" s="15" t="s">
        <v>188</v>
      </c>
      <c r="I374" s="15">
        <v>46</v>
      </c>
      <c r="J374" s="15" t="s">
        <v>189</v>
      </c>
      <c r="K374" s="15" t="s">
        <v>190</v>
      </c>
      <c r="L374" s="15" t="s">
        <v>821</v>
      </c>
      <c r="M374" s="15" t="s">
        <v>1110</v>
      </c>
      <c r="N374" s="15" t="s">
        <v>1089</v>
      </c>
      <c r="O374" s="15">
        <v>18</v>
      </c>
      <c r="P374" s="15"/>
      <c r="Q374" s="15"/>
      <c r="R374" s="15"/>
      <c r="S374" s="15" t="s">
        <v>188</v>
      </c>
      <c r="T374" s="15"/>
      <c r="U374" s="15" t="s">
        <v>188</v>
      </c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>
        <v>2007</v>
      </c>
      <c r="AI374" s="1">
        <v>815023</v>
      </c>
      <c r="AJ374" s="15"/>
      <c r="AK374" s="15"/>
      <c r="AL374" s="15" t="s">
        <v>188</v>
      </c>
      <c r="AM374" s="15"/>
      <c r="AN374" s="15"/>
      <c r="AO374" s="15" t="s">
        <v>188</v>
      </c>
      <c r="AP374" s="15"/>
      <c r="AQ374" s="15"/>
      <c r="AR374" s="15"/>
      <c r="AS374" s="15"/>
      <c r="AT374" s="15" t="s">
        <v>322</v>
      </c>
      <c r="AU374" s="1">
        <v>9000</v>
      </c>
      <c r="AV374" s="48">
        <v>0</v>
      </c>
      <c r="AW374" s="15">
        <v>2.7</v>
      </c>
      <c r="AX374" s="15">
        <v>2.5</v>
      </c>
      <c r="AY374" s="15">
        <v>2</v>
      </c>
      <c r="AZ374" s="15">
        <v>850</v>
      </c>
      <c r="BA374" s="15">
        <v>2200</v>
      </c>
      <c r="BB374" s="15" t="s">
        <v>188</v>
      </c>
      <c r="BC374" s="15" t="s">
        <v>188</v>
      </c>
      <c r="BD374" s="15" t="s">
        <v>199</v>
      </c>
      <c r="BE374" s="1">
        <v>18000</v>
      </c>
      <c r="BF374" s="1">
        <v>200000</v>
      </c>
      <c r="BG374" s="1">
        <v>36000</v>
      </c>
      <c r="BH374" s="1">
        <v>110000</v>
      </c>
      <c r="BI374" s="1" t="s">
        <v>193</v>
      </c>
      <c r="BJ374" s="15"/>
      <c r="BK374" s="15" t="s">
        <v>188</v>
      </c>
      <c r="BL374" s="15"/>
      <c r="BM374" s="15" t="s">
        <v>188</v>
      </c>
      <c r="BN374" s="15" t="s">
        <v>188</v>
      </c>
      <c r="BO374" s="15"/>
      <c r="BP374" s="15" t="s">
        <v>188</v>
      </c>
      <c r="BQ374" s="15"/>
      <c r="BR374" s="15"/>
      <c r="BS374" s="2"/>
      <c r="BT374" s="15"/>
      <c r="BU374" s="15"/>
      <c r="BV374" s="15" t="s">
        <v>188</v>
      </c>
      <c r="BW374" s="15"/>
      <c r="BX374" s="15">
        <v>1</v>
      </c>
      <c r="BY374" s="15">
        <v>2</v>
      </c>
      <c r="BZ374" s="15">
        <v>3</v>
      </c>
      <c r="CA374" s="15"/>
      <c r="CB374" s="15"/>
      <c r="CC374" s="15" t="s">
        <v>188</v>
      </c>
      <c r="CD374" s="15"/>
      <c r="CE374" s="15"/>
      <c r="CF374" s="15"/>
      <c r="CG374" s="15"/>
      <c r="CH374" s="15" t="s">
        <v>188</v>
      </c>
      <c r="CI374" s="15"/>
      <c r="CJ374" s="15"/>
      <c r="CK374" s="15" t="s">
        <v>188</v>
      </c>
      <c r="CL374" s="15"/>
      <c r="CM374" s="15"/>
      <c r="CN374" s="15"/>
      <c r="CO374" s="15"/>
      <c r="CP374" s="15" t="s">
        <v>193</v>
      </c>
      <c r="CQ374" s="15" t="s">
        <v>193</v>
      </c>
      <c r="CR374" s="15" t="s">
        <v>188</v>
      </c>
      <c r="CS374" s="15"/>
      <c r="CT374" s="15"/>
      <c r="CU374" s="15"/>
      <c r="CV374" s="15"/>
      <c r="CW374" s="15"/>
      <c r="CX374" s="15" t="s">
        <v>188</v>
      </c>
      <c r="CY374" s="15" t="s">
        <v>188</v>
      </c>
      <c r="CZ374" s="3"/>
      <c r="DA374" s="49"/>
      <c r="DC374" s="18">
        <f t="shared" si="15"/>
        <v>0</v>
      </c>
      <c r="DD374" s="18">
        <f t="shared" si="16"/>
        <v>7</v>
      </c>
      <c r="DE374" s="18">
        <f t="shared" si="17"/>
        <v>2007</v>
      </c>
    </row>
    <row r="375" spans="1:109" x14ac:dyDescent="0.25">
      <c r="A375" s="59" t="s">
        <v>1320</v>
      </c>
      <c r="B375" s="103">
        <v>41549</v>
      </c>
      <c r="C375" s="106" t="s">
        <v>1570</v>
      </c>
      <c r="D375" s="14" t="s">
        <v>942</v>
      </c>
      <c r="E375" s="15"/>
      <c r="F375" s="15"/>
      <c r="G375" s="15" t="s">
        <v>188</v>
      </c>
      <c r="H375" s="15"/>
      <c r="I375" s="15">
        <v>28</v>
      </c>
      <c r="J375" s="15" t="s">
        <v>189</v>
      </c>
      <c r="K375" s="15" t="s">
        <v>190</v>
      </c>
      <c r="L375" s="15" t="s">
        <v>980</v>
      </c>
      <c r="M375" s="15" t="s">
        <v>1154</v>
      </c>
      <c r="N375" s="15" t="s">
        <v>1089</v>
      </c>
      <c r="O375" s="15">
        <v>8</v>
      </c>
      <c r="P375" s="15" t="s">
        <v>188</v>
      </c>
      <c r="Q375" s="15"/>
      <c r="R375" s="15"/>
      <c r="S375" s="15"/>
      <c r="T375" s="15"/>
      <c r="U375" s="15" t="s">
        <v>188</v>
      </c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>
        <v>2009</v>
      </c>
      <c r="AI375" s="1">
        <v>289105</v>
      </c>
      <c r="AJ375" s="15"/>
      <c r="AK375" s="15"/>
      <c r="AL375" s="15" t="s">
        <v>188</v>
      </c>
      <c r="AM375" s="15"/>
      <c r="AN375" s="15"/>
      <c r="AO375" s="15"/>
      <c r="AP375" s="15" t="s">
        <v>188</v>
      </c>
      <c r="AQ375" s="15"/>
      <c r="AR375" s="15"/>
      <c r="AS375" s="15"/>
      <c r="AT375" s="15" t="s">
        <v>322</v>
      </c>
      <c r="AU375" s="1">
        <v>5000</v>
      </c>
      <c r="AV375" s="48">
        <v>0</v>
      </c>
      <c r="AW375" s="15">
        <v>4.5999999999999996</v>
      </c>
      <c r="AX375" s="15">
        <v>4.0999999999999996</v>
      </c>
      <c r="AY375" s="15">
        <v>2</v>
      </c>
      <c r="AZ375" s="15">
        <v>360</v>
      </c>
      <c r="BA375" s="15">
        <v>1600</v>
      </c>
      <c r="BB375" s="15" t="s">
        <v>188</v>
      </c>
      <c r="BC375" s="15" t="s">
        <v>199</v>
      </c>
      <c r="BD375" s="15" t="s">
        <v>199</v>
      </c>
      <c r="BE375" s="1">
        <v>20000</v>
      </c>
      <c r="BF375" s="1">
        <v>120000</v>
      </c>
      <c r="BG375" s="1">
        <v>20000</v>
      </c>
      <c r="BH375" s="1">
        <v>120000</v>
      </c>
      <c r="BI375" s="1" t="s">
        <v>193</v>
      </c>
      <c r="BJ375" s="15"/>
      <c r="BK375" s="15" t="s">
        <v>188</v>
      </c>
      <c r="BL375" s="15"/>
      <c r="BM375" s="15"/>
      <c r="BN375" s="15" t="s">
        <v>188</v>
      </c>
      <c r="BO375" s="15"/>
      <c r="BP375" s="15"/>
      <c r="BQ375" s="15"/>
      <c r="BR375" s="15"/>
      <c r="BS375" s="2"/>
      <c r="BT375" s="15"/>
      <c r="BU375" s="15"/>
      <c r="BV375" s="15" t="s">
        <v>188</v>
      </c>
      <c r="BW375" s="15"/>
      <c r="BX375" s="15">
        <v>2</v>
      </c>
      <c r="BY375" s="15">
        <v>3</v>
      </c>
      <c r="BZ375" s="15">
        <v>1</v>
      </c>
      <c r="CA375" s="15"/>
      <c r="CB375" s="15" t="s">
        <v>188</v>
      </c>
      <c r="CC375" s="15"/>
      <c r="CD375" s="15"/>
      <c r="CE375" s="15"/>
      <c r="CF375" s="15"/>
      <c r="CG375" s="15"/>
      <c r="CH375" s="15"/>
      <c r="CI375" s="15"/>
      <c r="CJ375" s="15"/>
      <c r="CK375" s="15" t="s">
        <v>188</v>
      </c>
      <c r="CL375" s="15"/>
      <c r="CM375" s="15"/>
      <c r="CN375" s="15"/>
      <c r="CO375" s="15"/>
      <c r="CP375" s="15" t="s">
        <v>193</v>
      </c>
      <c r="CQ375" s="15" t="s">
        <v>193</v>
      </c>
      <c r="CR375" s="15" t="s">
        <v>188</v>
      </c>
      <c r="CS375" s="15"/>
      <c r="CT375" s="15"/>
      <c r="CU375" s="15"/>
      <c r="CV375" s="15"/>
      <c r="CW375" s="15"/>
      <c r="CX375" s="15" t="s">
        <v>188</v>
      </c>
      <c r="CY375" s="15" t="s">
        <v>188</v>
      </c>
      <c r="CZ375" s="3"/>
      <c r="DA375" s="49"/>
      <c r="DC375" s="18">
        <f t="shared" si="15"/>
        <v>0</v>
      </c>
      <c r="DD375" s="18">
        <f t="shared" si="16"/>
        <v>3</v>
      </c>
      <c r="DE375" s="18">
        <f t="shared" si="17"/>
        <v>2009</v>
      </c>
    </row>
    <row r="376" spans="1:109" x14ac:dyDescent="0.25">
      <c r="A376" s="59" t="s">
        <v>1320</v>
      </c>
      <c r="B376" s="103">
        <v>41549</v>
      </c>
      <c r="C376" s="106" t="s">
        <v>1570</v>
      </c>
      <c r="D376" s="14" t="s">
        <v>943</v>
      </c>
      <c r="E376" s="15"/>
      <c r="F376" s="15"/>
      <c r="G376" s="15" t="s">
        <v>188</v>
      </c>
      <c r="H376" s="15"/>
      <c r="I376" s="15">
        <v>32</v>
      </c>
      <c r="J376" s="15" t="s">
        <v>189</v>
      </c>
      <c r="K376" s="15" t="s">
        <v>190</v>
      </c>
      <c r="L376" s="15" t="s">
        <v>653</v>
      </c>
      <c r="M376" s="15" t="s">
        <v>1073</v>
      </c>
      <c r="N376" s="15" t="s">
        <v>1089</v>
      </c>
      <c r="O376" s="15">
        <v>18</v>
      </c>
      <c r="P376" s="15"/>
      <c r="Q376" s="15"/>
      <c r="R376" s="15"/>
      <c r="S376" s="15" t="s">
        <v>188</v>
      </c>
      <c r="T376" s="15"/>
      <c r="U376" s="15"/>
      <c r="V376" s="15"/>
      <c r="W376" s="15"/>
      <c r="X376" s="15"/>
      <c r="Y376" s="15"/>
      <c r="Z376" s="15"/>
      <c r="AA376" s="15"/>
      <c r="AB376" s="15"/>
      <c r="AC376" s="15" t="s">
        <v>188</v>
      </c>
      <c r="AD376" s="15"/>
      <c r="AE376" s="15"/>
      <c r="AF376" s="15"/>
      <c r="AG376" s="15"/>
      <c r="AH376" s="15">
        <v>2002</v>
      </c>
      <c r="AI376" s="1">
        <v>678502</v>
      </c>
      <c r="AJ376" s="15"/>
      <c r="AK376" s="15"/>
      <c r="AL376" s="15" t="s">
        <v>188</v>
      </c>
      <c r="AM376" s="15"/>
      <c r="AN376" s="15"/>
      <c r="AO376" s="15" t="s">
        <v>188</v>
      </c>
      <c r="AP376" s="15"/>
      <c r="AQ376" s="15"/>
      <c r="AR376" s="15"/>
      <c r="AS376" s="15"/>
      <c r="AT376" s="15" t="s">
        <v>322</v>
      </c>
      <c r="AU376" s="1">
        <v>5500</v>
      </c>
      <c r="AV376" s="48">
        <v>0.5</v>
      </c>
      <c r="AW376" s="15">
        <v>2.6</v>
      </c>
      <c r="AX376" s="15">
        <v>2.1</v>
      </c>
      <c r="AY376" s="15">
        <v>2</v>
      </c>
      <c r="AZ376" s="15">
        <v>750</v>
      </c>
      <c r="BA376" s="15">
        <v>1800</v>
      </c>
      <c r="BB376" s="15" t="s">
        <v>199</v>
      </c>
      <c r="BC376" s="15" t="s">
        <v>199</v>
      </c>
      <c r="BD376" s="15" t="s">
        <v>199</v>
      </c>
      <c r="BE376" s="1">
        <v>25000</v>
      </c>
      <c r="BF376" s="1">
        <v>100000</v>
      </c>
      <c r="BG376" s="1">
        <v>25000</v>
      </c>
      <c r="BH376" s="1">
        <v>100000</v>
      </c>
      <c r="BI376" s="1" t="s">
        <v>193</v>
      </c>
      <c r="BJ376" s="15"/>
      <c r="BK376" s="15"/>
      <c r="BL376" s="15"/>
      <c r="BM376" s="15" t="s">
        <v>188</v>
      </c>
      <c r="BN376" s="15"/>
      <c r="BO376" s="15"/>
      <c r="BP376" s="15"/>
      <c r="BQ376" s="15"/>
      <c r="BR376" s="15"/>
      <c r="BS376" s="2"/>
      <c r="BT376" s="15"/>
      <c r="BU376" s="15" t="s">
        <v>188</v>
      </c>
      <c r="BV376" s="15"/>
      <c r="BW376" s="15"/>
      <c r="BX376" s="15">
        <v>3</v>
      </c>
      <c r="BY376" s="15">
        <v>2</v>
      </c>
      <c r="BZ376" s="15">
        <v>1</v>
      </c>
      <c r="CA376" s="15"/>
      <c r="CB376" s="15" t="s">
        <v>188</v>
      </c>
      <c r="CC376" s="15"/>
      <c r="CD376" s="15"/>
      <c r="CE376" s="15"/>
      <c r="CF376" s="15"/>
      <c r="CG376" s="15"/>
      <c r="CH376" s="15"/>
      <c r="CI376" s="15"/>
      <c r="CJ376" s="15"/>
      <c r="CK376" s="15" t="s">
        <v>188</v>
      </c>
      <c r="CL376" s="15"/>
      <c r="CM376" s="15"/>
      <c r="CN376" s="15"/>
      <c r="CO376" s="15"/>
      <c r="CP376" s="15" t="s">
        <v>193</v>
      </c>
      <c r="CQ376" s="15" t="s">
        <v>193</v>
      </c>
      <c r="CR376" s="15" t="s">
        <v>188</v>
      </c>
      <c r="CS376" s="15"/>
      <c r="CT376" s="15"/>
      <c r="CU376" s="15"/>
      <c r="CV376" s="15"/>
      <c r="CW376" s="15"/>
      <c r="CX376" s="15" t="s">
        <v>188</v>
      </c>
      <c r="CY376" s="15" t="s">
        <v>188</v>
      </c>
      <c r="CZ376" s="3"/>
      <c r="DA376" s="49"/>
      <c r="DC376" s="18">
        <f t="shared" si="15"/>
        <v>0</v>
      </c>
      <c r="DD376" s="18">
        <f t="shared" si="16"/>
        <v>3</v>
      </c>
      <c r="DE376" s="18">
        <f t="shared" si="17"/>
        <v>2002</v>
      </c>
    </row>
    <row r="377" spans="1:109" x14ac:dyDescent="0.25">
      <c r="A377" s="59" t="s">
        <v>1320</v>
      </c>
      <c r="B377" s="103">
        <v>41549</v>
      </c>
      <c r="C377" s="106" t="s">
        <v>1570</v>
      </c>
      <c r="D377" s="14" t="s">
        <v>944</v>
      </c>
      <c r="E377" s="15" t="s">
        <v>188</v>
      </c>
      <c r="F377" s="15"/>
      <c r="G377" s="15"/>
      <c r="H377" s="15"/>
      <c r="I377" s="15">
        <v>52</v>
      </c>
      <c r="J377" s="15" t="s">
        <v>189</v>
      </c>
      <c r="K377" s="15" t="s">
        <v>196</v>
      </c>
      <c r="L377" s="15" t="s">
        <v>821</v>
      </c>
      <c r="M377" s="15" t="s">
        <v>1110</v>
      </c>
      <c r="N377" s="15" t="s">
        <v>1089</v>
      </c>
      <c r="O377" s="15">
        <v>30</v>
      </c>
      <c r="P377" s="15"/>
      <c r="Q377" s="15"/>
      <c r="R377" s="15"/>
      <c r="S377" s="15" t="s">
        <v>188</v>
      </c>
      <c r="T377" s="15"/>
      <c r="U377" s="15"/>
      <c r="V377" s="15"/>
      <c r="W377" s="15"/>
      <c r="X377" s="15"/>
      <c r="Y377" s="15"/>
      <c r="Z377" s="15"/>
      <c r="AA377" s="15"/>
      <c r="AB377" s="15"/>
      <c r="AC377" s="15" t="s">
        <v>188</v>
      </c>
      <c r="AD377" s="15"/>
      <c r="AE377" s="15"/>
      <c r="AF377" s="15"/>
      <c r="AG377" s="15"/>
      <c r="AH377" s="15">
        <v>1998</v>
      </c>
      <c r="AI377" s="1" t="s">
        <v>269</v>
      </c>
      <c r="AJ377" s="15"/>
      <c r="AK377" s="15"/>
      <c r="AL377" s="15" t="s">
        <v>188</v>
      </c>
      <c r="AM377" s="15"/>
      <c r="AN377" s="15"/>
      <c r="AO377" s="15" t="s">
        <v>188</v>
      </c>
      <c r="AP377" s="15"/>
      <c r="AQ377" s="15"/>
      <c r="AR377" s="15"/>
      <c r="AS377" s="15"/>
      <c r="AT377" s="15" t="s">
        <v>322</v>
      </c>
      <c r="AU377" s="1">
        <v>4000</v>
      </c>
      <c r="AV377" s="48">
        <v>0.5</v>
      </c>
      <c r="AW377" s="15">
        <v>2.6</v>
      </c>
      <c r="AX377" s="15">
        <v>2.1</v>
      </c>
      <c r="AY377" s="15">
        <v>2</v>
      </c>
      <c r="AZ377" s="15">
        <v>420</v>
      </c>
      <c r="BA377" s="15">
        <v>1000</v>
      </c>
      <c r="BB377" s="15" t="s">
        <v>199</v>
      </c>
      <c r="BC377" s="15" t="s">
        <v>199</v>
      </c>
      <c r="BD377" s="15" t="s">
        <v>199</v>
      </c>
      <c r="BE377" s="1">
        <v>20000</v>
      </c>
      <c r="BF377" s="1">
        <v>100000</v>
      </c>
      <c r="BG377" s="1">
        <v>20000</v>
      </c>
      <c r="BH377" s="1">
        <v>100000</v>
      </c>
      <c r="BI377" s="1" t="s">
        <v>272</v>
      </c>
      <c r="BJ377" s="15"/>
      <c r="BK377" s="15"/>
      <c r="BL377" s="15"/>
      <c r="BM377" s="15" t="s">
        <v>188</v>
      </c>
      <c r="BN377" s="15"/>
      <c r="BO377" s="15"/>
      <c r="BP377" s="15"/>
      <c r="BQ377" s="15"/>
      <c r="BR377" s="15"/>
      <c r="BS377" s="2"/>
      <c r="BT377" s="15"/>
      <c r="BU377" s="15" t="s">
        <v>188</v>
      </c>
      <c r="BV377" s="15"/>
      <c r="BW377" s="15"/>
      <c r="BX377" s="15">
        <v>2</v>
      </c>
      <c r="BY377" s="15">
        <v>3</v>
      </c>
      <c r="BZ377" s="15">
        <v>1</v>
      </c>
      <c r="CA377" s="15"/>
      <c r="CB377" s="15" t="s">
        <v>188</v>
      </c>
      <c r="CC377" s="15"/>
      <c r="CD377" s="15"/>
      <c r="CE377" s="15"/>
      <c r="CF377" s="15"/>
      <c r="CG377" s="15"/>
      <c r="CH377" s="15"/>
      <c r="CI377" s="15"/>
      <c r="CJ377" s="15"/>
      <c r="CK377" s="15" t="s">
        <v>188</v>
      </c>
      <c r="CL377" s="15"/>
      <c r="CM377" s="15"/>
      <c r="CN377" s="15"/>
      <c r="CO377" s="15"/>
      <c r="CP377" s="15" t="s">
        <v>193</v>
      </c>
      <c r="CQ377" s="15" t="s">
        <v>193</v>
      </c>
      <c r="CR377" s="15" t="s">
        <v>188</v>
      </c>
      <c r="CS377" s="15"/>
      <c r="CT377" s="15"/>
      <c r="CU377" s="15"/>
      <c r="CV377" s="15" t="s">
        <v>188</v>
      </c>
      <c r="CW377" s="15" t="s">
        <v>270</v>
      </c>
      <c r="CX377" s="15"/>
      <c r="CY377" s="15"/>
      <c r="CZ377" s="3"/>
      <c r="DA377" s="49"/>
      <c r="DC377" s="18">
        <f t="shared" si="15"/>
        <v>0</v>
      </c>
      <c r="DD377" s="18">
        <f t="shared" si="16"/>
        <v>1</v>
      </c>
      <c r="DE377" s="18">
        <f t="shared" si="17"/>
        <v>1998</v>
      </c>
    </row>
    <row r="378" spans="1:109" x14ac:dyDescent="0.25">
      <c r="A378" s="59" t="s">
        <v>1320</v>
      </c>
      <c r="B378" s="103">
        <v>41549</v>
      </c>
      <c r="C378" s="106" t="s">
        <v>1571</v>
      </c>
      <c r="D378" s="14" t="s">
        <v>945</v>
      </c>
      <c r="E378" s="15" t="s">
        <v>188</v>
      </c>
      <c r="F378" s="15"/>
      <c r="G378" s="15"/>
      <c r="H378" s="15"/>
      <c r="I378" s="15">
        <v>48</v>
      </c>
      <c r="J378" s="15" t="s">
        <v>189</v>
      </c>
      <c r="K378" s="15" t="s">
        <v>196</v>
      </c>
      <c r="L378" s="15" t="s">
        <v>813</v>
      </c>
      <c r="M378" s="15" t="s">
        <v>1105</v>
      </c>
      <c r="N378" s="15" t="s">
        <v>1106</v>
      </c>
      <c r="O378" s="15">
        <v>24</v>
      </c>
      <c r="P378" s="15"/>
      <c r="Q378" s="15" t="s">
        <v>188</v>
      </c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 t="s">
        <v>188</v>
      </c>
      <c r="AG378" s="15"/>
      <c r="AH378" s="15">
        <v>2001</v>
      </c>
      <c r="AI378" s="1">
        <v>1203677</v>
      </c>
      <c r="AJ378" s="15"/>
      <c r="AK378" s="15"/>
      <c r="AL378" s="15" t="s">
        <v>188</v>
      </c>
      <c r="AM378" s="15"/>
      <c r="AN378" s="15"/>
      <c r="AO378" s="15"/>
      <c r="AP378" s="15" t="s">
        <v>188</v>
      </c>
      <c r="AQ378" s="15"/>
      <c r="AR378" s="15"/>
      <c r="AS378" s="15"/>
      <c r="AT378" s="15" t="s">
        <v>407</v>
      </c>
      <c r="AU378" s="1">
        <v>6000</v>
      </c>
      <c r="AV378" s="48">
        <v>0.05</v>
      </c>
      <c r="AW378" s="15">
        <v>3.9</v>
      </c>
      <c r="AX378" s="15">
        <v>3.4</v>
      </c>
      <c r="AY378" s="15">
        <v>2</v>
      </c>
      <c r="AZ378" s="15">
        <v>380</v>
      </c>
      <c r="BA378" s="15">
        <v>1250</v>
      </c>
      <c r="BB378" s="15" t="s">
        <v>188</v>
      </c>
      <c r="BC378" s="15" t="s">
        <v>199</v>
      </c>
      <c r="BD378" s="15" t="s">
        <v>199</v>
      </c>
      <c r="BE378" s="1">
        <v>24000</v>
      </c>
      <c r="BF378" s="1">
        <v>150000</v>
      </c>
      <c r="BG378" s="1">
        <v>24000</v>
      </c>
      <c r="BH378" s="1">
        <v>150000</v>
      </c>
      <c r="BI378" s="1" t="s">
        <v>193</v>
      </c>
      <c r="BJ378" s="15" t="s">
        <v>188</v>
      </c>
      <c r="BK378" s="15" t="s">
        <v>188</v>
      </c>
      <c r="BL378" s="15"/>
      <c r="BM378" s="15"/>
      <c r="BN378" s="15" t="s">
        <v>188</v>
      </c>
      <c r="BO378" s="15" t="s">
        <v>188</v>
      </c>
      <c r="BP378" s="15" t="s">
        <v>188</v>
      </c>
      <c r="BQ378" s="15"/>
      <c r="BR378" s="15"/>
      <c r="BS378" s="2"/>
      <c r="BT378" s="15"/>
      <c r="BU378" s="15"/>
      <c r="BV378" s="15" t="s">
        <v>188</v>
      </c>
      <c r="BW378" s="15"/>
      <c r="BX378" s="15">
        <v>1</v>
      </c>
      <c r="BY378" s="15">
        <v>3</v>
      </c>
      <c r="BZ378" s="15">
        <v>2</v>
      </c>
      <c r="CA378" s="15"/>
      <c r="CB378" s="15" t="s">
        <v>188</v>
      </c>
      <c r="CC378" s="15"/>
      <c r="CD378" s="15"/>
      <c r="CE378" s="15"/>
      <c r="CF378" s="15"/>
      <c r="CG378" s="15"/>
      <c r="CH378" s="15"/>
      <c r="CI378" s="15"/>
      <c r="CJ378" s="15"/>
      <c r="CK378" s="15" t="s">
        <v>188</v>
      </c>
      <c r="CL378" s="15"/>
      <c r="CM378" s="15"/>
      <c r="CN378" s="15"/>
      <c r="CO378" s="15"/>
      <c r="CP378" s="15" t="s">
        <v>193</v>
      </c>
      <c r="CQ378" s="15" t="s">
        <v>193</v>
      </c>
      <c r="CR378" s="15"/>
      <c r="CS378" s="15"/>
      <c r="CT378" s="15" t="s">
        <v>188</v>
      </c>
      <c r="CU378" s="15"/>
      <c r="CV378" s="15"/>
      <c r="CW378" s="15"/>
      <c r="CX378" s="15" t="s">
        <v>188</v>
      </c>
      <c r="CY378" s="15"/>
      <c r="CZ378" s="3"/>
      <c r="DA378" s="49"/>
      <c r="DC378" s="18">
        <f t="shared" si="15"/>
        <v>0</v>
      </c>
      <c r="DD378" s="18">
        <f t="shared" si="16"/>
        <v>1</v>
      </c>
      <c r="DE378" s="18">
        <f t="shared" si="17"/>
        <v>2001</v>
      </c>
    </row>
    <row r="379" spans="1:109" x14ac:dyDescent="0.25">
      <c r="A379" s="59" t="s">
        <v>1320</v>
      </c>
      <c r="B379" s="103">
        <v>41549</v>
      </c>
      <c r="C379" s="106" t="s">
        <v>1571</v>
      </c>
      <c r="D379" s="14" t="s">
        <v>946</v>
      </c>
      <c r="E379" s="15"/>
      <c r="F379" s="15"/>
      <c r="G379" s="15"/>
      <c r="H379" s="15" t="s">
        <v>188</v>
      </c>
      <c r="I379" s="15">
        <v>56</v>
      </c>
      <c r="J379" s="15" t="s">
        <v>189</v>
      </c>
      <c r="K379" s="15" t="s">
        <v>445</v>
      </c>
      <c r="L379" s="15" t="s">
        <v>981</v>
      </c>
      <c r="M379" s="15" t="s">
        <v>1155</v>
      </c>
      <c r="N379" s="15" t="s">
        <v>1130</v>
      </c>
      <c r="O379" s="15">
        <v>38</v>
      </c>
      <c r="P379" s="15"/>
      <c r="Q379" s="15"/>
      <c r="R379" s="15"/>
      <c r="S379" s="15" t="s">
        <v>188</v>
      </c>
      <c r="T379" s="15"/>
      <c r="U379" s="15"/>
      <c r="V379" s="15" t="s">
        <v>188</v>
      </c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>
        <v>2004</v>
      </c>
      <c r="AI379" s="1">
        <v>910663</v>
      </c>
      <c r="AJ379" s="15"/>
      <c r="AK379" s="15"/>
      <c r="AL379" s="15" t="s">
        <v>188</v>
      </c>
      <c r="AM379" s="15"/>
      <c r="AN379" s="15"/>
      <c r="AO379" s="15"/>
      <c r="AP379" s="15" t="s">
        <v>188</v>
      </c>
      <c r="AQ379" s="15"/>
      <c r="AR379" s="15"/>
      <c r="AS379" s="15"/>
      <c r="AT379" s="15" t="s">
        <v>322</v>
      </c>
      <c r="AU379" s="1">
        <v>10000</v>
      </c>
      <c r="AV379" s="48">
        <v>0.2</v>
      </c>
      <c r="AW379" s="15">
        <v>2.8</v>
      </c>
      <c r="AX379" s="15">
        <v>2.4</v>
      </c>
      <c r="AY379" s="15">
        <v>2</v>
      </c>
      <c r="AZ379" s="15">
        <v>1100</v>
      </c>
      <c r="BA379" s="15">
        <v>3000</v>
      </c>
      <c r="BB379" s="15" t="s">
        <v>188</v>
      </c>
      <c r="BC379" s="15" t="s">
        <v>188</v>
      </c>
      <c r="BD379" s="15" t="s">
        <v>199</v>
      </c>
      <c r="BE379" s="1">
        <v>25000</v>
      </c>
      <c r="BF379" s="1" t="s">
        <v>193</v>
      </c>
      <c r="BG379" s="1">
        <v>25000</v>
      </c>
      <c r="BH379" s="1">
        <v>120000</v>
      </c>
      <c r="BI379" s="1" t="s">
        <v>193</v>
      </c>
      <c r="BJ379" s="15" t="s">
        <v>188</v>
      </c>
      <c r="BK379" s="15"/>
      <c r="BL379" s="15"/>
      <c r="BM379" s="15"/>
      <c r="BN379" s="15"/>
      <c r="BO379" s="15"/>
      <c r="BP379" s="15"/>
      <c r="BQ379" s="15" t="s">
        <v>188</v>
      </c>
      <c r="BR379" s="15"/>
      <c r="BS379" s="2"/>
      <c r="BT379" s="15"/>
      <c r="BU379" s="15" t="s">
        <v>188</v>
      </c>
      <c r="BV379" s="15"/>
      <c r="BW379" s="15"/>
      <c r="BX379" s="15">
        <v>1</v>
      </c>
      <c r="BY379" s="15">
        <v>2</v>
      </c>
      <c r="BZ379" s="15">
        <v>3</v>
      </c>
      <c r="CA379" s="15"/>
      <c r="CB379" s="15" t="s">
        <v>188</v>
      </c>
      <c r="CC379" s="15"/>
      <c r="CD379" s="15"/>
      <c r="CE379" s="15"/>
      <c r="CF379" s="15"/>
      <c r="CG379" s="15"/>
      <c r="CH379" s="15"/>
      <c r="CI379" s="15"/>
      <c r="CJ379" s="15"/>
      <c r="CK379" s="15" t="s">
        <v>188</v>
      </c>
      <c r="CL379" s="15"/>
      <c r="CM379" s="15"/>
      <c r="CN379" s="15"/>
      <c r="CO379" s="15"/>
      <c r="CP379" s="15" t="s">
        <v>193</v>
      </c>
      <c r="CQ379" s="15" t="s">
        <v>193</v>
      </c>
      <c r="CR379" s="15" t="s">
        <v>188</v>
      </c>
      <c r="CS379" s="15"/>
      <c r="CT379" s="15"/>
      <c r="CU379" s="15"/>
      <c r="CV379" s="15"/>
      <c r="CW379" s="15"/>
      <c r="CX379" s="15" t="s">
        <v>188</v>
      </c>
      <c r="CY379" s="15" t="s">
        <v>188</v>
      </c>
      <c r="CZ379" s="3"/>
      <c r="DA379" s="49"/>
      <c r="DC379" s="18">
        <f t="shared" si="15"/>
        <v>0</v>
      </c>
      <c r="DD379" s="18">
        <f t="shared" si="16"/>
        <v>7</v>
      </c>
      <c r="DE379" s="18">
        <f t="shared" si="17"/>
        <v>2004</v>
      </c>
    </row>
    <row r="380" spans="1:109" x14ac:dyDescent="0.25">
      <c r="A380" s="59" t="s">
        <v>1320</v>
      </c>
      <c r="B380" s="103">
        <v>41549</v>
      </c>
      <c r="C380" s="106" t="s">
        <v>1571</v>
      </c>
      <c r="D380" s="14" t="s">
        <v>947</v>
      </c>
      <c r="E380" s="15"/>
      <c r="F380" s="15" t="s">
        <v>188</v>
      </c>
      <c r="G380" s="15"/>
      <c r="H380" s="15"/>
      <c r="I380" s="15">
        <v>19</v>
      </c>
      <c r="J380" s="15" t="s">
        <v>189</v>
      </c>
      <c r="K380" s="15" t="s">
        <v>190</v>
      </c>
      <c r="L380" s="15" t="s">
        <v>982</v>
      </c>
      <c r="M380" s="15" t="s">
        <v>1156</v>
      </c>
      <c r="N380" s="15" t="s">
        <v>1085</v>
      </c>
      <c r="O380" s="15">
        <v>1</v>
      </c>
      <c r="P380" s="15" t="s">
        <v>188</v>
      </c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 t="s">
        <v>188</v>
      </c>
      <c r="AG380" s="15"/>
      <c r="AH380" s="15">
        <v>1995</v>
      </c>
      <c r="AI380" s="1" t="s">
        <v>269</v>
      </c>
      <c r="AJ380" s="15"/>
      <c r="AK380" s="15"/>
      <c r="AL380" s="15" t="s">
        <v>188</v>
      </c>
      <c r="AM380" s="15"/>
      <c r="AN380" s="15"/>
      <c r="AO380" s="15" t="s">
        <v>188</v>
      </c>
      <c r="AP380" s="15"/>
      <c r="AQ380" s="15"/>
      <c r="AR380" s="15"/>
      <c r="AS380" s="15"/>
      <c r="AT380" s="15" t="s">
        <v>860</v>
      </c>
      <c r="AU380" s="1">
        <v>3500</v>
      </c>
      <c r="AV380" s="48">
        <v>0.5</v>
      </c>
      <c r="AW380" s="15">
        <v>5.8</v>
      </c>
      <c r="AX380" s="15">
        <v>5.2</v>
      </c>
      <c r="AY380" s="15">
        <v>2</v>
      </c>
      <c r="AZ380" s="15">
        <v>180</v>
      </c>
      <c r="BA380" s="15">
        <v>1000</v>
      </c>
      <c r="BB380" s="15" t="s">
        <v>199</v>
      </c>
      <c r="BC380" s="15" t="s">
        <v>199</v>
      </c>
      <c r="BD380" s="15" t="s">
        <v>199</v>
      </c>
      <c r="BE380" s="1">
        <v>28000</v>
      </c>
      <c r="BF380" s="1" t="s">
        <v>193</v>
      </c>
      <c r="BG380" s="1">
        <v>28000</v>
      </c>
      <c r="BH380" s="1">
        <v>80000</v>
      </c>
      <c r="BI380" s="1" t="s">
        <v>193</v>
      </c>
      <c r="BJ380" s="15" t="s">
        <v>188</v>
      </c>
      <c r="BK380" s="15" t="s">
        <v>188</v>
      </c>
      <c r="BL380" s="15"/>
      <c r="BM380" s="15"/>
      <c r="BN380" s="15"/>
      <c r="BO380" s="15" t="s">
        <v>188</v>
      </c>
      <c r="BP380" s="15"/>
      <c r="BQ380" s="15"/>
      <c r="BR380" s="15"/>
      <c r="BS380" s="2"/>
      <c r="BT380" s="15"/>
      <c r="BU380" s="15"/>
      <c r="BV380" s="15"/>
      <c r="BW380" s="15" t="s">
        <v>188</v>
      </c>
      <c r="BX380" s="15">
        <v>2</v>
      </c>
      <c r="BY380" s="15">
        <v>3</v>
      </c>
      <c r="BZ380" s="15">
        <v>1</v>
      </c>
      <c r="CA380" s="15"/>
      <c r="CB380" s="15" t="s">
        <v>188</v>
      </c>
      <c r="CC380" s="15"/>
      <c r="CD380" s="15"/>
      <c r="CE380" s="15"/>
      <c r="CF380" s="15"/>
      <c r="CG380" s="15"/>
      <c r="CH380" s="15"/>
      <c r="CI380" s="15"/>
      <c r="CJ380" s="15"/>
      <c r="CK380" s="15" t="s">
        <v>188</v>
      </c>
      <c r="CL380" s="15"/>
      <c r="CM380" s="15"/>
      <c r="CN380" s="15"/>
      <c r="CO380" s="15"/>
      <c r="CP380" s="15" t="s">
        <v>193</v>
      </c>
      <c r="CQ380" s="15" t="s">
        <v>193</v>
      </c>
      <c r="CR380" s="15" t="s">
        <v>188</v>
      </c>
      <c r="CS380" s="15"/>
      <c r="CT380" s="15"/>
      <c r="CU380" s="15"/>
      <c r="CV380" s="15"/>
      <c r="CW380" s="15"/>
      <c r="CX380" s="15" t="s">
        <v>188</v>
      </c>
      <c r="CY380" s="15" t="s">
        <v>188</v>
      </c>
      <c r="CZ380" s="3"/>
      <c r="DA380" s="49"/>
      <c r="DC380" s="18">
        <f t="shared" si="15"/>
        <v>0</v>
      </c>
      <c r="DD380" s="18">
        <f t="shared" si="16"/>
        <v>2</v>
      </c>
      <c r="DE380" s="18">
        <f t="shared" si="17"/>
        <v>1995</v>
      </c>
    </row>
    <row r="381" spans="1:109" x14ac:dyDescent="0.25">
      <c r="A381" s="59" t="s">
        <v>1320</v>
      </c>
      <c r="B381" s="103">
        <v>41549</v>
      </c>
      <c r="C381" s="106" t="s">
        <v>1571</v>
      </c>
      <c r="D381" s="14" t="s">
        <v>948</v>
      </c>
      <c r="E381" s="15" t="s">
        <v>188</v>
      </c>
      <c r="F381" s="15"/>
      <c r="G381" s="15"/>
      <c r="H381" s="15"/>
      <c r="I381" s="15">
        <v>48</v>
      </c>
      <c r="J381" s="15" t="s">
        <v>189</v>
      </c>
      <c r="K381" s="15" t="s">
        <v>447</v>
      </c>
      <c r="L381" s="15" t="s">
        <v>821</v>
      </c>
      <c r="M381" s="15" t="s">
        <v>1110</v>
      </c>
      <c r="N381" s="15" t="s">
        <v>1089</v>
      </c>
      <c r="O381" s="15">
        <v>7</v>
      </c>
      <c r="P381" s="15"/>
      <c r="Q381" s="15" t="s">
        <v>188</v>
      </c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 t="s">
        <v>188</v>
      </c>
      <c r="AG381" s="15"/>
      <c r="AH381" s="15">
        <v>1989</v>
      </c>
      <c r="AI381" s="1" t="s">
        <v>269</v>
      </c>
      <c r="AJ381" s="15"/>
      <c r="AK381" s="15"/>
      <c r="AL381" s="15" t="s">
        <v>188</v>
      </c>
      <c r="AM381" s="15"/>
      <c r="AN381" s="15"/>
      <c r="AO381" s="15" t="s">
        <v>188</v>
      </c>
      <c r="AP381" s="15"/>
      <c r="AQ381" s="15"/>
      <c r="AR381" s="15"/>
      <c r="AS381" s="15"/>
      <c r="AT381" s="15" t="s">
        <v>237</v>
      </c>
      <c r="AU381" s="1">
        <v>4000</v>
      </c>
      <c r="AV381" s="48">
        <v>0.5</v>
      </c>
      <c r="AW381" s="15">
        <v>3.9</v>
      </c>
      <c r="AX381" s="15">
        <v>3.4</v>
      </c>
      <c r="AY381" s="15">
        <v>2</v>
      </c>
      <c r="AZ381" s="15">
        <v>320</v>
      </c>
      <c r="BA381" s="15">
        <v>1200</v>
      </c>
      <c r="BB381" s="15" t="s">
        <v>199</v>
      </c>
      <c r="BC381" s="15" t="s">
        <v>199</v>
      </c>
      <c r="BD381" s="15" t="s">
        <v>199</v>
      </c>
      <c r="BE381" s="1">
        <v>30000</v>
      </c>
      <c r="BF381" s="1">
        <v>120000</v>
      </c>
      <c r="BG381" s="1">
        <v>30000</v>
      </c>
      <c r="BH381" s="1">
        <v>120000</v>
      </c>
      <c r="BI381" s="1" t="s">
        <v>272</v>
      </c>
      <c r="BJ381" s="15" t="s">
        <v>188</v>
      </c>
      <c r="BK381" s="15" t="s">
        <v>188</v>
      </c>
      <c r="BL381" s="15"/>
      <c r="BM381" s="15"/>
      <c r="BN381" s="15"/>
      <c r="BO381" s="15" t="s">
        <v>188</v>
      </c>
      <c r="BP381" s="15"/>
      <c r="BQ381" s="15"/>
      <c r="BR381" s="15"/>
      <c r="BS381" s="2"/>
      <c r="BT381" s="15"/>
      <c r="BU381" s="15"/>
      <c r="BV381" s="15" t="s">
        <v>188</v>
      </c>
      <c r="BW381" s="15"/>
      <c r="BX381" s="15">
        <v>3</v>
      </c>
      <c r="BY381" s="15">
        <v>2</v>
      </c>
      <c r="BZ381" s="15">
        <v>1</v>
      </c>
      <c r="CA381" s="15"/>
      <c r="CB381" s="15" t="s">
        <v>188</v>
      </c>
      <c r="CC381" s="15"/>
      <c r="CD381" s="15"/>
      <c r="CE381" s="15"/>
      <c r="CF381" s="15"/>
      <c r="CG381" s="15"/>
      <c r="CH381" s="15"/>
      <c r="CI381" s="15"/>
      <c r="CJ381" s="15"/>
      <c r="CK381" s="15" t="s">
        <v>188</v>
      </c>
      <c r="CL381" s="15"/>
      <c r="CM381" s="15"/>
      <c r="CN381" s="15"/>
      <c r="CO381" s="15"/>
      <c r="CP381" s="15" t="s">
        <v>193</v>
      </c>
      <c r="CQ381" s="15" t="s">
        <v>193</v>
      </c>
      <c r="CR381" s="15"/>
      <c r="CS381" s="15"/>
      <c r="CT381" s="15" t="s">
        <v>188</v>
      </c>
      <c r="CU381" s="15"/>
      <c r="CV381" s="15"/>
      <c r="CW381" s="15"/>
      <c r="CX381" s="15" t="s">
        <v>188</v>
      </c>
      <c r="CY381" s="15"/>
      <c r="CZ381" s="3"/>
      <c r="DA381" s="49"/>
      <c r="DC381" s="18">
        <f t="shared" si="15"/>
        <v>0</v>
      </c>
      <c r="DD381" s="18">
        <f t="shared" si="16"/>
        <v>1</v>
      </c>
      <c r="DE381" s="18">
        <f t="shared" si="17"/>
        <v>1989</v>
      </c>
    </row>
    <row r="382" spans="1:109" x14ac:dyDescent="0.25">
      <c r="A382" s="59" t="s">
        <v>1320</v>
      </c>
      <c r="B382" s="103">
        <v>41549</v>
      </c>
      <c r="C382" s="106" t="s">
        <v>1571</v>
      </c>
      <c r="D382" s="14" t="s">
        <v>949</v>
      </c>
      <c r="E382" s="15" t="s">
        <v>188</v>
      </c>
      <c r="F382" s="15"/>
      <c r="G382" s="15"/>
      <c r="H382" s="15"/>
      <c r="I382" s="15">
        <v>50</v>
      </c>
      <c r="J382" s="15" t="s">
        <v>189</v>
      </c>
      <c r="K382" s="15" t="s">
        <v>196</v>
      </c>
      <c r="L382" s="15" t="s">
        <v>665</v>
      </c>
      <c r="M382" s="15" t="s">
        <v>1080</v>
      </c>
      <c r="N382" s="15" t="s">
        <v>1092</v>
      </c>
      <c r="O382" s="15">
        <v>30</v>
      </c>
      <c r="P382" s="15"/>
      <c r="Q382" s="15"/>
      <c r="R382" s="15"/>
      <c r="S382" s="15" t="s">
        <v>188</v>
      </c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 t="s">
        <v>188</v>
      </c>
      <c r="AG382" s="15"/>
      <c r="AH382" s="15">
        <v>2005</v>
      </c>
      <c r="AI382" s="1">
        <v>871056</v>
      </c>
      <c r="AJ382" s="15"/>
      <c r="AK382" s="15"/>
      <c r="AL382" s="15" t="s">
        <v>188</v>
      </c>
      <c r="AM382" s="15"/>
      <c r="AN382" s="15"/>
      <c r="AO382" s="15"/>
      <c r="AP382" s="15" t="s">
        <v>188</v>
      </c>
      <c r="AQ382" s="15"/>
      <c r="AR382" s="15"/>
      <c r="AS382" s="15"/>
      <c r="AT382" s="15" t="s">
        <v>322</v>
      </c>
      <c r="AU382" s="1">
        <v>8000</v>
      </c>
      <c r="AV382" s="48">
        <v>0.1</v>
      </c>
      <c r="AW382" s="15">
        <v>2.6</v>
      </c>
      <c r="AX382" s="15">
        <v>2.1</v>
      </c>
      <c r="AY382" s="15">
        <v>3</v>
      </c>
      <c r="AZ382" s="15">
        <v>1040</v>
      </c>
      <c r="BA382" s="15">
        <v>2500</v>
      </c>
      <c r="BB382" s="15" t="s">
        <v>188</v>
      </c>
      <c r="BC382" s="15" t="s">
        <v>199</v>
      </c>
      <c r="BD382" s="15" t="s">
        <v>199</v>
      </c>
      <c r="BE382" s="1">
        <v>24000</v>
      </c>
      <c r="BF382" s="1" t="s">
        <v>193</v>
      </c>
      <c r="BG382" s="1">
        <v>24000</v>
      </c>
      <c r="BH382" s="1" t="s">
        <v>193</v>
      </c>
      <c r="BI382" s="1" t="s">
        <v>193</v>
      </c>
      <c r="BJ382" s="15" t="s">
        <v>188</v>
      </c>
      <c r="BK382" s="15" t="s">
        <v>188</v>
      </c>
      <c r="BL382" s="15"/>
      <c r="BM382" s="15"/>
      <c r="BN382" s="15"/>
      <c r="BO382" s="15" t="s">
        <v>188</v>
      </c>
      <c r="BP382" s="15"/>
      <c r="BQ382" s="15"/>
      <c r="BR382" s="15"/>
      <c r="BS382" s="2"/>
      <c r="BT382" s="15"/>
      <c r="BU382" s="15"/>
      <c r="BV382" s="15" t="s">
        <v>188</v>
      </c>
      <c r="BW382" s="15"/>
      <c r="BX382" s="15">
        <v>1</v>
      </c>
      <c r="BY382" s="15">
        <v>3</v>
      </c>
      <c r="BZ382" s="15">
        <v>2</v>
      </c>
      <c r="CA382" s="15"/>
      <c r="CB382" s="15" t="s">
        <v>188</v>
      </c>
      <c r="CC382" s="15"/>
      <c r="CD382" s="15"/>
      <c r="CE382" s="15"/>
      <c r="CF382" s="15"/>
      <c r="CG382" s="15"/>
      <c r="CH382" s="15"/>
      <c r="CI382" s="15"/>
      <c r="CJ382" s="15"/>
      <c r="CK382" s="15" t="s">
        <v>188</v>
      </c>
      <c r="CL382" s="15"/>
      <c r="CM382" s="15"/>
      <c r="CN382" s="15"/>
      <c r="CO382" s="15"/>
      <c r="CP382" s="15" t="s">
        <v>193</v>
      </c>
      <c r="CQ382" s="15" t="s">
        <v>193</v>
      </c>
      <c r="CR382" s="15" t="s">
        <v>188</v>
      </c>
      <c r="CS382" s="15"/>
      <c r="CT382" s="15"/>
      <c r="CU382" s="15"/>
      <c r="CV382" s="15"/>
      <c r="CW382" s="15"/>
      <c r="CX382" s="15" t="s">
        <v>188</v>
      </c>
      <c r="CY382" s="15" t="s">
        <v>188</v>
      </c>
      <c r="CZ382" s="3"/>
      <c r="DA382" s="49"/>
      <c r="DC382" s="18">
        <f t="shared" si="15"/>
        <v>0</v>
      </c>
      <c r="DD382" s="18">
        <f t="shared" si="16"/>
        <v>1</v>
      </c>
      <c r="DE382" s="18">
        <f t="shared" si="17"/>
        <v>2005</v>
      </c>
    </row>
    <row r="383" spans="1:109" x14ac:dyDescent="0.25">
      <c r="A383" s="59" t="s">
        <v>1320</v>
      </c>
      <c r="B383" s="103">
        <v>41549</v>
      </c>
      <c r="C383" s="106" t="s">
        <v>1571</v>
      </c>
      <c r="D383" s="14" t="s">
        <v>950</v>
      </c>
      <c r="E383" s="15" t="s">
        <v>188</v>
      </c>
      <c r="F383" s="15"/>
      <c r="G383" s="15"/>
      <c r="H383" s="15"/>
      <c r="I383" s="15">
        <v>51</v>
      </c>
      <c r="J383" s="15" t="s">
        <v>189</v>
      </c>
      <c r="K383" s="15" t="s">
        <v>196</v>
      </c>
      <c r="L383" s="15" t="s">
        <v>983</v>
      </c>
      <c r="M383" s="15" t="s">
        <v>1157</v>
      </c>
      <c r="N383" s="15" t="s">
        <v>1090</v>
      </c>
      <c r="O383" s="15">
        <v>35</v>
      </c>
      <c r="P383" s="15"/>
      <c r="Q383" s="15"/>
      <c r="R383" s="15"/>
      <c r="S383" s="15" t="s">
        <v>188</v>
      </c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 t="s">
        <v>188</v>
      </c>
      <c r="AG383" s="15"/>
      <c r="AH383" s="15">
        <v>2002</v>
      </c>
      <c r="AI383" s="1">
        <v>883710</v>
      </c>
      <c r="AJ383" s="15"/>
      <c r="AK383" s="15"/>
      <c r="AL383" s="15" t="s">
        <v>188</v>
      </c>
      <c r="AM383" s="15"/>
      <c r="AN383" s="15"/>
      <c r="AO383" s="15"/>
      <c r="AP383" s="15" t="s">
        <v>188</v>
      </c>
      <c r="AQ383" s="15"/>
      <c r="AR383" s="15"/>
      <c r="AS383" s="15"/>
      <c r="AT383" s="15" t="s">
        <v>266</v>
      </c>
      <c r="AU383" s="1">
        <v>7000</v>
      </c>
      <c r="AV383" s="48">
        <v>0.1</v>
      </c>
      <c r="AW383" s="15">
        <v>2.8</v>
      </c>
      <c r="AX383" s="15">
        <v>2.2999999999999998</v>
      </c>
      <c r="AY383" s="15">
        <v>2</v>
      </c>
      <c r="AZ383" s="15">
        <v>800</v>
      </c>
      <c r="BA383" s="15">
        <v>2000</v>
      </c>
      <c r="BB383" s="15" t="s">
        <v>188</v>
      </c>
      <c r="BC383" s="15" t="s">
        <v>199</v>
      </c>
      <c r="BD383" s="15" t="s">
        <v>199</v>
      </c>
      <c r="BE383" s="1">
        <v>24000</v>
      </c>
      <c r="BF383" s="1">
        <v>160000</v>
      </c>
      <c r="BG383" s="1">
        <v>24000</v>
      </c>
      <c r="BH383" s="1">
        <v>160000</v>
      </c>
      <c r="BI383" s="1" t="s">
        <v>193</v>
      </c>
      <c r="BJ383" s="15" t="s">
        <v>188</v>
      </c>
      <c r="BK383" s="15"/>
      <c r="BL383" s="15"/>
      <c r="BM383" s="15"/>
      <c r="BN383" s="15"/>
      <c r="BO383" s="15" t="s">
        <v>188</v>
      </c>
      <c r="BP383" s="15"/>
      <c r="BQ383" s="15"/>
      <c r="BR383" s="15"/>
      <c r="BS383" s="2"/>
      <c r="BT383" s="15"/>
      <c r="BU383" s="15"/>
      <c r="BV383" s="15" t="s">
        <v>188</v>
      </c>
      <c r="BW383" s="15"/>
      <c r="BX383" s="15">
        <v>1</v>
      </c>
      <c r="BY383" s="15">
        <v>3</v>
      </c>
      <c r="BZ383" s="15">
        <v>2</v>
      </c>
      <c r="CA383" s="15"/>
      <c r="CB383" s="15" t="s">
        <v>188</v>
      </c>
      <c r="CC383" s="15"/>
      <c r="CD383" s="15"/>
      <c r="CE383" s="15"/>
      <c r="CF383" s="15"/>
      <c r="CG383" s="15"/>
      <c r="CH383" s="15"/>
      <c r="CI383" s="15"/>
      <c r="CJ383" s="15"/>
      <c r="CK383" s="15" t="s">
        <v>188</v>
      </c>
      <c r="CL383" s="15"/>
      <c r="CM383" s="15"/>
      <c r="CN383" s="15"/>
      <c r="CO383" s="15"/>
      <c r="CP383" s="15" t="s">
        <v>193</v>
      </c>
      <c r="CQ383" s="15" t="s">
        <v>193</v>
      </c>
      <c r="CR383" s="15" t="s">
        <v>188</v>
      </c>
      <c r="CS383" s="15"/>
      <c r="CT383" s="15"/>
      <c r="CU383" s="15"/>
      <c r="CV383" s="15"/>
      <c r="CW383" s="15"/>
      <c r="CX383" s="15" t="s">
        <v>188</v>
      </c>
      <c r="CY383" s="15" t="s">
        <v>188</v>
      </c>
      <c r="CZ383" s="3"/>
      <c r="DA383" s="49"/>
      <c r="DC383" s="18">
        <f t="shared" si="15"/>
        <v>0</v>
      </c>
      <c r="DD383" s="18">
        <f t="shared" si="16"/>
        <v>1</v>
      </c>
      <c r="DE383" s="18">
        <f t="shared" si="17"/>
        <v>2002</v>
      </c>
    </row>
    <row r="384" spans="1:109" x14ac:dyDescent="0.25">
      <c r="A384" s="59" t="s">
        <v>1320</v>
      </c>
      <c r="B384" s="103">
        <v>41549</v>
      </c>
      <c r="C384" s="106" t="s">
        <v>1571</v>
      </c>
      <c r="D384" s="14" t="s">
        <v>951</v>
      </c>
      <c r="E384" s="15" t="s">
        <v>188</v>
      </c>
      <c r="F384" s="15"/>
      <c r="G384" s="15"/>
      <c r="H384" s="15"/>
      <c r="I384" s="15">
        <v>48</v>
      </c>
      <c r="J384" s="15" t="s">
        <v>189</v>
      </c>
      <c r="K384" s="15" t="s">
        <v>190</v>
      </c>
      <c r="L384" s="15" t="s">
        <v>218</v>
      </c>
      <c r="M384" s="15" t="s">
        <v>1009</v>
      </c>
      <c r="N384" s="15" t="s">
        <v>1009</v>
      </c>
      <c r="O384" s="15">
        <v>30</v>
      </c>
      <c r="P384" s="15"/>
      <c r="Q384" s="15"/>
      <c r="R384" s="15"/>
      <c r="S384" s="15" t="s">
        <v>188</v>
      </c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 t="s">
        <v>188</v>
      </c>
      <c r="AG384" s="15"/>
      <c r="AH384" s="15">
        <v>2000</v>
      </c>
      <c r="AI384" s="1" t="s">
        <v>269</v>
      </c>
      <c r="AJ384" s="15"/>
      <c r="AK384" s="15"/>
      <c r="AL384" s="15" t="s">
        <v>188</v>
      </c>
      <c r="AM384" s="15"/>
      <c r="AN384" s="15"/>
      <c r="AO384" s="15" t="s">
        <v>188</v>
      </c>
      <c r="AP384" s="15"/>
      <c r="AQ384" s="15"/>
      <c r="AR384" s="15"/>
      <c r="AS384" s="15"/>
      <c r="AT384" s="15" t="s">
        <v>322</v>
      </c>
      <c r="AU384" s="1">
        <v>6000</v>
      </c>
      <c r="AV384" s="48">
        <v>0.05</v>
      </c>
      <c r="AW384" s="15">
        <v>2.6</v>
      </c>
      <c r="AX384" s="15">
        <v>2.4</v>
      </c>
      <c r="AY384" s="15">
        <v>2</v>
      </c>
      <c r="AZ384" s="15">
        <v>960</v>
      </c>
      <c r="BA384" s="15">
        <v>2400</v>
      </c>
      <c r="BB384" s="15" t="s">
        <v>188</v>
      </c>
      <c r="BC384" s="15" t="s">
        <v>199</v>
      </c>
      <c r="BD384" s="15" t="s">
        <v>199</v>
      </c>
      <c r="BE384" s="1">
        <v>15000</v>
      </c>
      <c r="BF384" s="1">
        <v>180000</v>
      </c>
      <c r="BG384" s="1">
        <v>30000</v>
      </c>
      <c r="BH384" s="1">
        <v>100000</v>
      </c>
      <c r="BI384" s="1" t="s">
        <v>193</v>
      </c>
      <c r="BJ384" s="15" t="s">
        <v>188</v>
      </c>
      <c r="BK384" s="15" t="s">
        <v>188</v>
      </c>
      <c r="BL384" s="15"/>
      <c r="BM384" s="15" t="s">
        <v>188</v>
      </c>
      <c r="BN384" s="15"/>
      <c r="BO384" s="15" t="s">
        <v>188</v>
      </c>
      <c r="BP384" s="15"/>
      <c r="BQ384" s="15"/>
      <c r="BR384" s="15"/>
      <c r="BS384" s="2"/>
      <c r="BT384" s="15"/>
      <c r="BU384" s="15"/>
      <c r="BV384" s="15" t="s">
        <v>188</v>
      </c>
      <c r="BW384" s="15"/>
      <c r="BX384" s="15">
        <v>2</v>
      </c>
      <c r="BY384" s="15">
        <v>1</v>
      </c>
      <c r="BZ384" s="15">
        <v>3</v>
      </c>
      <c r="CA384" s="15"/>
      <c r="CB384" s="15" t="s">
        <v>188</v>
      </c>
      <c r="CC384" s="15"/>
      <c r="CD384" s="15"/>
      <c r="CE384" s="15"/>
      <c r="CF384" s="15"/>
      <c r="CG384" s="15"/>
      <c r="CH384" s="15"/>
      <c r="CI384" s="15"/>
      <c r="CJ384" s="15"/>
      <c r="CK384" s="15" t="s">
        <v>188</v>
      </c>
      <c r="CL384" s="15"/>
      <c r="CM384" s="15"/>
      <c r="CN384" s="15"/>
      <c r="CO384" s="15"/>
      <c r="CP384" s="15" t="s">
        <v>193</v>
      </c>
      <c r="CQ384" s="15" t="s">
        <v>193</v>
      </c>
      <c r="CR384" s="15" t="s">
        <v>188</v>
      </c>
      <c r="CS384" s="15"/>
      <c r="CT384" s="15"/>
      <c r="CU384" s="15"/>
      <c r="CV384" s="15"/>
      <c r="CW384" s="15"/>
      <c r="CX384" s="15" t="s">
        <v>188</v>
      </c>
      <c r="CY384" s="15" t="s">
        <v>188</v>
      </c>
      <c r="CZ384" s="3"/>
      <c r="DA384" s="49"/>
      <c r="DC384" s="18">
        <f t="shared" si="15"/>
        <v>0</v>
      </c>
      <c r="DD384" s="18">
        <f t="shared" si="16"/>
        <v>1</v>
      </c>
      <c r="DE384" s="18">
        <f t="shared" si="17"/>
        <v>2000</v>
      </c>
    </row>
    <row r="385" spans="1:109" x14ac:dyDescent="0.25">
      <c r="A385" s="59" t="s">
        <v>1320</v>
      </c>
      <c r="B385" s="103">
        <v>41549</v>
      </c>
      <c r="C385" s="106" t="s">
        <v>1571</v>
      </c>
      <c r="D385" s="14" t="s">
        <v>952</v>
      </c>
      <c r="E385" s="15"/>
      <c r="F385" s="15"/>
      <c r="G385" s="15" t="s">
        <v>188</v>
      </c>
      <c r="H385" s="15"/>
      <c r="I385" s="15">
        <v>33</v>
      </c>
      <c r="J385" s="15" t="s">
        <v>189</v>
      </c>
      <c r="K385" s="15" t="s">
        <v>190</v>
      </c>
      <c r="L385" s="15" t="s">
        <v>1003</v>
      </c>
      <c r="M385" s="15" t="s">
        <v>1158</v>
      </c>
      <c r="N385" s="15" t="s">
        <v>1087</v>
      </c>
      <c r="O385" s="15">
        <v>14</v>
      </c>
      <c r="P385" s="15"/>
      <c r="Q385" s="15"/>
      <c r="R385" s="15"/>
      <c r="S385" s="15" t="s">
        <v>188</v>
      </c>
      <c r="T385" s="15"/>
      <c r="U385" s="15" t="s">
        <v>188</v>
      </c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>
        <v>2004</v>
      </c>
      <c r="AI385" s="1">
        <v>651023</v>
      </c>
      <c r="AJ385" s="15"/>
      <c r="AK385" s="15"/>
      <c r="AL385" s="15" t="s">
        <v>188</v>
      </c>
      <c r="AM385" s="15"/>
      <c r="AN385" s="15"/>
      <c r="AO385" s="15"/>
      <c r="AP385" s="15" t="s">
        <v>188</v>
      </c>
      <c r="AQ385" s="15"/>
      <c r="AR385" s="15"/>
      <c r="AS385" s="15"/>
      <c r="AT385" s="15" t="s">
        <v>266</v>
      </c>
      <c r="AU385" s="1">
        <v>6000</v>
      </c>
      <c r="AV385" s="48">
        <v>0.5</v>
      </c>
      <c r="AW385" s="15">
        <v>2.7</v>
      </c>
      <c r="AX385" s="15">
        <v>2.5</v>
      </c>
      <c r="AY385" s="15">
        <v>2</v>
      </c>
      <c r="AZ385" s="15">
        <v>770</v>
      </c>
      <c r="BA385" s="15">
        <v>2000</v>
      </c>
      <c r="BB385" s="15" t="s">
        <v>188</v>
      </c>
      <c r="BC385" s="15" t="s">
        <v>199</v>
      </c>
      <c r="BD385" s="15" t="s">
        <v>199</v>
      </c>
      <c r="BE385" s="1">
        <v>18000</v>
      </c>
      <c r="BF385" s="1">
        <v>180000</v>
      </c>
      <c r="BG385" s="1">
        <v>30000</v>
      </c>
      <c r="BH385" s="1">
        <v>100000</v>
      </c>
      <c r="BI385" s="1" t="s">
        <v>193</v>
      </c>
      <c r="BJ385" s="15"/>
      <c r="BK385" s="15" t="s">
        <v>188</v>
      </c>
      <c r="BL385" s="15"/>
      <c r="BM385" s="15"/>
      <c r="BN385" s="15" t="s">
        <v>188</v>
      </c>
      <c r="BO385" s="15"/>
      <c r="BP385" s="15"/>
      <c r="BQ385" s="15"/>
      <c r="BR385" s="15"/>
      <c r="BS385" s="2"/>
      <c r="BT385" s="15"/>
      <c r="BU385" s="15"/>
      <c r="BV385" s="15" t="s">
        <v>188</v>
      </c>
      <c r="BW385" s="15"/>
      <c r="BX385" s="15">
        <v>1</v>
      </c>
      <c r="BY385" s="15">
        <v>3</v>
      </c>
      <c r="BZ385" s="15">
        <v>2</v>
      </c>
      <c r="CA385" s="15"/>
      <c r="CB385" s="15" t="s">
        <v>188</v>
      </c>
      <c r="CC385" s="15"/>
      <c r="CD385" s="15"/>
      <c r="CE385" s="15"/>
      <c r="CF385" s="15"/>
      <c r="CG385" s="15"/>
      <c r="CH385" s="15"/>
      <c r="CI385" s="15"/>
      <c r="CJ385" s="15"/>
      <c r="CK385" s="15" t="s">
        <v>188</v>
      </c>
      <c r="CL385" s="15"/>
      <c r="CM385" s="15"/>
      <c r="CN385" s="15"/>
      <c r="CO385" s="15"/>
      <c r="CP385" s="15" t="s">
        <v>193</v>
      </c>
      <c r="CQ385" s="15" t="s">
        <v>193</v>
      </c>
      <c r="CR385" s="15"/>
      <c r="CS385" s="15"/>
      <c r="CT385" s="15" t="s">
        <v>188</v>
      </c>
      <c r="CU385" s="15"/>
      <c r="CV385" s="15"/>
      <c r="CW385" s="15"/>
      <c r="CX385" s="15" t="s">
        <v>188</v>
      </c>
      <c r="CY385" s="15"/>
      <c r="CZ385" s="3"/>
      <c r="DA385" s="49"/>
      <c r="DC385" s="18">
        <f t="shared" si="15"/>
        <v>0</v>
      </c>
      <c r="DD385" s="18">
        <f t="shared" si="16"/>
        <v>3</v>
      </c>
      <c r="DE385" s="18">
        <f t="shared" si="17"/>
        <v>2004</v>
      </c>
    </row>
    <row r="386" spans="1:109" x14ac:dyDescent="0.25">
      <c r="A386" s="59" t="s">
        <v>1320</v>
      </c>
      <c r="B386" s="103">
        <v>41549</v>
      </c>
      <c r="C386" s="106" t="s">
        <v>1571</v>
      </c>
      <c r="D386" s="14" t="s">
        <v>953</v>
      </c>
      <c r="E386" s="15"/>
      <c r="F386" s="15"/>
      <c r="G386" s="15"/>
      <c r="H386" s="15" t="s">
        <v>188</v>
      </c>
      <c r="I386" s="15">
        <v>32</v>
      </c>
      <c r="J386" s="15" t="s">
        <v>189</v>
      </c>
      <c r="K386" s="15" t="s">
        <v>214</v>
      </c>
      <c r="L386" s="15" t="s">
        <v>994</v>
      </c>
      <c r="M386" s="15" t="s">
        <v>1092</v>
      </c>
      <c r="N386" s="15" t="s">
        <v>1092</v>
      </c>
      <c r="O386" s="15">
        <v>14</v>
      </c>
      <c r="P386" s="15"/>
      <c r="Q386" s="15"/>
      <c r="R386" s="15"/>
      <c r="S386" s="15" t="s">
        <v>188</v>
      </c>
      <c r="T386" s="15"/>
      <c r="U386" s="15"/>
      <c r="V386" s="15" t="s">
        <v>188</v>
      </c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>
        <v>2008</v>
      </c>
      <c r="AI386" s="1">
        <v>504673</v>
      </c>
      <c r="AJ386" s="15"/>
      <c r="AK386" s="15"/>
      <c r="AL386" s="15" t="s">
        <v>188</v>
      </c>
      <c r="AM386" s="15"/>
      <c r="AN386" s="15"/>
      <c r="AO386" s="15" t="s">
        <v>188</v>
      </c>
      <c r="AP386" s="15"/>
      <c r="AQ386" s="15"/>
      <c r="AR386" s="15"/>
      <c r="AS386" s="15"/>
      <c r="AT386" s="15" t="s">
        <v>322</v>
      </c>
      <c r="AU386" s="1">
        <v>9000</v>
      </c>
      <c r="AV386" s="48">
        <v>0.1</v>
      </c>
      <c r="AW386" s="15">
        <v>2.6</v>
      </c>
      <c r="AX386" s="15">
        <v>2.2999999999999998</v>
      </c>
      <c r="AY386" s="15">
        <v>3</v>
      </c>
      <c r="AZ386" s="15">
        <v>1000</v>
      </c>
      <c r="BA386" s="15">
        <v>2600</v>
      </c>
      <c r="BB386" s="15" t="s">
        <v>188</v>
      </c>
      <c r="BC386" s="15" t="s">
        <v>188</v>
      </c>
      <c r="BD386" s="15" t="s">
        <v>199</v>
      </c>
      <c r="BE386" s="1">
        <v>18000</v>
      </c>
      <c r="BF386" s="1">
        <v>160000</v>
      </c>
      <c r="BG386" s="1">
        <v>22000</v>
      </c>
      <c r="BH386" s="1">
        <v>120000</v>
      </c>
      <c r="BI386" s="1" t="s">
        <v>193</v>
      </c>
      <c r="BJ386" s="15" t="s">
        <v>188</v>
      </c>
      <c r="BK386" s="15" t="s">
        <v>188</v>
      </c>
      <c r="BL386" s="15"/>
      <c r="BM386" s="15"/>
      <c r="BN386" s="15"/>
      <c r="BO386" s="15"/>
      <c r="BP386" s="15"/>
      <c r="BQ386" s="15" t="s">
        <v>188</v>
      </c>
      <c r="BR386" s="15"/>
      <c r="BS386" s="2"/>
      <c r="BT386" s="15"/>
      <c r="BU386" s="15"/>
      <c r="BV386" s="15" t="s">
        <v>188</v>
      </c>
      <c r="BW386" s="15"/>
      <c r="BX386" s="15">
        <v>1</v>
      </c>
      <c r="BY386" s="15">
        <v>3</v>
      </c>
      <c r="BZ386" s="15">
        <v>2</v>
      </c>
      <c r="CA386" s="15"/>
      <c r="CB386" s="15" t="s">
        <v>188</v>
      </c>
      <c r="CC386" s="15"/>
      <c r="CD386" s="15"/>
      <c r="CE386" s="15"/>
      <c r="CF386" s="15"/>
      <c r="CG386" s="15"/>
      <c r="CH386" s="15"/>
      <c r="CI386" s="15"/>
      <c r="CJ386" s="15"/>
      <c r="CK386" s="15" t="s">
        <v>188</v>
      </c>
      <c r="CL386" s="15"/>
      <c r="CM386" s="15"/>
      <c r="CN386" s="15"/>
      <c r="CO386" s="15"/>
      <c r="CP386" s="15" t="s">
        <v>193</v>
      </c>
      <c r="CQ386" s="15" t="s">
        <v>193</v>
      </c>
      <c r="CR386" s="15"/>
      <c r="CS386" s="15"/>
      <c r="CT386" s="15"/>
      <c r="CU386" s="15" t="s">
        <v>324</v>
      </c>
      <c r="CV386" s="15"/>
      <c r="CW386" s="15"/>
      <c r="CX386" s="15"/>
      <c r="CY386" s="15" t="s">
        <v>188</v>
      </c>
      <c r="CZ386" s="3"/>
      <c r="DA386" s="49"/>
      <c r="DC386" s="18">
        <f t="shared" si="15"/>
        <v>0</v>
      </c>
      <c r="DD386" s="18">
        <f t="shared" si="16"/>
        <v>7</v>
      </c>
      <c r="DE386" s="18">
        <f t="shared" si="17"/>
        <v>2008</v>
      </c>
    </row>
    <row r="387" spans="1:109" x14ac:dyDescent="0.25">
      <c r="A387" s="59" t="s">
        <v>1320</v>
      </c>
      <c r="B387" s="103">
        <v>41549</v>
      </c>
      <c r="C387" s="106" t="s">
        <v>1571</v>
      </c>
      <c r="D387" s="14" t="s">
        <v>954</v>
      </c>
      <c r="E387" s="15" t="s">
        <v>188</v>
      </c>
      <c r="F387" s="15"/>
      <c r="G387" s="15"/>
      <c r="H387" s="15"/>
      <c r="I387" s="15">
        <v>49</v>
      </c>
      <c r="J387" s="15" t="s">
        <v>189</v>
      </c>
      <c r="K387" s="15" t="s">
        <v>190</v>
      </c>
      <c r="L387" s="15" t="s">
        <v>646</v>
      </c>
      <c r="M387" s="15" t="s">
        <v>1071</v>
      </c>
      <c r="N387" s="15" t="s">
        <v>1089</v>
      </c>
      <c r="O387" s="15">
        <v>25</v>
      </c>
      <c r="P387" s="15"/>
      <c r="Q387" s="15"/>
      <c r="R387" s="15"/>
      <c r="S387" s="15" t="s">
        <v>188</v>
      </c>
      <c r="T387" s="15"/>
      <c r="U387" s="15"/>
      <c r="V387" s="15" t="s">
        <v>188</v>
      </c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>
        <v>2003</v>
      </c>
      <c r="AI387" s="1">
        <v>761002</v>
      </c>
      <c r="AJ387" s="15"/>
      <c r="AK387" s="15"/>
      <c r="AL387" s="15" t="s">
        <v>188</v>
      </c>
      <c r="AM387" s="15"/>
      <c r="AN387" s="15"/>
      <c r="AO387" s="15"/>
      <c r="AP387" s="15" t="s">
        <v>188</v>
      </c>
      <c r="AQ387" s="15"/>
      <c r="AR387" s="15"/>
      <c r="AS387" s="15"/>
      <c r="AT387" s="15" t="s">
        <v>322</v>
      </c>
      <c r="AU387" s="1">
        <v>6000</v>
      </c>
      <c r="AV387" s="48">
        <v>0.2</v>
      </c>
      <c r="AW387" s="15">
        <v>2.8</v>
      </c>
      <c r="AX387" s="15">
        <v>2.4</v>
      </c>
      <c r="AY387" s="15">
        <v>3</v>
      </c>
      <c r="AZ387" s="15">
        <v>1050</v>
      </c>
      <c r="BA387" s="15">
        <v>2800</v>
      </c>
      <c r="BB387" s="15" t="s">
        <v>188</v>
      </c>
      <c r="BC387" s="15" t="s">
        <v>199</v>
      </c>
      <c r="BD387" s="15" t="s">
        <v>199</v>
      </c>
      <c r="BE387" s="1">
        <v>25000</v>
      </c>
      <c r="BF387" s="1">
        <v>250000</v>
      </c>
      <c r="BG387" s="1">
        <v>25000</v>
      </c>
      <c r="BH387" s="1">
        <v>180000</v>
      </c>
      <c r="BI387" s="1" t="s">
        <v>193</v>
      </c>
      <c r="BJ387" s="15"/>
      <c r="BK387" s="15" t="s">
        <v>188</v>
      </c>
      <c r="BL387" s="15"/>
      <c r="BM387" s="15"/>
      <c r="BN387" s="15" t="s">
        <v>188</v>
      </c>
      <c r="BO387" s="15"/>
      <c r="BP387" s="15"/>
      <c r="BQ387" s="15"/>
      <c r="BR387" s="15"/>
      <c r="BS387" s="2"/>
      <c r="BT387" s="15"/>
      <c r="BU387" s="15"/>
      <c r="BV387" s="15" t="s">
        <v>188</v>
      </c>
      <c r="BW387" s="15"/>
      <c r="BX387" s="15">
        <v>3</v>
      </c>
      <c r="BY387" s="15">
        <v>2</v>
      </c>
      <c r="BZ387" s="15">
        <v>1</v>
      </c>
      <c r="CA387" s="15"/>
      <c r="CB387" s="15" t="s">
        <v>188</v>
      </c>
      <c r="CC387" s="15"/>
      <c r="CD387" s="15"/>
      <c r="CE387" s="15"/>
      <c r="CF387" s="15"/>
      <c r="CG387" s="15"/>
      <c r="CH387" s="15"/>
      <c r="CI387" s="15"/>
      <c r="CJ387" s="15"/>
      <c r="CK387" s="15" t="s">
        <v>188</v>
      </c>
      <c r="CL387" s="15"/>
      <c r="CM387" s="15"/>
      <c r="CN387" s="15"/>
      <c r="CO387" s="15"/>
      <c r="CP387" s="15" t="s">
        <v>193</v>
      </c>
      <c r="CQ387" s="15" t="s">
        <v>193</v>
      </c>
      <c r="CR387" s="15" t="s">
        <v>188</v>
      </c>
      <c r="CS387" s="15"/>
      <c r="CT387" s="15"/>
      <c r="CU387" s="15"/>
      <c r="CV387" s="15"/>
      <c r="CW387" s="15"/>
      <c r="CX387" s="15" t="s">
        <v>188</v>
      </c>
      <c r="CY387" s="15" t="s">
        <v>188</v>
      </c>
      <c r="CZ387" s="3"/>
      <c r="DA387" s="49"/>
      <c r="DC387" s="18">
        <f t="shared" si="15"/>
        <v>0</v>
      </c>
      <c r="DD387" s="18">
        <f t="shared" si="16"/>
        <v>1</v>
      </c>
      <c r="DE387" s="18">
        <f t="shared" si="17"/>
        <v>2003</v>
      </c>
    </row>
    <row r="388" spans="1:109" x14ac:dyDescent="0.25">
      <c r="A388" s="59" t="s">
        <v>1319</v>
      </c>
      <c r="B388" s="103">
        <v>41550</v>
      </c>
      <c r="C388" s="106" t="s">
        <v>1583</v>
      </c>
      <c r="D388" s="14" t="s">
        <v>955</v>
      </c>
      <c r="E388" s="15" t="s">
        <v>188</v>
      </c>
      <c r="F388" s="15"/>
      <c r="G388" s="15"/>
      <c r="H388" s="15"/>
      <c r="I388" s="15">
        <v>63</v>
      </c>
      <c r="J388" s="15" t="s">
        <v>189</v>
      </c>
      <c r="K388" s="15" t="s">
        <v>445</v>
      </c>
      <c r="L388" s="15" t="s">
        <v>984</v>
      </c>
      <c r="M388" s="15" t="s">
        <v>1159</v>
      </c>
      <c r="N388" s="15" t="s">
        <v>1009</v>
      </c>
      <c r="O388" s="15">
        <v>40</v>
      </c>
      <c r="P388" s="15"/>
      <c r="Q388" s="15" t="s">
        <v>188</v>
      </c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 t="s">
        <v>188</v>
      </c>
      <c r="AG388" s="15"/>
      <c r="AH388" s="15">
        <v>1995</v>
      </c>
      <c r="AI388" s="1" t="s">
        <v>269</v>
      </c>
      <c r="AJ388" s="15"/>
      <c r="AK388" s="15"/>
      <c r="AL388" s="15" t="s">
        <v>188</v>
      </c>
      <c r="AM388" s="15"/>
      <c r="AN388" s="15"/>
      <c r="AO388" s="15"/>
      <c r="AP388" s="15" t="s">
        <v>188</v>
      </c>
      <c r="AQ388" s="15"/>
      <c r="AR388" s="15"/>
      <c r="AS388" s="15"/>
      <c r="AT388" s="15" t="s">
        <v>237</v>
      </c>
      <c r="AU388" s="1">
        <v>7000</v>
      </c>
      <c r="AV388" s="48">
        <v>0.5</v>
      </c>
      <c r="AW388" s="15">
        <v>3.8</v>
      </c>
      <c r="AX388" s="15">
        <v>3.1</v>
      </c>
      <c r="AY388" s="15">
        <v>2</v>
      </c>
      <c r="AZ388" s="15">
        <v>510</v>
      </c>
      <c r="BA388" s="15">
        <v>1800</v>
      </c>
      <c r="BB388" s="15" t="s">
        <v>199</v>
      </c>
      <c r="BC388" s="15" t="s">
        <v>199</v>
      </c>
      <c r="BD388" s="15" t="s">
        <v>199</v>
      </c>
      <c r="BE388" s="1">
        <v>25000</v>
      </c>
      <c r="BF388" s="1" t="s">
        <v>272</v>
      </c>
      <c r="BG388" s="1">
        <v>25000</v>
      </c>
      <c r="BH388" s="1">
        <v>130000</v>
      </c>
      <c r="BI388" s="1" t="s">
        <v>272</v>
      </c>
      <c r="BJ388" s="15" t="s">
        <v>188</v>
      </c>
      <c r="BK388" s="15" t="s">
        <v>188</v>
      </c>
      <c r="BL388" s="15"/>
      <c r="BM388" s="15"/>
      <c r="BN388" s="15"/>
      <c r="BO388" s="15" t="s">
        <v>188</v>
      </c>
      <c r="BP388" s="15"/>
      <c r="BQ388" s="15"/>
      <c r="BR388" s="15"/>
      <c r="BS388" s="2"/>
      <c r="BT388" s="15"/>
      <c r="BU388" s="15"/>
      <c r="BV388" s="15" t="s">
        <v>188</v>
      </c>
      <c r="BW388" s="15"/>
      <c r="BX388" s="15">
        <v>1</v>
      </c>
      <c r="BY388" s="15">
        <v>2</v>
      </c>
      <c r="BZ388" s="15">
        <v>3</v>
      </c>
      <c r="CA388" s="15"/>
      <c r="CB388" s="15" t="s">
        <v>188</v>
      </c>
      <c r="CC388" s="15"/>
      <c r="CD388" s="15"/>
      <c r="CE388" s="15"/>
      <c r="CF388" s="15"/>
      <c r="CG388" s="15"/>
      <c r="CH388" s="15"/>
      <c r="CI388" s="15"/>
      <c r="CJ388" s="15"/>
      <c r="CK388" s="15" t="s">
        <v>188</v>
      </c>
      <c r="CL388" s="15"/>
      <c r="CM388" s="15"/>
      <c r="CN388" s="15"/>
      <c r="CO388" s="15"/>
      <c r="CP388" s="15" t="s">
        <v>193</v>
      </c>
      <c r="CQ388" s="15" t="s">
        <v>193</v>
      </c>
      <c r="CR388" s="15" t="s">
        <v>188</v>
      </c>
      <c r="CS388" s="15"/>
      <c r="CT388" s="15"/>
      <c r="CU388" s="15"/>
      <c r="CV388" s="15" t="s">
        <v>188</v>
      </c>
      <c r="CW388" s="15" t="s">
        <v>985</v>
      </c>
      <c r="CX388" s="15"/>
      <c r="CY388" s="15"/>
      <c r="CZ388" s="3"/>
      <c r="DA388" s="49"/>
      <c r="DC388" s="18">
        <f t="shared" si="15"/>
        <v>0</v>
      </c>
      <c r="DD388" s="18">
        <f t="shared" si="16"/>
        <v>1</v>
      </c>
      <c r="DE388" s="18">
        <f t="shared" si="17"/>
        <v>1995</v>
      </c>
    </row>
    <row r="389" spans="1:109" x14ac:dyDescent="0.25">
      <c r="A389" s="59" t="s">
        <v>1319</v>
      </c>
      <c r="B389" s="103">
        <v>41550</v>
      </c>
      <c r="C389" s="106" t="s">
        <v>1583</v>
      </c>
      <c r="D389" s="14" t="s">
        <v>956</v>
      </c>
      <c r="E389" s="15"/>
      <c r="F389" s="15"/>
      <c r="G389" s="15" t="s">
        <v>188</v>
      </c>
      <c r="H389" s="15"/>
      <c r="I389" s="15">
        <v>24</v>
      </c>
      <c r="J389" s="15" t="s">
        <v>189</v>
      </c>
      <c r="K389" s="15" t="s">
        <v>190</v>
      </c>
      <c r="L389" s="15" t="s">
        <v>986</v>
      </c>
      <c r="M389" s="15" t="s">
        <v>1160</v>
      </c>
      <c r="N389" s="15" t="s">
        <v>1142</v>
      </c>
      <c r="O389" s="15">
        <v>3</v>
      </c>
      <c r="P389" s="15"/>
      <c r="Q389" s="15" t="s">
        <v>188</v>
      </c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 t="s">
        <v>188</v>
      </c>
      <c r="AG389" s="15"/>
      <c r="AH389" s="15">
        <v>1990</v>
      </c>
      <c r="AI389" s="1">
        <v>910755</v>
      </c>
      <c r="AJ389" s="15"/>
      <c r="AK389" s="15"/>
      <c r="AL389" s="15" t="s">
        <v>188</v>
      </c>
      <c r="AM389" s="15"/>
      <c r="AN389" s="15"/>
      <c r="AO389" s="15"/>
      <c r="AP389" s="15"/>
      <c r="AQ389" s="15"/>
      <c r="AR389" s="15" t="s">
        <v>188</v>
      </c>
      <c r="AS389" s="15">
        <v>2010</v>
      </c>
      <c r="AT389" s="15" t="s">
        <v>322</v>
      </c>
      <c r="AU389" s="1">
        <v>5000</v>
      </c>
      <c r="AV389" s="48">
        <v>0.1</v>
      </c>
      <c r="AW389" s="15">
        <v>4</v>
      </c>
      <c r="AX389" s="15">
        <v>3.2</v>
      </c>
      <c r="AY389" s="15">
        <v>2</v>
      </c>
      <c r="AZ389" s="15">
        <v>420</v>
      </c>
      <c r="BA389" s="15">
        <v>1600</v>
      </c>
      <c r="BB389" s="15" t="s">
        <v>199</v>
      </c>
      <c r="BC389" s="15" t="s">
        <v>199</v>
      </c>
      <c r="BD389" s="15" t="s">
        <v>199</v>
      </c>
      <c r="BE389" s="1">
        <v>20000</v>
      </c>
      <c r="BF389" s="1">
        <v>100000</v>
      </c>
      <c r="BG389" s="1">
        <v>30000</v>
      </c>
      <c r="BH389" s="1">
        <v>100000</v>
      </c>
      <c r="BI389" s="1" t="s">
        <v>193</v>
      </c>
      <c r="BJ389" s="15" t="s">
        <v>188</v>
      </c>
      <c r="BK389" s="15" t="s">
        <v>188</v>
      </c>
      <c r="BL389" s="15"/>
      <c r="BM389" s="15"/>
      <c r="BN389" s="15"/>
      <c r="BO389" s="15" t="s">
        <v>188</v>
      </c>
      <c r="BP389" s="15"/>
      <c r="BQ389" s="15"/>
      <c r="BR389" s="15"/>
      <c r="BS389" s="2"/>
      <c r="BT389" s="15"/>
      <c r="BU389" s="15"/>
      <c r="BV389" s="15" t="s">
        <v>188</v>
      </c>
      <c r="BW389" s="15"/>
      <c r="BX389" s="15">
        <v>1</v>
      </c>
      <c r="BY389" s="15">
        <v>3</v>
      </c>
      <c r="BZ389" s="15">
        <v>2</v>
      </c>
      <c r="CA389" s="15"/>
      <c r="CB389" s="15" t="s">
        <v>188</v>
      </c>
      <c r="CC389" s="15"/>
      <c r="CD389" s="15"/>
      <c r="CE389" s="15"/>
      <c r="CF389" s="15"/>
      <c r="CG389" s="15"/>
      <c r="CH389" s="15"/>
      <c r="CI389" s="15"/>
      <c r="CJ389" s="15"/>
      <c r="CK389" s="15" t="s">
        <v>188</v>
      </c>
      <c r="CL389" s="15"/>
      <c r="CM389" s="15"/>
      <c r="CN389" s="15"/>
      <c r="CO389" s="15"/>
      <c r="CP389" s="15" t="s">
        <v>193</v>
      </c>
      <c r="CQ389" s="15" t="s">
        <v>193</v>
      </c>
      <c r="CR389" s="15" t="s">
        <v>188</v>
      </c>
      <c r="CS389" s="15"/>
      <c r="CT389" s="15"/>
      <c r="CU389" s="15"/>
      <c r="CV389" s="15"/>
      <c r="CW389" s="15"/>
      <c r="CX389" s="15" t="s">
        <v>188</v>
      </c>
      <c r="CY389" s="15" t="s">
        <v>188</v>
      </c>
      <c r="CZ389" s="3"/>
      <c r="DA389" s="49"/>
      <c r="DC389" s="18">
        <f t="shared" si="15"/>
        <v>0</v>
      </c>
      <c r="DD389" s="18">
        <f t="shared" si="16"/>
        <v>3</v>
      </c>
      <c r="DE389" s="18">
        <f t="shared" si="17"/>
        <v>2010</v>
      </c>
    </row>
    <row r="390" spans="1:109" x14ac:dyDescent="0.25">
      <c r="A390" s="59" t="s">
        <v>1319</v>
      </c>
      <c r="B390" s="103">
        <v>41550</v>
      </c>
      <c r="C390" s="106" t="s">
        <v>1583</v>
      </c>
      <c r="D390" s="14" t="s">
        <v>957</v>
      </c>
      <c r="E390" s="15"/>
      <c r="F390" s="15"/>
      <c r="G390" s="15"/>
      <c r="H390" s="15" t="s">
        <v>188</v>
      </c>
      <c r="I390" s="15">
        <v>31</v>
      </c>
      <c r="J390" s="15" t="s">
        <v>189</v>
      </c>
      <c r="K390" s="15" t="s">
        <v>190</v>
      </c>
      <c r="L390" s="15" t="s">
        <v>228</v>
      </c>
      <c r="M390" s="15" t="s">
        <v>1010</v>
      </c>
      <c r="N390" s="15" t="s">
        <v>1084</v>
      </c>
      <c r="O390" s="15">
        <v>12</v>
      </c>
      <c r="P390" s="15"/>
      <c r="Q390" s="15"/>
      <c r="R390" s="15"/>
      <c r="S390" s="15" t="s">
        <v>188</v>
      </c>
      <c r="T390" s="15"/>
      <c r="U390" s="15" t="s">
        <v>188</v>
      </c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>
        <v>2007</v>
      </c>
      <c r="AI390" s="1">
        <v>623700</v>
      </c>
      <c r="AJ390" s="15"/>
      <c r="AK390" s="15"/>
      <c r="AL390" s="15" t="s">
        <v>188</v>
      </c>
      <c r="AM390" s="15"/>
      <c r="AN390" s="15"/>
      <c r="AO390" s="15" t="s">
        <v>188</v>
      </c>
      <c r="AP390" s="15"/>
      <c r="AQ390" s="15"/>
      <c r="AR390" s="15"/>
      <c r="AS390" s="15"/>
      <c r="AT390" s="15" t="s">
        <v>266</v>
      </c>
      <c r="AU390" s="1">
        <v>12000</v>
      </c>
      <c r="AV390" s="48">
        <v>0</v>
      </c>
      <c r="AW390" s="15">
        <v>2.7</v>
      </c>
      <c r="AX390" s="15">
        <v>2.5</v>
      </c>
      <c r="AY390" s="15">
        <v>2</v>
      </c>
      <c r="AZ390" s="15">
        <v>850</v>
      </c>
      <c r="BA390" s="15">
        <v>2200</v>
      </c>
      <c r="BB390" s="15" t="s">
        <v>188</v>
      </c>
      <c r="BC390" s="15" t="s">
        <v>188</v>
      </c>
      <c r="BD390" s="15" t="s">
        <v>199</v>
      </c>
      <c r="BE390" s="1">
        <v>18000</v>
      </c>
      <c r="BF390" s="1">
        <v>120000</v>
      </c>
      <c r="BG390" s="1">
        <v>22000</v>
      </c>
      <c r="BH390" s="1">
        <v>120000</v>
      </c>
      <c r="BI390" s="1" t="s">
        <v>193</v>
      </c>
      <c r="BJ390" s="15"/>
      <c r="BK390" s="15" t="s">
        <v>188</v>
      </c>
      <c r="BL390" s="15"/>
      <c r="BM390" s="15" t="s">
        <v>188</v>
      </c>
      <c r="BN390" s="15" t="s">
        <v>188</v>
      </c>
      <c r="BO390" s="15"/>
      <c r="BP390" s="15" t="s">
        <v>188</v>
      </c>
      <c r="BQ390" s="15"/>
      <c r="BR390" s="15"/>
      <c r="BS390" s="2"/>
      <c r="BT390" s="15"/>
      <c r="BU390" s="15" t="s">
        <v>188</v>
      </c>
      <c r="BV390" s="15"/>
      <c r="BW390" s="15"/>
      <c r="BX390" s="15">
        <v>1</v>
      </c>
      <c r="BY390" s="15">
        <v>3</v>
      </c>
      <c r="BZ390" s="15">
        <v>2</v>
      </c>
      <c r="CA390" s="15"/>
      <c r="CB390" s="15" t="s">
        <v>188</v>
      </c>
      <c r="CC390" s="15"/>
      <c r="CD390" s="15"/>
      <c r="CE390" s="15"/>
      <c r="CF390" s="15"/>
      <c r="CG390" s="15"/>
      <c r="CH390" s="15"/>
      <c r="CI390" s="15"/>
      <c r="CJ390" s="15"/>
      <c r="CK390" s="15" t="s">
        <v>188</v>
      </c>
      <c r="CL390" s="15"/>
      <c r="CM390" s="15"/>
      <c r="CN390" s="15"/>
      <c r="CO390" s="15"/>
      <c r="CP390" s="15" t="s">
        <v>193</v>
      </c>
      <c r="CQ390" s="15" t="s">
        <v>193</v>
      </c>
      <c r="CR390" s="15"/>
      <c r="CS390" s="15"/>
      <c r="CT390" s="15"/>
      <c r="CU390" s="15" t="s">
        <v>987</v>
      </c>
      <c r="CV390" s="15"/>
      <c r="CW390" s="15"/>
      <c r="CX390" s="15" t="s">
        <v>188</v>
      </c>
      <c r="CY390" s="15" t="s">
        <v>188</v>
      </c>
      <c r="CZ390" s="3"/>
      <c r="DA390" s="49"/>
      <c r="DC390" s="18">
        <f t="shared" si="15"/>
        <v>0</v>
      </c>
      <c r="DD390" s="18">
        <f t="shared" si="16"/>
        <v>7</v>
      </c>
      <c r="DE390" s="18">
        <f t="shared" si="17"/>
        <v>2007</v>
      </c>
    </row>
    <row r="391" spans="1:109" x14ac:dyDescent="0.25">
      <c r="A391" s="59" t="s">
        <v>1319</v>
      </c>
      <c r="B391" s="103">
        <v>41550</v>
      </c>
      <c r="C391" s="106" t="s">
        <v>1583</v>
      </c>
      <c r="D391" s="14" t="s">
        <v>958</v>
      </c>
      <c r="E391" s="15"/>
      <c r="F391" s="15"/>
      <c r="G391" s="15" t="s">
        <v>188</v>
      </c>
      <c r="H391" s="15"/>
      <c r="I391" s="15">
        <v>56</v>
      </c>
      <c r="J391" s="15" t="s">
        <v>189</v>
      </c>
      <c r="K391" s="15" t="s">
        <v>196</v>
      </c>
      <c r="L391" s="15" t="s">
        <v>990</v>
      </c>
      <c r="M391" s="15" t="s">
        <v>1161</v>
      </c>
      <c r="N391" s="15" t="s">
        <v>1114</v>
      </c>
      <c r="O391" s="15">
        <v>37</v>
      </c>
      <c r="P391" s="15"/>
      <c r="Q391" s="15"/>
      <c r="R391" s="15"/>
      <c r="S391" s="15" t="s">
        <v>188</v>
      </c>
      <c r="T391" s="15"/>
      <c r="U391" s="15" t="s">
        <v>188</v>
      </c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>
        <v>2006</v>
      </c>
      <c r="AI391" s="1">
        <v>731855</v>
      </c>
      <c r="AJ391" s="15"/>
      <c r="AK391" s="15"/>
      <c r="AL391" s="15" t="s">
        <v>188</v>
      </c>
      <c r="AM391" s="15"/>
      <c r="AN391" s="15"/>
      <c r="AO391" s="15"/>
      <c r="AP391" s="15" t="s">
        <v>188</v>
      </c>
      <c r="AQ391" s="15"/>
      <c r="AR391" s="15"/>
      <c r="AS391" s="15"/>
      <c r="AT391" s="15" t="s">
        <v>266</v>
      </c>
      <c r="AU391" s="1">
        <v>8333</v>
      </c>
      <c r="AV391" s="48">
        <v>0.5</v>
      </c>
      <c r="AW391" s="15">
        <v>2.7</v>
      </c>
      <c r="AX391" s="15">
        <v>2.5</v>
      </c>
      <c r="AY391" s="15">
        <v>2</v>
      </c>
      <c r="AZ391" s="15">
        <v>960</v>
      </c>
      <c r="BA391" s="15">
        <v>2500</v>
      </c>
      <c r="BB391" s="15" t="s">
        <v>188</v>
      </c>
      <c r="BC391" s="15" t="s">
        <v>199</v>
      </c>
      <c r="BD391" s="15" t="s">
        <v>199</v>
      </c>
      <c r="BE391" s="1">
        <v>20000</v>
      </c>
      <c r="BF391" s="1">
        <v>100000</v>
      </c>
      <c r="BG391" s="1">
        <v>20000</v>
      </c>
      <c r="BH391" s="1">
        <v>100000</v>
      </c>
      <c r="BI391" s="1" t="s">
        <v>193</v>
      </c>
      <c r="BJ391" s="15"/>
      <c r="BK391" s="15" t="s">
        <v>188</v>
      </c>
      <c r="BL391" s="15"/>
      <c r="BM391" s="15" t="s">
        <v>188</v>
      </c>
      <c r="BN391" s="15" t="s">
        <v>188</v>
      </c>
      <c r="BO391" s="15"/>
      <c r="BP391" s="15" t="s">
        <v>188</v>
      </c>
      <c r="BQ391" s="15"/>
      <c r="BR391" s="15"/>
      <c r="BS391" s="2"/>
      <c r="BT391" s="15"/>
      <c r="BU391" s="15"/>
      <c r="BV391" s="15" t="s">
        <v>188</v>
      </c>
      <c r="BW391" s="15"/>
      <c r="BX391" s="15">
        <v>1</v>
      </c>
      <c r="BY391" s="15">
        <v>3</v>
      </c>
      <c r="BZ391" s="15">
        <v>2</v>
      </c>
      <c r="CA391" s="15"/>
      <c r="CB391" s="15" t="s">
        <v>188</v>
      </c>
      <c r="CC391" s="15"/>
      <c r="CD391" s="15"/>
      <c r="CE391" s="15"/>
      <c r="CF391" s="15"/>
      <c r="CG391" s="15"/>
      <c r="CH391" s="15"/>
      <c r="CI391" s="15"/>
      <c r="CJ391" s="15"/>
      <c r="CK391" s="15" t="s">
        <v>188</v>
      </c>
      <c r="CL391" s="15"/>
      <c r="CM391" s="15"/>
      <c r="CN391" s="15"/>
      <c r="CO391" s="15"/>
      <c r="CP391" s="15" t="s">
        <v>193</v>
      </c>
      <c r="CQ391" s="15" t="s">
        <v>193</v>
      </c>
      <c r="CR391" s="15" t="s">
        <v>188</v>
      </c>
      <c r="CS391" s="15"/>
      <c r="CT391" s="15"/>
      <c r="CU391" s="15"/>
      <c r="CV391" s="15"/>
      <c r="CW391" s="15"/>
      <c r="CX391" s="15"/>
      <c r="CY391" s="15" t="s">
        <v>188</v>
      </c>
      <c r="CZ391" s="3"/>
      <c r="DA391" s="49"/>
      <c r="DC391" s="18">
        <f t="shared" si="15"/>
        <v>0</v>
      </c>
      <c r="DD391" s="18">
        <f t="shared" si="16"/>
        <v>3</v>
      </c>
      <c r="DE391" s="18">
        <f t="shared" si="17"/>
        <v>2006</v>
      </c>
    </row>
    <row r="392" spans="1:109" x14ac:dyDescent="0.25">
      <c r="A392" s="59" t="s">
        <v>1319</v>
      </c>
      <c r="B392" s="103">
        <v>41550</v>
      </c>
      <c r="C392" s="106" t="s">
        <v>1583</v>
      </c>
      <c r="D392" s="14" t="s">
        <v>959</v>
      </c>
      <c r="E392" s="15"/>
      <c r="F392" s="15"/>
      <c r="G392" s="15"/>
      <c r="H392" s="15" t="s">
        <v>188</v>
      </c>
      <c r="I392" s="15">
        <v>24</v>
      </c>
      <c r="J392" s="15" t="s">
        <v>189</v>
      </c>
      <c r="K392" s="15" t="s">
        <v>190</v>
      </c>
      <c r="L392" s="15" t="s">
        <v>405</v>
      </c>
      <c r="M392" s="15" t="s">
        <v>1037</v>
      </c>
      <c r="N392" s="15" t="s">
        <v>1085</v>
      </c>
      <c r="O392" s="15">
        <v>3</v>
      </c>
      <c r="P392" s="15"/>
      <c r="Q392" s="15"/>
      <c r="R392" s="15"/>
      <c r="S392" s="15" t="s">
        <v>188</v>
      </c>
      <c r="T392" s="15"/>
      <c r="U392" s="15" t="s">
        <v>188</v>
      </c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>
        <v>2007</v>
      </c>
      <c r="AI392" s="1">
        <v>543201</v>
      </c>
      <c r="AJ392" s="15"/>
      <c r="AK392" s="15"/>
      <c r="AL392" s="15" t="s">
        <v>188</v>
      </c>
      <c r="AM392" s="15"/>
      <c r="AN392" s="15"/>
      <c r="AO392" s="15"/>
      <c r="AP392" s="15" t="s">
        <v>188</v>
      </c>
      <c r="AQ392" s="15"/>
      <c r="AR392" s="15"/>
      <c r="AS392" s="15"/>
      <c r="AT392" s="15" t="s">
        <v>322</v>
      </c>
      <c r="AU392" s="1">
        <v>7000</v>
      </c>
      <c r="AV392" s="48">
        <v>0.5</v>
      </c>
      <c r="AW392" s="15">
        <v>2.7</v>
      </c>
      <c r="AX392" s="15">
        <v>2.4</v>
      </c>
      <c r="AY392" s="15">
        <v>2</v>
      </c>
      <c r="AZ392" s="15">
        <v>850</v>
      </c>
      <c r="BA392" s="15">
        <v>2200</v>
      </c>
      <c r="BB392" s="15" t="s">
        <v>188</v>
      </c>
      <c r="BC392" s="15" t="s">
        <v>199</v>
      </c>
      <c r="BD392" s="15" t="s">
        <v>199</v>
      </c>
      <c r="BE392" s="1">
        <v>18000</v>
      </c>
      <c r="BF392" s="1">
        <v>120000</v>
      </c>
      <c r="BG392" s="1">
        <v>20000</v>
      </c>
      <c r="BH392" s="1">
        <v>120000</v>
      </c>
      <c r="BI392" s="1" t="s">
        <v>193</v>
      </c>
      <c r="BJ392" s="15"/>
      <c r="BK392" s="15" t="s">
        <v>188</v>
      </c>
      <c r="BL392" s="15"/>
      <c r="BM392" s="15"/>
      <c r="BN392" s="15" t="s">
        <v>188</v>
      </c>
      <c r="BO392" s="15"/>
      <c r="BP392" s="15"/>
      <c r="BQ392" s="15"/>
      <c r="BR392" s="15"/>
      <c r="BS392" s="2"/>
      <c r="BT392" s="15"/>
      <c r="BU392" s="15"/>
      <c r="BV392" s="15" t="s">
        <v>188</v>
      </c>
      <c r="BW392" s="15"/>
      <c r="BX392" s="15">
        <v>1</v>
      </c>
      <c r="BY392" s="15">
        <v>3</v>
      </c>
      <c r="BZ392" s="15">
        <v>2</v>
      </c>
      <c r="CA392" s="15"/>
      <c r="CB392" s="15" t="s">
        <v>188</v>
      </c>
      <c r="CC392" s="15"/>
      <c r="CD392" s="15"/>
      <c r="CE392" s="15"/>
      <c r="CF392" s="15"/>
      <c r="CG392" s="15"/>
      <c r="CH392" s="15"/>
      <c r="CI392" s="15"/>
      <c r="CJ392" s="15"/>
      <c r="CK392" s="15" t="s">
        <v>188</v>
      </c>
      <c r="CL392" s="15"/>
      <c r="CM392" s="15"/>
      <c r="CN392" s="15"/>
      <c r="CO392" s="15"/>
      <c r="CP392" s="15" t="s">
        <v>193</v>
      </c>
      <c r="CQ392" s="15" t="s">
        <v>193</v>
      </c>
      <c r="CR392" s="15" t="s">
        <v>188</v>
      </c>
      <c r="CS392" s="15"/>
      <c r="CT392" s="15"/>
      <c r="CU392" s="15"/>
      <c r="CV392" s="15"/>
      <c r="CW392" s="15"/>
      <c r="CX392" s="15" t="s">
        <v>188</v>
      </c>
      <c r="CY392" s="15" t="s">
        <v>188</v>
      </c>
      <c r="CZ392" s="3"/>
      <c r="DA392" s="49"/>
      <c r="DC392" s="18">
        <f t="shared" ref="DC392:DC455" si="18">IF(AX392&gt;AW392,1,0)</f>
        <v>0</v>
      </c>
      <c r="DD392" s="18">
        <f t="shared" ref="DD392:DD455" si="19">IF(E392="X",1,(IF(F392="X",2,(IF(G392="X",3,7)))))</f>
        <v>7</v>
      </c>
      <c r="DE392" s="18">
        <f t="shared" ref="DE392:DE455" si="20">IF(AS392&gt;AH392,AS392,AH392)</f>
        <v>2007</v>
      </c>
    </row>
    <row r="393" spans="1:109" x14ac:dyDescent="0.25">
      <c r="A393" s="59" t="s">
        <v>1319</v>
      </c>
      <c r="B393" s="103">
        <v>41550</v>
      </c>
      <c r="C393" s="106" t="s">
        <v>1583</v>
      </c>
      <c r="D393" s="14" t="s">
        <v>960</v>
      </c>
      <c r="E393" s="15"/>
      <c r="F393" s="15" t="s">
        <v>188</v>
      </c>
      <c r="G393" s="15"/>
      <c r="H393" s="15"/>
      <c r="I393" s="15">
        <v>31</v>
      </c>
      <c r="J393" s="15" t="s">
        <v>189</v>
      </c>
      <c r="K393" s="15" t="s">
        <v>190</v>
      </c>
      <c r="L393" s="15" t="s">
        <v>991</v>
      </c>
      <c r="M393" s="15" t="s">
        <v>1162</v>
      </c>
      <c r="N393" s="15" t="s">
        <v>1133</v>
      </c>
      <c r="O393" s="15">
        <v>8</v>
      </c>
      <c r="P393" s="15"/>
      <c r="Q393" s="15"/>
      <c r="R393" s="15"/>
      <c r="S393" s="15" t="s">
        <v>188</v>
      </c>
      <c r="T393" s="15"/>
      <c r="U393" s="15"/>
      <c r="V393" s="15"/>
      <c r="W393" s="15" t="s">
        <v>188</v>
      </c>
      <c r="X393" s="15"/>
      <c r="Y393" s="15"/>
      <c r="Z393" s="15"/>
      <c r="AA393" s="15"/>
      <c r="AB393" s="15"/>
      <c r="AC393" s="15"/>
      <c r="AD393" s="15"/>
      <c r="AE393" s="15"/>
      <c r="AF393" s="15" t="s">
        <v>188</v>
      </c>
      <c r="AG393" s="15"/>
      <c r="AH393" s="15">
        <v>2005</v>
      </c>
      <c r="AI393" s="1">
        <v>771802</v>
      </c>
      <c r="AJ393" s="15"/>
      <c r="AK393" s="15"/>
      <c r="AL393" s="15" t="s">
        <v>188</v>
      </c>
      <c r="AM393" s="15"/>
      <c r="AN393" s="15"/>
      <c r="AO393" s="15"/>
      <c r="AP393" s="15" t="s">
        <v>188</v>
      </c>
      <c r="AQ393" s="15"/>
      <c r="AR393" s="15"/>
      <c r="AS393" s="15"/>
      <c r="AT393" s="15" t="s">
        <v>266</v>
      </c>
      <c r="AU393" s="1">
        <v>9000</v>
      </c>
      <c r="AV393" s="48">
        <v>0.5</v>
      </c>
      <c r="AW393" s="15">
        <v>2.7</v>
      </c>
      <c r="AX393" s="15">
        <v>2.2999999999999998</v>
      </c>
      <c r="AY393" s="15">
        <v>2</v>
      </c>
      <c r="AZ393" s="15">
        <v>880</v>
      </c>
      <c r="BA393" s="15">
        <v>2300</v>
      </c>
      <c r="BB393" s="15" t="s">
        <v>188</v>
      </c>
      <c r="BC393" s="15" t="s">
        <v>199</v>
      </c>
      <c r="BD393" s="15" t="s">
        <v>199</v>
      </c>
      <c r="BE393" s="1">
        <v>18000</v>
      </c>
      <c r="BF393" s="1">
        <v>150000</v>
      </c>
      <c r="BG393" s="1">
        <v>24000</v>
      </c>
      <c r="BH393" s="1">
        <v>100000</v>
      </c>
      <c r="BI393" s="1" t="s">
        <v>193</v>
      </c>
      <c r="BJ393" s="15" t="s">
        <v>188</v>
      </c>
      <c r="BK393" s="15"/>
      <c r="BL393" s="15"/>
      <c r="BM393" s="15"/>
      <c r="BN393" s="15"/>
      <c r="BO393" s="15" t="s">
        <v>188</v>
      </c>
      <c r="BP393" s="15"/>
      <c r="BQ393" s="15"/>
      <c r="BR393" s="15"/>
      <c r="BS393" s="2"/>
      <c r="BT393" s="15"/>
      <c r="BU393" s="15" t="s">
        <v>188</v>
      </c>
      <c r="BV393" s="15"/>
      <c r="BW393" s="15"/>
      <c r="BX393" s="15">
        <v>3</v>
      </c>
      <c r="BY393" s="15">
        <v>2</v>
      </c>
      <c r="BZ393" s="15">
        <v>1</v>
      </c>
      <c r="CA393" s="15"/>
      <c r="CB393" s="15" t="s">
        <v>188</v>
      </c>
      <c r="CC393" s="15"/>
      <c r="CD393" s="15"/>
      <c r="CE393" s="15"/>
      <c r="CF393" s="15"/>
      <c r="CG393" s="15"/>
      <c r="CH393" s="15"/>
      <c r="CI393" s="15"/>
      <c r="CJ393" s="15"/>
      <c r="CK393" s="15" t="s">
        <v>188</v>
      </c>
      <c r="CL393" s="15"/>
      <c r="CM393" s="15"/>
      <c r="CN393" s="15"/>
      <c r="CO393" s="15"/>
      <c r="CP393" s="15" t="s">
        <v>193</v>
      </c>
      <c r="CQ393" s="15" t="s">
        <v>193</v>
      </c>
      <c r="CR393" s="15" t="s">
        <v>188</v>
      </c>
      <c r="CS393" s="15"/>
      <c r="CT393" s="15"/>
      <c r="CU393" s="15"/>
      <c r="CV393" s="15"/>
      <c r="CW393" s="15"/>
      <c r="CX393" s="15" t="s">
        <v>188</v>
      </c>
      <c r="CY393" s="15"/>
      <c r="CZ393" s="3"/>
      <c r="DA393" s="49"/>
      <c r="DC393" s="18">
        <f t="shared" si="18"/>
        <v>0</v>
      </c>
      <c r="DD393" s="18">
        <f t="shared" si="19"/>
        <v>2</v>
      </c>
      <c r="DE393" s="18">
        <f t="shared" si="20"/>
        <v>2005</v>
      </c>
    </row>
    <row r="394" spans="1:109" x14ac:dyDescent="0.25">
      <c r="A394" s="59" t="s">
        <v>1319</v>
      </c>
      <c r="B394" s="103">
        <v>41550</v>
      </c>
      <c r="C394" s="106" t="s">
        <v>1583</v>
      </c>
      <c r="D394" s="14" t="s">
        <v>961</v>
      </c>
      <c r="E394" s="15" t="s">
        <v>188</v>
      </c>
      <c r="F394" s="15"/>
      <c r="G394" s="15"/>
      <c r="H394" s="15"/>
      <c r="I394" s="15">
        <v>60</v>
      </c>
      <c r="J394" s="15" t="s">
        <v>189</v>
      </c>
      <c r="K394" s="15" t="s">
        <v>445</v>
      </c>
      <c r="L394" s="15" t="s">
        <v>992</v>
      </c>
      <c r="M394" s="15" t="s">
        <v>1163</v>
      </c>
      <c r="N394" s="15" t="s">
        <v>1102</v>
      </c>
      <c r="O394" s="15">
        <v>40</v>
      </c>
      <c r="P394" s="15"/>
      <c r="Q394" s="15" t="s">
        <v>188</v>
      </c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 t="s">
        <v>188</v>
      </c>
      <c r="AG394" s="15"/>
      <c r="AH394" s="15">
        <v>2003</v>
      </c>
      <c r="AI394" s="1">
        <v>905673</v>
      </c>
      <c r="AJ394" s="15"/>
      <c r="AK394" s="15"/>
      <c r="AL394" s="15" t="s">
        <v>188</v>
      </c>
      <c r="AM394" s="15"/>
      <c r="AN394" s="15"/>
      <c r="AO394" s="15"/>
      <c r="AP394" s="15" t="s">
        <v>188</v>
      </c>
      <c r="AQ394" s="15"/>
      <c r="AR394" s="15"/>
      <c r="AS394" s="15"/>
      <c r="AT394" s="15" t="s">
        <v>322</v>
      </c>
      <c r="AU394" s="1">
        <v>8000</v>
      </c>
      <c r="AV394" s="48">
        <v>0.2</v>
      </c>
      <c r="AW394" s="15">
        <v>3.8</v>
      </c>
      <c r="AX394" s="15">
        <v>3.2</v>
      </c>
      <c r="AY394" s="15">
        <v>2</v>
      </c>
      <c r="AZ394" s="15">
        <v>800</v>
      </c>
      <c r="BA394" s="15">
        <v>2800</v>
      </c>
      <c r="BB394" s="15" t="s">
        <v>188</v>
      </c>
      <c r="BC394" s="15" t="s">
        <v>199</v>
      </c>
      <c r="BD394" s="15" t="s">
        <v>199</v>
      </c>
      <c r="BE394" s="1">
        <v>24000</v>
      </c>
      <c r="BF394" s="1">
        <v>150000</v>
      </c>
      <c r="BG394" s="1">
        <v>24000</v>
      </c>
      <c r="BH394" s="1">
        <v>150000</v>
      </c>
      <c r="BI394" s="1" t="s">
        <v>193</v>
      </c>
      <c r="BJ394" s="15" t="s">
        <v>188</v>
      </c>
      <c r="BK394" s="15" t="s">
        <v>188</v>
      </c>
      <c r="BL394" s="15"/>
      <c r="BM394" s="15"/>
      <c r="BN394" s="15"/>
      <c r="BO394" s="15" t="s">
        <v>188</v>
      </c>
      <c r="BP394" s="15"/>
      <c r="BQ394" s="15"/>
      <c r="BR394" s="15"/>
      <c r="BS394" s="2"/>
      <c r="BT394" s="15"/>
      <c r="BU394" s="15"/>
      <c r="BV394" s="15" t="s">
        <v>188</v>
      </c>
      <c r="BW394" s="15"/>
      <c r="BX394" s="15">
        <v>1</v>
      </c>
      <c r="BY394" s="15">
        <v>3</v>
      </c>
      <c r="BZ394" s="15">
        <v>2</v>
      </c>
      <c r="CA394" s="15"/>
      <c r="CB394" s="15" t="s">
        <v>188</v>
      </c>
      <c r="CC394" s="15"/>
      <c r="CD394" s="15"/>
      <c r="CE394" s="15"/>
      <c r="CF394" s="15"/>
      <c r="CG394" s="15"/>
      <c r="CH394" s="15"/>
      <c r="CI394" s="15"/>
      <c r="CJ394" s="15"/>
      <c r="CK394" s="15" t="s">
        <v>188</v>
      </c>
      <c r="CL394" s="15"/>
      <c r="CM394" s="15"/>
      <c r="CN394" s="15"/>
      <c r="CO394" s="15"/>
      <c r="CP394" s="15" t="s">
        <v>193</v>
      </c>
      <c r="CQ394" s="15" t="s">
        <v>193</v>
      </c>
      <c r="CR394" s="15" t="s">
        <v>188</v>
      </c>
      <c r="CS394" s="15"/>
      <c r="CT394" s="15"/>
      <c r="CU394" s="15"/>
      <c r="CV394" s="15"/>
      <c r="CW394" s="15"/>
      <c r="CX394" s="15" t="s">
        <v>188</v>
      </c>
      <c r="CY394" s="15" t="s">
        <v>188</v>
      </c>
      <c r="CZ394" s="3"/>
      <c r="DA394" s="49"/>
      <c r="DC394" s="18">
        <f t="shared" si="18"/>
        <v>0</v>
      </c>
      <c r="DD394" s="18">
        <f t="shared" si="19"/>
        <v>1</v>
      </c>
      <c r="DE394" s="18">
        <f t="shared" si="20"/>
        <v>2003</v>
      </c>
    </row>
    <row r="395" spans="1:109" x14ac:dyDescent="0.25">
      <c r="A395" s="59" t="s">
        <v>1319</v>
      </c>
      <c r="B395" s="103">
        <v>41550</v>
      </c>
      <c r="C395" s="106" t="s">
        <v>1583</v>
      </c>
      <c r="D395" s="14" t="s">
        <v>962</v>
      </c>
      <c r="E395" s="15" t="s">
        <v>188</v>
      </c>
      <c r="F395" s="15"/>
      <c r="G395" s="15"/>
      <c r="H395" s="15"/>
      <c r="I395" s="15">
        <v>46</v>
      </c>
      <c r="J395" s="15" t="s">
        <v>189</v>
      </c>
      <c r="K395" s="15" t="s">
        <v>240</v>
      </c>
      <c r="L395" s="15" t="s">
        <v>397</v>
      </c>
      <c r="M395" s="15" t="s">
        <v>1030</v>
      </c>
      <c r="N395" s="15" t="s">
        <v>1085</v>
      </c>
      <c r="O395" s="15">
        <v>27</v>
      </c>
      <c r="P395" s="15"/>
      <c r="Q395" s="15" t="s">
        <v>188</v>
      </c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 t="s">
        <v>188</v>
      </c>
      <c r="AG395" s="15"/>
      <c r="AH395" s="15">
        <v>1985</v>
      </c>
      <c r="AI395" s="1" t="s">
        <v>269</v>
      </c>
      <c r="AJ395" s="15"/>
      <c r="AK395" s="15"/>
      <c r="AL395" s="15" t="s">
        <v>188</v>
      </c>
      <c r="AM395" s="15"/>
      <c r="AN395" s="15"/>
      <c r="AO395" s="15" t="s">
        <v>188</v>
      </c>
      <c r="AP395" s="15"/>
      <c r="AQ395" s="15"/>
      <c r="AR395" s="15"/>
      <c r="AS395" s="15"/>
      <c r="AT395" s="15" t="s">
        <v>237</v>
      </c>
      <c r="AU395" s="1">
        <v>4800</v>
      </c>
      <c r="AV395" s="48">
        <v>0.1</v>
      </c>
      <c r="AW395" s="15">
        <v>3.4</v>
      </c>
      <c r="AX395" s="15">
        <v>3</v>
      </c>
      <c r="AY395" s="15">
        <v>2</v>
      </c>
      <c r="AZ395" s="15">
        <v>375</v>
      </c>
      <c r="BA395" s="15">
        <v>1200</v>
      </c>
      <c r="BB395" s="15" t="s">
        <v>199</v>
      </c>
      <c r="BC395" s="15" t="s">
        <v>199</v>
      </c>
      <c r="BD395" s="15" t="s">
        <v>199</v>
      </c>
      <c r="BE395" s="1">
        <v>20000</v>
      </c>
      <c r="BF395" s="1">
        <v>100000</v>
      </c>
      <c r="BG395" s="1">
        <v>20000</v>
      </c>
      <c r="BH395" s="1">
        <v>100000</v>
      </c>
      <c r="BI395" s="1" t="s">
        <v>193</v>
      </c>
      <c r="BJ395" s="15" t="s">
        <v>188</v>
      </c>
      <c r="BK395" s="15" t="s">
        <v>188</v>
      </c>
      <c r="BL395" s="15"/>
      <c r="BM395" s="15"/>
      <c r="BN395" s="15"/>
      <c r="BO395" s="15" t="s">
        <v>188</v>
      </c>
      <c r="BP395" s="15"/>
      <c r="BQ395" s="15"/>
      <c r="BR395" s="15"/>
      <c r="BS395" s="2"/>
      <c r="BT395" s="15"/>
      <c r="BU395" s="15" t="s">
        <v>188</v>
      </c>
      <c r="BV395" s="15"/>
      <c r="BW395" s="15"/>
      <c r="BX395" s="15">
        <v>2</v>
      </c>
      <c r="BY395" s="15">
        <v>3</v>
      </c>
      <c r="BZ395" s="15">
        <v>1</v>
      </c>
      <c r="CA395" s="15"/>
      <c r="CB395" s="15" t="s">
        <v>188</v>
      </c>
      <c r="CC395" s="15"/>
      <c r="CD395" s="15"/>
      <c r="CE395" s="15"/>
      <c r="CF395" s="15"/>
      <c r="CG395" s="15"/>
      <c r="CH395" s="15"/>
      <c r="CI395" s="15"/>
      <c r="CJ395" s="15"/>
      <c r="CK395" s="15" t="s">
        <v>188</v>
      </c>
      <c r="CL395" s="15"/>
      <c r="CM395" s="15"/>
      <c r="CN395" s="15"/>
      <c r="CO395" s="15"/>
      <c r="CP395" s="15" t="s">
        <v>193</v>
      </c>
      <c r="CQ395" s="15" t="s">
        <v>193</v>
      </c>
      <c r="CR395" s="15"/>
      <c r="CS395" s="15"/>
      <c r="CT395" s="15" t="s">
        <v>188</v>
      </c>
      <c r="CU395" s="15"/>
      <c r="CV395" s="15"/>
      <c r="CW395" s="15"/>
      <c r="CX395" s="15" t="s">
        <v>188</v>
      </c>
      <c r="CY395" s="15"/>
      <c r="CZ395" s="3"/>
      <c r="DA395" s="49"/>
      <c r="DC395" s="18">
        <f t="shared" si="18"/>
        <v>0</v>
      </c>
      <c r="DD395" s="18">
        <f t="shared" si="19"/>
        <v>1</v>
      </c>
      <c r="DE395" s="18">
        <f t="shared" si="20"/>
        <v>1985</v>
      </c>
    </row>
    <row r="396" spans="1:109" x14ac:dyDescent="0.25">
      <c r="A396" s="59" t="s">
        <v>1319</v>
      </c>
      <c r="B396" s="103">
        <v>41550</v>
      </c>
      <c r="C396" s="106" t="s">
        <v>1583</v>
      </c>
      <c r="D396" s="14" t="s">
        <v>963</v>
      </c>
      <c r="E396" s="15"/>
      <c r="F396" s="15"/>
      <c r="G396" s="15" t="s">
        <v>188</v>
      </c>
      <c r="H396" s="15"/>
      <c r="I396" s="15">
        <v>41</v>
      </c>
      <c r="J396" s="15" t="s">
        <v>189</v>
      </c>
      <c r="K396" s="15" t="s">
        <v>196</v>
      </c>
      <c r="L396" s="15" t="s">
        <v>641</v>
      </c>
      <c r="M396" s="15" t="s">
        <v>1068</v>
      </c>
      <c r="N396" s="15" t="s">
        <v>1066</v>
      </c>
      <c r="O396" s="15">
        <v>21</v>
      </c>
      <c r="P396" s="15"/>
      <c r="Q396" s="15"/>
      <c r="R396" s="15"/>
      <c r="S396" s="15" t="s">
        <v>188</v>
      </c>
      <c r="T396" s="15"/>
      <c r="U396" s="15" t="s">
        <v>188</v>
      </c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>
        <v>2006</v>
      </c>
      <c r="AI396" s="1">
        <v>683499</v>
      </c>
      <c r="AJ396" s="15"/>
      <c r="AK396" s="15"/>
      <c r="AL396" s="15" t="s">
        <v>188</v>
      </c>
      <c r="AM396" s="15"/>
      <c r="AN396" s="15"/>
      <c r="AO396" s="15"/>
      <c r="AP396" s="15" t="s">
        <v>188</v>
      </c>
      <c r="AQ396" s="15"/>
      <c r="AR396" s="15"/>
      <c r="AS396" s="15"/>
      <c r="AT396" s="15" t="s">
        <v>266</v>
      </c>
      <c r="AU396" s="1">
        <v>6000</v>
      </c>
      <c r="AV396" s="48">
        <v>0.5</v>
      </c>
      <c r="AW396" s="15">
        <v>2.8</v>
      </c>
      <c r="AX396" s="15">
        <v>2.5</v>
      </c>
      <c r="AY396" s="15">
        <v>2</v>
      </c>
      <c r="AZ396" s="15">
        <v>880</v>
      </c>
      <c r="BA396" s="15">
        <v>2300</v>
      </c>
      <c r="BB396" s="15" t="s">
        <v>188</v>
      </c>
      <c r="BC396" s="15" t="s">
        <v>199</v>
      </c>
      <c r="BD396" s="15" t="s">
        <v>199</v>
      </c>
      <c r="BE396" s="1">
        <v>18000</v>
      </c>
      <c r="BF396" s="1">
        <v>150000</v>
      </c>
      <c r="BG396" s="1">
        <v>36000</v>
      </c>
      <c r="BH396" s="1">
        <v>15000</v>
      </c>
      <c r="BI396" s="1" t="s">
        <v>193</v>
      </c>
      <c r="BJ396" s="15" t="s">
        <v>188</v>
      </c>
      <c r="BK396" s="15" t="s">
        <v>188</v>
      </c>
      <c r="BL396" s="15"/>
      <c r="BM396" s="15" t="s">
        <v>188</v>
      </c>
      <c r="BN396" s="15" t="s">
        <v>188</v>
      </c>
      <c r="BO396" s="15" t="s">
        <v>188</v>
      </c>
      <c r="BP396" s="15" t="s">
        <v>188</v>
      </c>
      <c r="BQ396" s="15"/>
      <c r="BR396" s="15"/>
      <c r="BS396" s="2"/>
      <c r="BT396" s="15"/>
      <c r="BU396" s="15" t="s">
        <v>188</v>
      </c>
      <c r="BV396" s="15"/>
      <c r="BW396" s="15"/>
      <c r="BX396" s="15">
        <v>1</v>
      </c>
      <c r="BY396" s="15">
        <v>3</v>
      </c>
      <c r="BZ396" s="15">
        <v>2</v>
      </c>
      <c r="CA396" s="15"/>
      <c r="CB396" s="15" t="s">
        <v>188</v>
      </c>
      <c r="CC396" s="15"/>
      <c r="CD396" s="15"/>
      <c r="CE396" s="15"/>
      <c r="CF396" s="15"/>
      <c r="CG396" s="15"/>
      <c r="CH396" s="15"/>
      <c r="CI396" s="15"/>
      <c r="CJ396" s="15"/>
      <c r="CK396" s="15" t="s">
        <v>188</v>
      </c>
      <c r="CL396" s="15"/>
      <c r="CM396" s="15"/>
      <c r="CN396" s="15"/>
      <c r="CO396" s="15"/>
      <c r="CP396" s="15" t="s">
        <v>193</v>
      </c>
      <c r="CQ396" s="15" t="s">
        <v>193</v>
      </c>
      <c r="CR396" s="15" t="s">
        <v>188</v>
      </c>
      <c r="CS396" s="15"/>
      <c r="CT396" s="15"/>
      <c r="CU396" s="15"/>
      <c r="CV396" s="15"/>
      <c r="CW396" s="15"/>
      <c r="CX396" s="15" t="s">
        <v>188</v>
      </c>
      <c r="CY396" s="15"/>
      <c r="CZ396" s="3"/>
      <c r="DA396" s="49"/>
      <c r="DC396" s="18">
        <f t="shared" si="18"/>
        <v>0</v>
      </c>
      <c r="DD396" s="18">
        <f t="shared" si="19"/>
        <v>3</v>
      </c>
      <c r="DE396" s="18">
        <f t="shared" si="20"/>
        <v>2006</v>
      </c>
    </row>
    <row r="397" spans="1:109" x14ac:dyDescent="0.25">
      <c r="A397" s="59" t="s">
        <v>1319</v>
      </c>
      <c r="B397" s="103">
        <v>41550</v>
      </c>
      <c r="C397" s="106" t="s">
        <v>1583</v>
      </c>
      <c r="D397" s="14" t="s">
        <v>964</v>
      </c>
      <c r="E397" s="15"/>
      <c r="F397" s="15"/>
      <c r="G397" s="15"/>
      <c r="H397" s="15" t="s">
        <v>188</v>
      </c>
      <c r="I397" s="15">
        <v>53</v>
      </c>
      <c r="J397" s="15" t="s">
        <v>189</v>
      </c>
      <c r="K397" s="15" t="s">
        <v>196</v>
      </c>
      <c r="L397" s="15" t="s">
        <v>1244</v>
      </c>
      <c r="M397" s="15" t="s">
        <v>1137</v>
      </c>
      <c r="N397" s="15" t="s">
        <v>1133</v>
      </c>
      <c r="O397" s="15">
        <v>30</v>
      </c>
      <c r="P397" s="15"/>
      <c r="Q397" s="15"/>
      <c r="R397" s="15"/>
      <c r="S397" s="15" t="s">
        <v>188</v>
      </c>
      <c r="T397" s="15"/>
      <c r="U397" s="15" t="s">
        <v>188</v>
      </c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>
        <v>2007</v>
      </c>
      <c r="AI397" s="1">
        <v>583201</v>
      </c>
      <c r="AJ397" s="15"/>
      <c r="AK397" s="15"/>
      <c r="AL397" s="15" t="s">
        <v>188</v>
      </c>
      <c r="AM397" s="15"/>
      <c r="AN397" s="15"/>
      <c r="AO397" s="15"/>
      <c r="AP397" s="15" t="s">
        <v>188</v>
      </c>
      <c r="AQ397" s="15"/>
      <c r="AR397" s="15"/>
      <c r="AS397" s="15"/>
      <c r="AT397" s="15" t="s">
        <v>266</v>
      </c>
      <c r="AU397" s="1">
        <v>8000</v>
      </c>
      <c r="AV397" s="48">
        <v>0.5</v>
      </c>
      <c r="AW397" s="15">
        <v>2.8</v>
      </c>
      <c r="AX397" s="15">
        <v>2.5</v>
      </c>
      <c r="AY397" s="15">
        <v>3</v>
      </c>
      <c r="AZ397" s="15">
        <v>1100</v>
      </c>
      <c r="BA397" s="15">
        <v>3000</v>
      </c>
      <c r="BB397" s="15" t="s">
        <v>188</v>
      </c>
      <c r="BC397" s="15" t="s">
        <v>188</v>
      </c>
      <c r="BD397" s="15" t="s">
        <v>199</v>
      </c>
      <c r="BE397" s="1">
        <v>16000</v>
      </c>
      <c r="BF397" s="1">
        <v>120000</v>
      </c>
      <c r="BG397" s="1">
        <v>32000</v>
      </c>
      <c r="BH397" s="1">
        <v>120000</v>
      </c>
      <c r="BI397" s="1" t="s">
        <v>193</v>
      </c>
      <c r="BJ397" s="15"/>
      <c r="BK397" s="15" t="s">
        <v>188</v>
      </c>
      <c r="BL397" s="15"/>
      <c r="BM397" s="15" t="s">
        <v>188</v>
      </c>
      <c r="BN397" s="15" t="s">
        <v>188</v>
      </c>
      <c r="BO397" s="15"/>
      <c r="BP397" s="15" t="s">
        <v>188</v>
      </c>
      <c r="BQ397" s="15"/>
      <c r="BR397" s="15"/>
      <c r="BS397" s="2"/>
      <c r="BT397" s="15"/>
      <c r="BU397" s="15" t="s">
        <v>188</v>
      </c>
      <c r="BV397" s="15"/>
      <c r="BW397" s="15"/>
      <c r="BX397" s="15">
        <v>1</v>
      </c>
      <c r="BY397" s="15">
        <v>3</v>
      </c>
      <c r="BZ397" s="15">
        <v>2</v>
      </c>
      <c r="CA397" s="15"/>
      <c r="CB397" s="15" t="s">
        <v>188</v>
      </c>
      <c r="CC397" s="15"/>
      <c r="CD397" s="15"/>
      <c r="CE397" s="15"/>
      <c r="CF397" s="15"/>
      <c r="CG397" s="15"/>
      <c r="CH397" s="15"/>
      <c r="CI397" s="15"/>
      <c r="CJ397" s="15"/>
      <c r="CK397" s="15" t="s">
        <v>188</v>
      </c>
      <c r="CL397" s="15"/>
      <c r="CM397" s="15"/>
      <c r="CN397" s="15"/>
      <c r="CO397" s="15"/>
      <c r="CP397" s="15" t="s">
        <v>193</v>
      </c>
      <c r="CQ397" s="15" t="s">
        <v>193</v>
      </c>
      <c r="CR397" s="15"/>
      <c r="CS397" s="15"/>
      <c r="CT397" s="15" t="s">
        <v>188</v>
      </c>
      <c r="CU397" s="15"/>
      <c r="CV397" s="15"/>
      <c r="CW397" s="15"/>
      <c r="CX397" s="15" t="s">
        <v>188</v>
      </c>
      <c r="CY397" s="15"/>
      <c r="CZ397" s="3"/>
      <c r="DA397" s="49"/>
      <c r="DC397" s="18">
        <f t="shared" si="18"/>
        <v>0</v>
      </c>
      <c r="DD397" s="18">
        <f t="shared" si="19"/>
        <v>7</v>
      </c>
      <c r="DE397" s="18">
        <f t="shared" si="20"/>
        <v>2007</v>
      </c>
    </row>
    <row r="398" spans="1:109" x14ac:dyDescent="0.25">
      <c r="A398" s="59" t="s">
        <v>1319</v>
      </c>
      <c r="B398" s="103">
        <v>41550</v>
      </c>
      <c r="C398" s="106" t="s">
        <v>1583</v>
      </c>
      <c r="D398" s="14" t="s">
        <v>965</v>
      </c>
      <c r="E398" s="15" t="s">
        <v>188</v>
      </c>
      <c r="F398" s="15"/>
      <c r="G398" s="15"/>
      <c r="H398" s="15"/>
      <c r="I398" s="15">
        <v>44</v>
      </c>
      <c r="J398" s="15" t="s">
        <v>189</v>
      </c>
      <c r="K398" s="15" t="s">
        <v>190</v>
      </c>
      <c r="L398" s="15" t="s">
        <v>842</v>
      </c>
      <c r="M398" s="15" t="s">
        <v>1118</v>
      </c>
      <c r="N398" s="15" t="s">
        <v>1118</v>
      </c>
      <c r="O398" s="15">
        <v>21</v>
      </c>
      <c r="P398" s="15"/>
      <c r="Q398" s="15"/>
      <c r="R398" s="15"/>
      <c r="S398" s="15" t="s">
        <v>188</v>
      </c>
      <c r="T398" s="15"/>
      <c r="U398" s="15" t="s">
        <v>188</v>
      </c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>
        <v>2008</v>
      </c>
      <c r="AI398" s="1">
        <v>428635</v>
      </c>
      <c r="AJ398" s="15"/>
      <c r="AK398" s="15"/>
      <c r="AL398" s="15" t="s">
        <v>188</v>
      </c>
      <c r="AM398" s="15"/>
      <c r="AN398" s="15"/>
      <c r="AO398" s="15"/>
      <c r="AP398" s="15" t="s">
        <v>188</v>
      </c>
      <c r="AQ398" s="15"/>
      <c r="AR398" s="15"/>
      <c r="AS398" s="15"/>
      <c r="AT398" s="15" t="s">
        <v>322</v>
      </c>
      <c r="AU398" s="1">
        <v>10000</v>
      </c>
      <c r="AV398" s="48">
        <v>0.5</v>
      </c>
      <c r="AW398" s="15">
        <v>2.7</v>
      </c>
      <c r="AX398" s="15">
        <v>2.4</v>
      </c>
      <c r="AY398" s="15">
        <v>2</v>
      </c>
      <c r="AZ398" s="15">
        <v>850</v>
      </c>
      <c r="BA398" s="15">
        <v>2200</v>
      </c>
      <c r="BB398" s="15" t="s">
        <v>188</v>
      </c>
      <c r="BC398" s="15" t="s">
        <v>199</v>
      </c>
      <c r="BD398" s="15" t="s">
        <v>199</v>
      </c>
      <c r="BE398" s="1">
        <v>20000</v>
      </c>
      <c r="BF398" s="1">
        <v>180000</v>
      </c>
      <c r="BG398" s="1">
        <v>30000</v>
      </c>
      <c r="BH398" s="1">
        <v>120000</v>
      </c>
      <c r="BI398" s="1" t="s">
        <v>193</v>
      </c>
      <c r="BJ398" s="15" t="s">
        <v>188</v>
      </c>
      <c r="BK398" s="15"/>
      <c r="BL398" s="15"/>
      <c r="BM398" s="15"/>
      <c r="BN398" s="15"/>
      <c r="BO398" s="15"/>
      <c r="BP398" s="15"/>
      <c r="BQ398" s="15"/>
      <c r="BR398" s="15"/>
      <c r="BS398" s="2"/>
      <c r="BT398" s="15"/>
      <c r="BU398" s="15" t="s">
        <v>188</v>
      </c>
      <c r="BV398" s="15"/>
      <c r="BW398" s="15"/>
      <c r="BX398" s="15">
        <v>2</v>
      </c>
      <c r="BY398" s="15">
        <v>3</v>
      </c>
      <c r="BZ398" s="15">
        <v>1</v>
      </c>
      <c r="CA398" s="15"/>
      <c r="CB398" s="15" t="s">
        <v>188</v>
      </c>
      <c r="CC398" s="15"/>
      <c r="CD398" s="15"/>
      <c r="CE398" s="15"/>
      <c r="CF398" s="15"/>
      <c r="CG398" s="15"/>
      <c r="CH398" s="15"/>
      <c r="CI398" s="15"/>
      <c r="CJ398" s="15"/>
      <c r="CK398" s="15" t="s">
        <v>188</v>
      </c>
      <c r="CL398" s="15"/>
      <c r="CM398" s="15"/>
      <c r="CN398" s="15"/>
      <c r="CO398" s="15"/>
      <c r="CP398" s="15" t="s">
        <v>193</v>
      </c>
      <c r="CQ398" s="15" t="s">
        <v>193</v>
      </c>
      <c r="CR398" s="15" t="s">
        <v>188</v>
      </c>
      <c r="CS398" s="15"/>
      <c r="CT398" s="15"/>
      <c r="CU398" s="15"/>
      <c r="CV398" s="15" t="s">
        <v>188</v>
      </c>
      <c r="CW398" s="15" t="s">
        <v>270</v>
      </c>
      <c r="CX398" s="15"/>
      <c r="CY398" s="15"/>
      <c r="CZ398" s="3"/>
      <c r="DA398" s="49"/>
      <c r="DC398" s="18">
        <f t="shared" si="18"/>
        <v>0</v>
      </c>
      <c r="DD398" s="18">
        <f t="shared" si="19"/>
        <v>1</v>
      </c>
      <c r="DE398" s="18">
        <f t="shared" si="20"/>
        <v>2008</v>
      </c>
    </row>
    <row r="399" spans="1:109" x14ac:dyDescent="0.25">
      <c r="A399" s="59" t="s">
        <v>1319</v>
      </c>
      <c r="B399" s="103">
        <v>41550</v>
      </c>
      <c r="C399" s="106" t="s">
        <v>1583</v>
      </c>
      <c r="D399" s="14" t="s">
        <v>966</v>
      </c>
      <c r="E399" s="15" t="s">
        <v>188</v>
      </c>
      <c r="F399" s="15"/>
      <c r="G399" s="15"/>
      <c r="H399" s="15"/>
      <c r="I399" s="15">
        <v>30</v>
      </c>
      <c r="J399" s="15" t="s">
        <v>189</v>
      </c>
      <c r="K399" s="15" t="s">
        <v>190</v>
      </c>
      <c r="L399" s="15" t="s">
        <v>646</v>
      </c>
      <c r="M399" s="15" t="s">
        <v>1071</v>
      </c>
      <c r="N399" s="15" t="s">
        <v>1089</v>
      </c>
      <c r="O399" s="15">
        <v>10</v>
      </c>
      <c r="P399" s="15"/>
      <c r="Q399" s="15"/>
      <c r="R399" s="15"/>
      <c r="S399" s="15" t="s">
        <v>188</v>
      </c>
      <c r="T399" s="15"/>
      <c r="U399" s="15" t="s">
        <v>188</v>
      </c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>
        <v>2004</v>
      </c>
      <c r="AI399" s="1">
        <v>825200</v>
      </c>
      <c r="AJ399" s="15"/>
      <c r="AK399" s="15"/>
      <c r="AL399" s="15" t="s">
        <v>188</v>
      </c>
      <c r="AM399" s="15"/>
      <c r="AN399" s="15"/>
      <c r="AO399" s="15"/>
      <c r="AP399" s="15" t="s">
        <v>188</v>
      </c>
      <c r="AQ399" s="15"/>
      <c r="AR399" s="15"/>
      <c r="AS399" s="15"/>
      <c r="AT399" s="15" t="s">
        <v>266</v>
      </c>
      <c r="AU399" s="1">
        <v>10000</v>
      </c>
      <c r="AV399" s="48">
        <v>0.1</v>
      </c>
      <c r="AW399" s="15">
        <v>2.7</v>
      </c>
      <c r="AX399" s="15">
        <v>2.4</v>
      </c>
      <c r="AY399" s="15">
        <v>2</v>
      </c>
      <c r="AZ399" s="15">
        <v>850</v>
      </c>
      <c r="BA399" s="15">
        <v>2200</v>
      </c>
      <c r="BB399" s="15" t="s">
        <v>188</v>
      </c>
      <c r="BC399" s="15" t="s">
        <v>199</v>
      </c>
      <c r="BD399" s="15" t="s">
        <v>199</v>
      </c>
      <c r="BE399" s="1">
        <v>24000</v>
      </c>
      <c r="BF399" s="1">
        <v>200000</v>
      </c>
      <c r="BG399" s="1">
        <v>24000</v>
      </c>
      <c r="BH399" s="1">
        <v>100000</v>
      </c>
      <c r="BI399" s="1" t="s">
        <v>193</v>
      </c>
      <c r="BJ399" s="15" t="s">
        <v>188</v>
      </c>
      <c r="BK399" s="15" t="s">
        <v>188</v>
      </c>
      <c r="BL399" s="15"/>
      <c r="BM399" s="15"/>
      <c r="BN399" s="15" t="s">
        <v>188</v>
      </c>
      <c r="BO399" s="15"/>
      <c r="BP399" s="15"/>
      <c r="BQ399" s="15"/>
      <c r="BR399" s="15"/>
      <c r="BS399" s="2"/>
      <c r="BT399" s="15"/>
      <c r="BU399" s="15"/>
      <c r="BV399" s="15" t="s">
        <v>188</v>
      </c>
      <c r="BW399" s="15"/>
      <c r="BX399" s="15">
        <v>1</v>
      </c>
      <c r="BY399" s="15">
        <v>3</v>
      </c>
      <c r="BZ399" s="15">
        <v>2</v>
      </c>
      <c r="CA399" s="15"/>
      <c r="CB399" s="15" t="s">
        <v>188</v>
      </c>
      <c r="CC399" s="15"/>
      <c r="CD399" s="15"/>
      <c r="CE399" s="15"/>
      <c r="CF399" s="15"/>
      <c r="CG399" s="15"/>
      <c r="CH399" s="15"/>
      <c r="CI399" s="15"/>
      <c r="CJ399" s="15"/>
      <c r="CK399" s="15" t="s">
        <v>188</v>
      </c>
      <c r="CL399" s="15"/>
      <c r="CM399" s="15"/>
      <c r="CN399" s="15"/>
      <c r="CO399" s="15"/>
      <c r="CP399" s="15" t="s">
        <v>193</v>
      </c>
      <c r="CQ399" s="15" t="s">
        <v>193</v>
      </c>
      <c r="CR399" s="15" t="s">
        <v>188</v>
      </c>
      <c r="CS399" s="15"/>
      <c r="CT399" s="15"/>
      <c r="CU399" s="15"/>
      <c r="CV399" s="15" t="s">
        <v>188</v>
      </c>
      <c r="CW399" s="15" t="s">
        <v>599</v>
      </c>
      <c r="CX399" s="15"/>
      <c r="CY399" s="15"/>
      <c r="CZ399" s="3"/>
      <c r="DA399" s="49"/>
      <c r="DC399" s="18">
        <f t="shared" si="18"/>
        <v>0</v>
      </c>
      <c r="DD399" s="18">
        <f t="shared" si="19"/>
        <v>1</v>
      </c>
      <c r="DE399" s="18">
        <f t="shared" si="20"/>
        <v>2004</v>
      </c>
    </row>
    <row r="400" spans="1:109" x14ac:dyDescent="0.25">
      <c r="A400" s="59" t="s">
        <v>1319</v>
      </c>
      <c r="B400" s="103">
        <v>41550</v>
      </c>
      <c r="C400" s="106" t="s">
        <v>1583</v>
      </c>
      <c r="D400" s="14" t="s">
        <v>988</v>
      </c>
      <c r="E400" s="15"/>
      <c r="F400" s="15"/>
      <c r="G400" s="15"/>
      <c r="H400" s="15" t="s">
        <v>188</v>
      </c>
      <c r="I400" s="15">
        <v>42</v>
      </c>
      <c r="J400" s="15" t="s">
        <v>189</v>
      </c>
      <c r="K400" s="15" t="s">
        <v>190</v>
      </c>
      <c r="L400" s="15" t="s">
        <v>994</v>
      </c>
      <c r="M400" s="15" t="s">
        <v>1092</v>
      </c>
      <c r="N400" s="15" t="s">
        <v>1092</v>
      </c>
      <c r="O400" s="15">
        <v>18</v>
      </c>
      <c r="P400" s="15"/>
      <c r="Q400" s="15"/>
      <c r="R400" s="15"/>
      <c r="S400" s="15" t="s">
        <v>188</v>
      </c>
      <c r="T400" s="15"/>
      <c r="U400" s="15"/>
      <c r="V400" s="15" t="s">
        <v>188</v>
      </c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>
        <v>2008</v>
      </c>
      <c r="AI400" s="1">
        <v>558791</v>
      </c>
      <c r="AJ400" s="15"/>
      <c r="AK400" s="15"/>
      <c r="AL400" s="15" t="s">
        <v>188</v>
      </c>
      <c r="AM400" s="15"/>
      <c r="AN400" s="15"/>
      <c r="AO400" s="15"/>
      <c r="AP400" s="15" t="s">
        <v>188</v>
      </c>
      <c r="AQ400" s="15"/>
      <c r="AR400" s="15"/>
      <c r="AS400" s="15"/>
      <c r="AT400" s="15" t="s">
        <v>322</v>
      </c>
      <c r="AU400" s="1">
        <v>9000</v>
      </c>
      <c r="AV400" s="48">
        <v>0.1</v>
      </c>
      <c r="AW400" s="15">
        <v>2.8</v>
      </c>
      <c r="AX400" s="15">
        <v>2.5</v>
      </c>
      <c r="AY400" s="15">
        <v>2</v>
      </c>
      <c r="AZ400" s="15">
        <v>810</v>
      </c>
      <c r="BA400" s="15">
        <v>2200</v>
      </c>
      <c r="BB400" s="15" t="s">
        <v>188</v>
      </c>
      <c r="BC400" s="15" t="s">
        <v>188</v>
      </c>
      <c r="BD400" s="15" t="s">
        <v>199</v>
      </c>
      <c r="BE400" s="1">
        <v>18000</v>
      </c>
      <c r="BF400" s="1">
        <v>160000</v>
      </c>
      <c r="BG400" s="1">
        <v>18000</v>
      </c>
      <c r="BH400" s="1">
        <v>160000</v>
      </c>
      <c r="BI400" s="1" t="s">
        <v>193</v>
      </c>
      <c r="BJ400" s="15" t="s">
        <v>188</v>
      </c>
      <c r="BK400" s="15" t="s">
        <v>188</v>
      </c>
      <c r="BL400" s="15"/>
      <c r="BM400" s="15"/>
      <c r="BN400" s="15"/>
      <c r="BO400" s="15"/>
      <c r="BP400" s="15"/>
      <c r="BQ400" s="15" t="s">
        <v>188</v>
      </c>
      <c r="BR400" s="15"/>
      <c r="BS400" s="2"/>
      <c r="BT400" s="15"/>
      <c r="BU400" s="15" t="s">
        <v>188</v>
      </c>
      <c r="BV400" s="15"/>
      <c r="BW400" s="15"/>
      <c r="BX400" s="15">
        <v>1</v>
      </c>
      <c r="BY400" s="15">
        <v>3</v>
      </c>
      <c r="BZ400" s="15">
        <v>2</v>
      </c>
      <c r="CA400" s="15"/>
      <c r="CB400" s="15" t="s">
        <v>188</v>
      </c>
      <c r="CC400" s="15"/>
      <c r="CD400" s="15"/>
      <c r="CE400" s="15"/>
      <c r="CF400" s="15"/>
      <c r="CG400" s="15"/>
      <c r="CH400" s="15"/>
      <c r="CI400" s="15"/>
      <c r="CJ400" s="15"/>
      <c r="CK400" s="15" t="s">
        <v>188</v>
      </c>
      <c r="CL400" s="15"/>
      <c r="CM400" s="15"/>
      <c r="CN400" s="15"/>
      <c r="CO400" s="15"/>
      <c r="CP400" s="15" t="s">
        <v>193</v>
      </c>
      <c r="CQ400" s="15" t="s">
        <v>193</v>
      </c>
      <c r="CR400" s="15"/>
      <c r="CS400" s="15"/>
      <c r="CT400" s="15"/>
      <c r="CU400" s="15" t="s">
        <v>995</v>
      </c>
      <c r="CV400" s="15"/>
      <c r="CW400" s="15"/>
      <c r="CX400" s="15" t="s">
        <v>188</v>
      </c>
      <c r="CY400" s="15"/>
      <c r="CZ400" s="3"/>
      <c r="DA400" s="49"/>
      <c r="DC400" s="18">
        <f t="shared" si="18"/>
        <v>0</v>
      </c>
      <c r="DD400" s="18">
        <f t="shared" si="19"/>
        <v>7</v>
      </c>
      <c r="DE400" s="18">
        <f t="shared" si="20"/>
        <v>2008</v>
      </c>
    </row>
    <row r="401" spans="1:109" x14ac:dyDescent="0.25">
      <c r="A401" s="59" t="s">
        <v>1319</v>
      </c>
      <c r="B401" s="103">
        <v>41550</v>
      </c>
      <c r="C401" s="106" t="s">
        <v>1583</v>
      </c>
      <c r="D401" s="14" t="s">
        <v>989</v>
      </c>
      <c r="E401" s="15"/>
      <c r="F401" s="15" t="s">
        <v>188</v>
      </c>
      <c r="G401" s="15"/>
      <c r="H401" s="15"/>
      <c r="I401" s="15">
        <v>23</v>
      </c>
      <c r="J401" s="15" t="s">
        <v>189</v>
      </c>
      <c r="K401" s="15" t="s">
        <v>214</v>
      </c>
      <c r="L401" s="15" t="s">
        <v>637</v>
      </c>
      <c r="M401" s="15" t="s">
        <v>1066</v>
      </c>
      <c r="N401" s="15" t="s">
        <v>1066</v>
      </c>
      <c r="O401" s="15">
        <v>3</v>
      </c>
      <c r="P401" s="15"/>
      <c r="Q401" s="15"/>
      <c r="R401" s="15"/>
      <c r="S401" s="15" t="s">
        <v>188</v>
      </c>
      <c r="T401" s="15"/>
      <c r="U401" s="15" t="s">
        <v>188</v>
      </c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>
        <v>2001</v>
      </c>
      <c r="AI401" s="1">
        <v>857620</v>
      </c>
      <c r="AJ401" s="15"/>
      <c r="AK401" s="15"/>
      <c r="AL401" s="15" t="s">
        <v>188</v>
      </c>
      <c r="AM401" s="15"/>
      <c r="AN401" s="15"/>
      <c r="AO401" s="15"/>
      <c r="AP401" s="15" t="s">
        <v>188</v>
      </c>
      <c r="AQ401" s="15"/>
      <c r="AR401" s="15"/>
      <c r="AS401" s="15"/>
      <c r="AT401" s="15" t="s">
        <v>322</v>
      </c>
      <c r="AU401" s="1">
        <v>8000</v>
      </c>
      <c r="AV401" s="48">
        <v>0.2</v>
      </c>
      <c r="AW401" s="15">
        <v>2.8</v>
      </c>
      <c r="AX401" s="15">
        <v>2.4</v>
      </c>
      <c r="AY401" s="15">
        <v>3</v>
      </c>
      <c r="AZ401" s="15">
        <v>1100</v>
      </c>
      <c r="BA401" s="15">
        <v>2800</v>
      </c>
      <c r="BB401" s="15" t="s">
        <v>188</v>
      </c>
      <c r="BC401" s="15" t="s">
        <v>199</v>
      </c>
      <c r="BD401" s="15" t="s">
        <v>199</v>
      </c>
      <c r="BE401" s="1">
        <v>16000</v>
      </c>
      <c r="BF401" s="1">
        <v>200000</v>
      </c>
      <c r="BG401" s="1">
        <v>24000</v>
      </c>
      <c r="BH401" s="1">
        <v>100000</v>
      </c>
      <c r="BI401" s="1" t="s">
        <v>193</v>
      </c>
      <c r="BJ401" s="15" t="s">
        <v>188</v>
      </c>
      <c r="BK401" s="15" t="s">
        <v>188</v>
      </c>
      <c r="BL401" s="15"/>
      <c r="BM401" s="15" t="s">
        <v>188</v>
      </c>
      <c r="BN401" s="15" t="s">
        <v>188</v>
      </c>
      <c r="BO401" s="15"/>
      <c r="BP401" s="15" t="s">
        <v>188</v>
      </c>
      <c r="BQ401" s="15"/>
      <c r="BR401" s="15"/>
      <c r="BS401" s="2"/>
      <c r="BT401" s="15"/>
      <c r="BU401" s="15" t="s">
        <v>188</v>
      </c>
      <c r="BV401" s="15"/>
      <c r="BW401" s="15"/>
      <c r="BX401" s="15">
        <v>2</v>
      </c>
      <c r="BY401" s="15">
        <v>1</v>
      </c>
      <c r="BZ401" s="15">
        <v>3</v>
      </c>
      <c r="CA401" s="15"/>
      <c r="CB401" s="15" t="s">
        <v>188</v>
      </c>
      <c r="CC401" s="15"/>
      <c r="CD401" s="15"/>
      <c r="CE401" s="15"/>
      <c r="CF401" s="15"/>
      <c r="CG401" s="15"/>
      <c r="CH401" s="15"/>
      <c r="CI401" s="15"/>
      <c r="CJ401" s="15"/>
      <c r="CK401" s="15" t="s">
        <v>188</v>
      </c>
      <c r="CL401" s="15"/>
      <c r="CM401" s="15"/>
      <c r="CN401" s="15"/>
      <c r="CO401" s="15"/>
      <c r="CP401" s="15" t="s">
        <v>193</v>
      </c>
      <c r="CQ401" s="15" t="s">
        <v>193</v>
      </c>
      <c r="CR401" s="15" t="s">
        <v>188</v>
      </c>
      <c r="CS401" s="15"/>
      <c r="CT401" s="15"/>
      <c r="CU401" s="15"/>
      <c r="CV401" s="15"/>
      <c r="CW401" s="15"/>
      <c r="CX401" s="15" t="s">
        <v>188</v>
      </c>
      <c r="CY401" s="15" t="s">
        <v>188</v>
      </c>
      <c r="CZ401" s="3"/>
      <c r="DA401" s="49"/>
      <c r="DC401" s="18">
        <f t="shared" si="18"/>
        <v>0</v>
      </c>
      <c r="DD401" s="18">
        <f t="shared" si="19"/>
        <v>2</v>
      </c>
      <c r="DE401" s="18">
        <f t="shared" si="20"/>
        <v>2001</v>
      </c>
    </row>
    <row r="402" spans="1:109" x14ac:dyDescent="0.25">
      <c r="A402" s="59" t="s">
        <v>1319</v>
      </c>
      <c r="B402" s="103">
        <v>41550</v>
      </c>
      <c r="C402" s="106" t="s">
        <v>1583</v>
      </c>
      <c r="D402" s="14" t="s">
        <v>993</v>
      </c>
      <c r="E402" s="15" t="s">
        <v>188</v>
      </c>
      <c r="F402" s="15"/>
      <c r="G402" s="15"/>
      <c r="H402" s="15"/>
      <c r="I402" s="15">
        <v>47</v>
      </c>
      <c r="J402" s="15" t="s">
        <v>189</v>
      </c>
      <c r="K402" s="15" t="s">
        <v>214</v>
      </c>
      <c r="L402" s="15" t="s">
        <v>591</v>
      </c>
      <c r="M402" s="15" t="s">
        <v>1058</v>
      </c>
      <c r="N402" s="15" t="s">
        <v>1085</v>
      </c>
      <c r="O402" s="15">
        <v>15</v>
      </c>
      <c r="P402" s="15"/>
      <c r="Q402" s="15"/>
      <c r="R402" s="15"/>
      <c r="S402" s="15" t="s">
        <v>188</v>
      </c>
      <c r="T402" s="15"/>
      <c r="U402" s="15" t="s">
        <v>188</v>
      </c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>
        <v>2005</v>
      </c>
      <c r="AI402" s="1">
        <v>615724</v>
      </c>
      <c r="AJ402" s="15"/>
      <c r="AK402" s="15"/>
      <c r="AL402" s="15" t="s">
        <v>188</v>
      </c>
      <c r="AM402" s="15"/>
      <c r="AN402" s="15"/>
      <c r="AO402" s="15"/>
      <c r="AP402" s="15" t="s">
        <v>188</v>
      </c>
      <c r="AQ402" s="15"/>
      <c r="AR402" s="15"/>
      <c r="AS402" s="15"/>
      <c r="AT402" s="15" t="s">
        <v>266</v>
      </c>
      <c r="AU402" s="1">
        <v>8000</v>
      </c>
      <c r="AV402" s="48">
        <v>0.1</v>
      </c>
      <c r="AW402" s="15">
        <v>2.8</v>
      </c>
      <c r="AX402" s="15">
        <v>2.5</v>
      </c>
      <c r="AY402" s="15">
        <v>2</v>
      </c>
      <c r="AZ402" s="15">
        <v>850</v>
      </c>
      <c r="BA402" s="15">
        <v>2200</v>
      </c>
      <c r="BB402" s="15" t="s">
        <v>188</v>
      </c>
      <c r="BC402" s="15" t="s">
        <v>199</v>
      </c>
      <c r="BD402" s="15" t="s">
        <v>199</v>
      </c>
      <c r="BE402" s="1">
        <v>20000</v>
      </c>
      <c r="BF402" s="1">
        <v>120000</v>
      </c>
      <c r="BG402" s="1">
        <v>20000</v>
      </c>
      <c r="BH402" s="1">
        <v>120000</v>
      </c>
      <c r="BI402" s="1" t="s">
        <v>193</v>
      </c>
      <c r="BJ402" s="15"/>
      <c r="BK402" s="15" t="s">
        <v>188</v>
      </c>
      <c r="BL402" s="15"/>
      <c r="BM402" s="15"/>
      <c r="BN402" s="15" t="s">
        <v>188</v>
      </c>
      <c r="BO402" s="15"/>
      <c r="BP402" s="15" t="s">
        <v>188</v>
      </c>
      <c r="BQ402" s="15"/>
      <c r="BR402" s="15"/>
      <c r="BS402" s="2"/>
      <c r="BT402" s="15"/>
      <c r="BU402" s="15" t="s">
        <v>188</v>
      </c>
      <c r="BV402" s="15"/>
      <c r="BW402" s="15"/>
      <c r="BX402" s="15">
        <v>1</v>
      </c>
      <c r="BY402" s="15">
        <v>3</v>
      </c>
      <c r="BZ402" s="15">
        <v>2</v>
      </c>
      <c r="CA402" s="15"/>
      <c r="CB402" s="15" t="s">
        <v>188</v>
      </c>
      <c r="CC402" s="15"/>
      <c r="CD402" s="15"/>
      <c r="CE402" s="15"/>
      <c r="CF402" s="15"/>
      <c r="CG402" s="15"/>
      <c r="CH402" s="15"/>
      <c r="CI402" s="15"/>
      <c r="CJ402" s="15"/>
      <c r="CK402" s="15" t="s">
        <v>188</v>
      </c>
      <c r="CL402" s="15"/>
      <c r="CM402" s="15"/>
      <c r="CN402" s="15"/>
      <c r="CO402" s="15"/>
      <c r="CP402" s="15" t="s">
        <v>193</v>
      </c>
      <c r="CQ402" s="15" t="s">
        <v>193</v>
      </c>
      <c r="CR402" s="15" t="s">
        <v>188</v>
      </c>
      <c r="CS402" s="15"/>
      <c r="CT402" s="15"/>
      <c r="CU402" s="15"/>
      <c r="CV402" s="15"/>
      <c r="CW402" s="15"/>
      <c r="CX402" s="15" t="s">
        <v>188</v>
      </c>
      <c r="CY402" s="15" t="s">
        <v>188</v>
      </c>
      <c r="CZ402" s="3"/>
      <c r="DA402" s="49"/>
      <c r="DC402" s="18">
        <f t="shared" si="18"/>
        <v>0</v>
      </c>
      <c r="DD402" s="18">
        <f t="shared" si="19"/>
        <v>1</v>
      </c>
      <c r="DE402" s="18">
        <f t="shared" si="20"/>
        <v>2005</v>
      </c>
    </row>
    <row r="403" spans="1:109" x14ac:dyDescent="0.25">
      <c r="A403" s="59" t="s">
        <v>1319</v>
      </c>
      <c r="B403" s="103">
        <v>41550</v>
      </c>
      <c r="C403" s="106" t="s">
        <v>1583</v>
      </c>
      <c r="D403" s="14" t="s">
        <v>1001</v>
      </c>
      <c r="E403" s="15"/>
      <c r="F403" s="15" t="s">
        <v>188</v>
      </c>
      <c r="G403" s="15"/>
      <c r="H403" s="15"/>
      <c r="I403" s="15">
        <v>42</v>
      </c>
      <c r="J403" s="15" t="s">
        <v>189</v>
      </c>
      <c r="K403" s="15" t="s">
        <v>196</v>
      </c>
      <c r="L403" s="15" t="s">
        <v>595</v>
      </c>
      <c r="M403" s="15" t="s">
        <v>1061</v>
      </c>
      <c r="N403" s="15" t="s">
        <v>1085</v>
      </c>
      <c r="O403" s="15">
        <v>15</v>
      </c>
      <c r="P403" s="15"/>
      <c r="Q403" s="15" t="s">
        <v>188</v>
      </c>
      <c r="R403" s="15"/>
      <c r="S403" s="15"/>
      <c r="T403" s="15"/>
      <c r="U403" s="15" t="s">
        <v>188</v>
      </c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>
        <v>2001</v>
      </c>
      <c r="AI403" s="1">
        <v>1200000</v>
      </c>
      <c r="AJ403" s="15"/>
      <c r="AK403" s="15"/>
      <c r="AL403" s="15" t="s">
        <v>188</v>
      </c>
      <c r="AM403" s="15"/>
      <c r="AN403" s="15"/>
      <c r="AO403" s="15" t="s">
        <v>188</v>
      </c>
      <c r="AP403" s="15"/>
      <c r="AQ403" s="15"/>
      <c r="AR403" s="15"/>
      <c r="AS403" s="15"/>
      <c r="AT403" s="15" t="s">
        <v>237</v>
      </c>
      <c r="AU403" s="1">
        <v>20000</v>
      </c>
      <c r="AV403" s="48">
        <v>0.25</v>
      </c>
      <c r="AW403" s="15">
        <v>2.6</v>
      </c>
      <c r="AX403" s="15">
        <v>2.2000000000000002</v>
      </c>
      <c r="AY403" s="15">
        <v>2</v>
      </c>
      <c r="AZ403" s="15">
        <v>1000</v>
      </c>
      <c r="BA403" s="15">
        <v>2500</v>
      </c>
      <c r="BB403" s="15" t="s">
        <v>188</v>
      </c>
      <c r="BC403" s="15" t="s">
        <v>188</v>
      </c>
      <c r="BD403" s="15" t="s">
        <v>199</v>
      </c>
      <c r="BE403" s="1">
        <v>20000</v>
      </c>
      <c r="BF403" s="1">
        <v>40000</v>
      </c>
      <c r="BG403" s="1">
        <v>30000</v>
      </c>
      <c r="BH403" s="1">
        <v>90000</v>
      </c>
      <c r="BI403" s="1">
        <v>30000</v>
      </c>
      <c r="BJ403" s="15"/>
      <c r="BK403" s="15"/>
      <c r="BL403" s="15"/>
      <c r="BM403" s="15"/>
      <c r="BN403" s="15"/>
      <c r="BO403" s="15"/>
      <c r="BP403" s="15"/>
      <c r="BQ403" s="15"/>
      <c r="BR403" s="15"/>
      <c r="BS403" s="2" t="s">
        <v>314</v>
      </c>
      <c r="BT403" s="15"/>
      <c r="BU403" s="15"/>
      <c r="BV403" s="15" t="s">
        <v>188</v>
      </c>
      <c r="BW403" s="15"/>
      <c r="BX403" s="15">
        <v>3</v>
      </c>
      <c r="BY403" s="15">
        <v>1</v>
      </c>
      <c r="BZ403" s="15">
        <v>2</v>
      </c>
      <c r="CA403" s="15"/>
      <c r="CB403" s="15" t="s">
        <v>188</v>
      </c>
      <c r="CC403" s="15"/>
      <c r="CD403" s="15"/>
      <c r="CE403" s="15"/>
      <c r="CF403" s="15"/>
      <c r="CG403" s="15"/>
      <c r="CH403" s="15"/>
      <c r="CI403" s="15"/>
      <c r="CJ403" s="15"/>
      <c r="CK403" s="15" t="s">
        <v>188</v>
      </c>
      <c r="CL403" s="15"/>
      <c r="CM403" s="15"/>
      <c r="CN403" s="15"/>
      <c r="CO403" s="15"/>
      <c r="CP403" s="15" t="s">
        <v>193</v>
      </c>
      <c r="CQ403" s="15" t="s">
        <v>193</v>
      </c>
      <c r="CR403" s="15" t="s">
        <v>188</v>
      </c>
      <c r="CS403" s="15"/>
      <c r="CT403" s="15"/>
      <c r="CU403" s="15"/>
      <c r="CV403" s="15"/>
      <c r="CW403" s="15"/>
      <c r="CX403" s="15" t="s">
        <v>188</v>
      </c>
      <c r="CY403" s="15" t="s">
        <v>188</v>
      </c>
      <c r="CZ403" s="3"/>
      <c r="DA403" s="49"/>
      <c r="DC403" s="18">
        <f t="shared" si="18"/>
        <v>0</v>
      </c>
      <c r="DD403" s="18">
        <f t="shared" si="19"/>
        <v>2</v>
      </c>
      <c r="DE403" s="18">
        <f t="shared" si="20"/>
        <v>2001</v>
      </c>
    </row>
    <row r="404" spans="1:109" x14ac:dyDescent="0.25">
      <c r="A404" s="60" t="s">
        <v>1322</v>
      </c>
      <c r="B404" s="103">
        <v>41576</v>
      </c>
      <c r="C404" s="106" t="s">
        <v>1572</v>
      </c>
      <c r="D404" s="14" t="s">
        <v>1178</v>
      </c>
      <c r="E404" s="15"/>
      <c r="F404" s="15"/>
      <c r="G404" s="15" t="s">
        <v>188</v>
      </c>
      <c r="H404" s="15"/>
      <c r="I404" s="15">
        <v>36</v>
      </c>
      <c r="J404" s="15" t="s">
        <v>189</v>
      </c>
      <c r="K404" s="15" t="s">
        <v>190</v>
      </c>
      <c r="L404" s="15" t="s">
        <v>842</v>
      </c>
      <c r="M404" s="15" t="s">
        <v>1118</v>
      </c>
      <c r="N404" s="15" t="s">
        <v>1118</v>
      </c>
      <c r="O404" s="15">
        <v>10</v>
      </c>
      <c r="P404" s="15"/>
      <c r="Q404" s="15"/>
      <c r="R404" s="15"/>
      <c r="S404" s="15" t="s">
        <v>188</v>
      </c>
      <c r="T404" s="15"/>
      <c r="U404" s="15" t="s">
        <v>188</v>
      </c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>
        <v>2003</v>
      </c>
      <c r="AI404" s="1">
        <v>973591</v>
      </c>
      <c r="AJ404" s="15"/>
      <c r="AK404" s="15"/>
      <c r="AL404" s="15" t="s">
        <v>188</v>
      </c>
      <c r="AM404" s="15"/>
      <c r="AN404" s="15"/>
      <c r="AO404" s="15" t="s">
        <v>188</v>
      </c>
      <c r="AP404" s="15"/>
      <c r="AQ404" s="15"/>
      <c r="AR404" s="15"/>
      <c r="AS404" s="15"/>
      <c r="AT404" s="15" t="s">
        <v>322</v>
      </c>
      <c r="AU404" s="1">
        <v>10000</v>
      </c>
      <c r="AV404" s="48">
        <v>0.5</v>
      </c>
      <c r="AW404" s="15">
        <v>2.7</v>
      </c>
      <c r="AX404" s="15">
        <v>2.4</v>
      </c>
      <c r="AY404" s="15">
        <v>2</v>
      </c>
      <c r="AZ404" s="15">
        <v>830</v>
      </c>
      <c r="BA404" s="15">
        <v>2150</v>
      </c>
      <c r="BB404" s="15" t="s">
        <v>188</v>
      </c>
      <c r="BC404" s="15" t="s">
        <v>199</v>
      </c>
      <c r="BD404" s="15" t="s">
        <v>199</v>
      </c>
      <c r="BE404" s="1">
        <v>22000</v>
      </c>
      <c r="BF404" s="1" t="s">
        <v>193</v>
      </c>
      <c r="BG404" s="1">
        <v>44000</v>
      </c>
      <c r="BH404" s="1" t="s">
        <v>193</v>
      </c>
      <c r="BI404" s="1" t="s">
        <v>193</v>
      </c>
      <c r="BJ404" s="15"/>
      <c r="BK404" s="15"/>
      <c r="BL404" s="15"/>
      <c r="BM404" s="15"/>
      <c r="BN404" s="15" t="s">
        <v>188</v>
      </c>
      <c r="BO404" s="15"/>
      <c r="BP404" s="15" t="s">
        <v>188</v>
      </c>
      <c r="BQ404" s="15"/>
      <c r="BR404" s="15"/>
      <c r="BS404" s="2"/>
      <c r="BT404" s="15"/>
      <c r="BU404" s="15" t="s">
        <v>188</v>
      </c>
      <c r="BV404" s="15"/>
      <c r="BW404" s="15"/>
      <c r="BX404" s="15">
        <v>1</v>
      </c>
      <c r="BY404" s="15">
        <v>2</v>
      </c>
      <c r="BZ404" s="15">
        <v>3</v>
      </c>
      <c r="CA404" s="15"/>
      <c r="CB404" s="15" t="s">
        <v>188</v>
      </c>
      <c r="CC404" s="15"/>
      <c r="CD404" s="15"/>
      <c r="CE404" s="15"/>
      <c r="CF404" s="15"/>
      <c r="CG404" s="15"/>
      <c r="CH404" s="15"/>
      <c r="CI404" s="15"/>
      <c r="CJ404" s="15"/>
      <c r="CK404" s="15" t="s">
        <v>188</v>
      </c>
      <c r="CL404" s="15"/>
      <c r="CM404" s="15"/>
      <c r="CN404" s="15"/>
      <c r="CO404" s="15"/>
      <c r="CP404" s="15" t="s">
        <v>193</v>
      </c>
      <c r="CQ404" s="15" t="s">
        <v>193</v>
      </c>
      <c r="CR404" s="15" t="s">
        <v>188</v>
      </c>
      <c r="CS404" s="15"/>
      <c r="CT404" s="15"/>
      <c r="CU404" s="15"/>
      <c r="CV404" s="15"/>
      <c r="CW404" s="15"/>
      <c r="CX404" s="15"/>
      <c r="CY404" s="15" t="s">
        <v>188</v>
      </c>
      <c r="CZ404" s="3"/>
      <c r="DA404" s="49"/>
      <c r="DC404" s="18">
        <f t="shared" si="18"/>
        <v>0</v>
      </c>
      <c r="DD404" s="18">
        <f t="shared" si="19"/>
        <v>3</v>
      </c>
      <c r="DE404" s="18">
        <f t="shared" si="20"/>
        <v>2003</v>
      </c>
    </row>
    <row r="405" spans="1:109" x14ac:dyDescent="0.25">
      <c r="A405" s="60" t="s">
        <v>1322</v>
      </c>
      <c r="B405" s="103">
        <v>41576</v>
      </c>
      <c r="C405" s="106" t="s">
        <v>1572</v>
      </c>
      <c r="D405" s="14" t="s">
        <v>1179</v>
      </c>
      <c r="E405" s="15"/>
      <c r="F405" s="15" t="s">
        <v>188</v>
      </c>
      <c r="G405" s="15"/>
      <c r="H405" s="15"/>
      <c r="I405" s="15">
        <v>45</v>
      </c>
      <c r="J405" s="15" t="s">
        <v>189</v>
      </c>
      <c r="K405" s="15" t="s">
        <v>190</v>
      </c>
      <c r="L405" s="15" t="s">
        <v>1181</v>
      </c>
      <c r="M405" s="15" t="s">
        <v>1180</v>
      </c>
      <c r="N405" s="15" t="s">
        <v>1006</v>
      </c>
      <c r="O405" s="15">
        <v>20</v>
      </c>
      <c r="P405" s="15"/>
      <c r="Q405" s="15"/>
      <c r="R405" s="15"/>
      <c r="S405" s="15" t="s">
        <v>188</v>
      </c>
      <c r="T405" s="15"/>
      <c r="U405" s="15" t="s">
        <v>188</v>
      </c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>
        <v>1999</v>
      </c>
      <c r="AI405" s="1" t="s">
        <v>193</v>
      </c>
      <c r="AJ405" s="15"/>
      <c r="AK405" s="15"/>
      <c r="AL405" s="15" t="s">
        <v>188</v>
      </c>
      <c r="AM405" s="15"/>
      <c r="AN405" s="15"/>
      <c r="AO405" s="15"/>
      <c r="AP405" s="15" t="s">
        <v>188</v>
      </c>
      <c r="AQ405" s="15"/>
      <c r="AR405" s="15"/>
      <c r="AS405" s="15"/>
      <c r="AT405" s="15" t="s">
        <v>322</v>
      </c>
      <c r="AU405" s="1">
        <v>8000</v>
      </c>
      <c r="AV405" s="48">
        <v>0.5</v>
      </c>
      <c r="AW405" s="15">
        <v>2.7</v>
      </c>
      <c r="AX405" s="15">
        <v>2.5</v>
      </c>
      <c r="AY405" s="15">
        <v>2</v>
      </c>
      <c r="AZ405" s="15">
        <v>880</v>
      </c>
      <c r="BA405" s="15">
        <v>2300</v>
      </c>
      <c r="BB405" s="15" t="s">
        <v>199</v>
      </c>
      <c r="BC405" s="15" t="s">
        <v>199</v>
      </c>
      <c r="BD405" s="15" t="s">
        <v>199</v>
      </c>
      <c r="BE405" s="1">
        <v>30000</v>
      </c>
      <c r="BF405" s="1" t="s">
        <v>193</v>
      </c>
      <c r="BG405" s="1" t="s">
        <v>193</v>
      </c>
      <c r="BH405" s="1" t="s">
        <v>193</v>
      </c>
      <c r="BI405" s="1" t="s">
        <v>193</v>
      </c>
      <c r="BJ405" s="15"/>
      <c r="BK405" s="15"/>
      <c r="BL405" s="15"/>
      <c r="BM405" s="15"/>
      <c r="BN405" s="15" t="s">
        <v>188</v>
      </c>
      <c r="BO405" s="15"/>
      <c r="BP405" s="15" t="s">
        <v>188</v>
      </c>
      <c r="BQ405" s="15"/>
      <c r="BR405" s="15"/>
      <c r="BS405" s="2"/>
      <c r="BT405" s="15"/>
      <c r="BU405" s="15"/>
      <c r="BV405" s="15" t="s">
        <v>188</v>
      </c>
      <c r="BW405" s="15"/>
      <c r="BX405" s="15">
        <v>1</v>
      </c>
      <c r="BY405" s="15">
        <v>3</v>
      </c>
      <c r="BZ405" s="15">
        <v>2</v>
      </c>
      <c r="CA405" s="15"/>
      <c r="CB405" s="15" t="s">
        <v>188</v>
      </c>
      <c r="CC405" s="15"/>
      <c r="CD405" s="15"/>
      <c r="CE405" s="15"/>
      <c r="CF405" s="15"/>
      <c r="CG405" s="15"/>
      <c r="CH405" s="15"/>
      <c r="CI405" s="15"/>
      <c r="CJ405" s="15"/>
      <c r="CK405" s="15" t="s">
        <v>188</v>
      </c>
      <c r="CL405" s="15"/>
      <c r="CM405" s="15"/>
      <c r="CN405" s="15"/>
      <c r="CO405" s="15"/>
      <c r="CP405" s="15" t="s">
        <v>193</v>
      </c>
      <c r="CQ405" s="15" t="s">
        <v>193</v>
      </c>
      <c r="CR405" s="15" t="s">
        <v>188</v>
      </c>
      <c r="CS405" s="15"/>
      <c r="CT405" s="15"/>
      <c r="CU405" s="15"/>
      <c r="CV405" s="15"/>
      <c r="CW405" s="15"/>
      <c r="CX405" s="15" t="s">
        <v>188</v>
      </c>
      <c r="CY405" s="15"/>
      <c r="CZ405" s="3"/>
      <c r="DA405" s="49"/>
      <c r="DC405" s="18">
        <f t="shared" si="18"/>
        <v>0</v>
      </c>
      <c r="DD405" s="18">
        <f t="shared" si="19"/>
        <v>2</v>
      </c>
      <c r="DE405" s="18">
        <f t="shared" si="20"/>
        <v>1999</v>
      </c>
    </row>
    <row r="406" spans="1:109" x14ac:dyDescent="0.25">
      <c r="A406" s="60" t="s">
        <v>1322</v>
      </c>
      <c r="B406" s="103">
        <v>41576</v>
      </c>
      <c r="C406" s="106" t="s">
        <v>1572</v>
      </c>
      <c r="D406" s="14" t="s">
        <v>1182</v>
      </c>
      <c r="E406" s="15"/>
      <c r="F406" s="15"/>
      <c r="G406" s="15" t="s">
        <v>188</v>
      </c>
      <c r="H406" s="15"/>
      <c r="I406" s="15">
        <v>52</v>
      </c>
      <c r="J406" s="15" t="s">
        <v>189</v>
      </c>
      <c r="K406" s="15" t="s">
        <v>196</v>
      </c>
      <c r="L406" s="15" t="s">
        <v>637</v>
      </c>
      <c r="M406" s="15" t="s">
        <v>1066</v>
      </c>
      <c r="N406" s="15" t="s">
        <v>1066</v>
      </c>
      <c r="O406" s="15">
        <v>30</v>
      </c>
      <c r="P406" s="15"/>
      <c r="Q406" s="15"/>
      <c r="R406" s="15"/>
      <c r="S406" s="15" t="s">
        <v>188</v>
      </c>
      <c r="T406" s="15"/>
      <c r="U406" s="15" t="s">
        <v>188</v>
      </c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>
        <v>2003</v>
      </c>
      <c r="AI406" s="1">
        <v>860990</v>
      </c>
      <c r="AJ406" s="15"/>
      <c r="AK406" s="15"/>
      <c r="AL406" s="15" t="s">
        <v>188</v>
      </c>
      <c r="AM406" s="15"/>
      <c r="AN406" s="15"/>
      <c r="AO406" s="15"/>
      <c r="AP406" s="15" t="s">
        <v>188</v>
      </c>
      <c r="AQ406" s="15"/>
      <c r="AR406" s="15"/>
      <c r="AS406" s="15"/>
      <c r="AT406" s="15" t="s">
        <v>322</v>
      </c>
      <c r="AU406" s="1">
        <v>10000</v>
      </c>
      <c r="AV406" s="48">
        <v>0.1</v>
      </c>
      <c r="AW406" s="15">
        <v>2.7</v>
      </c>
      <c r="AX406" s="15">
        <v>2.4</v>
      </c>
      <c r="AY406" s="15">
        <v>2</v>
      </c>
      <c r="AZ406" s="15">
        <v>920</v>
      </c>
      <c r="BA406" s="15">
        <v>2300</v>
      </c>
      <c r="BB406" s="15" t="s">
        <v>188</v>
      </c>
      <c r="BC406" s="15" t="s">
        <v>199</v>
      </c>
      <c r="BD406" s="15" t="s">
        <v>199</v>
      </c>
      <c r="BE406" s="1">
        <v>18000</v>
      </c>
      <c r="BF406" s="1" t="s">
        <v>193</v>
      </c>
      <c r="BG406" s="1">
        <v>36000</v>
      </c>
      <c r="BH406" s="1">
        <v>120000</v>
      </c>
      <c r="BI406" s="1" t="s">
        <v>193</v>
      </c>
      <c r="BJ406" s="15"/>
      <c r="BK406" s="15"/>
      <c r="BL406" s="15"/>
      <c r="BM406" s="15"/>
      <c r="BN406" s="15" t="s">
        <v>188</v>
      </c>
      <c r="BO406" s="15"/>
      <c r="BP406" s="15" t="s">
        <v>188</v>
      </c>
      <c r="BQ406" s="15"/>
      <c r="BR406" s="15"/>
      <c r="BS406" s="2"/>
      <c r="BT406" s="15"/>
      <c r="BU406" s="15" t="s">
        <v>188</v>
      </c>
      <c r="BV406" s="15"/>
      <c r="BW406" s="15"/>
      <c r="BX406" s="15">
        <v>1</v>
      </c>
      <c r="BY406" s="15">
        <v>3</v>
      </c>
      <c r="BZ406" s="15">
        <v>2</v>
      </c>
      <c r="CA406" s="15"/>
      <c r="CB406" s="15" t="s">
        <v>188</v>
      </c>
      <c r="CC406" s="15"/>
      <c r="CD406" s="15"/>
      <c r="CE406" s="15"/>
      <c r="CF406" s="15"/>
      <c r="CG406" s="15"/>
      <c r="CH406" s="15"/>
      <c r="CI406" s="15"/>
      <c r="CJ406" s="15"/>
      <c r="CK406" s="15" t="s">
        <v>188</v>
      </c>
      <c r="CL406" s="15"/>
      <c r="CM406" s="15"/>
      <c r="CN406" s="15"/>
      <c r="CO406" s="15"/>
      <c r="CP406" s="15" t="s">
        <v>193</v>
      </c>
      <c r="CQ406" s="15" t="s">
        <v>193</v>
      </c>
      <c r="CR406" s="15" t="s">
        <v>188</v>
      </c>
      <c r="CS406" s="15"/>
      <c r="CT406" s="15"/>
      <c r="CU406" s="15"/>
      <c r="CV406" s="15"/>
      <c r="CW406" s="15"/>
      <c r="CX406" s="15" t="s">
        <v>188</v>
      </c>
      <c r="CY406" s="15"/>
      <c r="CZ406" s="3"/>
      <c r="DA406" s="49"/>
      <c r="DC406" s="18">
        <f t="shared" si="18"/>
        <v>0</v>
      </c>
      <c r="DD406" s="18">
        <f t="shared" si="19"/>
        <v>3</v>
      </c>
      <c r="DE406" s="18">
        <f t="shared" si="20"/>
        <v>2003</v>
      </c>
    </row>
    <row r="407" spans="1:109" x14ac:dyDescent="0.25">
      <c r="A407" s="60" t="s">
        <v>1322</v>
      </c>
      <c r="B407" s="103">
        <v>41576</v>
      </c>
      <c r="C407" s="106" t="s">
        <v>1572</v>
      </c>
      <c r="D407" s="14" t="s">
        <v>1183</v>
      </c>
      <c r="E407" s="15"/>
      <c r="F407" s="15"/>
      <c r="G407" s="15"/>
      <c r="H407" s="15" t="s">
        <v>188</v>
      </c>
      <c r="I407" s="15">
        <v>50</v>
      </c>
      <c r="J407" s="15" t="s">
        <v>189</v>
      </c>
      <c r="K407" s="15" t="s">
        <v>196</v>
      </c>
      <c r="L407" s="15" t="s">
        <v>878</v>
      </c>
      <c r="M407" s="15" t="s">
        <v>1132</v>
      </c>
      <c r="N407" s="15" t="s">
        <v>1133</v>
      </c>
      <c r="O407" s="15">
        <v>25</v>
      </c>
      <c r="P407" s="15"/>
      <c r="Q407" s="15"/>
      <c r="R407" s="15"/>
      <c r="S407" s="15" t="s">
        <v>188</v>
      </c>
      <c r="T407" s="15"/>
      <c r="U407" s="15" t="s">
        <v>188</v>
      </c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>
        <v>2005</v>
      </c>
      <c r="AI407" s="1">
        <v>758120</v>
      </c>
      <c r="AJ407" s="15"/>
      <c r="AK407" s="15"/>
      <c r="AL407" s="15" t="s">
        <v>188</v>
      </c>
      <c r="AM407" s="15"/>
      <c r="AN407" s="15"/>
      <c r="AO407" s="15"/>
      <c r="AP407" s="15" t="s">
        <v>188</v>
      </c>
      <c r="AQ407" s="15"/>
      <c r="AR407" s="15"/>
      <c r="AS407" s="15"/>
      <c r="AT407" s="15" t="s">
        <v>266</v>
      </c>
      <c r="AU407" s="1">
        <v>9000</v>
      </c>
      <c r="AV407" s="48">
        <v>0.5</v>
      </c>
      <c r="AW407" s="15">
        <v>2.7</v>
      </c>
      <c r="AX407" s="15">
        <v>2.5</v>
      </c>
      <c r="AY407" s="15">
        <v>2</v>
      </c>
      <c r="AZ407" s="15">
        <v>960</v>
      </c>
      <c r="BA407" s="15">
        <v>2500</v>
      </c>
      <c r="BB407" s="15" t="s">
        <v>188</v>
      </c>
      <c r="BC407" s="15" t="s">
        <v>188</v>
      </c>
      <c r="BD407" s="15" t="s">
        <v>199</v>
      </c>
      <c r="BE407" s="1">
        <v>20000</v>
      </c>
      <c r="BF407" s="1">
        <v>200000</v>
      </c>
      <c r="BG407" s="1">
        <v>40000</v>
      </c>
      <c r="BH407" s="1">
        <v>120000</v>
      </c>
      <c r="BI407" s="1" t="s">
        <v>193</v>
      </c>
      <c r="BJ407" s="15"/>
      <c r="BK407" s="15"/>
      <c r="BL407" s="15"/>
      <c r="BM407" s="15"/>
      <c r="BN407" s="15" t="s">
        <v>188</v>
      </c>
      <c r="BO407" s="15"/>
      <c r="BP407" s="15" t="s">
        <v>188</v>
      </c>
      <c r="BQ407" s="15"/>
      <c r="BR407" s="15"/>
      <c r="BS407" s="2"/>
      <c r="BT407" s="15"/>
      <c r="BU407" s="15" t="s">
        <v>188</v>
      </c>
      <c r="BV407" s="15"/>
      <c r="BW407" s="15"/>
      <c r="BX407" s="15">
        <v>1</v>
      </c>
      <c r="BY407" s="15">
        <v>3</v>
      </c>
      <c r="BZ407" s="15">
        <v>2</v>
      </c>
      <c r="CA407" s="15"/>
      <c r="CB407" s="15" t="s">
        <v>188</v>
      </c>
      <c r="CC407" s="15"/>
      <c r="CD407" s="15"/>
      <c r="CE407" s="15"/>
      <c r="CF407" s="15"/>
      <c r="CG407" s="15"/>
      <c r="CH407" s="15"/>
      <c r="CI407" s="15"/>
      <c r="CJ407" s="15"/>
      <c r="CK407" s="15" t="s">
        <v>188</v>
      </c>
      <c r="CL407" s="15"/>
      <c r="CM407" s="15"/>
      <c r="CN407" s="15"/>
      <c r="CO407" s="15"/>
      <c r="CP407" s="15" t="s">
        <v>193</v>
      </c>
      <c r="CQ407" s="15" t="s">
        <v>193</v>
      </c>
      <c r="CR407" s="15" t="s">
        <v>188</v>
      </c>
      <c r="CS407" s="15"/>
      <c r="CT407" s="15"/>
      <c r="CU407" s="15"/>
      <c r="CV407" s="15"/>
      <c r="CW407" s="15"/>
      <c r="CX407" s="15" t="s">
        <v>188</v>
      </c>
      <c r="CY407" s="15"/>
      <c r="CZ407" s="3"/>
      <c r="DA407" s="49"/>
      <c r="DC407" s="18">
        <f t="shared" si="18"/>
        <v>0</v>
      </c>
      <c r="DD407" s="18">
        <f t="shared" si="19"/>
        <v>7</v>
      </c>
      <c r="DE407" s="18">
        <f t="shared" si="20"/>
        <v>2005</v>
      </c>
    </row>
    <row r="408" spans="1:109" x14ac:dyDescent="0.25">
      <c r="A408" s="60" t="s">
        <v>1322</v>
      </c>
      <c r="B408" s="103">
        <v>41567</v>
      </c>
      <c r="C408" s="105" t="s">
        <v>1573</v>
      </c>
      <c r="D408" s="14" t="s">
        <v>1184</v>
      </c>
      <c r="E408" s="15"/>
      <c r="F408" s="15"/>
      <c r="G408" s="15" t="s">
        <v>188</v>
      </c>
      <c r="H408" s="15"/>
      <c r="I408" s="15">
        <v>59</v>
      </c>
      <c r="J408" s="15" t="s">
        <v>189</v>
      </c>
      <c r="K408" s="15" t="s">
        <v>196</v>
      </c>
      <c r="L408" s="15" t="s">
        <v>1186</v>
      </c>
      <c r="M408" s="15" t="s">
        <v>1185</v>
      </c>
      <c r="N408" s="15" t="s">
        <v>1089</v>
      </c>
      <c r="O408" s="15">
        <v>30</v>
      </c>
      <c r="P408" s="15"/>
      <c r="Q408" s="15"/>
      <c r="R408" s="15"/>
      <c r="S408" s="15" t="s">
        <v>188</v>
      </c>
      <c r="T408" s="15"/>
      <c r="U408" s="15" t="s">
        <v>188</v>
      </c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>
        <v>2006</v>
      </c>
      <c r="AI408" s="1">
        <v>721832</v>
      </c>
      <c r="AJ408" s="15"/>
      <c r="AK408" s="15"/>
      <c r="AL408" s="15" t="s">
        <v>188</v>
      </c>
      <c r="AM408" s="15"/>
      <c r="AN408" s="15"/>
      <c r="AO408" s="15"/>
      <c r="AP408" s="15" t="s">
        <v>188</v>
      </c>
      <c r="AQ408" s="15"/>
      <c r="AR408" s="15"/>
      <c r="AS408" s="15"/>
      <c r="AT408" s="15" t="s">
        <v>322</v>
      </c>
      <c r="AU408" s="1">
        <v>9800</v>
      </c>
      <c r="AV408" s="48">
        <v>0.5</v>
      </c>
      <c r="AW408" s="15">
        <v>2.8</v>
      </c>
      <c r="AX408" s="15">
        <v>2.5</v>
      </c>
      <c r="AY408" s="15">
        <v>2</v>
      </c>
      <c r="AZ408" s="15">
        <v>890</v>
      </c>
      <c r="BA408" s="15">
        <v>2400</v>
      </c>
      <c r="BB408" s="15" t="s">
        <v>188</v>
      </c>
      <c r="BC408" s="15" t="s">
        <v>199</v>
      </c>
      <c r="BD408" s="15" t="s">
        <v>199</v>
      </c>
      <c r="BE408" s="1">
        <v>19000</v>
      </c>
      <c r="BF408" s="1">
        <v>180000</v>
      </c>
      <c r="BG408" s="1">
        <v>38000</v>
      </c>
      <c r="BH408" s="1">
        <v>120000</v>
      </c>
      <c r="BI408" s="1" t="s">
        <v>193</v>
      </c>
      <c r="BJ408" s="15"/>
      <c r="BK408" s="15"/>
      <c r="BL408" s="15"/>
      <c r="BM408" s="15"/>
      <c r="BN408" s="15" t="s">
        <v>188</v>
      </c>
      <c r="BO408" s="15"/>
      <c r="BP408" s="15"/>
      <c r="BQ408" s="15"/>
      <c r="BR408" s="15"/>
      <c r="BS408" s="2" t="s">
        <v>1187</v>
      </c>
      <c r="BT408" s="15"/>
      <c r="BU408" s="15"/>
      <c r="BV408" s="15" t="s">
        <v>188</v>
      </c>
      <c r="BW408" s="15"/>
      <c r="BX408" s="15">
        <v>1</v>
      </c>
      <c r="BY408" s="15">
        <v>2</v>
      </c>
      <c r="BZ408" s="15">
        <v>3</v>
      </c>
      <c r="CA408" s="15"/>
      <c r="CB408" s="15" t="s">
        <v>188</v>
      </c>
      <c r="CC408" s="15"/>
      <c r="CD408" s="15"/>
      <c r="CE408" s="15"/>
      <c r="CF408" s="15"/>
      <c r="CG408" s="15"/>
      <c r="CH408" s="15"/>
      <c r="CI408" s="15"/>
      <c r="CJ408" s="15"/>
      <c r="CK408" s="15" t="s">
        <v>188</v>
      </c>
      <c r="CL408" s="15"/>
      <c r="CM408" s="15"/>
      <c r="CN408" s="15"/>
      <c r="CO408" s="15"/>
      <c r="CP408" s="15" t="s">
        <v>193</v>
      </c>
      <c r="CQ408" s="15" t="s">
        <v>193</v>
      </c>
      <c r="CR408" s="15" t="s">
        <v>188</v>
      </c>
      <c r="CS408" s="15"/>
      <c r="CT408" s="15"/>
      <c r="CU408" s="15"/>
      <c r="CV408" s="15"/>
      <c r="CW408" s="15"/>
      <c r="CX408" s="15"/>
      <c r="CY408" s="15" t="s">
        <v>188</v>
      </c>
      <c r="CZ408" s="3"/>
      <c r="DA408" s="49"/>
      <c r="DC408" s="18">
        <f t="shared" si="18"/>
        <v>0</v>
      </c>
      <c r="DD408" s="18">
        <f t="shared" si="19"/>
        <v>3</v>
      </c>
      <c r="DE408" s="18">
        <f t="shared" si="20"/>
        <v>2006</v>
      </c>
    </row>
    <row r="409" spans="1:109" x14ac:dyDescent="0.25">
      <c r="A409" s="60" t="s">
        <v>1322</v>
      </c>
      <c r="B409" s="103">
        <v>41567</v>
      </c>
      <c r="C409" s="105" t="s">
        <v>1573</v>
      </c>
      <c r="D409" s="14" t="s">
        <v>1188</v>
      </c>
      <c r="E409" s="15"/>
      <c r="F409" s="15"/>
      <c r="G409" s="15" t="s">
        <v>188</v>
      </c>
      <c r="H409" s="15"/>
      <c r="I409" s="15">
        <v>48</v>
      </c>
      <c r="J409" s="15" t="s">
        <v>189</v>
      </c>
      <c r="K409" s="15" t="s">
        <v>190</v>
      </c>
      <c r="L409" s="15" t="s">
        <v>637</v>
      </c>
      <c r="M409" s="15" t="s">
        <v>1066</v>
      </c>
      <c r="N409" s="15" t="s">
        <v>1066</v>
      </c>
      <c r="O409" s="15">
        <v>25</v>
      </c>
      <c r="P409" s="15"/>
      <c r="Q409" s="15"/>
      <c r="R409" s="15"/>
      <c r="S409" s="15" t="s">
        <v>188</v>
      </c>
      <c r="T409" s="15"/>
      <c r="U409" s="15" t="s">
        <v>188</v>
      </c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>
        <v>2007</v>
      </c>
      <c r="AI409" s="1">
        <v>619880</v>
      </c>
      <c r="AJ409" s="15"/>
      <c r="AK409" s="15"/>
      <c r="AL409" s="15" t="s">
        <v>188</v>
      </c>
      <c r="AM409" s="15"/>
      <c r="AN409" s="15"/>
      <c r="AO409" s="15"/>
      <c r="AP409" s="15" t="s">
        <v>188</v>
      </c>
      <c r="AQ409" s="15"/>
      <c r="AR409" s="15"/>
      <c r="AS409" s="15"/>
      <c r="AT409" s="15" t="s">
        <v>266</v>
      </c>
      <c r="AU409" s="1">
        <v>10000</v>
      </c>
      <c r="AV409" s="48">
        <v>0.1</v>
      </c>
      <c r="AW409" s="15">
        <v>2.7</v>
      </c>
      <c r="AX409" s="15">
        <v>2.5</v>
      </c>
      <c r="AY409" s="15">
        <v>2</v>
      </c>
      <c r="AZ409" s="15">
        <v>880</v>
      </c>
      <c r="BA409" s="15">
        <v>2300</v>
      </c>
      <c r="BB409" s="15" t="s">
        <v>188</v>
      </c>
      <c r="BC409" s="15" t="s">
        <v>199</v>
      </c>
      <c r="BD409" s="15" t="s">
        <v>199</v>
      </c>
      <c r="BE409" s="1">
        <v>20000</v>
      </c>
      <c r="BF409" s="1">
        <v>240000</v>
      </c>
      <c r="BG409" s="1">
        <v>60000</v>
      </c>
      <c r="BH409" s="1">
        <v>120000</v>
      </c>
      <c r="BI409" s="1" t="s">
        <v>193</v>
      </c>
      <c r="BJ409" s="15"/>
      <c r="BK409" s="15"/>
      <c r="BL409" s="15"/>
      <c r="BM409" s="15"/>
      <c r="BN409" s="15"/>
      <c r="BO409" s="15"/>
      <c r="BP409" s="15" t="s">
        <v>188</v>
      </c>
      <c r="BQ409" s="15"/>
      <c r="BR409" s="15"/>
      <c r="BS409" s="2"/>
      <c r="BT409" s="15"/>
      <c r="BU409" s="15"/>
      <c r="BV409" s="15" t="s">
        <v>188</v>
      </c>
      <c r="BW409" s="15"/>
      <c r="BX409" s="15">
        <v>1</v>
      </c>
      <c r="BY409" s="15">
        <v>3</v>
      </c>
      <c r="BZ409" s="15">
        <v>2</v>
      </c>
      <c r="CA409" s="15"/>
      <c r="CB409" s="15" t="s">
        <v>188</v>
      </c>
      <c r="CC409" s="15"/>
      <c r="CD409" s="15"/>
      <c r="CE409" s="15"/>
      <c r="CF409" s="15"/>
      <c r="CG409" s="15"/>
      <c r="CH409" s="15"/>
      <c r="CI409" s="15"/>
      <c r="CJ409" s="15"/>
      <c r="CK409" s="15" t="s">
        <v>188</v>
      </c>
      <c r="CL409" s="15"/>
      <c r="CM409" s="15"/>
      <c r="CN409" s="15"/>
      <c r="CO409" s="15"/>
      <c r="CP409" s="15" t="s">
        <v>193</v>
      </c>
      <c r="CQ409" s="15" t="s">
        <v>193</v>
      </c>
      <c r="CR409" s="15" t="s">
        <v>188</v>
      </c>
      <c r="CS409" s="15"/>
      <c r="CT409" s="15"/>
      <c r="CU409" s="15"/>
      <c r="CV409" s="15"/>
      <c r="CW409" s="15"/>
      <c r="CX409" s="15" t="s">
        <v>188</v>
      </c>
      <c r="CY409" s="15"/>
      <c r="CZ409" s="3"/>
      <c r="DA409" s="49"/>
      <c r="DC409" s="18">
        <f t="shared" si="18"/>
        <v>0</v>
      </c>
      <c r="DD409" s="18">
        <f t="shared" si="19"/>
        <v>3</v>
      </c>
      <c r="DE409" s="18">
        <f t="shared" si="20"/>
        <v>2007</v>
      </c>
    </row>
    <row r="410" spans="1:109" x14ac:dyDescent="0.25">
      <c r="A410" s="60" t="s">
        <v>1322</v>
      </c>
      <c r="B410" s="103">
        <v>41567</v>
      </c>
      <c r="C410" s="105" t="s">
        <v>1573</v>
      </c>
      <c r="D410" s="14" t="s">
        <v>1189</v>
      </c>
      <c r="E410" s="15" t="s">
        <v>188</v>
      </c>
      <c r="F410" s="15"/>
      <c r="G410" s="15"/>
      <c r="H410" s="15"/>
      <c r="I410" s="15">
        <v>54</v>
      </c>
      <c r="J410" s="15" t="s">
        <v>189</v>
      </c>
      <c r="K410" s="15" t="s">
        <v>196</v>
      </c>
      <c r="L410" s="15" t="s">
        <v>386</v>
      </c>
      <c r="M410" s="15" t="s">
        <v>1017</v>
      </c>
      <c r="N410" s="15" t="s">
        <v>1085</v>
      </c>
      <c r="O410" s="15">
        <v>31</v>
      </c>
      <c r="P410" s="15"/>
      <c r="Q410" s="15" t="s">
        <v>188</v>
      </c>
      <c r="R410" s="15"/>
      <c r="S410" s="15"/>
      <c r="T410" s="15"/>
      <c r="U410" s="15"/>
      <c r="V410" s="15" t="s">
        <v>188</v>
      </c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>
        <v>1996</v>
      </c>
      <c r="AI410" s="1" t="s">
        <v>193</v>
      </c>
      <c r="AJ410" s="15"/>
      <c r="AK410" s="15"/>
      <c r="AL410" s="15" t="s">
        <v>188</v>
      </c>
      <c r="AM410" s="15"/>
      <c r="AN410" s="15"/>
      <c r="AO410" s="15"/>
      <c r="AP410" s="15" t="s">
        <v>188</v>
      </c>
      <c r="AQ410" s="15"/>
      <c r="AR410" s="15"/>
      <c r="AS410" s="15"/>
      <c r="AT410" s="15" t="s">
        <v>237</v>
      </c>
      <c r="AU410" s="1">
        <v>9000</v>
      </c>
      <c r="AV410" s="48">
        <v>0.5</v>
      </c>
      <c r="AW410" s="15">
        <v>3.2</v>
      </c>
      <c r="AX410" s="15">
        <v>2.9</v>
      </c>
      <c r="AY410" s="15">
        <v>2</v>
      </c>
      <c r="AZ410" s="15">
        <v>580</v>
      </c>
      <c r="BA410" s="15">
        <v>1750</v>
      </c>
      <c r="BB410" s="15" t="s">
        <v>188</v>
      </c>
      <c r="BC410" s="15" t="s">
        <v>199</v>
      </c>
      <c r="BD410" s="15" t="s">
        <v>199</v>
      </c>
      <c r="BE410" s="1">
        <v>30000</v>
      </c>
      <c r="BF410" s="1" t="s">
        <v>193</v>
      </c>
      <c r="BG410" s="1">
        <v>100000</v>
      </c>
      <c r="BH410" s="1" t="s">
        <v>193</v>
      </c>
      <c r="BI410" s="1" t="s">
        <v>193</v>
      </c>
      <c r="BJ410" s="15"/>
      <c r="BK410" s="15"/>
      <c r="BL410" s="15"/>
      <c r="BM410" s="15"/>
      <c r="BN410" s="15"/>
      <c r="BO410" s="15"/>
      <c r="BP410" s="15"/>
      <c r="BQ410" s="15" t="s">
        <v>188</v>
      </c>
      <c r="BR410" s="15"/>
      <c r="BS410" s="2"/>
      <c r="BT410" s="15"/>
      <c r="BU410" s="15" t="s">
        <v>188</v>
      </c>
      <c r="BV410" s="15"/>
      <c r="BW410" s="15"/>
      <c r="BX410" s="15">
        <v>3</v>
      </c>
      <c r="BY410" s="15">
        <v>1</v>
      </c>
      <c r="BZ410" s="15">
        <v>2</v>
      </c>
      <c r="CA410" s="15"/>
      <c r="CB410" s="15" t="s">
        <v>188</v>
      </c>
      <c r="CC410" s="15"/>
      <c r="CD410" s="15"/>
      <c r="CE410" s="15"/>
      <c r="CF410" s="15"/>
      <c r="CG410" s="15"/>
      <c r="CH410" s="15"/>
      <c r="CI410" s="15"/>
      <c r="CJ410" s="15"/>
      <c r="CK410" s="15" t="s">
        <v>188</v>
      </c>
      <c r="CL410" s="15"/>
      <c r="CM410" s="15"/>
      <c r="CN410" s="15"/>
      <c r="CO410" s="15"/>
      <c r="CP410" s="15" t="s">
        <v>193</v>
      </c>
      <c r="CQ410" s="15" t="s">
        <v>193</v>
      </c>
      <c r="CR410" s="15" t="s">
        <v>188</v>
      </c>
      <c r="CS410" s="15"/>
      <c r="CT410" s="15"/>
      <c r="CU410" s="15"/>
      <c r="CV410" s="15" t="s">
        <v>188</v>
      </c>
      <c r="CW410" s="15" t="s">
        <v>270</v>
      </c>
      <c r="CX410" s="15"/>
      <c r="CY410" s="15"/>
      <c r="CZ410" s="3"/>
      <c r="DA410" s="49"/>
      <c r="DC410" s="18">
        <f t="shared" si="18"/>
        <v>0</v>
      </c>
      <c r="DD410" s="18">
        <f t="shared" si="19"/>
        <v>1</v>
      </c>
      <c r="DE410" s="18">
        <f t="shared" si="20"/>
        <v>1996</v>
      </c>
    </row>
    <row r="411" spans="1:109" x14ac:dyDescent="0.25">
      <c r="A411" s="60" t="s">
        <v>1322</v>
      </c>
      <c r="B411" s="103">
        <v>41567</v>
      </c>
      <c r="C411" s="105" t="s">
        <v>1573</v>
      </c>
      <c r="D411" s="14" t="s">
        <v>1190</v>
      </c>
      <c r="E411" s="15"/>
      <c r="F411" s="15"/>
      <c r="G411" s="15" t="s">
        <v>188</v>
      </c>
      <c r="H411" s="15"/>
      <c r="I411" s="15">
        <v>40</v>
      </c>
      <c r="J411" s="15" t="s">
        <v>189</v>
      </c>
      <c r="K411" s="15" t="s">
        <v>196</v>
      </c>
      <c r="L411" s="15" t="s">
        <v>228</v>
      </c>
      <c r="M411" s="15" t="s">
        <v>1010</v>
      </c>
      <c r="N411" s="15" t="s">
        <v>1084</v>
      </c>
      <c r="O411" s="15">
        <v>17</v>
      </c>
      <c r="P411" s="15"/>
      <c r="Q411" s="15" t="s">
        <v>188</v>
      </c>
      <c r="R411" s="15"/>
      <c r="S411" s="15"/>
      <c r="T411" s="15"/>
      <c r="U411" s="15" t="s">
        <v>188</v>
      </c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>
        <v>2004</v>
      </c>
      <c r="AI411" s="1">
        <v>811703</v>
      </c>
      <c r="AJ411" s="15"/>
      <c r="AK411" s="15"/>
      <c r="AL411" s="15" t="s">
        <v>188</v>
      </c>
      <c r="AM411" s="15"/>
      <c r="AN411" s="15"/>
      <c r="AO411" s="15"/>
      <c r="AP411" s="15" t="s">
        <v>188</v>
      </c>
      <c r="AQ411" s="15"/>
      <c r="AR411" s="15"/>
      <c r="AS411" s="15"/>
      <c r="AT411" s="15" t="s">
        <v>322</v>
      </c>
      <c r="AU411" s="1">
        <v>8000</v>
      </c>
      <c r="AV411" s="48">
        <v>0</v>
      </c>
      <c r="AW411" s="15">
        <v>3.4</v>
      </c>
      <c r="AX411" s="15">
        <v>3.1</v>
      </c>
      <c r="AY411" s="15">
        <v>2</v>
      </c>
      <c r="AZ411" s="15">
        <v>530</v>
      </c>
      <c r="BA411" s="15">
        <v>1700</v>
      </c>
      <c r="BB411" s="15" t="s">
        <v>188</v>
      </c>
      <c r="BC411" s="15" t="s">
        <v>199</v>
      </c>
      <c r="BD411" s="15" t="s">
        <v>199</v>
      </c>
      <c r="BE411" s="1">
        <v>30000</v>
      </c>
      <c r="BF411" s="1" t="s">
        <v>193</v>
      </c>
      <c r="BG411" s="1">
        <v>60000</v>
      </c>
      <c r="BH411" s="1" t="s">
        <v>193</v>
      </c>
      <c r="BI411" s="1" t="s">
        <v>193</v>
      </c>
      <c r="BJ411" s="15"/>
      <c r="BK411" s="15"/>
      <c r="BL411" s="15" t="s">
        <v>188</v>
      </c>
      <c r="BM411" s="15"/>
      <c r="BN411" s="15"/>
      <c r="BO411" s="15"/>
      <c r="BP411" s="15"/>
      <c r="BQ411" s="15"/>
      <c r="BR411" s="15" t="s">
        <v>188</v>
      </c>
      <c r="BS411" s="2"/>
      <c r="BT411" s="15"/>
      <c r="BU411" s="15" t="s">
        <v>188</v>
      </c>
      <c r="BV411" s="15"/>
      <c r="BW411" s="15"/>
      <c r="BX411" s="15">
        <v>1</v>
      </c>
      <c r="BY411" s="15">
        <v>3</v>
      </c>
      <c r="BZ411" s="15">
        <v>2</v>
      </c>
      <c r="CA411" s="15"/>
      <c r="CB411" s="15" t="s">
        <v>188</v>
      </c>
      <c r="CC411" s="15"/>
      <c r="CD411" s="15"/>
      <c r="CE411" s="15"/>
      <c r="CF411" s="15"/>
      <c r="CG411" s="15"/>
      <c r="CH411" s="15"/>
      <c r="CI411" s="15"/>
      <c r="CJ411" s="15"/>
      <c r="CK411" s="15" t="s">
        <v>188</v>
      </c>
      <c r="CL411" s="15"/>
      <c r="CM411" s="15"/>
      <c r="CN411" s="15"/>
      <c r="CO411" s="15"/>
      <c r="CP411" s="15" t="s">
        <v>193</v>
      </c>
      <c r="CQ411" s="15" t="s">
        <v>193</v>
      </c>
      <c r="CR411" s="15" t="s">
        <v>188</v>
      </c>
      <c r="CS411" s="15"/>
      <c r="CT411" s="15"/>
      <c r="CU411" s="15"/>
      <c r="CV411" s="15"/>
      <c r="CW411" s="15"/>
      <c r="CX411" s="15" t="s">
        <v>188</v>
      </c>
      <c r="CY411" s="15"/>
      <c r="CZ411" s="3"/>
      <c r="DA411" s="49"/>
      <c r="DC411" s="18">
        <f t="shared" si="18"/>
        <v>0</v>
      </c>
      <c r="DD411" s="18">
        <f t="shared" si="19"/>
        <v>3</v>
      </c>
      <c r="DE411" s="18">
        <f t="shared" si="20"/>
        <v>2004</v>
      </c>
    </row>
    <row r="412" spans="1:109" x14ac:dyDescent="0.25">
      <c r="A412" s="60" t="s">
        <v>1322</v>
      </c>
      <c r="B412" s="103">
        <v>41567</v>
      </c>
      <c r="C412" s="105" t="s">
        <v>1573</v>
      </c>
      <c r="D412" s="14" t="s">
        <v>1191</v>
      </c>
      <c r="E412" s="15"/>
      <c r="F412" s="15"/>
      <c r="G412" s="15"/>
      <c r="H412" s="15" t="s">
        <v>188</v>
      </c>
      <c r="I412" s="15">
        <v>38</v>
      </c>
      <c r="J412" s="15" t="s">
        <v>189</v>
      </c>
      <c r="K412" s="15" t="s">
        <v>190</v>
      </c>
      <c r="L412" s="15" t="s">
        <v>591</v>
      </c>
      <c r="M412" s="15" t="s">
        <v>1058</v>
      </c>
      <c r="N412" s="15" t="s">
        <v>1085</v>
      </c>
      <c r="O412" s="15">
        <v>10</v>
      </c>
      <c r="P412" s="15"/>
      <c r="Q412" s="15"/>
      <c r="R412" s="15"/>
      <c r="S412" s="15" t="s">
        <v>188</v>
      </c>
      <c r="T412" s="15"/>
      <c r="U412" s="15" t="s">
        <v>188</v>
      </c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>
        <v>2008</v>
      </c>
      <c r="AI412" s="1">
        <v>552713</v>
      </c>
      <c r="AJ412" s="15"/>
      <c r="AK412" s="15"/>
      <c r="AL412" s="15" t="s">
        <v>188</v>
      </c>
      <c r="AM412" s="15"/>
      <c r="AN412" s="15"/>
      <c r="AO412" s="15"/>
      <c r="AP412" s="15" t="s">
        <v>188</v>
      </c>
      <c r="AQ412" s="15"/>
      <c r="AR412" s="15"/>
      <c r="AS412" s="15"/>
      <c r="AT412" s="15" t="s">
        <v>322</v>
      </c>
      <c r="AU412" s="1">
        <v>11000</v>
      </c>
      <c r="AV412" s="48">
        <v>0</v>
      </c>
      <c r="AW412" s="15">
        <v>2.8</v>
      </c>
      <c r="AX412" s="15">
        <v>2.5</v>
      </c>
      <c r="AY412" s="15">
        <v>2</v>
      </c>
      <c r="AZ412" s="15">
        <v>890</v>
      </c>
      <c r="BA412" s="15">
        <v>2400</v>
      </c>
      <c r="BB412" s="15" t="s">
        <v>188</v>
      </c>
      <c r="BC412" s="15" t="s">
        <v>188</v>
      </c>
      <c r="BD412" s="15" t="s">
        <v>199</v>
      </c>
      <c r="BE412" s="1">
        <v>11000</v>
      </c>
      <c r="BF412" s="1" t="s">
        <v>193</v>
      </c>
      <c r="BG412" s="1">
        <v>22000</v>
      </c>
      <c r="BH412" s="1">
        <v>130000</v>
      </c>
      <c r="BI412" s="1" t="s">
        <v>193</v>
      </c>
      <c r="BJ412" s="15"/>
      <c r="BK412" s="15"/>
      <c r="BL412" s="15"/>
      <c r="BM412" s="15"/>
      <c r="BN412" s="15" t="s">
        <v>188</v>
      </c>
      <c r="BO412" s="15"/>
      <c r="BP412" s="15" t="s">
        <v>188</v>
      </c>
      <c r="BQ412" s="15"/>
      <c r="BR412" s="15"/>
      <c r="BS412" s="2" t="s">
        <v>1192</v>
      </c>
      <c r="BT412" s="15"/>
      <c r="BU412" s="15" t="s">
        <v>188</v>
      </c>
      <c r="BV412" s="15"/>
      <c r="BW412" s="15"/>
      <c r="BX412" s="15">
        <v>2</v>
      </c>
      <c r="BY412" s="15">
        <v>1</v>
      </c>
      <c r="BZ412" s="15">
        <v>3</v>
      </c>
      <c r="CA412" s="15"/>
      <c r="CB412" s="15"/>
      <c r="CC412" s="15" t="s">
        <v>188</v>
      </c>
      <c r="CD412" s="15"/>
      <c r="CE412" s="15"/>
      <c r="CF412" s="15"/>
      <c r="CG412" s="15"/>
      <c r="CH412" s="15" t="s">
        <v>188</v>
      </c>
      <c r="CI412" s="15"/>
      <c r="CJ412" s="15"/>
      <c r="CK412" s="15" t="s">
        <v>188</v>
      </c>
      <c r="CL412" s="15"/>
      <c r="CM412" s="15"/>
      <c r="CN412" s="15"/>
      <c r="CO412" s="15"/>
      <c r="CP412" s="15" t="s">
        <v>193</v>
      </c>
      <c r="CQ412" s="15" t="s">
        <v>193</v>
      </c>
      <c r="CR412" s="15"/>
      <c r="CS412" s="15"/>
      <c r="CT412" s="15"/>
      <c r="CU412" s="15" t="s">
        <v>1193</v>
      </c>
      <c r="CV412" s="15"/>
      <c r="CW412" s="15"/>
      <c r="CX412" s="15" t="s">
        <v>188</v>
      </c>
      <c r="CY412" s="15"/>
      <c r="CZ412" s="3"/>
      <c r="DA412" s="49"/>
      <c r="DC412" s="18">
        <f t="shared" si="18"/>
        <v>0</v>
      </c>
      <c r="DD412" s="18">
        <f t="shared" si="19"/>
        <v>7</v>
      </c>
      <c r="DE412" s="18">
        <f t="shared" si="20"/>
        <v>2008</v>
      </c>
    </row>
    <row r="413" spans="1:109" x14ac:dyDescent="0.25">
      <c r="A413" s="60" t="s">
        <v>1322</v>
      </c>
      <c r="B413" s="103">
        <v>41567</v>
      </c>
      <c r="C413" s="105" t="s">
        <v>1573</v>
      </c>
      <c r="D413" s="14" t="s">
        <v>1194</v>
      </c>
      <c r="E413" s="15"/>
      <c r="F413" s="15"/>
      <c r="G413" s="15"/>
      <c r="H413" s="15" t="s">
        <v>188</v>
      </c>
      <c r="I413" s="15">
        <v>52</v>
      </c>
      <c r="J413" s="15" t="s">
        <v>189</v>
      </c>
      <c r="K413" s="15" t="s">
        <v>196</v>
      </c>
      <c r="L413" s="15" t="s">
        <v>410</v>
      </c>
      <c r="M413" s="15" t="s">
        <v>1026</v>
      </c>
      <c r="N413" s="15" t="s">
        <v>1084</v>
      </c>
      <c r="O413" s="15">
        <v>30</v>
      </c>
      <c r="P413" s="15"/>
      <c r="Q413" s="15"/>
      <c r="R413" s="15"/>
      <c r="S413" s="15" t="s">
        <v>188</v>
      </c>
      <c r="T413" s="15"/>
      <c r="U413" s="15" t="s">
        <v>188</v>
      </c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>
        <v>2008</v>
      </c>
      <c r="AI413" s="1">
        <v>525612</v>
      </c>
      <c r="AJ413" s="15"/>
      <c r="AK413" s="15"/>
      <c r="AL413" s="15" t="s">
        <v>188</v>
      </c>
      <c r="AM413" s="15"/>
      <c r="AN413" s="15"/>
      <c r="AO413" s="15"/>
      <c r="AP413" s="15" t="s">
        <v>188</v>
      </c>
      <c r="AQ413" s="15"/>
      <c r="AR413" s="15"/>
      <c r="AS413" s="15"/>
      <c r="AT413" s="15" t="s">
        <v>322</v>
      </c>
      <c r="AU413" s="1">
        <v>11000</v>
      </c>
      <c r="AV413" s="48">
        <v>0</v>
      </c>
      <c r="AW413" s="15">
        <v>2.8</v>
      </c>
      <c r="AX413" s="15">
        <v>2.5</v>
      </c>
      <c r="AY413" s="15">
        <v>2</v>
      </c>
      <c r="AZ413" s="15">
        <v>960</v>
      </c>
      <c r="BA413" s="15">
        <v>2500</v>
      </c>
      <c r="BB413" s="15" t="s">
        <v>188</v>
      </c>
      <c r="BC413" s="15" t="s">
        <v>188</v>
      </c>
      <c r="BD413" s="15" t="s">
        <v>199</v>
      </c>
      <c r="BE413" s="1">
        <v>22000</v>
      </c>
      <c r="BF413" s="1">
        <v>200000</v>
      </c>
      <c r="BG413" s="1">
        <v>44000</v>
      </c>
      <c r="BH413" s="1">
        <v>130000</v>
      </c>
      <c r="BI413" s="1" t="s">
        <v>193</v>
      </c>
      <c r="BJ413" s="15"/>
      <c r="BK413" s="15" t="s">
        <v>188</v>
      </c>
      <c r="BL413" s="15"/>
      <c r="BM413" s="15" t="s">
        <v>188</v>
      </c>
      <c r="BN413" s="15" t="s">
        <v>188</v>
      </c>
      <c r="BO413" s="15"/>
      <c r="BP413" s="15" t="s">
        <v>188</v>
      </c>
      <c r="BQ413" s="15"/>
      <c r="BR413" s="15"/>
      <c r="BS413" s="2"/>
      <c r="BT413" s="15"/>
      <c r="BU413" s="15" t="s">
        <v>188</v>
      </c>
      <c r="BV413" s="15"/>
      <c r="BW413" s="15"/>
      <c r="BX413" s="15">
        <v>1</v>
      </c>
      <c r="BY413" s="15">
        <v>3</v>
      </c>
      <c r="BZ413" s="15">
        <v>2</v>
      </c>
      <c r="CA413" s="15"/>
      <c r="CB413" s="15"/>
      <c r="CC413" s="15" t="s">
        <v>188</v>
      </c>
      <c r="CD413" s="15"/>
      <c r="CE413" s="15"/>
      <c r="CF413" s="15"/>
      <c r="CG413" s="15"/>
      <c r="CH413" s="15" t="s">
        <v>188</v>
      </c>
      <c r="CI413" s="15"/>
      <c r="CJ413" s="15"/>
      <c r="CK413" s="15" t="s">
        <v>188</v>
      </c>
      <c r="CL413" s="15"/>
      <c r="CM413" s="15"/>
      <c r="CN413" s="15"/>
      <c r="CO413" s="15"/>
      <c r="CP413" s="15" t="s">
        <v>193</v>
      </c>
      <c r="CQ413" s="15" t="s">
        <v>193</v>
      </c>
      <c r="CR413" s="15"/>
      <c r="CS413" s="15"/>
      <c r="CT413" s="15"/>
      <c r="CU413" s="15" t="s">
        <v>1193</v>
      </c>
      <c r="CV413" s="15" t="s">
        <v>188</v>
      </c>
      <c r="CW413" s="15" t="s">
        <v>832</v>
      </c>
      <c r="CX413" s="15"/>
      <c r="CY413" s="15"/>
      <c r="CZ413" s="3"/>
      <c r="DA413" s="49"/>
      <c r="DC413" s="18">
        <f t="shared" si="18"/>
        <v>0</v>
      </c>
      <c r="DD413" s="18">
        <f t="shared" si="19"/>
        <v>7</v>
      </c>
      <c r="DE413" s="18">
        <f t="shared" si="20"/>
        <v>2008</v>
      </c>
    </row>
    <row r="414" spans="1:109" x14ac:dyDescent="0.25">
      <c r="A414" s="60" t="s">
        <v>1322</v>
      </c>
      <c r="B414" s="103">
        <v>41567</v>
      </c>
      <c r="C414" s="105" t="s">
        <v>1573</v>
      </c>
      <c r="D414" s="14" t="s">
        <v>1195</v>
      </c>
      <c r="E414" s="15" t="s">
        <v>188</v>
      </c>
      <c r="F414" s="15"/>
      <c r="G414" s="15"/>
      <c r="H414" s="15"/>
      <c r="I414" s="15">
        <v>48</v>
      </c>
      <c r="J414" s="15" t="s">
        <v>189</v>
      </c>
      <c r="K414" s="15" t="s">
        <v>190</v>
      </c>
      <c r="L414" s="15" t="s">
        <v>197</v>
      </c>
      <c r="M414" s="15" t="s">
        <v>1006</v>
      </c>
      <c r="N414" s="15" t="s">
        <v>1006</v>
      </c>
      <c r="O414" s="15">
        <v>25</v>
      </c>
      <c r="P414" s="15"/>
      <c r="Q414" s="15"/>
      <c r="R414" s="15"/>
      <c r="S414" s="15" t="s">
        <v>188</v>
      </c>
      <c r="T414" s="15"/>
      <c r="U414" s="15" t="s">
        <v>188</v>
      </c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>
        <v>2005</v>
      </c>
      <c r="AI414" s="1">
        <v>731800</v>
      </c>
      <c r="AJ414" s="15"/>
      <c r="AK414" s="15"/>
      <c r="AL414" s="15" t="s">
        <v>188</v>
      </c>
      <c r="AM414" s="15"/>
      <c r="AN414" s="15"/>
      <c r="AO414" s="15"/>
      <c r="AP414" s="15" t="s">
        <v>188</v>
      </c>
      <c r="AQ414" s="15"/>
      <c r="AR414" s="15"/>
      <c r="AS414" s="15"/>
      <c r="AT414" s="15" t="s">
        <v>322</v>
      </c>
      <c r="AU414" s="1">
        <v>10000</v>
      </c>
      <c r="AV414" s="48">
        <v>0.05</v>
      </c>
      <c r="AW414" s="15">
        <v>2.7</v>
      </c>
      <c r="AX414" s="15">
        <v>2.5</v>
      </c>
      <c r="AY414" s="15">
        <v>2</v>
      </c>
      <c r="AZ414" s="15">
        <v>850</v>
      </c>
      <c r="BA414" s="15">
        <v>2200</v>
      </c>
      <c r="BB414" s="15" t="s">
        <v>188</v>
      </c>
      <c r="BC414" s="15" t="s">
        <v>199</v>
      </c>
      <c r="BD414" s="15" t="s">
        <v>199</v>
      </c>
      <c r="BE414" s="1">
        <v>20000</v>
      </c>
      <c r="BF414" s="1" t="s">
        <v>193</v>
      </c>
      <c r="BG414" s="1">
        <v>50000</v>
      </c>
      <c r="BH414" s="1">
        <v>120000</v>
      </c>
      <c r="BI414" s="1" t="s">
        <v>1196</v>
      </c>
      <c r="BJ414" s="15"/>
      <c r="BK414" s="15"/>
      <c r="BL414" s="15"/>
      <c r="BM414" s="15"/>
      <c r="BN414" s="15" t="s">
        <v>188</v>
      </c>
      <c r="BO414" s="15"/>
      <c r="BP414" s="15"/>
      <c r="BQ414" s="15"/>
      <c r="BR414" s="15"/>
      <c r="BS414" s="2"/>
      <c r="BT414" s="15" t="s">
        <v>188</v>
      </c>
      <c r="BU414" s="15"/>
      <c r="BV414" s="15"/>
      <c r="BW414" s="15"/>
      <c r="BX414" s="15">
        <v>3</v>
      </c>
      <c r="BY414" s="15">
        <v>1</v>
      </c>
      <c r="BZ414" s="15">
        <v>2</v>
      </c>
      <c r="CA414" s="15"/>
      <c r="CB414" s="15"/>
      <c r="CC414" s="15" t="s">
        <v>188</v>
      </c>
      <c r="CD414" s="15"/>
      <c r="CE414" s="15"/>
      <c r="CF414" s="15"/>
      <c r="CG414" s="15"/>
      <c r="CH414" s="15" t="s">
        <v>188</v>
      </c>
      <c r="CI414" s="15"/>
      <c r="CJ414" s="15"/>
      <c r="CK414" s="15" t="s">
        <v>188</v>
      </c>
      <c r="CL414" s="15"/>
      <c r="CM414" s="15"/>
      <c r="CN414" s="15"/>
      <c r="CO414" s="15"/>
      <c r="CP414" s="15" t="s">
        <v>193</v>
      </c>
      <c r="CQ414" s="15" t="s">
        <v>193</v>
      </c>
      <c r="CR414" s="15" t="s">
        <v>188</v>
      </c>
      <c r="CS414" s="15"/>
      <c r="CT414" s="15"/>
      <c r="CU414" s="15"/>
      <c r="CV414" s="15"/>
      <c r="CW414" s="15"/>
      <c r="CX414" s="15" t="s">
        <v>188</v>
      </c>
      <c r="CY414" s="15"/>
      <c r="CZ414" s="3"/>
      <c r="DA414" s="49"/>
      <c r="DC414" s="18">
        <f t="shared" si="18"/>
        <v>0</v>
      </c>
      <c r="DD414" s="18">
        <f t="shared" si="19"/>
        <v>1</v>
      </c>
      <c r="DE414" s="18">
        <f t="shared" si="20"/>
        <v>2005</v>
      </c>
    </row>
    <row r="415" spans="1:109" x14ac:dyDescent="0.25">
      <c r="A415" s="60" t="s">
        <v>1322</v>
      </c>
      <c r="B415" s="103">
        <v>41567</v>
      </c>
      <c r="C415" s="105" t="s">
        <v>1573</v>
      </c>
      <c r="D415" s="14" t="s">
        <v>1197</v>
      </c>
      <c r="E415" s="15"/>
      <c r="F415" s="15"/>
      <c r="G415" s="15"/>
      <c r="H415" s="15" t="s">
        <v>188</v>
      </c>
      <c r="I415" s="15">
        <v>56</v>
      </c>
      <c r="J415" s="15" t="s">
        <v>189</v>
      </c>
      <c r="K415" s="15" t="s">
        <v>190</v>
      </c>
      <c r="L415" s="15" t="s">
        <v>1198</v>
      </c>
      <c r="M415" s="15" t="s">
        <v>1199</v>
      </c>
      <c r="N415" s="15" t="s">
        <v>1090</v>
      </c>
      <c r="O415" s="15">
        <v>27</v>
      </c>
      <c r="P415" s="15"/>
      <c r="Q415" s="15"/>
      <c r="R415" s="15"/>
      <c r="S415" s="15" t="s">
        <v>188</v>
      </c>
      <c r="T415" s="15"/>
      <c r="U415" s="15"/>
      <c r="V415" s="15"/>
      <c r="W415" s="15"/>
      <c r="X415" s="15"/>
      <c r="Y415" s="15"/>
      <c r="Z415" s="15"/>
      <c r="AA415" s="15"/>
      <c r="AB415" s="15" t="s">
        <v>188</v>
      </c>
      <c r="AC415" s="15"/>
      <c r="AD415" s="15"/>
      <c r="AE415" s="15"/>
      <c r="AF415" s="15"/>
      <c r="AG415" s="15"/>
      <c r="AH415" s="15">
        <v>2005</v>
      </c>
      <c r="AI415" s="1">
        <v>836325</v>
      </c>
      <c r="AJ415" s="15"/>
      <c r="AK415" s="15"/>
      <c r="AL415" s="15" t="s">
        <v>188</v>
      </c>
      <c r="AM415" s="15"/>
      <c r="AN415" s="15"/>
      <c r="AO415" s="15"/>
      <c r="AP415" s="15" t="s">
        <v>188</v>
      </c>
      <c r="AQ415" s="15"/>
      <c r="AR415" s="15"/>
      <c r="AS415" s="15"/>
      <c r="AT415" s="15" t="s">
        <v>266</v>
      </c>
      <c r="AU415" s="1">
        <v>12000</v>
      </c>
      <c r="AV415" s="48">
        <v>0.5</v>
      </c>
      <c r="AW415" s="15">
        <v>1.9</v>
      </c>
      <c r="AX415" s="15">
        <v>1.6</v>
      </c>
      <c r="AY415" s="15">
        <v>3</v>
      </c>
      <c r="AZ415" s="15">
        <v>1200</v>
      </c>
      <c r="BA415" s="15">
        <v>2000</v>
      </c>
      <c r="BB415" s="15" t="s">
        <v>188</v>
      </c>
      <c r="BC415" s="15" t="s">
        <v>199</v>
      </c>
      <c r="BD415" s="15" t="s">
        <v>199</v>
      </c>
      <c r="BE415" s="1">
        <v>24000</v>
      </c>
      <c r="BF415" s="1">
        <v>200000</v>
      </c>
      <c r="BG415" s="1">
        <v>50000</v>
      </c>
      <c r="BH415" s="1" t="s">
        <v>193</v>
      </c>
      <c r="BI415" s="1" t="s">
        <v>193</v>
      </c>
      <c r="BJ415" s="15"/>
      <c r="BK415" s="15"/>
      <c r="BL415" s="15"/>
      <c r="BM415" s="15"/>
      <c r="BN415" s="15"/>
      <c r="BO415" s="15"/>
      <c r="BP415" s="15"/>
      <c r="BQ415" s="15"/>
      <c r="BR415" s="15"/>
      <c r="BS415" s="2" t="s">
        <v>837</v>
      </c>
      <c r="BT415" s="15"/>
      <c r="BU415" s="15" t="s">
        <v>188</v>
      </c>
      <c r="BV415" s="15"/>
      <c r="BW415" s="15"/>
      <c r="BX415" s="15">
        <v>1</v>
      </c>
      <c r="BY415" s="15">
        <v>2</v>
      </c>
      <c r="BZ415" s="15">
        <v>3</v>
      </c>
      <c r="CA415" s="15"/>
      <c r="CB415" s="15" t="s">
        <v>188</v>
      </c>
      <c r="CC415" s="15"/>
      <c r="CD415" s="15"/>
      <c r="CE415" s="15"/>
      <c r="CF415" s="15"/>
      <c r="CG415" s="15"/>
      <c r="CH415" s="15"/>
      <c r="CI415" s="15"/>
      <c r="CJ415" s="15"/>
      <c r="CK415" s="15" t="s">
        <v>188</v>
      </c>
      <c r="CL415" s="15"/>
      <c r="CM415" s="15"/>
      <c r="CN415" s="15"/>
      <c r="CO415" s="15"/>
      <c r="CP415" s="15" t="s">
        <v>193</v>
      </c>
      <c r="CQ415" s="15" t="s">
        <v>193</v>
      </c>
      <c r="CR415" s="15"/>
      <c r="CS415" s="15"/>
      <c r="CT415" s="15"/>
      <c r="CU415" s="15"/>
      <c r="CV415" s="15"/>
      <c r="CW415" s="15"/>
      <c r="CX415" s="15" t="s">
        <v>188</v>
      </c>
      <c r="CY415" s="15"/>
      <c r="CZ415" s="3"/>
      <c r="DA415" s="49"/>
      <c r="DC415" s="18">
        <f t="shared" si="18"/>
        <v>0</v>
      </c>
      <c r="DD415" s="18">
        <f t="shared" si="19"/>
        <v>7</v>
      </c>
      <c r="DE415" s="18">
        <f t="shared" si="20"/>
        <v>2005</v>
      </c>
    </row>
    <row r="416" spans="1:109" x14ac:dyDescent="0.25">
      <c r="A416" s="60" t="s">
        <v>1322</v>
      </c>
      <c r="B416" s="103">
        <v>41567</v>
      </c>
      <c r="C416" s="105" t="s">
        <v>1573</v>
      </c>
      <c r="D416" s="14" t="s">
        <v>1200</v>
      </c>
      <c r="E416" s="15"/>
      <c r="F416" s="15"/>
      <c r="G416" s="15"/>
      <c r="H416" s="15" t="s">
        <v>188</v>
      </c>
      <c r="I416" s="15">
        <v>52</v>
      </c>
      <c r="J416" s="15" t="s">
        <v>189</v>
      </c>
      <c r="K416" s="15" t="s">
        <v>190</v>
      </c>
      <c r="L416" s="15" t="s">
        <v>1198</v>
      </c>
      <c r="M416" s="15" t="s">
        <v>1199</v>
      </c>
      <c r="N416" s="15" t="s">
        <v>1090</v>
      </c>
      <c r="O416" s="15">
        <v>18</v>
      </c>
      <c r="P416" s="15"/>
      <c r="Q416" s="15"/>
      <c r="R416" s="15"/>
      <c r="S416" s="15" t="s">
        <v>188</v>
      </c>
      <c r="T416" s="15"/>
      <c r="U416" s="15"/>
      <c r="V416" s="15"/>
      <c r="W416" s="15"/>
      <c r="X416" s="15"/>
      <c r="Y416" s="15"/>
      <c r="Z416" s="15"/>
      <c r="AA416" s="15"/>
      <c r="AB416" s="15" t="s">
        <v>188</v>
      </c>
      <c r="AC416" s="15"/>
      <c r="AD416" s="15"/>
      <c r="AE416" s="15"/>
      <c r="AF416" s="15"/>
      <c r="AG416" s="15"/>
      <c r="AH416" s="15">
        <v>2003</v>
      </c>
      <c r="AI416" s="1" t="s">
        <v>193</v>
      </c>
      <c r="AJ416" s="15"/>
      <c r="AK416" s="15"/>
      <c r="AL416" s="15" t="s">
        <v>188</v>
      </c>
      <c r="AM416" s="15"/>
      <c r="AN416" s="15"/>
      <c r="AO416" s="15"/>
      <c r="AP416" s="15" t="s">
        <v>188</v>
      </c>
      <c r="AQ416" s="15"/>
      <c r="AR416" s="15"/>
      <c r="AS416" s="15"/>
      <c r="AT416" s="15" t="s">
        <v>266</v>
      </c>
      <c r="AU416" s="1">
        <v>12000</v>
      </c>
      <c r="AV416" s="48">
        <v>0.5</v>
      </c>
      <c r="AW416" s="15">
        <v>1.9</v>
      </c>
      <c r="AX416" s="15">
        <v>1.6</v>
      </c>
      <c r="AY416" s="15">
        <v>3</v>
      </c>
      <c r="AZ416" s="15">
        <v>1100</v>
      </c>
      <c r="BA416" s="15">
        <v>2000</v>
      </c>
      <c r="BB416" s="15" t="s">
        <v>188</v>
      </c>
      <c r="BC416" s="15" t="s">
        <v>188</v>
      </c>
      <c r="BD416" s="15" t="s">
        <v>199</v>
      </c>
      <c r="BE416" s="1">
        <v>24000</v>
      </c>
      <c r="BF416" s="1" t="s">
        <v>193</v>
      </c>
      <c r="BG416" s="1">
        <v>50000</v>
      </c>
      <c r="BH416" s="1" t="s">
        <v>193</v>
      </c>
      <c r="BI416" s="1" t="s">
        <v>193</v>
      </c>
      <c r="BJ416" s="15"/>
      <c r="BK416" s="15"/>
      <c r="BL416" s="15"/>
      <c r="BM416" s="15"/>
      <c r="BN416" s="15"/>
      <c r="BO416" s="15"/>
      <c r="BP416" s="15"/>
      <c r="BQ416" s="15"/>
      <c r="BR416" s="15"/>
      <c r="BS416" s="2" t="s">
        <v>837</v>
      </c>
      <c r="BT416" s="15"/>
      <c r="BU416" s="15" t="s">
        <v>188</v>
      </c>
      <c r="BV416" s="15"/>
      <c r="BW416" s="15"/>
      <c r="BX416" s="15">
        <v>1</v>
      </c>
      <c r="BY416" s="15">
        <v>2</v>
      </c>
      <c r="BZ416" s="15">
        <v>3</v>
      </c>
      <c r="CA416" s="15"/>
      <c r="CB416" s="15" t="s">
        <v>188</v>
      </c>
      <c r="CC416" s="15"/>
      <c r="CD416" s="15"/>
      <c r="CE416" s="15"/>
      <c r="CF416" s="15"/>
      <c r="CG416" s="15"/>
      <c r="CH416" s="15"/>
      <c r="CI416" s="15"/>
      <c r="CJ416" s="15"/>
      <c r="CK416" s="15" t="s">
        <v>188</v>
      </c>
      <c r="CL416" s="15"/>
      <c r="CM416" s="15"/>
      <c r="CN416" s="15"/>
      <c r="CO416" s="15"/>
      <c r="CP416" s="15" t="s">
        <v>193</v>
      </c>
      <c r="CQ416" s="15" t="s">
        <v>193</v>
      </c>
      <c r="CR416" s="15" t="s">
        <v>188</v>
      </c>
      <c r="CS416" s="15"/>
      <c r="CT416" s="15"/>
      <c r="CU416" s="15"/>
      <c r="CV416" s="15"/>
      <c r="CW416" s="15"/>
      <c r="CX416" s="15"/>
      <c r="CY416" s="15" t="s">
        <v>188</v>
      </c>
      <c r="CZ416" s="3"/>
      <c r="DA416" s="49"/>
      <c r="DC416" s="18">
        <f t="shared" si="18"/>
        <v>0</v>
      </c>
      <c r="DD416" s="18">
        <f t="shared" si="19"/>
        <v>7</v>
      </c>
      <c r="DE416" s="18">
        <f t="shared" si="20"/>
        <v>2003</v>
      </c>
    </row>
    <row r="417" spans="1:109" x14ac:dyDescent="0.25">
      <c r="A417" s="60" t="s">
        <v>1322</v>
      </c>
      <c r="B417" s="103">
        <v>41567</v>
      </c>
      <c r="C417" s="105" t="s">
        <v>1573</v>
      </c>
      <c r="D417" s="14" t="s">
        <v>1201</v>
      </c>
      <c r="E417" s="15"/>
      <c r="F417" s="15"/>
      <c r="G417" s="15" t="s">
        <v>188</v>
      </c>
      <c r="H417" s="15"/>
      <c r="I417" s="15">
        <v>40</v>
      </c>
      <c r="J417" s="15" t="s">
        <v>189</v>
      </c>
      <c r="K417" s="15" t="s">
        <v>190</v>
      </c>
      <c r="L417" s="15" t="s">
        <v>1202</v>
      </c>
      <c r="M417" s="15" t="s">
        <v>1203</v>
      </c>
      <c r="N417" s="15" t="s">
        <v>1142</v>
      </c>
      <c r="O417" s="15">
        <v>20</v>
      </c>
      <c r="P417" s="15"/>
      <c r="Q417" s="15"/>
      <c r="R417" s="15"/>
      <c r="S417" s="15" t="s">
        <v>188</v>
      </c>
      <c r="T417" s="15"/>
      <c r="U417" s="15"/>
      <c r="V417" s="15"/>
      <c r="W417" s="15"/>
      <c r="X417" s="15"/>
      <c r="Y417" s="15"/>
      <c r="Z417" s="15"/>
      <c r="AA417" s="15"/>
      <c r="AB417" s="15" t="s">
        <v>188</v>
      </c>
      <c r="AC417" s="15"/>
      <c r="AD417" s="15"/>
      <c r="AE417" s="15"/>
      <c r="AF417" s="15"/>
      <c r="AG417" s="15"/>
      <c r="AH417" s="15">
        <v>2007</v>
      </c>
      <c r="AI417" s="1">
        <v>590783</v>
      </c>
      <c r="AJ417" s="15"/>
      <c r="AK417" s="15"/>
      <c r="AL417" s="15" t="s">
        <v>188</v>
      </c>
      <c r="AM417" s="15"/>
      <c r="AN417" s="15"/>
      <c r="AO417" s="15"/>
      <c r="AP417" s="15" t="s">
        <v>188</v>
      </c>
      <c r="AQ417" s="15"/>
      <c r="AR417" s="15"/>
      <c r="AS417" s="15"/>
      <c r="AT417" s="15" t="s">
        <v>322</v>
      </c>
      <c r="AU417" s="1">
        <v>10000</v>
      </c>
      <c r="AV417" s="48">
        <v>0.5</v>
      </c>
      <c r="AW417" s="15">
        <v>1.9</v>
      </c>
      <c r="AX417" s="15">
        <v>1.4</v>
      </c>
      <c r="AY417" s="15">
        <v>2</v>
      </c>
      <c r="AZ417" s="15">
        <v>830</v>
      </c>
      <c r="BA417" s="15">
        <v>1500</v>
      </c>
      <c r="BB417" s="15" t="s">
        <v>188</v>
      </c>
      <c r="BC417" s="15" t="s">
        <v>188</v>
      </c>
      <c r="BD417" s="15" t="s">
        <v>199</v>
      </c>
      <c r="BE417" s="1">
        <v>20000</v>
      </c>
      <c r="BF417" s="1">
        <v>240000</v>
      </c>
      <c r="BG417" s="1">
        <v>40000</v>
      </c>
      <c r="BH417" s="1">
        <v>120000</v>
      </c>
      <c r="BI417" s="1" t="s">
        <v>193</v>
      </c>
      <c r="BJ417" s="15"/>
      <c r="BK417" s="15"/>
      <c r="BL417" s="15"/>
      <c r="BM417" s="15" t="s">
        <v>188</v>
      </c>
      <c r="BN417" s="15"/>
      <c r="BO417" s="15"/>
      <c r="BP417" s="15"/>
      <c r="BQ417" s="15"/>
      <c r="BR417" s="15"/>
      <c r="BS417" s="2"/>
      <c r="BT417" s="15"/>
      <c r="BU417" s="15" t="s">
        <v>188</v>
      </c>
      <c r="BV417" s="15"/>
      <c r="BW417" s="15"/>
      <c r="BX417" s="15">
        <v>3</v>
      </c>
      <c r="BY417" s="15">
        <v>1</v>
      </c>
      <c r="BZ417" s="15">
        <v>2</v>
      </c>
      <c r="CA417" s="15"/>
      <c r="CB417" s="15" t="s">
        <v>188</v>
      </c>
      <c r="CC417" s="15"/>
      <c r="CD417" s="15"/>
      <c r="CE417" s="15"/>
      <c r="CF417" s="15"/>
      <c r="CG417" s="15"/>
      <c r="CH417" s="15"/>
      <c r="CI417" s="15"/>
      <c r="CJ417" s="15"/>
      <c r="CK417" s="15" t="s">
        <v>188</v>
      </c>
      <c r="CL417" s="15"/>
      <c r="CM417" s="15"/>
      <c r="CN417" s="15"/>
      <c r="CO417" s="15"/>
      <c r="CP417" s="15" t="s">
        <v>193</v>
      </c>
      <c r="CQ417" s="15" t="s">
        <v>193</v>
      </c>
      <c r="CR417" s="15" t="s">
        <v>188</v>
      </c>
      <c r="CS417" s="15"/>
      <c r="CT417" s="15"/>
      <c r="CU417" s="15"/>
      <c r="CV417" s="15"/>
      <c r="CW417" s="15"/>
      <c r="CX417" s="15" t="s">
        <v>188</v>
      </c>
      <c r="CY417" s="15"/>
      <c r="CZ417" s="3"/>
      <c r="DA417" s="49"/>
      <c r="DC417" s="18">
        <f t="shared" si="18"/>
        <v>0</v>
      </c>
      <c r="DD417" s="18">
        <f t="shared" si="19"/>
        <v>3</v>
      </c>
      <c r="DE417" s="18">
        <f t="shared" si="20"/>
        <v>2007</v>
      </c>
    </row>
    <row r="418" spans="1:109" x14ac:dyDescent="0.25">
      <c r="A418" s="65" t="s">
        <v>1326</v>
      </c>
      <c r="B418" s="103">
        <v>41568</v>
      </c>
      <c r="C418" s="106" t="s">
        <v>1575</v>
      </c>
      <c r="D418" s="14" t="s">
        <v>1204</v>
      </c>
      <c r="E418" s="15"/>
      <c r="F418" s="15"/>
      <c r="G418" s="15" t="s">
        <v>188</v>
      </c>
      <c r="H418" s="15"/>
      <c r="I418" s="15">
        <v>27</v>
      </c>
      <c r="J418" s="15" t="s">
        <v>189</v>
      </c>
      <c r="K418" s="15" t="s">
        <v>190</v>
      </c>
      <c r="L418" s="15" t="s">
        <v>1198</v>
      </c>
      <c r="M418" s="15" t="s">
        <v>1199</v>
      </c>
      <c r="N418" s="15" t="s">
        <v>1090</v>
      </c>
      <c r="O418" s="15">
        <v>10</v>
      </c>
      <c r="P418" s="15"/>
      <c r="Q418" s="15" t="s">
        <v>188</v>
      </c>
      <c r="R418" s="15"/>
      <c r="S418" s="15"/>
      <c r="T418" s="15"/>
      <c r="U418" s="15"/>
      <c r="V418" s="15"/>
      <c r="W418" s="15"/>
      <c r="X418" s="15"/>
      <c r="Y418" s="15" t="s">
        <v>188</v>
      </c>
      <c r="Z418" s="15"/>
      <c r="AA418" s="15"/>
      <c r="AB418" s="15"/>
      <c r="AC418" s="15"/>
      <c r="AD418" s="15"/>
      <c r="AE418" s="15"/>
      <c r="AF418" s="15"/>
      <c r="AG418" s="15"/>
      <c r="AH418" s="15">
        <v>2001</v>
      </c>
      <c r="AI418" s="1" t="s">
        <v>193</v>
      </c>
      <c r="AJ418" s="15"/>
      <c r="AK418" s="15"/>
      <c r="AL418" s="15" t="s">
        <v>188</v>
      </c>
      <c r="AM418" s="15"/>
      <c r="AN418" s="15"/>
      <c r="AO418" s="15" t="s">
        <v>188</v>
      </c>
      <c r="AP418" s="15"/>
      <c r="AQ418" s="15"/>
      <c r="AR418" s="15"/>
      <c r="AS418" s="15"/>
      <c r="AT418" s="15" t="s">
        <v>322</v>
      </c>
      <c r="AU418" s="1">
        <v>8000</v>
      </c>
      <c r="AV418" s="48">
        <v>0.5</v>
      </c>
      <c r="AW418" s="15">
        <v>3.2</v>
      </c>
      <c r="AX418" s="15">
        <v>2.9</v>
      </c>
      <c r="AY418" s="15">
        <v>2</v>
      </c>
      <c r="AZ418" s="15">
        <v>870</v>
      </c>
      <c r="BA418" s="15">
        <v>2700</v>
      </c>
      <c r="BB418" s="15" t="s">
        <v>188</v>
      </c>
      <c r="BC418" s="15" t="s">
        <v>188</v>
      </c>
      <c r="BD418" s="15" t="s">
        <v>199</v>
      </c>
      <c r="BE418" s="1">
        <v>20000</v>
      </c>
      <c r="BF418" s="1" t="s">
        <v>193</v>
      </c>
      <c r="BG418" s="1">
        <v>60000</v>
      </c>
      <c r="BH418" s="1" t="s">
        <v>193</v>
      </c>
      <c r="BI418" s="1" t="s">
        <v>193</v>
      </c>
      <c r="BJ418" s="15"/>
      <c r="BK418" s="15"/>
      <c r="BL418" s="15"/>
      <c r="BM418" s="15"/>
      <c r="BN418" s="15"/>
      <c r="BO418" s="15"/>
      <c r="BP418" s="15"/>
      <c r="BQ418" s="15"/>
      <c r="BR418" s="15" t="s">
        <v>188</v>
      </c>
      <c r="BS418" s="2"/>
      <c r="BT418" s="15"/>
      <c r="BU418" s="15"/>
      <c r="BV418" s="15" t="s">
        <v>188</v>
      </c>
      <c r="BW418" s="15"/>
      <c r="BX418" s="15">
        <v>1</v>
      </c>
      <c r="BY418" s="15">
        <v>2</v>
      </c>
      <c r="BZ418" s="15">
        <v>3</v>
      </c>
      <c r="CA418" s="15"/>
      <c r="CB418" s="15" t="s">
        <v>188</v>
      </c>
      <c r="CC418" s="15"/>
      <c r="CD418" s="15"/>
      <c r="CE418" s="15"/>
      <c r="CF418" s="15"/>
      <c r="CG418" s="15"/>
      <c r="CH418" s="15"/>
      <c r="CI418" s="15"/>
      <c r="CJ418" s="15"/>
      <c r="CK418" s="15" t="s">
        <v>188</v>
      </c>
      <c r="CL418" s="15"/>
      <c r="CM418" s="15"/>
      <c r="CN418" s="15"/>
      <c r="CO418" s="15"/>
      <c r="CP418" s="15" t="s">
        <v>193</v>
      </c>
      <c r="CQ418" s="15" t="s">
        <v>193</v>
      </c>
      <c r="CR418" s="15" t="s">
        <v>188</v>
      </c>
      <c r="CS418" s="15"/>
      <c r="CT418" s="15"/>
      <c r="CU418" s="15"/>
      <c r="CV418" s="15"/>
      <c r="CW418" s="15"/>
      <c r="CX418" s="15"/>
      <c r="CY418" s="15" t="s">
        <v>188</v>
      </c>
      <c r="CZ418" s="3"/>
      <c r="DA418" s="49"/>
      <c r="DC418" s="18">
        <f t="shared" si="18"/>
        <v>0</v>
      </c>
      <c r="DD418" s="18">
        <f t="shared" si="19"/>
        <v>3</v>
      </c>
      <c r="DE418" s="18">
        <f t="shared" si="20"/>
        <v>2001</v>
      </c>
    </row>
    <row r="419" spans="1:109" x14ac:dyDescent="0.25">
      <c r="A419" s="65" t="s">
        <v>1326</v>
      </c>
      <c r="B419" s="103">
        <v>41568</v>
      </c>
      <c r="C419" s="106" t="s">
        <v>1575</v>
      </c>
      <c r="D419" s="14" t="s">
        <v>1205</v>
      </c>
      <c r="E419" s="15"/>
      <c r="F419" s="15"/>
      <c r="G419" s="15"/>
      <c r="H419" s="15" t="s">
        <v>188</v>
      </c>
      <c r="I419" s="15">
        <v>36</v>
      </c>
      <c r="J419" s="15" t="s">
        <v>189</v>
      </c>
      <c r="K419" s="15" t="s">
        <v>196</v>
      </c>
      <c r="L419" s="15" t="s">
        <v>1230</v>
      </c>
      <c r="M419" s="15" t="s">
        <v>1231</v>
      </c>
      <c r="N419" s="15" t="s">
        <v>1133</v>
      </c>
      <c r="O419" s="15">
        <v>15</v>
      </c>
      <c r="P419" s="15"/>
      <c r="Q419" s="15"/>
      <c r="R419" s="15"/>
      <c r="S419" s="15" t="s">
        <v>188</v>
      </c>
      <c r="T419" s="15"/>
      <c r="U419" s="15" t="s">
        <v>188</v>
      </c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>
        <v>2002</v>
      </c>
      <c r="AI419" s="1">
        <v>1123601</v>
      </c>
      <c r="AJ419" s="15"/>
      <c r="AK419" s="15"/>
      <c r="AL419" s="15" t="s">
        <v>188</v>
      </c>
      <c r="AM419" s="15"/>
      <c r="AN419" s="15"/>
      <c r="AO419" s="15"/>
      <c r="AP419" s="15" t="s">
        <v>188</v>
      </c>
      <c r="AQ419" s="15"/>
      <c r="AR419" s="15"/>
      <c r="AS419" s="15"/>
      <c r="AT419" s="15" t="s">
        <v>322</v>
      </c>
      <c r="AU419" s="1">
        <v>12000</v>
      </c>
      <c r="AV419" s="48">
        <v>0.5</v>
      </c>
      <c r="AW419" s="15">
        <v>2.7</v>
      </c>
      <c r="AX419" s="15">
        <v>2.4</v>
      </c>
      <c r="AY419" s="15">
        <v>2</v>
      </c>
      <c r="AZ419" s="15">
        <v>800</v>
      </c>
      <c r="BA419" s="15">
        <v>2000</v>
      </c>
      <c r="BB419" s="15" t="s">
        <v>188</v>
      </c>
      <c r="BC419" s="15" t="s">
        <v>188</v>
      </c>
      <c r="BD419" s="15" t="s">
        <v>199</v>
      </c>
      <c r="BE419" s="1">
        <v>20000</v>
      </c>
      <c r="BF419" s="1">
        <v>200000</v>
      </c>
      <c r="BG419" s="1">
        <v>40000</v>
      </c>
      <c r="BH419" s="1">
        <v>150000</v>
      </c>
      <c r="BI419" s="1" t="s">
        <v>193</v>
      </c>
      <c r="BJ419" s="15"/>
      <c r="BK419" s="15"/>
      <c r="BL419" s="15"/>
      <c r="BM419" s="15"/>
      <c r="BN419" s="15" t="s">
        <v>188</v>
      </c>
      <c r="BO419" s="15"/>
      <c r="BP419" s="15"/>
      <c r="BQ419" s="15"/>
      <c r="BR419" s="15"/>
      <c r="BS419" s="2"/>
      <c r="BT419" s="15"/>
      <c r="BU419" s="15"/>
      <c r="BV419" s="15" t="s">
        <v>188</v>
      </c>
      <c r="BW419" s="15"/>
      <c r="BX419" s="15">
        <v>1</v>
      </c>
      <c r="BY419" s="15">
        <v>2</v>
      </c>
      <c r="BZ419" s="15">
        <v>3</v>
      </c>
      <c r="CA419" s="15"/>
      <c r="CB419" s="15"/>
      <c r="CC419" s="15" t="s">
        <v>188</v>
      </c>
      <c r="CD419" s="15"/>
      <c r="CE419" s="15"/>
      <c r="CF419" s="15"/>
      <c r="CG419" s="15"/>
      <c r="CH419" s="15" t="s">
        <v>188</v>
      </c>
      <c r="CI419" s="15"/>
      <c r="CJ419" s="15"/>
      <c r="CK419" s="15" t="s">
        <v>188</v>
      </c>
      <c r="CL419" s="15"/>
      <c r="CM419" s="15"/>
      <c r="CN419" s="15"/>
      <c r="CO419" s="15"/>
      <c r="CP419" s="15" t="s">
        <v>193</v>
      </c>
      <c r="CQ419" s="15" t="s">
        <v>193</v>
      </c>
      <c r="CR419" s="15"/>
      <c r="CS419" s="15" t="s">
        <v>188</v>
      </c>
      <c r="CT419" s="15"/>
      <c r="CU419" s="15"/>
      <c r="CV419" s="15"/>
      <c r="CW419" s="15"/>
      <c r="CX419" s="15"/>
      <c r="CY419" s="15" t="s">
        <v>188</v>
      </c>
      <c r="CZ419" s="3"/>
      <c r="DA419" s="49"/>
      <c r="DC419" s="18">
        <f t="shared" si="18"/>
        <v>0</v>
      </c>
      <c r="DD419" s="18">
        <f t="shared" si="19"/>
        <v>7</v>
      </c>
      <c r="DE419" s="18">
        <f t="shared" si="20"/>
        <v>2002</v>
      </c>
    </row>
    <row r="420" spans="1:109" x14ac:dyDescent="0.25">
      <c r="A420" s="65" t="s">
        <v>1326</v>
      </c>
      <c r="B420" s="103">
        <v>41568</v>
      </c>
      <c r="C420" s="106" t="s">
        <v>1575</v>
      </c>
      <c r="D420" s="14" t="s">
        <v>1206</v>
      </c>
      <c r="E420" s="15"/>
      <c r="F420" s="15" t="s">
        <v>188</v>
      </c>
      <c r="G420" s="15"/>
      <c r="H420" s="15"/>
      <c r="I420" s="15">
        <v>24</v>
      </c>
      <c r="J420" s="15" t="s">
        <v>189</v>
      </c>
      <c r="K420" s="15" t="s">
        <v>190</v>
      </c>
      <c r="L420" s="15" t="s">
        <v>819</v>
      </c>
      <c r="M420" s="15" t="s">
        <v>1109</v>
      </c>
      <c r="N420" s="15" t="s">
        <v>1106</v>
      </c>
      <c r="O420" s="15">
        <v>3</v>
      </c>
      <c r="P420" s="15"/>
      <c r="Q420" s="15"/>
      <c r="R420" s="15"/>
      <c r="S420" s="15" t="s">
        <v>188</v>
      </c>
      <c r="T420" s="15"/>
      <c r="U420" s="15" t="s">
        <v>188</v>
      </c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>
        <v>2003</v>
      </c>
      <c r="AI420" s="1">
        <v>863120</v>
      </c>
      <c r="AJ420" s="15"/>
      <c r="AK420" s="15"/>
      <c r="AL420" s="15" t="s">
        <v>188</v>
      </c>
      <c r="AM420" s="15"/>
      <c r="AN420" s="15"/>
      <c r="AO420" s="15" t="s">
        <v>188</v>
      </c>
      <c r="AP420" s="15"/>
      <c r="AQ420" s="15"/>
      <c r="AR420" s="15"/>
      <c r="AS420" s="15"/>
      <c r="AT420" s="15" t="s">
        <v>322</v>
      </c>
      <c r="AU420" s="1">
        <v>9000</v>
      </c>
      <c r="AV420" s="48">
        <v>0.1</v>
      </c>
      <c r="AW420" s="15">
        <v>2.7</v>
      </c>
      <c r="AX420" s="15">
        <v>2.4</v>
      </c>
      <c r="AY420" s="15">
        <v>2</v>
      </c>
      <c r="AZ420" s="15">
        <v>850</v>
      </c>
      <c r="BA420" s="15">
        <v>2200</v>
      </c>
      <c r="BB420" s="15" t="s">
        <v>188</v>
      </c>
      <c r="BC420" s="15" t="s">
        <v>199</v>
      </c>
      <c r="BD420" s="15" t="s">
        <v>199</v>
      </c>
      <c r="BE420" s="1">
        <v>20000</v>
      </c>
      <c r="BF420" s="1" t="s">
        <v>193</v>
      </c>
      <c r="BG420" s="1">
        <v>60000</v>
      </c>
      <c r="BH420" s="1" t="s">
        <v>193</v>
      </c>
      <c r="BI420" s="1" t="s">
        <v>193</v>
      </c>
      <c r="BJ420" s="15"/>
      <c r="BK420" s="15"/>
      <c r="BL420" s="15"/>
      <c r="BM420" s="15"/>
      <c r="BN420" s="15"/>
      <c r="BO420" s="15"/>
      <c r="BP420" s="15" t="s">
        <v>188</v>
      </c>
      <c r="BQ420" s="15"/>
      <c r="BR420" s="15"/>
      <c r="BS420" s="2"/>
      <c r="BT420" s="15"/>
      <c r="BU420" s="15"/>
      <c r="BV420" s="15" t="s">
        <v>188</v>
      </c>
      <c r="BW420" s="15"/>
      <c r="BX420" s="15">
        <v>1</v>
      </c>
      <c r="BY420" s="15">
        <v>3</v>
      </c>
      <c r="BZ420" s="15">
        <v>2</v>
      </c>
      <c r="CA420" s="15"/>
      <c r="CB420" s="15" t="s">
        <v>188</v>
      </c>
      <c r="CC420" s="15"/>
      <c r="CD420" s="15"/>
      <c r="CE420" s="15"/>
      <c r="CF420" s="15"/>
      <c r="CG420" s="15"/>
      <c r="CH420" s="15"/>
      <c r="CI420" s="15"/>
      <c r="CJ420" s="15"/>
      <c r="CK420" s="15" t="s">
        <v>188</v>
      </c>
      <c r="CL420" s="15"/>
      <c r="CM420" s="15"/>
      <c r="CN420" s="15"/>
      <c r="CO420" s="15"/>
      <c r="CP420" s="15" t="s">
        <v>193</v>
      </c>
      <c r="CQ420" s="15" t="s">
        <v>193</v>
      </c>
      <c r="CR420" s="15" t="s">
        <v>188</v>
      </c>
      <c r="CS420" s="15"/>
      <c r="CT420" s="15"/>
      <c r="CU420" s="15"/>
      <c r="CV420" s="15"/>
      <c r="CW420" s="15"/>
      <c r="CX420" s="15"/>
      <c r="CY420" s="15" t="s">
        <v>188</v>
      </c>
      <c r="CZ420" s="3"/>
      <c r="DA420" s="49"/>
      <c r="DC420" s="18">
        <f t="shared" si="18"/>
        <v>0</v>
      </c>
      <c r="DD420" s="18">
        <f t="shared" si="19"/>
        <v>2</v>
      </c>
      <c r="DE420" s="18">
        <f t="shared" si="20"/>
        <v>2003</v>
      </c>
    </row>
    <row r="421" spans="1:109" x14ac:dyDescent="0.25">
      <c r="A421" s="65" t="s">
        <v>1326</v>
      </c>
      <c r="B421" s="103">
        <v>41568</v>
      </c>
      <c r="C421" s="106" t="s">
        <v>1575</v>
      </c>
      <c r="D421" s="14" t="s">
        <v>1207</v>
      </c>
      <c r="E421" s="15"/>
      <c r="F421" s="15"/>
      <c r="G421" s="15" t="s">
        <v>188</v>
      </c>
      <c r="H421" s="15"/>
      <c r="I421" s="15">
        <v>40</v>
      </c>
      <c r="J421" s="15" t="s">
        <v>189</v>
      </c>
      <c r="K421" s="15" t="s">
        <v>190</v>
      </c>
      <c r="L421" s="15" t="s">
        <v>1232</v>
      </c>
      <c r="M421" s="15" t="s">
        <v>1233</v>
      </c>
      <c r="N421" s="15" t="s">
        <v>1150</v>
      </c>
      <c r="O421" s="15">
        <v>17</v>
      </c>
      <c r="P421" s="15"/>
      <c r="Q421" s="15"/>
      <c r="R421" s="15"/>
      <c r="S421" s="15" t="s">
        <v>188</v>
      </c>
      <c r="T421" s="15"/>
      <c r="U421" s="15" t="s">
        <v>188</v>
      </c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>
        <v>1998</v>
      </c>
      <c r="AI421" s="1" t="s">
        <v>193</v>
      </c>
      <c r="AJ421" s="15"/>
      <c r="AK421" s="15"/>
      <c r="AL421" s="15" t="s">
        <v>188</v>
      </c>
      <c r="AM421" s="15"/>
      <c r="AN421" s="15"/>
      <c r="AO421" s="15"/>
      <c r="AP421" s="15" t="s">
        <v>188</v>
      </c>
      <c r="AQ421" s="15"/>
      <c r="AR421" s="15"/>
      <c r="AS421" s="15"/>
      <c r="AT421" s="15" t="s">
        <v>322</v>
      </c>
      <c r="AU421" s="1">
        <v>10000</v>
      </c>
      <c r="AV421" s="48">
        <v>0.1</v>
      </c>
      <c r="AW421" s="15">
        <v>2.7</v>
      </c>
      <c r="AX421" s="15">
        <v>2.5</v>
      </c>
      <c r="AY421" s="15">
        <v>2</v>
      </c>
      <c r="AZ421" s="15">
        <v>920</v>
      </c>
      <c r="BA421" s="15">
        <v>2400</v>
      </c>
      <c r="BB421" s="15" t="s">
        <v>188</v>
      </c>
      <c r="BC421" s="15" t="s">
        <v>188</v>
      </c>
      <c r="BD421" s="15" t="s">
        <v>199</v>
      </c>
      <c r="BE421" s="1">
        <v>18000</v>
      </c>
      <c r="BF421" s="1" t="s">
        <v>193</v>
      </c>
      <c r="BG421" s="1">
        <v>36000</v>
      </c>
      <c r="BH421" s="1" t="s">
        <v>193</v>
      </c>
      <c r="BI421" s="1" t="s">
        <v>193</v>
      </c>
      <c r="BJ421" s="15"/>
      <c r="BK421" s="15"/>
      <c r="BL421" s="15"/>
      <c r="BM421" s="15"/>
      <c r="BN421" s="15" t="s">
        <v>188</v>
      </c>
      <c r="BO421" s="15"/>
      <c r="BP421" s="15" t="s">
        <v>188</v>
      </c>
      <c r="BQ421" s="15"/>
      <c r="BR421" s="15"/>
      <c r="BS421" s="2"/>
      <c r="BT421" s="15"/>
      <c r="BU421" s="15" t="s">
        <v>188</v>
      </c>
      <c r="BV421" s="15"/>
      <c r="BW421" s="15"/>
      <c r="BX421" s="15">
        <v>1</v>
      </c>
      <c r="BY421" s="15">
        <v>3</v>
      </c>
      <c r="BZ421" s="15">
        <v>2</v>
      </c>
      <c r="CA421" s="15"/>
      <c r="CB421" s="15" t="s">
        <v>188</v>
      </c>
      <c r="CC421" s="15"/>
      <c r="CD421" s="15"/>
      <c r="CE421" s="15"/>
      <c r="CF421" s="15"/>
      <c r="CG421" s="15"/>
      <c r="CH421" s="15"/>
      <c r="CI421" s="15"/>
      <c r="CJ421" s="15"/>
      <c r="CK421" s="15" t="s">
        <v>188</v>
      </c>
      <c r="CL421" s="15"/>
      <c r="CM421" s="15"/>
      <c r="CN421" s="15"/>
      <c r="CO421" s="15"/>
      <c r="CP421" s="15" t="s">
        <v>193</v>
      </c>
      <c r="CQ421" s="15" t="s">
        <v>193</v>
      </c>
      <c r="CR421" s="15" t="s">
        <v>188</v>
      </c>
      <c r="CS421" s="15"/>
      <c r="CT421" s="15"/>
      <c r="CU421" s="15"/>
      <c r="CV421" s="15"/>
      <c r="CW421" s="15"/>
      <c r="CX421" s="15"/>
      <c r="CY421" s="15" t="s">
        <v>188</v>
      </c>
      <c r="CZ421" s="3"/>
      <c r="DA421" s="49"/>
      <c r="DC421" s="18">
        <f t="shared" si="18"/>
        <v>0</v>
      </c>
      <c r="DD421" s="18">
        <f t="shared" si="19"/>
        <v>3</v>
      </c>
      <c r="DE421" s="18">
        <f t="shared" si="20"/>
        <v>1998</v>
      </c>
    </row>
    <row r="422" spans="1:109" x14ac:dyDescent="0.25">
      <c r="A422" s="65" t="s">
        <v>1326</v>
      </c>
      <c r="B422" s="103">
        <v>41568</v>
      </c>
      <c r="C422" s="106" t="s">
        <v>1575</v>
      </c>
      <c r="D422" s="14" t="s">
        <v>1208</v>
      </c>
      <c r="E422" s="15"/>
      <c r="F422" s="15"/>
      <c r="G422" s="15" t="s">
        <v>188</v>
      </c>
      <c r="H422" s="15"/>
      <c r="I422" s="15">
        <v>37</v>
      </c>
      <c r="J422" s="15" t="s">
        <v>189</v>
      </c>
      <c r="K422" s="15" t="s">
        <v>196</v>
      </c>
      <c r="L422" s="15" t="s">
        <v>842</v>
      </c>
      <c r="M422" s="15" t="s">
        <v>1118</v>
      </c>
      <c r="N422" s="15" t="s">
        <v>1118</v>
      </c>
      <c r="O422" s="15">
        <v>15</v>
      </c>
      <c r="P422" s="15"/>
      <c r="Q422" s="15"/>
      <c r="R422" s="15"/>
      <c r="S422" s="15" t="s">
        <v>188</v>
      </c>
      <c r="T422" s="15"/>
      <c r="U422" s="15" t="s">
        <v>188</v>
      </c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>
        <v>2006</v>
      </c>
      <c r="AI422" s="1">
        <v>782315</v>
      </c>
      <c r="AJ422" s="15"/>
      <c r="AK422" s="15"/>
      <c r="AL422" s="15" t="s">
        <v>188</v>
      </c>
      <c r="AM422" s="15"/>
      <c r="AN422" s="15"/>
      <c r="AO422" s="15"/>
      <c r="AP422" s="15" t="s">
        <v>188</v>
      </c>
      <c r="AQ422" s="15"/>
      <c r="AR422" s="15"/>
      <c r="AS422" s="15"/>
      <c r="AT422" s="15" t="s">
        <v>266</v>
      </c>
      <c r="AU422" s="1">
        <v>8000</v>
      </c>
      <c r="AV422" s="48">
        <v>0.5</v>
      </c>
      <c r="AW422" s="15">
        <v>2.7</v>
      </c>
      <c r="AX422" s="15">
        <v>2.4</v>
      </c>
      <c r="AY422" s="15">
        <v>2</v>
      </c>
      <c r="AZ422" s="15">
        <v>830</v>
      </c>
      <c r="BA422" s="15">
        <v>2150</v>
      </c>
      <c r="BB422" s="15" t="s">
        <v>188</v>
      </c>
      <c r="BC422" s="15" t="s">
        <v>199</v>
      </c>
      <c r="BD422" s="15" t="s">
        <v>199</v>
      </c>
      <c r="BE422" s="1">
        <v>20000</v>
      </c>
      <c r="BF422" s="1">
        <v>12000</v>
      </c>
      <c r="BG422" s="1">
        <v>40000</v>
      </c>
      <c r="BH422" s="1">
        <v>130000</v>
      </c>
      <c r="BI422" s="1">
        <v>40000</v>
      </c>
      <c r="BJ422" s="15"/>
      <c r="BK422" s="15"/>
      <c r="BL422" s="15"/>
      <c r="BM422" s="15"/>
      <c r="BN422" s="15" t="s">
        <v>188</v>
      </c>
      <c r="BO422" s="15"/>
      <c r="BP422" s="15"/>
      <c r="BQ422" s="15"/>
      <c r="BR422" s="15"/>
      <c r="BS422" s="2"/>
      <c r="BT422" s="15"/>
      <c r="BU422" s="15"/>
      <c r="BV422" s="15" t="s">
        <v>188</v>
      </c>
      <c r="BW422" s="15"/>
      <c r="BX422" s="15">
        <v>1</v>
      </c>
      <c r="BY422" s="15">
        <v>2</v>
      </c>
      <c r="BZ422" s="15">
        <v>3</v>
      </c>
      <c r="CA422" s="15"/>
      <c r="CB422" s="15" t="s">
        <v>188</v>
      </c>
      <c r="CC422" s="15"/>
      <c r="CD422" s="15"/>
      <c r="CE422" s="15"/>
      <c r="CF422" s="15"/>
      <c r="CG422" s="15"/>
      <c r="CH422" s="15"/>
      <c r="CI422" s="15"/>
      <c r="CJ422" s="15"/>
      <c r="CK422" s="15" t="s">
        <v>188</v>
      </c>
      <c r="CL422" s="15"/>
      <c r="CM422" s="15"/>
      <c r="CN422" s="15"/>
      <c r="CO422" s="15"/>
      <c r="CP422" s="15" t="s">
        <v>193</v>
      </c>
      <c r="CQ422" s="15" t="s">
        <v>193</v>
      </c>
      <c r="CR422" s="15"/>
      <c r="CS422" s="15"/>
      <c r="CT422" s="15" t="s">
        <v>188</v>
      </c>
      <c r="CU422" s="15"/>
      <c r="CV422" s="15"/>
      <c r="CW422" s="15"/>
      <c r="CX422" s="15" t="s">
        <v>188</v>
      </c>
      <c r="CY422" s="15"/>
      <c r="CZ422" s="3"/>
      <c r="DA422" s="49"/>
      <c r="DC422" s="18">
        <f t="shared" si="18"/>
        <v>0</v>
      </c>
      <c r="DD422" s="18">
        <f t="shared" si="19"/>
        <v>3</v>
      </c>
      <c r="DE422" s="18">
        <f t="shared" si="20"/>
        <v>2006</v>
      </c>
    </row>
    <row r="423" spans="1:109" x14ac:dyDescent="0.25">
      <c r="A423" s="65" t="s">
        <v>1326</v>
      </c>
      <c r="B423" s="103">
        <v>41568</v>
      </c>
      <c r="C423" s="106" t="s">
        <v>1575</v>
      </c>
      <c r="D423" s="14" t="s">
        <v>1209</v>
      </c>
      <c r="E423" s="15"/>
      <c r="F423" s="15"/>
      <c r="G423" s="15" t="s">
        <v>188</v>
      </c>
      <c r="H423" s="15"/>
      <c r="I423" s="15">
        <v>40</v>
      </c>
      <c r="J423" s="15" t="s">
        <v>189</v>
      </c>
      <c r="K423" s="15" t="s">
        <v>190</v>
      </c>
      <c r="L423" s="15" t="s">
        <v>1234</v>
      </c>
      <c r="M423" s="15" t="s">
        <v>1235</v>
      </c>
      <c r="N423" s="15" t="s">
        <v>1130</v>
      </c>
      <c r="O423" s="15">
        <v>18</v>
      </c>
      <c r="P423" s="15"/>
      <c r="Q423" s="15"/>
      <c r="R423" s="15"/>
      <c r="S423" s="15" t="s">
        <v>188</v>
      </c>
      <c r="T423" s="15"/>
      <c r="U423" s="15" t="s">
        <v>188</v>
      </c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>
        <v>2003</v>
      </c>
      <c r="AI423" s="1">
        <v>953763</v>
      </c>
      <c r="AJ423" s="15"/>
      <c r="AK423" s="15"/>
      <c r="AL423" s="15" t="s">
        <v>188</v>
      </c>
      <c r="AM423" s="15"/>
      <c r="AN423" s="15"/>
      <c r="AO423" s="15"/>
      <c r="AP423" s="15" t="s">
        <v>188</v>
      </c>
      <c r="AQ423" s="15"/>
      <c r="AR423" s="15"/>
      <c r="AS423" s="15"/>
      <c r="AT423" s="15" t="s">
        <v>322</v>
      </c>
      <c r="AU423" s="1">
        <v>8000</v>
      </c>
      <c r="AV423" s="48">
        <v>0.5</v>
      </c>
      <c r="AW423" s="15">
        <v>2.7</v>
      </c>
      <c r="AX423" s="15">
        <v>2.4</v>
      </c>
      <c r="AY423" s="15">
        <v>2</v>
      </c>
      <c r="AZ423" s="15">
        <v>860</v>
      </c>
      <c r="BA423" s="15">
        <v>2150</v>
      </c>
      <c r="BB423" s="15" t="s">
        <v>188</v>
      </c>
      <c r="BC423" s="15" t="s">
        <v>199</v>
      </c>
      <c r="BD423" s="15" t="s">
        <v>199</v>
      </c>
      <c r="BE423" s="1">
        <v>19000</v>
      </c>
      <c r="BF423" s="1" t="s">
        <v>193</v>
      </c>
      <c r="BG423" s="1">
        <v>40000</v>
      </c>
      <c r="BH423" s="1">
        <v>120000</v>
      </c>
      <c r="BI423" s="1" t="s">
        <v>193</v>
      </c>
      <c r="BJ423" s="15"/>
      <c r="BK423" s="15"/>
      <c r="BL423" s="15"/>
      <c r="BM423" s="15"/>
      <c r="BN423" s="15" t="s">
        <v>188</v>
      </c>
      <c r="BO423" s="15"/>
      <c r="BP423" s="15" t="s">
        <v>188</v>
      </c>
      <c r="BQ423" s="15"/>
      <c r="BR423" s="15"/>
      <c r="BS423" s="2"/>
      <c r="BT423" s="15"/>
      <c r="BU423" s="15"/>
      <c r="BV423" s="15" t="s">
        <v>188</v>
      </c>
      <c r="BW423" s="15"/>
      <c r="BX423" s="15">
        <v>1</v>
      </c>
      <c r="BY423" s="15">
        <v>3</v>
      </c>
      <c r="BZ423" s="15">
        <v>2</v>
      </c>
      <c r="CA423" s="15"/>
      <c r="CB423" s="15" t="s">
        <v>188</v>
      </c>
      <c r="CC423" s="15"/>
      <c r="CD423" s="15"/>
      <c r="CE423" s="15"/>
      <c r="CF423" s="15"/>
      <c r="CG423" s="15"/>
      <c r="CH423" s="15"/>
      <c r="CI423" s="15"/>
      <c r="CJ423" s="15"/>
      <c r="CK423" s="15" t="s">
        <v>188</v>
      </c>
      <c r="CL423" s="15"/>
      <c r="CM423" s="15"/>
      <c r="CN423" s="15"/>
      <c r="CO423" s="15"/>
      <c r="CP423" s="15" t="s">
        <v>193</v>
      </c>
      <c r="CQ423" s="15" t="s">
        <v>193</v>
      </c>
      <c r="CR423" s="15" t="s">
        <v>188</v>
      </c>
      <c r="CS423" s="15"/>
      <c r="CT423" s="15"/>
      <c r="CU423" s="15"/>
      <c r="CV423" s="15"/>
      <c r="CW423" s="15"/>
      <c r="CX423" s="15" t="s">
        <v>188</v>
      </c>
      <c r="CY423" s="15" t="s">
        <v>188</v>
      </c>
      <c r="CZ423" s="3"/>
      <c r="DA423" s="49"/>
      <c r="DC423" s="18">
        <f t="shared" si="18"/>
        <v>0</v>
      </c>
      <c r="DD423" s="18">
        <f t="shared" si="19"/>
        <v>3</v>
      </c>
      <c r="DE423" s="18">
        <f t="shared" si="20"/>
        <v>2003</v>
      </c>
    </row>
    <row r="424" spans="1:109" x14ac:dyDescent="0.25">
      <c r="A424" s="65" t="s">
        <v>1326</v>
      </c>
      <c r="B424" s="103">
        <v>41568</v>
      </c>
      <c r="C424" s="106" t="s">
        <v>1575</v>
      </c>
      <c r="D424" s="14" t="s">
        <v>1210</v>
      </c>
      <c r="E424" s="15"/>
      <c r="F424" s="15"/>
      <c r="G424" s="15"/>
      <c r="H424" s="15" t="s">
        <v>188</v>
      </c>
      <c r="I424" s="15">
        <v>30</v>
      </c>
      <c r="J424" s="15" t="s">
        <v>189</v>
      </c>
      <c r="K424" s="15" t="s">
        <v>214</v>
      </c>
      <c r="L424" s="15" t="s">
        <v>1236</v>
      </c>
      <c r="M424" s="15" t="s">
        <v>1237</v>
      </c>
      <c r="N424" s="15" t="s">
        <v>1106</v>
      </c>
      <c r="O424" s="15">
        <v>12</v>
      </c>
      <c r="P424" s="15"/>
      <c r="Q424" s="15"/>
      <c r="R424" s="15"/>
      <c r="S424" s="15" t="s">
        <v>188</v>
      </c>
      <c r="T424" s="15"/>
      <c r="U424" s="15" t="s">
        <v>188</v>
      </c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>
        <v>2004</v>
      </c>
      <c r="AI424" s="1">
        <v>829615</v>
      </c>
      <c r="AJ424" s="15"/>
      <c r="AK424" s="15"/>
      <c r="AL424" s="15" t="s">
        <v>188</v>
      </c>
      <c r="AM424" s="15"/>
      <c r="AN424" s="15"/>
      <c r="AO424" s="15"/>
      <c r="AP424" s="15" t="s">
        <v>188</v>
      </c>
      <c r="AQ424" s="15"/>
      <c r="AR424" s="15"/>
      <c r="AS424" s="15"/>
      <c r="AT424" s="15" t="s">
        <v>322</v>
      </c>
      <c r="AU424" s="1">
        <v>8333</v>
      </c>
      <c r="AV424" s="48">
        <v>0.1</v>
      </c>
      <c r="AW424" s="15">
        <v>2.8</v>
      </c>
      <c r="AX424" s="15">
        <v>2.5</v>
      </c>
      <c r="AY424" s="15">
        <v>2</v>
      </c>
      <c r="AZ424" s="15">
        <v>850</v>
      </c>
      <c r="BA424" s="15">
        <v>2200</v>
      </c>
      <c r="BB424" s="15" t="s">
        <v>188</v>
      </c>
      <c r="BC424" s="15" t="s">
        <v>188</v>
      </c>
      <c r="BD424" s="15" t="s">
        <v>199</v>
      </c>
      <c r="BE424" s="1">
        <v>20000</v>
      </c>
      <c r="BF424" s="1">
        <v>200000</v>
      </c>
      <c r="BG424" s="1">
        <v>40000</v>
      </c>
      <c r="BH424" s="1">
        <v>100000</v>
      </c>
      <c r="BI424" s="1" t="s">
        <v>193</v>
      </c>
      <c r="BJ424" s="15"/>
      <c r="BK424" s="15"/>
      <c r="BL424" s="15"/>
      <c r="BM424" s="15"/>
      <c r="BN424" s="15" t="s">
        <v>188</v>
      </c>
      <c r="BO424" s="15"/>
      <c r="BP424" s="15"/>
      <c r="BQ424" s="15"/>
      <c r="BR424" s="15"/>
      <c r="BS424" s="2"/>
      <c r="BT424" s="15"/>
      <c r="BU424" s="15"/>
      <c r="BV424" s="15" t="s">
        <v>188</v>
      </c>
      <c r="BW424" s="15"/>
      <c r="BX424" s="15">
        <v>1</v>
      </c>
      <c r="BY424" s="15">
        <v>3</v>
      </c>
      <c r="BZ424" s="15">
        <v>2</v>
      </c>
      <c r="CA424" s="15"/>
      <c r="CB424" s="15" t="s">
        <v>188</v>
      </c>
      <c r="CC424" s="15"/>
      <c r="CD424" s="15"/>
      <c r="CE424" s="15"/>
      <c r="CF424" s="15"/>
      <c r="CG424" s="15"/>
      <c r="CH424" s="15"/>
      <c r="CI424" s="15"/>
      <c r="CJ424" s="15"/>
      <c r="CK424" s="15" t="s">
        <v>188</v>
      </c>
      <c r="CL424" s="15"/>
      <c r="CM424" s="15"/>
      <c r="CN424" s="15"/>
      <c r="CO424" s="15"/>
      <c r="CP424" s="15" t="s">
        <v>193</v>
      </c>
      <c r="CQ424" s="15" t="s">
        <v>193</v>
      </c>
      <c r="CR424" s="15" t="s">
        <v>188</v>
      </c>
      <c r="CS424" s="15"/>
      <c r="CT424" s="15"/>
      <c r="CU424" s="15"/>
      <c r="CV424" s="15" t="s">
        <v>188</v>
      </c>
      <c r="CW424" s="15" t="s">
        <v>985</v>
      </c>
      <c r="CX424" s="15"/>
      <c r="CY424" s="15"/>
      <c r="CZ424" s="3"/>
      <c r="DA424" s="49"/>
      <c r="DC424" s="18">
        <f t="shared" si="18"/>
        <v>0</v>
      </c>
      <c r="DD424" s="18">
        <f t="shared" si="19"/>
        <v>7</v>
      </c>
      <c r="DE424" s="18">
        <f t="shared" si="20"/>
        <v>2004</v>
      </c>
    </row>
    <row r="425" spans="1:109" x14ac:dyDescent="0.25">
      <c r="A425" s="65" t="s">
        <v>1326</v>
      </c>
      <c r="B425" s="103">
        <v>41568</v>
      </c>
      <c r="C425" s="106" t="s">
        <v>1575</v>
      </c>
      <c r="D425" s="14" t="s">
        <v>1211</v>
      </c>
      <c r="E425" s="15" t="s">
        <v>188</v>
      </c>
      <c r="F425" s="15"/>
      <c r="G425" s="15"/>
      <c r="H425" s="15"/>
      <c r="I425" s="15">
        <v>29</v>
      </c>
      <c r="J425" s="15" t="s">
        <v>189</v>
      </c>
      <c r="K425" s="15" t="s">
        <v>190</v>
      </c>
      <c r="L425" s="15" t="s">
        <v>1238</v>
      </c>
      <c r="M425" s="15" t="s">
        <v>1239</v>
      </c>
      <c r="N425" s="15" t="s">
        <v>1006</v>
      </c>
      <c r="O425" s="15">
        <v>8</v>
      </c>
      <c r="P425" s="15"/>
      <c r="Q425" s="15"/>
      <c r="R425" s="15"/>
      <c r="S425" s="15" t="s">
        <v>188</v>
      </c>
      <c r="T425" s="15"/>
      <c r="U425" s="15" t="s">
        <v>188</v>
      </c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>
        <v>2001</v>
      </c>
      <c r="AI425" s="1" t="s">
        <v>193</v>
      </c>
      <c r="AJ425" s="15"/>
      <c r="AK425" s="15"/>
      <c r="AL425" s="15" t="s">
        <v>188</v>
      </c>
      <c r="AM425" s="15"/>
      <c r="AN425" s="15"/>
      <c r="AO425" s="15"/>
      <c r="AP425" s="15" t="s">
        <v>188</v>
      </c>
      <c r="AQ425" s="15"/>
      <c r="AR425" s="15"/>
      <c r="AS425" s="15"/>
      <c r="AT425" s="15" t="s">
        <v>322</v>
      </c>
      <c r="AU425" s="1">
        <v>10000</v>
      </c>
      <c r="AV425" s="48">
        <v>0.1</v>
      </c>
      <c r="AW425" s="15">
        <v>2.7</v>
      </c>
      <c r="AX425" s="15">
        <v>2.4</v>
      </c>
      <c r="AY425" s="15">
        <v>2</v>
      </c>
      <c r="AZ425" s="15">
        <v>880</v>
      </c>
      <c r="BA425" s="15">
        <v>2300</v>
      </c>
      <c r="BB425" s="15" t="s">
        <v>188</v>
      </c>
      <c r="BC425" s="15" t="s">
        <v>199</v>
      </c>
      <c r="BD425" s="15" t="s">
        <v>199</v>
      </c>
      <c r="BE425" s="1">
        <v>35000</v>
      </c>
      <c r="BF425" s="1" t="s">
        <v>193</v>
      </c>
      <c r="BG425" s="1">
        <v>70000</v>
      </c>
      <c r="BH425" s="1" t="s">
        <v>193</v>
      </c>
      <c r="BI425" s="1" t="s">
        <v>193</v>
      </c>
      <c r="BJ425" s="15"/>
      <c r="BK425" s="15"/>
      <c r="BL425" s="15"/>
      <c r="BM425" s="15"/>
      <c r="BN425" s="15" t="s">
        <v>188</v>
      </c>
      <c r="BO425" s="15"/>
      <c r="BP425" s="15"/>
      <c r="BQ425" s="15"/>
      <c r="BR425" s="15"/>
      <c r="BS425" s="2"/>
      <c r="BT425" s="15"/>
      <c r="BU425" s="15" t="s">
        <v>188</v>
      </c>
      <c r="BV425" s="15"/>
      <c r="BW425" s="15"/>
      <c r="BX425" s="15">
        <v>1</v>
      </c>
      <c r="BY425" s="15">
        <v>2</v>
      </c>
      <c r="BZ425" s="15">
        <v>3</v>
      </c>
      <c r="CA425" s="15"/>
      <c r="CB425" s="15" t="s">
        <v>188</v>
      </c>
      <c r="CC425" s="15"/>
      <c r="CD425" s="15"/>
      <c r="CE425" s="15"/>
      <c r="CF425" s="15"/>
      <c r="CG425" s="15"/>
      <c r="CH425" s="15"/>
      <c r="CI425" s="15"/>
      <c r="CJ425" s="15"/>
      <c r="CK425" s="15" t="s">
        <v>188</v>
      </c>
      <c r="CL425" s="15"/>
      <c r="CM425" s="15"/>
      <c r="CN425" s="15"/>
      <c r="CO425" s="15"/>
      <c r="CP425" s="15" t="s">
        <v>193</v>
      </c>
      <c r="CQ425" s="15" t="s">
        <v>193</v>
      </c>
      <c r="CR425" s="15" t="s">
        <v>188</v>
      </c>
      <c r="CS425" s="15"/>
      <c r="CT425" s="15"/>
      <c r="CU425" s="15"/>
      <c r="CV425" s="15"/>
      <c r="CW425" s="15"/>
      <c r="CX425" s="15"/>
      <c r="CY425" s="15" t="s">
        <v>188</v>
      </c>
      <c r="CZ425" s="3"/>
      <c r="DA425" s="49"/>
      <c r="DC425" s="18">
        <f t="shared" si="18"/>
        <v>0</v>
      </c>
      <c r="DD425" s="18">
        <f t="shared" si="19"/>
        <v>1</v>
      </c>
      <c r="DE425" s="18">
        <f t="shared" si="20"/>
        <v>2001</v>
      </c>
    </row>
    <row r="426" spans="1:109" x14ac:dyDescent="0.25">
      <c r="A426" s="65" t="s">
        <v>1326</v>
      </c>
      <c r="B426" s="103">
        <v>41568</v>
      </c>
      <c r="C426" s="106" t="s">
        <v>1575</v>
      </c>
      <c r="D426" s="14" t="s">
        <v>1212</v>
      </c>
      <c r="E426" s="15"/>
      <c r="F426" s="15"/>
      <c r="G426" s="15" t="s">
        <v>188</v>
      </c>
      <c r="H426" s="15"/>
      <c r="I426" s="15">
        <v>38</v>
      </c>
      <c r="J426" s="15" t="s">
        <v>189</v>
      </c>
      <c r="K426" s="15" t="s">
        <v>190</v>
      </c>
      <c r="L426" s="15" t="s">
        <v>889</v>
      </c>
      <c r="M426" s="15" t="s">
        <v>1136</v>
      </c>
      <c r="N426" s="15" t="s">
        <v>1090</v>
      </c>
      <c r="O426" s="15">
        <v>20</v>
      </c>
      <c r="P426" s="15"/>
      <c r="Q426" s="15"/>
      <c r="R426" s="15"/>
      <c r="S426" s="15" t="s">
        <v>188</v>
      </c>
      <c r="T426" s="15"/>
      <c r="U426" s="15" t="s">
        <v>188</v>
      </c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>
        <v>2005</v>
      </c>
      <c r="AI426" s="1">
        <v>793119</v>
      </c>
      <c r="AJ426" s="15"/>
      <c r="AK426" s="15"/>
      <c r="AL426" s="15" t="s">
        <v>188</v>
      </c>
      <c r="AM426" s="15"/>
      <c r="AN426" s="15"/>
      <c r="AO426" s="15"/>
      <c r="AP426" s="15" t="s">
        <v>188</v>
      </c>
      <c r="AQ426" s="15"/>
      <c r="AR426" s="15"/>
      <c r="AS426" s="15"/>
      <c r="AT426" s="15" t="s">
        <v>322</v>
      </c>
      <c r="AU426" s="1">
        <v>10000</v>
      </c>
      <c r="AV426" s="48">
        <v>0.5</v>
      </c>
      <c r="AW426" s="15">
        <v>2.7</v>
      </c>
      <c r="AX426" s="15">
        <v>2.5</v>
      </c>
      <c r="AY426" s="15">
        <v>2</v>
      </c>
      <c r="AZ426" s="15">
        <v>960</v>
      </c>
      <c r="BA426" s="15">
        <v>2500</v>
      </c>
      <c r="BB426" s="15" t="s">
        <v>188</v>
      </c>
      <c r="BC426" s="15" t="s">
        <v>199</v>
      </c>
      <c r="BD426" s="15" t="s">
        <v>199</v>
      </c>
      <c r="BE426" s="1">
        <v>25000</v>
      </c>
      <c r="BF426" s="1">
        <v>200000</v>
      </c>
      <c r="BG426" s="1">
        <v>75000</v>
      </c>
      <c r="BH426" s="1">
        <v>150000</v>
      </c>
      <c r="BI426" s="1" t="s">
        <v>193</v>
      </c>
      <c r="BJ426" s="15"/>
      <c r="BK426" s="15"/>
      <c r="BL426" s="15"/>
      <c r="BM426" s="15"/>
      <c r="BN426" s="15" t="s">
        <v>188</v>
      </c>
      <c r="BO426" s="15"/>
      <c r="BP426" s="15" t="s">
        <v>188</v>
      </c>
      <c r="BQ426" s="15"/>
      <c r="BR426" s="15"/>
      <c r="BS426" s="2"/>
      <c r="BT426" s="15"/>
      <c r="BU426" s="15" t="s">
        <v>188</v>
      </c>
      <c r="BV426" s="15"/>
      <c r="BW426" s="15"/>
      <c r="BX426" s="15">
        <v>1</v>
      </c>
      <c r="BY426" s="15">
        <v>3</v>
      </c>
      <c r="BZ426" s="15">
        <v>2</v>
      </c>
      <c r="CA426" s="15"/>
      <c r="CB426" s="15" t="s">
        <v>188</v>
      </c>
      <c r="CC426" s="15"/>
      <c r="CD426" s="15"/>
      <c r="CE426" s="15"/>
      <c r="CF426" s="15"/>
      <c r="CG426" s="15"/>
      <c r="CH426" s="15"/>
      <c r="CI426" s="15"/>
      <c r="CJ426" s="15"/>
      <c r="CK426" s="15" t="s">
        <v>188</v>
      </c>
      <c r="CL426" s="15"/>
      <c r="CM426" s="15"/>
      <c r="CN426" s="15"/>
      <c r="CO426" s="15"/>
      <c r="CP426" s="15" t="s">
        <v>193</v>
      </c>
      <c r="CQ426" s="15" t="s">
        <v>193</v>
      </c>
      <c r="CR426" s="15" t="s">
        <v>188</v>
      </c>
      <c r="CS426" s="15"/>
      <c r="CT426" s="15"/>
      <c r="CU426" s="15"/>
      <c r="CV426" s="15"/>
      <c r="CW426" s="15"/>
      <c r="CX426" s="15" t="s">
        <v>188</v>
      </c>
      <c r="CY426" s="15"/>
      <c r="CZ426" s="3"/>
      <c r="DA426" s="49"/>
      <c r="DC426" s="18">
        <f t="shared" si="18"/>
        <v>0</v>
      </c>
      <c r="DD426" s="18">
        <f t="shared" si="19"/>
        <v>3</v>
      </c>
      <c r="DE426" s="18">
        <f t="shared" si="20"/>
        <v>2005</v>
      </c>
    </row>
    <row r="427" spans="1:109" x14ac:dyDescent="0.25">
      <c r="A427" s="65" t="s">
        <v>1326</v>
      </c>
      <c r="B427" s="103">
        <v>41568</v>
      </c>
      <c r="C427" s="106" t="s">
        <v>1575</v>
      </c>
      <c r="D427" s="14" t="s">
        <v>1213</v>
      </c>
      <c r="E427" s="15"/>
      <c r="F427" s="15"/>
      <c r="G427" s="15" t="s">
        <v>188</v>
      </c>
      <c r="H427" s="15"/>
      <c r="I427" s="15">
        <v>37</v>
      </c>
      <c r="J427" s="15" t="s">
        <v>189</v>
      </c>
      <c r="K427" s="15" t="s">
        <v>190</v>
      </c>
      <c r="L427" s="15" t="s">
        <v>1240</v>
      </c>
      <c r="M427" s="15" t="s">
        <v>1241</v>
      </c>
      <c r="N427" s="15" t="s">
        <v>1133</v>
      </c>
      <c r="O427" s="15">
        <v>19</v>
      </c>
      <c r="P427" s="15"/>
      <c r="Q427" s="15"/>
      <c r="R427" s="15"/>
      <c r="S427" s="15" t="s">
        <v>188</v>
      </c>
      <c r="T427" s="15"/>
      <c r="U427" s="15" t="s">
        <v>188</v>
      </c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>
        <v>2000</v>
      </c>
      <c r="AI427" s="1">
        <v>913625</v>
      </c>
      <c r="AJ427" s="15"/>
      <c r="AK427" s="15"/>
      <c r="AL427" s="15" t="s">
        <v>188</v>
      </c>
      <c r="AM427" s="15"/>
      <c r="AN427" s="15"/>
      <c r="AO427" s="15" t="s">
        <v>188</v>
      </c>
      <c r="AP427" s="15"/>
      <c r="AQ427" s="15"/>
      <c r="AR427" s="15"/>
      <c r="AS427" s="15"/>
      <c r="AT427" s="15" t="s">
        <v>266</v>
      </c>
      <c r="AU427" s="1">
        <v>9000</v>
      </c>
      <c r="AV427" s="48">
        <v>0.05</v>
      </c>
      <c r="AW427" s="15">
        <v>2.7</v>
      </c>
      <c r="AX427" s="15">
        <v>2.4</v>
      </c>
      <c r="AY427" s="15">
        <v>2</v>
      </c>
      <c r="AZ427" s="15">
        <v>800</v>
      </c>
      <c r="BA427" s="15">
        <v>2100</v>
      </c>
      <c r="BB427" s="15" t="s">
        <v>188</v>
      </c>
      <c r="BC427" s="15" t="s">
        <v>199</v>
      </c>
      <c r="BD427" s="15" t="s">
        <v>199</v>
      </c>
      <c r="BE427" s="1">
        <v>30000</v>
      </c>
      <c r="BF427" s="1" t="s">
        <v>193</v>
      </c>
      <c r="BG427" s="1" t="s">
        <v>193</v>
      </c>
      <c r="BH427" s="1" t="s">
        <v>193</v>
      </c>
      <c r="BI427" s="1" t="s">
        <v>193</v>
      </c>
      <c r="BJ427" s="15"/>
      <c r="BK427" s="15"/>
      <c r="BL427" s="15"/>
      <c r="BM427" s="15"/>
      <c r="BN427" s="15" t="s">
        <v>188</v>
      </c>
      <c r="BO427" s="15"/>
      <c r="BP427" s="15"/>
      <c r="BQ427" s="15"/>
      <c r="BR427" s="15"/>
      <c r="BS427" s="2"/>
      <c r="BT427" s="15"/>
      <c r="BU427" s="15"/>
      <c r="BV427" s="15" t="s">
        <v>188</v>
      </c>
      <c r="BW427" s="15"/>
      <c r="BX427" s="15">
        <v>1</v>
      </c>
      <c r="BY427" s="15">
        <v>2</v>
      </c>
      <c r="BZ427" s="15">
        <v>3</v>
      </c>
      <c r="CA427" s="15"/>
      <c r="CB427" s="15" t="s">
        <v>188</v>
      </c>
      <c r="CC427" s="15"/>
      <c r="CD427" s="15"/>
      <c r="CE427" s="15"/>
      <c r="CF427" s="15"/>
      <c r="CG427" s="15"/>
      <c r="CH427" s="15"/>
      <c r="CI427" s="15"/>
      <c r="CJ427" s="15"/>
      <c r="CK427" s="15" t="s">
        <v>188</v>
      </c>
      <c r="CL427" s="15"/>
      <c r="CM427" s="15"/>
      <c r="CN427" s="15"/>
      <c r="CO427" s="15"/>
      <c r="CP427" s="15" t="s">
        <v>193</v>
      </c>
      <c r="CQ427" s="15" t="s">
        <v>193</v>
      </c>
      <c r="CR427" s="15" t="s">
        <v>188</v>
      </c>
      <c r="CS427" s="15"/>
      <c r="CT427" s="15"/>
      <c r="CU427" s="15"/>
      <c r="CV427" s="15"/>
      <c r="CW427" s="15"/>
      <c r="CX427" s="15" t="s">
        <v>188</v>
      </c>
      <c r="CY427" s="15"/>
      <c r="CZ427" s="3"/>
      <c r="DA427" s="49"/>
      <c r="DC427" s="18">
        <f t="shared" si="18"/>
        <v>0</v>
      </c>
      <c r="DD427" s="18">
        <f t="shared" si="19"/>
        <v>3</v>
      </c>
      <c r="DE427" s="18">
        <f t="shared" si="20"/>
        <v>2000</v>
      </c>
    </row>
    <row r="428" spans="1:109" x14ac:dyDescent="0.25">
      <c r="A428" s="65" t="s">
        <v>1326</v>
      </c>
      <c r="B428" s="103">
        <v>41568</v>
      </c>
      <c r="C428" s="106" t="s">
        <v>1575</v>
      </c>
      <c r="D428" s="14" t="s">
        <v>1214</v>
      </c>
      <c r="E428" s="15"/>
      <c r="F428" s="15"/>
      <c r="G428" s="15" t="s">
        <v>188</v>
      </c>
      <c r="H428" s="15"/>
      <c r="I428" s="15">
        <v>46</v>
      </c>
      <c r="J428" s="15" t="s">
        <v>189</v>
      </c>
      <c r="K428" s="15" t="s">
        <v>190</v>
      </c>
      <c r="L428" s="15" t="s">
        <v>1242</v>
      </c>
      <c r="M428" s="15" t="s">
        <v>1243</v>
      </c>
      <c r="N428" s="15" t="s">
        <v>1150</v>
      </c>
      <c r="O428" s="15">
        <v>25</v>
      </c>
      <c r="P428" s="15"/>
      <c r="Q428" s="15"/>
      <c r="R428" s="15"/>
      <c r="S428" s="15" t="s">
        <v>188</v>
      </c>
      <c r="T428" s="15"/>
      <c r="U428" s="15" t="s">
        <v>188</v>
      </c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>
        <v>2004</v>
      </c>
      <c r="AI428" s="1">
        <v>861753</v>
      </c>
      <c r="AJ428" s="15"/>
      <c r="AK428" s="15"/>
      <c r="AL428" s="15" t="s">
        <v>188</v>
      </c>
      <c r="AM428" s="15"/>
      <c r="AN428" s="15"/>
      <c r="AO428" s="15"/>
      <c r="AP428" s="15" t="s">
        <v>188</v>
      </c>
      <c r="AQ428" s="15"/>
      <c r="AR428" s="15"/>
      <c r="AS428" s="15"/>
      <c r="AT428" s="15" t="s">
        <v>322</v>
      </c>
      <c r="AU428" s="1">
        <v>10000</v>
      </c>
      <c r="AV428" s="48">
        <v>0.5</v>
      </c>
      <c r="AW428" s="15">
        <v>2.7</v>
      </c>
      <c r="AX428" s="15">
        <v>2.4</v>
      </c>
      <c r="AY428" s="15">
        <v>2</v>
      </c>
      <c r="AZ428" s="15">
        <v>830</v>
      </c>
      <c r="BA428" s="15">
        <v>2150</v>
      </c>
      <c r="BB428" s="15" t="s">
        <v>188</v>
      </c>
      <c r="BC428" s="15" t="s">
        <v>199</v>
      </c>
      <c r="BD428" s="15" t="s">
        <v>199</v>
      </c>
      <c r="BE428" s="1">
        <v>22000</v>
      </c>
      <c r="BF428" s="1" t="s">
        <v>193</v>
      </c>
      <c r="BG428" s="1">
        <v>45000</v>
      </c>
      <c r="BH428" s="1" t="s">
        <v>193</v>
      </c>
      <c r="BI428" s="1" t="s">
        <v>193</v>
      </c>
      <c r="BJ428" s="15"/>
      <c r="BK428" s="15"/>
      <c r="BL428" s="15"/>
      <c r="BM428" s="15"/>
      <c r="BN428" s="15" t="s">
        <v>188</v>
      </c>
      <c r="BO428" s="15"/>
      <c r="BP428" s="15" t="s">
        <v>188</v>
      </c>
      <c r="BQ428" s="15"/>
      <c r="BR428" s="15"/>
      <c r="BS428" s="2"/>
      <c r="BT428" s="15"/>
      <c r="BU428" s="15" t="s">
        <v>188</v>
      </c>
      <c r="BV428" s="15"/>
      <c r="BW428" s="15"/>
      <c r="BX428" s="15">
        <v>1</v>
      </c>
      <c r="BY428" s="15">
        <v>3</v>
      </c>
      <c r="BZ428" s="15">
        <v>2</v>
      </c>
      <c r="CA428" s="15"/>
      <c r="CB428" s="15" t="s">
        <v>188</v>
      </c>
      <c r="CC428" s="15"/>
      <c r="CD428" s="15"/>
      <c r="CE428" s="15"/>
      <c r="CF428" s="15"/>
      <c r="CG428" s="15"/>
      <c r="CH428" s="15"/>
      <c r="CI428" s="15"/>
      <c r="CJ428" s="15"/>
      <c r="CK428" s="15" t="s">
        <v>188</v>
      </c>
      <c r="CL428" s="15"/>
      <c r="CM428" s="15"/>
      <c r="CN428" s="15"/>
      <c r="CO428" s="15"/>
      <c r="CP428" s="15" t="s">
        <v>193</v>
      </c>
      <c r="CQ428" s="15" t="s">
        <v>193</v>
      </c>
      <c r="CR428" s="15" t="s">
        <v>188</v>
      </c>
      <c r="CS428" s="15"/>
      <c r="CT428" s="15"/>
      <c r="CU428" s="15"/>
      <c r="CV428" s="15"/>
      <c r="CW428" s="15"/>
      <c r="CX428" s="15"/>
      <c r="CY428" s="15" t="s">
        <v>188</v>
      </c>
      <c r="CZ428" s="3"/>
      <c r="DA428" s="49"/>
      <c r="DC428" s="18">
        <f t="shared" si="18"/>
        <v>0</v>
      </c>
      <c r="DD428" s="18">
        <f t="shared" si="19"/>
        <v>3</v>
      </c>
      <c r="DE428" s="18">
        <f t="shared" si="20"/>
        <v>2004</v>
      </c>
    </row>
    <row r="429" spans="1:109" x14ac:dyDescent="0.25">
      <c r="A429" s="65" t="s">
        <v>1326</v>
      </c>
      <c r="B429" s="103">
        <v>41568</v>
      </c>
      <c r="C429" s="106" t="s">
        <v>1575</v>
      </c>
      <c r="D429" s="14" t="s">
        <v>1215</v>
      </c>
      <c r="E429" s="15"/>
      <c r="F429" s="15"/>
      <c r="G429" s="15" t="s">
        <v>188</v>
      </c>
      <c r="H429" s="15"/>
      <c r="I429" s="15">
        <v>38</v>
      </c>
      <c r="J429" s="15" t="s">
        <v>189</v>
      </c>
      <c r="K429" s="15" t="s">
        <v>214</v>
      </c>
      <c r="L429" s="15" t="s">
        <v>1244</v>
      </c>
      <c r="M429" s="15" t="s">
        <v>1137</v>
      </c>
      <c r="N429" s="15" t="s">
        <v>1133</v>
      </c>
      <c r="O429" s="15">
        <v>15</v>
      </c>
      <c r="P429" s="15"/>
      <c r="Q429" s="15"/>
      <c r="R429" s="15"/>
      <c r="S429" s="15" t="s">
        <v>188</v>
      </c>
      <c r="T429" s="15"/>
      <c r="U429" s="15" t="s">
        <v>188</v>
      </c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>
        <v>2004</v>
      </c>
      <c r="AI429" s="1">
        <v>767982</v>
      </c>
      <c r="AJ429" s="15"/>
      <c r="AK429" s="15"/>
      <c r="AL429" s="15" t="s">
        <v>188</v>
      </c>
      <c r="AM429" s="15"/>
      <c r="AN429" s="15"/>
      <c r="AO429" s="15"/>
      <c r="AP429" s="15" t="s">
        <v>188</v>
      </c>
      <c r="AQ429" s="15"/>
      <c r="AR429" s="15"/>
      <c r="AS429" s="15"/>
      <c r="AT429" s="15" t="s">
        <v>322</v>
      </c>
      <c r="AU429" s="1">
        <v>8000</v>
      </c>
      <c r="AV429" s="48">
        <v>0.5</v>
      </c>
      <c r="AW429" s="15">
        <v>2.7</v>
      </c>
      <c r="AX429" s="15">
        <v>2.4</v>
      </c>
      <c r="AY429" s="15">
        <v>2</v>
      </c>
      <c r="AZ429" s="15">
        <v>920</v>
      </c>
      <c r="BA429" s="15">
        <v>2400</v>
      </c>
      <c r="BB429" s="15" t="s">
        <v>188</v>
      </c>
      <c r="BC429" s="15" t="s">
        <v>199</v>
      </c>
      <c r="BD429" s="15" t="s">
        <v>199</v>
      </c>
      <c r="BE429" s="1">
        <v>18000</v>
      </c>
      <c r="BF429" s="1">
        <v>200000</v>
      </c>
      <c r="BG429" s="1">
        <v>36000</v>
      </c>
      <c r="BH429" s="1">
        <v>100000</v>
      </c>
      <c r="BI429" s="1" t="s">
        <v>193</v>
      </c>
      <c r="BJ429" s="15"/>
      <c r="BK429" s="15"/>
      <c r="BL429" s="15"/>
      <c r="BM429" s="15"/>
      <c r="BN429" s="15" t="s">
        <v>188</v>
      </c>
      <c r="BO429" s="15"/>
      <c r="BP429" s="15" t="s">
        <v>188</v>
      </c>
      <c r="BQ429" s="15"/>
      <c r="BR429" s="15"/>
      <c r="BS429" s="2"/>
      <c r="BT429" s="15"/>
      <c r="BU429" s="15" t="s">
        <v>188</v>
      </c>
      <c r="BV429" s="15"/>
      <c r="BW429" s="15"/>
      <c r="BX429" s="15">
        <v>1</v>
      </c>
      <c r="BY429" s="15">
        <v>2</v>
      </c>
      <c r="BZ429" s="15">
        <v>3</v>
      </c>
      <c r="CA429" s="15"/>
      <c r="CB429" s="15"/>
      <c r="CC429" s="15" t="s">
        <v>188</v>
      </c>
      <c r="CD429" s="15"/>
      <c r="CE429" s="15"/>
      <c r="CF429" s="15"/>
      <c r="CG429" s="15"/>
      <c r="CH429" s="15" t="s">
        <v>188</v>
      </c>
      <c r="CI429" s="15"/>
      <c r="CJ429" s="15"/>
      <c r="CK429" s="15" t="s">
        <v>188</v>
      </c>
      <c r="CL429" s="15"/>
      <c r="CM429" s="15"/>
      <c r="CN429" s="15"/>
      <c r="CO429" s="15"/>
      <c r="CP429" s="15" t="s">
        <v>193</v>
      </c>
      <c r="CQ429" s="15" t="s">
        <v>193</v>
      </c>
      <c r="CR429" s="15" t="s">
        <v>188</v>
      </c>
      <c r="CS429" s="15"/>
      <c r="CT429" s="15"/>
      <c r="CU429" s="15"/>
      <c r="CV429" s="15" t="s">
        <v>188</v>
      </c>
      <c r="CW429" s="15" t="s">
        <v>832</v>
      </c>
      <c r="CX429" s="15"/>
      <c r="CY429" s="15"/>
      <c r="CZ429" s="3"/>
      <c r="DA429" s="49"/>
      <c r="DC429" s="18">
        <f t="shared" si="18"/>
        <v>0</v>
      </c>
      <c r="DD429" s="18">
        <f t="shared" si="19"/>
        <v>3</v>
      </c>
      <c r="DE429" s="18">
        <f t="shared" si="20"/>
        <v>2004</v>
      </c>
    </row>
    <row r="430" spans="1:109" x14ac:dyDescent="0.25">
      <c r="A430" s="65" t="s">
        <v>1326</v>
      </c>
      <c r="B430" s="103">
        <v>41568</v>
      </c>
      <c r="C430" s="106" t="s">
        <v>1575</v>
      </c>
      <c r="D430" s="14" t="s">
        <v>1216</v>
      </c>
      <c r="E430" s="15"/>
      <c r="F430" s="15"/>
      <c r="G430" s="15" t="s">
        <v>188</v>
      </c>
      <c r="H430" s="15"/>
      <c r="I430" s="15">
        <v>53</v>
      </c>
      <c r="J430" s="15" t="s">
        <v>189</v>
      </c>
      <c r="K430" s="15" t="s">
        <v>190</v>
      </c>
      <c r="L430" s="15" t="s">
        <v>974</v>
      </c>
      <c r="M430" s="15" t="s">
        <v>1148</v>
      </c>
      <c r="N430" s="15" t="s">
        <v>1087</v>
      </c>
      <c r="O430" s="15">
        <v>30</v>
      </c>
      <c r="P430" s="15"/>
      <c r="Q430" s="15"/>
      <c r="R430" s="15"/>
      <c r="S430" s="15" t="s">
        <v>188</v>
      </c>
      <c r="T430" s="15"/>
      <c r="U430" s="15"/>
      <c r="V430" s="15"/>
      <c r="W430" s="15"/>
      <c r="X430" s="15"/>
      <c r="Y430" s="15" t="s">
        <v>188</v>
      </c>
      <c r="Z430" s="15"/>
      <c r="AA430" s="15"/>
      <c r="AB430" s="15"/>
      <c r="AC430" s="15"/>
      <c r="AD430" s="15"/>
      <c r="AE430" s="15"/>
      <c r="AF430" s="15"/>
      <c r="AG430" s="15"/>
      <c r="AH430" s="15">
        <v>2005</v>
      </c>
      <c r="AI430" s="1">
        <v>759836</v>
      </c>
      <c r="AJ430" s="15"/>
      <c r="AK430" s="15"/>
      <c r="AL430" s="15" t="s">
        <v>188</v>
      </c>
      <c r="AM430" s="15"/>
      <c r="AN430" s="15"/>
      <c r="AO430" s="15"/>
      <c r="AP430" s="15" t="s">
        <v>188</v>
      </c>
      <c r="AQ430" s="15"/>
      <c r="AR430" s="15"/>
      <c r="AS430" s="15"/>
      <c r="AT430" s="15" t="s">
        <v>322</v>
      </c>
      <c r="AU430" s="1">
        <v>10000</v>
      </c>
      <c r="AV430" s="48">
        <v>0.5</v>
      </c>
      <c r="AW430" s="15">
        <v>2.6</v>
      </c>
      <c r="AX430" s="15">
        <v>2.4</v>
      </c>
      <c r="AY430" s="15">
        <v>2</v>
      </c>
      <c r="AZ430" s="15">
        <v>920</v>
      </c>
      <c r="BA430" s="15">
        <v>2300</v>
      </c>
      <c r="BB430" s="15" t="s">
        <v>188</v>
      </c>
      <c r="BC430" s="15" t="s">
        <v>188</v>
      </c>
      <c r="BD430" s="15" t="s">
        <v>199</v>
      </c>
      <c r="BE430" s="1">
        <v>20000</v>
      </c>
      <c r="BF430" s="1">
        <v>180000</v>
      </c>
      <c r="BG430" s="1">
        <v>40000</v>
      </c>
      <c r="BH430" s="1">
        <v>120000</v>
      </c>
      <c r="BI430" s="1" t="s">
        <v>193</v>
      </c>
      <c r="BJ430" s="15"/>
      <c r="BK430" s="15"/>
      <c r="BL430" s="15" t="s">
        <v>188</v>
      </c>
      <c r="BM430" s="15"/>
      <c r="BN430" s="15"/>
      <c r="BO430" s="15"/>
      <c r="BP430" s="15"/>
      <c r="BQ430" s="15"/>
      <c r="BR430" s="15" t="s">
        <v>188</v>
      </c>
      <c r="BS430" s="2"/>
      <c r="BT430" s="15"/>
      <c r="BU430" s="15" t="s">
        <v>188</v>
      </c>
      <c r="BV430" s="15"/>
      <c r="BW430" s="15"/>
      <c r="BX430" s="15">
        <v>1</v>
      </c>
      <c r="BY430" s="15">
        <v>2</v>
      </c>
      <c r="BZ430" s="15">
        <v>3</v>
      </c>
      <c r="CA430" s="15"/>
      <c r="CB430" s="15" t="s">
        <v>188</v>
      </c>
      <c r="CC430" s="15"/>
      <c r="CD430" s="15"/>
      <c r="CE430" s="15"/>
      <c r="CF430" s="15"/>
      <c r="CG430" s="15"/>
      <c r="CH430" s="15"/>
      <c r="CI430" s="15"/>
      <c r="CJ430" s="15"/>
      <c r="CK430" s="15" t="s">
        <v>188</v>
      </c>
      <c r="CL430" s="15"/>
      <c r="CM430" s="15"/>
      <c r="CN430" s="15"/>
      <c r="CO430" s="15"/>
      <c r="CP430" s="15" t="s">
        <v>193</v>
      </c>
      <c r="CQ430" s="15" t="s">
        <v>193</v>
      </c>
      <c r="CR430" s="15"/>
      <c r="CS430" s="15"/>
      <c r="CT430" s="15"/>
      <c r="CU430" s="15" t="s">
        <v>1245</v>
      </c>
      <c r="CV430" s="15"/>
      <c r="CW430" s="15"/>
      <c r="CX430" s="15" t="s">
        <v>188</v>
      </c>
      <c r="CY430" s="15"/>
      <c r="CZ430" s="3"/>
      <c r="DA430" s="49"/>
      <c r="DC430" s="18">
        <f t="shared" si="18"/>
        <v>0</v>
      </c>
      <c r="DD430" s="18">
        <f t="shared" si="19"/>
        <v>3</v>
      </c>
      <c r="DE430" s="18">
        <f t="shared" si="20"/>
        <v>2005</v>
      </c>
    </row>
    <row r="431" spans="1:109" x14ac:dyDescent="0.25">
      <c r="A431" s="65" t="s">
        <v>1326</v>
      </c>
      <c r="B431" s="103">
        <v>41568</v>
      </c>
      <c r="C431" s="106" t="s">
        <v>1575</v>
      </c>
      <c r="D431" s="14" t="s">
        <v>1217</v>
      </c>
      <c r="E431" s="15"/>
      <c r="F431" s="15"/>
      <c r="G431" s="15"/>
      <c r="H431" s="15" t="s">
        <v>188</v>
      </c>
      <c r="I431" s="15">
        <v>42</v>
      </c>
      <c r="J431" s="15" t="s">
        <v>189</v>
      </c>
      <c r="K431" s="15" t="s">
        <v>190</v>
      </c>
      <c r="L431" s="15" t="s">
        <v>1240</v>
      </c>
      <c r="M431" s="15" t="s">
        <v>1241</v>
      </c>
      <c r="N431" s="15" t="s">
        <v>1133</v>
      </c>
      <c r="O431" s="15">
        <v>20</v>
      </c>
      <c r="P431" s="15"/>
      <c r="Q431" s="15" t="s">
        <v>188</v>
      </c>
      <c r="R431" s="15"/>
      <c r="S431" s="15"/>
      <c r="T431" s="15"/>
      <c r="U431" s="15"/>
      <c r="V431" s="15"/>
      <c r="W431" s="15"/>
      <c r="X431" s="15"/>
      <c r="Y431" s="15" t="s">
        <v>188</v>
      </c>
      <c r="Z431" s="15"/>
      <c r="AA431" s="15"/>
      <c r="AB431" s="15"/>
      <c r="AC431" s="15"/>
      <c r="AD431" s="15"/>
      <c r="AE431" s="15"/>
      <c r="AF431" s="15"/>
      <c r="AG431" s="15"/>
      <c r="AH431" s="15">
        <v>2006</v>
      </c>
      <c r="AI431" s="1">
        <v>573903</v>
      </c>
      <c r="AJ431" s="15"/>
      <c r="AK431" s="15"/>
      <c r="AL431" s="15" t="s">
        <v>188</v>
      </c>
      <c r="AM431" s="15"/>
      <c r="AN431" s="15"/>
      <c r="AO431" s="15"/>
      <c r="AP431" s="15" t="s">
        <v>188</v>
      </c>
      <c r="AQ431" s="15"/>
      <c r="AR431" s="15"/>
      <c r="AS431" s="15"/>
      <c r="AT431" s="15" t="s">
        <v>322</v>
      </c>
      <c r="AU431" s="1">
        <v>10000</v>
      </c>
      <c r="AV431" s="48">
        <v>0.5</v>
      </c>
      <c r="AW431" s="15">
        <v>3.8</v>
      </c>
      <c r="AX431" s="15">
        <v>3.2</v>
      </c>
      <c r="AY431" s="15">
        <v>2</v>
      </c>
      <c r="AZ431" s="15">
        <v>690</v>
      </c>
      <c r="BA431" s="15">
        <v>2400</v>
      </c>
      <c r="BB431" s="15" t="s">
        <v>188</v>
      </c>
      <c r="BC431" s="15" t="s">
        <v>188</v>
      </c>
      <c r="BD431" s="15" t="s">
        <v>199</v>
      </c>
      <c r="BE431" s="1">
        <v>22000</v>
      </c>
      <c r="BF431" s="1">
        <v>240000</v>
      </c>
      <c r="BG431" s="1">
        <v>44000</v>
      </c>
      <c r="BH431" s="1">
        <v>120000</v>
      </c>
      <c r="BI431" s="1" t="s">
        <v>193</v>
      </c>
      <c r="BJ431" s="15"/>
      <c r="BK431" s="15"/>
      <c r="BL431" s="15" t="s">
        <v>188</v>
      </c>
      <c r="BM431" s="15"/>
      <c r="BN431" s="15"/>
      <c r="BO431" s="15"/>
      <c r="BP431" s="15"/>
      <c r="BQ431" s="15"/>
      <c r="BR431" s="15" t="s">
        <v>188</v>
      </c>
      <c r="BS431" s="2"/>
      <c r="BT431" s="15"/>
      <c r="BU431" s="15" t="s">
        <v>188</v>
      </c>
      <c r="BV431" s="15"/>
      <c r="BW431" s="15"/>
      <c r="BX431" s="15">
        <v>1</v>
      </c>
      <c r="BY431" s="15">
        <v>2</v>
      </c>
      <c r="BZ431" s="15">
        <v>3</v>
      </c>
      <c r="CA431" s="15"/>
      <c r="CB431" s="15" t="s">
        <v>188</v>
      </c>
      <c r="CC431" s="15"/>
      <c r="CD431" s="15"/>
      <c r="CE431" s="15"/>
      <c r="CF431" s="15"/>
      <c r="CG431" s="15"/>
      <c r="CH431" s="15"/>
      <c r="CI431" s="15"/>
      <c r="CJ431" s="15"/>
      <c r="CK431" s="15" t="s">
        <v>188</v>
      </c>
      <c r="CL431" s="15"/>
      <c r="CM431" s="15"/>
      <c r="CN431" s="15"/>
      <c r="CO431" s="15"/>
      <c r="CP431" s="15" t="s">
        <v>193</v>
      </c>
      <c r="CQ431" s="15" t="s">
        <v>193</v>
      </c>
      <c r="CR431" s="15"/>
      <c r="CS431" s="15"/>
      <c r="CT431" s="15"/>
      <c r="CU431" s="15" t="s">
        <v>1246</v>
      </c>
      <c r="CV431" s="15"/>
      <c r="CW431" s="15"/>
      <c r="CX431" s="15" t="s">
        <v>188</v>
      </c>
      <c r="CY431" s="15"/>
      <c r="CZ431" s="3"/>
      <c r="DA431" s="49"/>
      <c r="DC431" s="18">
        <f t="shared" si="18"/>
        <v>0</v>
      </c>
      <c r="DD431" s="18">
        <f t="shared" si="19"/>
        <v>7</v>
      </c>
      <c r="DE431" s="18">
        <f t="shared" si="20"/>
        <v>2006</v>
      </c>
    </row>
    <row r="432" spans="1:109" x14ac:dyDescent="0.25">
      <c r="A432" s="65" t="s">
        <v>1326</v>
      </c>
      <c r="B432" s="103">
        <v>41568</v>
      </c>
      <c r="C432" s="106" t="s">
        <v>1575</v>
      </c>
      <c r="D432" s="14" t="s">
        <v>1218</v>
      </c>
      <c r="E432" s="15"/>
      <c r="F432" s="15" t="s">
        <v>188</v>
      </c>
      <c r="G432" s="15"/>
      <c r="H432" s="15"/>
      <c r="I432" s="15">
        <v>26</v>
      </c>
      <c r="J432" s="15" t="s">
        <v>189</v>
      </c>
      <c r="K432" s="15" t="s">
        <v>190</v>
      </c>
      <c r="L432" s="15" t="s">
        <v>648</v>
      </c>
      <c r="M432" s="15" t="s">
        <v>1072</v>
      </c>
      <c r="N432" s="15" t="s">
        <v>1089</v>
      </c>
      <c r="O432" s="15">
        <v>7</v>
      </c>
      <c r="P432" s="15"/>
      <c r="Q432" s="15" t="s">
        <v>188</v>
      </c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 t="s">
        <v>188</v>
      </c>
      <c r="AG432" s="15"/>
      <c r="AH432" s="15">
        <v>1997</v>
      </c>
      <c r="AI432" s="1" t="s">
        <v>193</v>
      </c>
      <c r="AJ432" s="15"/>
      <c r="AK432" s="15"/>
      <c r="AL432" s="15" t="s">
        <v>188</v>
      </c>
      <c r="AM432" s="15"/>
      <c r="AN432" s="15"/>
      <c r="AO432" s="15" t="s">
        <v>188</v>
      </c>
      <c r="AP432" s="15"/>
      <c r="AQ432" s="15"/>
      <c r="AR432" s="15"/>
      <c r="AS432" s="15"/>
      <c r="AT432" s="15" t="s">
        <v>322</v>
      </c>
      <c r="AU432" s="1">
        <v>9000</v>
      </c>
      <c r="AV432" s="48">
        <v>0.1</v>
      </c>
      <c r="AW432" s="15">
        <v>3.4</v>
      </c>
      <c r="AX432" s="15">
        <v>3.1</v>
      </c>
      <c r="AY432" s="15">
        <v>2</v>
      </c>
      <c r="AZ432" s="15">
        <v>750</v>
      </c>
      <c r="BA432" s="15">
        <v>2400</v>
      </c>
      <c r="BB432" s="15" t="s">
        <v>188</v>
      </c>
      <c r="BC432" s="15" t="s">
        <v>199</v>
      </c>
      <c r="BD432" s="15" t="s">
        <v>199</v>
      </c>
      <c r="BE432" s="1">
        <v>30000</v>
      </c>
      <c r="BF432" s="1" t="s">
        <v>193</v>
      </c>
      <c r="BG432" s="1">
        <v>60000</v>
      </c>
      <c r="BH432" s="1" t="s">
        <v>193</v>
      </c>
      <c r="BI432" s="1" t="s">
        <v>193</v>
      </c>
      <c r="BJ432" s="15"/>
      <c r="BK432" s="15"/>
      <c r="BL432" s="15"/>
      <c r="BM432" s="15"/>
      <c r="BN432" s="15"/>
      <c r="BO432" s="15" t="s">
        <v>188</v>
      </c>
      <c r="BP432" s="15"/>
      <c r="BQ432" s="15"/>
      <c r="BR432" s="15"/>
      <c r="BS432" s="2"/>
      <c r="BT432" s="15"/>
      <c r="BU432" s="15" t="s">
        <v>188</v>
      </c>
      <c r="BV432" s="15"/>
      <c r="BW432" s="15"/>
      <c r="BX432" s="15">
        <v>3</v>
      </c>
      <c r="BY432" s="15">
        <v>2</v>
      </c>
      <c r="BZ432" s="15">
        <v>1</v>
      </c>
      <c r="CA432" s="15"/>
      <c r="CB432" s="15" t="s">
        <v>188</v>
      </c>
      <c r="CC432" s="15"/>
      <c r="CD432" s="15"/>
      <c r="CE432" s="15"/>
      <c r="CF432" s="15"/>
      <c r="CG432" s="15"/>
      <c r="CH432" s="15"/>
      <c r="CI432" s="15"/>
      <c r="CJ432" s="15"/>
      <c r="CK432" s="15" t="s">
        <v>188</v>
      </c>
      <c r="CL432" s="15"/>
      <c r="CM432" s="15"/>
      <c r="CN432" s="15"/>
      <c r="CO432" s="15"/>
      <c r="CP432" s="15" t="s">
        <v>193</v>
      </c>
      <c r="CQ432" s="15" t="s">
        <v>193</v>
      </c>
      <c r="CR432" s="15" t="s">
        <v>188</v>
      </c>
      <c r="CS432" s="15"/>
      <c r="CT432" s="15"/>
      <c r="CU432" s="15"/>
      <c r="CV432" s="15"/>
      <c r="CW432" s="15"/>
      <c r="CX432" s="15" t="s">
        <v>188</v>
      </c>
      <c r="CY432" s="15"/>
      <c r="CZ432" s="3"/>
      <c r="DA432" s="49"/>
      <c r="DC432" s="18">
        <f t="shared" si="18"/>
        <v>0</v>
      </c>
      <c r="DD432" s="18">
        <f t="shared" si="19"/>
        <v>2</v>
      </c>
      <c r="DE432" s="18">
        <f t="shared" si="20"/>
        <v>1997</v>
      </c>
    </row>
    <row r="433" spans="1:109" x14ac:dyDescent="0.25">
      <c r="A433" s="65" t="s">
        <v>1326</v>
      </c>
      <c r="B433" s="103">
        <v>41568</v>
      </c>
      <c r="C433" s="106" t="s">
        <v>1575</v>
      </c>
      <c r="D433" s="14" t="s">
        <v>1219</v>
      </c>
      <c r="E433" s="15"/>
      <c r="F433" s="15"/>
      <c r="G433" s="15" t="s">
        <v>188</v>
      </c>
      <c r="H433" s="15"/>
      <c r="I433" s="15">
        <v>35</v>
      </c>
      <c r="J433" s="15" t="s">
        <v>189</v>
      </c>
      <c r="K433" s="15" t="s">
        <v>196</v>
      </c>
      <c r="L433" s="15" t="s">
        <v>1247</v>
      </c>
      <c r="M433" s="15" t="s">
        <v>1248</v>
      </c>
      <c r="N433" s="15" t="s">
        <v>1089</v>
      </c>
      <c r="O433" s="15">
        <v>8</v>
      </c>
      <c r="P433" s="15"/>
      <c r="Q433" s="15"/>
      <c r="R433" s="15"/>
      <c r="S433" s="15" t="s">
        <v>188</v>
      </c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 t="s">
        <v>188</v>
      </c>
      <c r="AG433" s="15"/>
      <c r="AH433" s="15">
        <v>1998</v>
      </c>
      <c r="AI433" s="1" t="s">
        <v>193</v>
      </c>
      <c r="AJ433" s="15"/>
      <c r="AK433" s="15"/>
      <c r="AL433" s="15" t="s">
        <v>188</v>
      </c>
      <c r="AM433" s="15"/>
      <c r="AN433" s="15"/>
      <c r="AO433" s="15" t="s">
        <v>188</v>
      </c>
      <c r="AP433" s="15"/>
      <c r="AQ433" s="15"/>
      <c r="AR433" s="15"/>
      <c r="AS433" s="15"/>
      <c r="AT433" s="15" t="s">
        <v>322</v>
      </c>
      <c r="AU433" s="1">
        <v>9000</v>
      </c>
      <c r="AV433" s="48">
        <v>0.2</v>
      </c>
      <c r="AW433" s="15">
        <v>2.6</v>
      </c>
      <c r="AX433" s="15">
        <v>2.2000000000000002</v>
      </c>
      <c r="AY433" s="15">
        <v>2</v>
      </c>
      <c r="AZ433" s="15">
        <v>800</v>
      </c>
      <c r="BA433" s="15">
        <v>2000</v>
      </c>
      <c r="BB433" s="15" t="s">
        <v>199</v>
      </c>
      <c r="BC433" s="15" t="s">
        <v>199</v>
      </c>
      <c r="BD433" s="15" t="s">
        <v>199</v>
      </c>
      <c r="BE433" s="1">
        <v>35000</v>
      </c>
      <c r="BF433" s="1">
        <v>24000</v>
      </c>
      <c r="BG433" s="1">
        <v>70000</v>
      </c>
      <c r="BH433" s="1">
        <v>120000</v>
      </c>
      <c r="BI433" s="1" t="s">
        <v>193</v>
      </c>
      <c r="BJ433" s="15"/>
      <c r="BK433" s="15"/>
      <c r="BL433" s="15"/>
      <c r="BM433" s="15"/>
      <c r="BN433" s="15"/>
      <c r="BO433" s="15" t="s">
        <v>188</v>
      </c>
      <c r="BP433" s="15"/>
      <c r="BQ433" s="15"/>
      <c r="BR433" s="15"/>
      <c r="BS433" s="2"/>
      <c r="BT433" s="15"/>
      <c r="BU433" s="15" t="s">
        <v>188</v>
      </c>
      <c r="BV433" s="15"/>
      <c r="BW433" s="15"/>
      <c r="BX433" s="15">
        <v>2</v>
      </c>
      <c r="BY433" s="15">
        <v>1</v>
      </c>
      <c r="BZ433" s="15">
        <v>3</v>
      </c>
      <c r="CA433" s="15"/>
      <c r="CB433" s="15" t="s">
        <v>188</v>
      </c>
      <c r="CC433" s="15"/>
      <c r="CD433" s="15"/>
      <c r="CE433" s="15"/>
      <c r="CF433" s="15"/>
      <c r="CG433" s="15"/>
      <c r="CH433" s="15"/>
      <c r="CI433" s="15"/>
      <c r="CJ433" s="15"/>
      <c r="CK433" s="15" t="s">
        <v>188</v>
      </c>
      <c r="CL433" s="15"/>
      <c r="CM433" s="15"/>
      <c r="CN433" s="15"/>
      <c r="CO433" s="15"/>
      <c r="CP433" s="15" t="s">
        <v>193</v>
      </c>
      <c r="CQ433" s="15" t="s">
        <v>193</v>
      </c>
      <c r="CR433" s="15" t="s">
        <v>188</v>
      </c>
      <c r="CS433" s="15"/>
      <c r="CT433" s="15"/>
      <c r="CU433" s="15"/>
      <c r="CV433" s="15"/>
      <c r="CW433" s="15"/>
      <c r="CX433" s="15" t="s">
        <v>188</v>
      </c>
      <c r="CY433" s="15"/>
      <c r="CZ433" s="3"/>
      <c r="DA433" s="49"/>
      <c r="DC433" s="18">
        <f t="shared" si="18"/>
        <v>0</v>
      </c>
      <c r="DD433" s="18">
        <f t="shared" si="19"/>
        <v>3</v>
      </c>
      <c r="DE433" s="18">
        <f t="shared" si="20"/>
        <v>1998</v>
      </c>
    </row>
    <row r="434" spans="1:109" x14ac:dyDescent="0.25">
      <c r="A434" s="65" t="s">
        <v>1326</v>
      </c>
      <c r="B434" s="103">
        <v>41568</v>
      </c>
      <c r="C434" s="106" t="s">
        <v>1575</v>
      </c>
      <c r="D434" s="14" t="s">
        <v>1220</v>
      </c>
      <c r="E434" s="15"/>
      <c r="F434" s="15" t="s">
        <v>188</v>
      </c>
      <c r="G434" s="15"/>
      <c r="H434" s="15"/>
      <c r="I434" s="15">
        <v>31</v>
      </c>
      <c r="J434" s="15" t="s">
        <v>189</v>
      </c>
      <c r="K434" s="15" t="s">
        <v>196</v>
      </c>
      <c r="L434" s="15" t="s">
        <v>1244</v>
      </c>
      <c r="M434" s="15" t="s">
        <v>1137</v>
      </c>
      <c r="N434" s="15" t="s">
        <v>1133</v>
      </c>
      <c r="O434" s="15">
        <v>10</v>
      </c>
      <c r="P434" s="15" t="s">
        <v>188</v>
      </c>
      <c r="Q434" s="15"/>
      <c r="R434" s="15"/>
      <c r="S434" s="15"/>
      <c r="T434" s="15"/>
      <c r="U434" s="15" t="s">
        <v>188</v>
      </c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>
        <v>1980</v>
      </c>
      <c r="AI434" s="1" t="s">
        <v>193</v>
      </c>
      <c r="AJ434" s="15" t="s">
        <v>188</v>
      </c>
      <c r="AK434" s="15"/>
      <c r="AL434" s="15"/>
      <c r="AM434" s="15"/>
      <c r="AN434" s="15"/>
      <c r="AO434" s="15" t="s">
        <v>188</v>
      </c>
      <c r="AP434" s="15"/>
      <c r="AQ434" s="15"/>
      <c r="AR434" s="15"/>
      <c r="AS434" s="15"/>
      <c r="AT434" s="15" t="s">
        <v>860</v>
      </c>
      <c r="AU434" s="1">
        <v>6000</v>
      </c>
      <c r="AV434" s="48">
        <v>0.2</v>
      </c>
      <c r="AW434" s="15">
        <v>4.9000000000000004</v>
      </c>
      <c r="AX434" s="15">
        <v>4.5999999999999996</v>
      </c>
      <c r="AY434" s="15">
        <v>2</v>
      </c>
      <c r="AZ434" s="15">
        <v>340</v>
      </c>
      <c r="BA434" s="15">
        <v>1600</v>
      </c>
      <c r="BB434" s="15" t="s">
        <v>199</v>
      </c>
      <c r="BC434" s="15" t="s">
        <v>199</v>
      </c>
      <c r="BD434" s="15" t="s">
        <v>199</v>
      </c>
      <c r="BE434" s="1">
        <v>30000</v>
      </c>
      <c r="BF434" s="1" t="s">
        <v>193</v>
      </c>
      <c r="BG434" s="1">
        <v>30000</v>
      </c>
      <c r="BH434" s="1" t="s">
        <v>193</v>
      </c>
      <c r="BI434" s="1" t="s">
        <v>193</v>
      </c>
      <c r="BJ434" s="15"/>
      <c r="BK434" s="15"/>
      <c r="BL434" s="15"/>
      <c r="BM434" s="15"/>
      <c r="BN434" s="15" t="s">
        <v>188</v>
      </c>
      <c r="BO434" s="15"/>
      <c r="BP434" s="15" t="s">
        <v>188</v>
      </c>
      <c r="BQ434" s="15"/>
      <c r="BR434" s="15"/>
      <c r="BS434" s="2"/>
      <c r="BT434" s="15"/>
      <c r="BU434" s="15" t="s">
        <v>188</v>
      </c>
      <c r="BV434" s="15"/>
      <c r="BW434" s="15"/>
      <c r="BX434" s="15">
        <v>1</v>
      </c>
      <c r="BY434" s="15">
        <v>3</v>
      </c>
      <c r="BZ434" s="15">
        <v>2</v>
      </c>
      <c r="CA434" s="15"/>
      <c r="CB434" s="15" t="s">
        <v>188</v>
      </c>
      <c r="CC434" s="15"/>
      <c r="CD434" s="15"/>
      <c r="CE434" s="15"/>
      <c r="CF434" s="15"/>
      <c r="CG434" s="15"/>
      <c r="CH434" s="15"/>
      <c r="CI434" s="15"/>
      <c r="CJ434" s="15"/>
      <c r="CK434" s="15" t="s">
        <v>188</v>
      </c>
      <c r="CL434" s="15"/>
      <c r="CM434" s="15"/>
      <c r="CN434" s="15"/>
      <c r="CO434" s="15"/>
      <c r="CP434" s="15" t="s">
        <v>193</v>
      </c>
      <c r="CQ434" s="15" t="s">
        <v>193</v>
      </c>
      <c r="CR434" s="15" t="s">
        <v>188</v>
      </c>
      <c r="CS434" s="15"/>
      <c r="CT434" s="15"/>
      <c r="CU434" s="15"/>
      <c r="CV434" s="15"/>
      <c r="CW434" s="15"/>
      <c r="CX434" s="15" t="s">
        <v>188</v>
      </c>
      <c r="CY434" s="15"/>
      <c r="CZ434" s="3"/>
      <c r="DA434" s="49"/>
      <c r="DC434" s="18">
        <f t="shared" si="18"/>
        <v>0</v>
      </c>
      <c r="DD434" s="18">
        <f t="shared" si="19"/>
        <v>2</v>
      </c>
      <c r="DE434" s="18">
        <f t="shared" si="20"/>
        <v>1980</v>
      </c>
    </row>
    <row r="435" spans="1:109" x14ac:dyDescent="0.25">
      <c r="A435" s="65" t="s">
        <v>1326</v>
      </c>
      <c r="B435" s="103">
        <v>41568</v>
      </c>
      <c r="C435" s="106" t="s">
        <v>1575</v>
      </c>
      <c r="D435" s="14" t="s">
        <v>1221</v>
      </c>
      <c r="E435" s="15"/>
      <c r="F435" s="15"/>
      <c r="G435" s="15" t="s">
        <v>188</v>
      </c>
      <c r="H435" s="15"/>
      <c r="I435" s="15">
        <v>44</v>
      </c>
      <c r="J435" s="15" t="s">
        <v>189</v>
      </c>
      <c r="K435" s="15" t="s">
        <v>190</v>
      </c>
      <c r="L435" s="15" t="s">
        <v>889</v>
      </c>
      <c r="M435" s="15" t="s">
        <v>1136</v>
      </c>
      <c r="N435" s="15" t="s">
        <v>1090</v>
      </c>
      <c r="O435" s="15">
        <v>22</v>
      </c>
      <c r="P435" s="15"/>
      <c r="Q435" s="15"/>
      <c r="R435" s="15"/>
      <c r="S435" s="15" t="s">
        <v>188</v>
      </c>
      <c r="T435" s="15"/>
      <c r="U435" s="15" t="s">
        <v>188</v>
      </c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>
        <v>2004</v>
      </c>
      <c r="AI435" s="1">
        <v>750969</v>
      </c>
      <c r="AJ435" s="15"/>
      <c r="AK435" s="15"/>
      <c r="AL435" s="15" t="s">
        <v>188</v>
      </c>
      <c r="AM435" s="15"/>
      <c r="AN435" s="15"/>
      <c r="AO435" s="15"/>
      <c r="AP435" s="15" t="s">
        <v>188</v>
      </c>
      <c r="AQ435" s="15"/>
      <c r="AR435" s="15"/>
      <c r="AS435" s="15"/>
      <c r="AT435" s="15" t="s">
        <v>322</v>
      </c>
      <c r="AU435" s="1">
        <v>7000</v>
      </c>
      <c r="AV435" s="48">
        <v>0.5</v>
      </c>
      <c r="AW435" s="15">
        <v>2.7</v>
      </c>
      <c r="AX435" s="15">
        <v>2.5</v>
      </c>
      <c r="AY435" s="15">
        <v>2</v>
      </c>
      <c r="AZ435" s="15">
        <v>890</v>
      </c>
      <c r="BA435" s="15">
        <v>2300</v>
      </c>
      <c r="BB435" s="15" t="s">
        <v>188</v>
      </c>
      <c r="BC435" s="15" t="s">
        <v>199</v>
      </c>
      <c r="BD435" s="15" t="s">
        <v>199</v>
      </c>
      <c r="BE435" s="1">
        <v>20000</v>
      </c>
      <c r="BF435" s="1" t="s">
        <v>193</v>
      </c>
      <c r="BG435" s="1">
        <v>40000</v>
      </c>
      <c r="BH435" s="1" t="s">
        <v>193</v>
      </c>
      <c r="BI435" s="1" t="s">
        <v>193</v>
      </c>
      <c r="BJ435" s="15"/>
      <c r="BK435" s="15"/>
      <c r="BL435" s="15"/>
      <c r="BM435" s="15"/>
      <c r="BN435" s="15"/>
      <c r="BO435" s="15"/>
      <c r="BP435" s="15" t="s">
        <v>188</v>
      </c>
      <c r="BQ435" s="15"/>
      <c r="BR435" s="15"/>
      <c r="BS435" s="2"/>
      <c r="BT435" s="15"/>
      <c r="BU435" s="15"/>
      <c r="BV435" s="15" t="s">
        <v>188</v>
      </c>
      <c r="BW435" s="15"/>
      <c r="BX435" s="15">
        <v>1</v>
      </c>
      <c r="BY435" s="15">
        <v>2</v>
      </c>
      <c r="BZ435" s="15">
        <v>3</v>
      </c>
      <c r="CA435" s="15"/>
      <c r="CB435" s="15" t="s">
        <v>188</v>
      </c>
      <c r="CC435" s="15"/>
      <c r="CD435" s="15"/>
      <c r="CE435" s="15"/>
      <c r="CF435" s="15"/>
      <c r="CG435" s="15"/>
      <c r="CH435" s="15"/>
      <c r="CI435" s="15"/>
      <c r="CJ435" s="15"/>
      <c r="CK435" s="15" t="s">
        <v>188</v>
      </c>
      <c r="CL435" s="15"/>
      <c r="CM435" s="15"/>
      <c r="CN435" s="15"/>
      <c r="CO435" s="15"/>
      <c r="CP435" s="15" t="s">
        <v>193</v>
      </c>
      <c r="CQ435" s="15" t="s">
        <v>193</v>
      </c>
      <c r="CR435" s="15" t="s">
        <v>188</v>
      </c>
      <c r="CS435" s="15"/>
      <c r="CT435" s="15"/>
      <c r="CU435" s="15"/>
      <c r="CV435" s="15"/>
      <c r="CW435" s="15"/>
      <c r="CX435" s="15"/>
      <c r="CY435" s="15" t="s">
        <v>188</v>
      </c>
      <c r="CZ435" s="3"/>
      <c r="DA435" s="49"/>
      <c r="DC435" s="18">
        <f t="shared" si="18"/>
        <v>0</v>
      </c>
      <c r="DD435" s="18">
        <f t="shared" si="19"/>
        <v>3</v>
      </c>
      <c r="DE435" s="18">
        <f t="shared" si="20"/>
        <v>2004</v>
      </c>
    </row>
    <row r="436" spans="1:109" x14ac:dyDescent="0.25">
      <c r="A436" s="65" t="s">
        <v>1326</v>
      </c>
      <c r="B436" s="103">
        <v>41568</v>
      </c>
      <c r="C436" s="106" t="s">
        <v>1575</v>
      </c>
      <c r="D436" s="14" t="s">
        <v>1222</v>
      </c>
      <c r="E436" s="15"/>
      <c r="F436" s="15" t="s">
        <v>188</v>
      </c>
      <c r="G436" s="15"/>
      <c r="H436" s="15"/>
      <c r="I436" s="15">
        <v>24</v>
      </c>
      <c r="J436" s="15" t="s">
        <v>189</v>
      </c>
      <c r="K436" s="15" t="s">
        <v>196</v>
      </c>
      <c r="L436" s="15" t="s">
        <v>983</v>
      </c>
      <c r="M436" s="15" t="s">
        <v>1157</v>
      </c>
      <c r="N436" s="15" t="s">
        <v>1090</v>
      </c>
      <c r="O436" s="15">
        <v>5</v>
      </c>
      <c r="P436" s="15"/>
      <c r="Q436" s="15" t="s">
        <v>188</v>
      </c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 t="s">
        <v>188</v>
      </c>
      <c r="AG436" s="15"/>
      <c r="AH436" s="15">
        <v>1980</v>
      </c>
      <c r="AI436" s="1" t="s">
        <v>193</v>
      </c>
      <c r="AJ436" s="15"/>
      <c r="AK436" s="15"/>
      <c r="AL436" s="15" t="s">
        <v>188</v>
      </c>
      <c r="AM436" s="15"/>
      <c r="AN436" s="15"/>
      <c r="AO436" s="15" t="s">
        <v>188</v>
      </c>
      <c r="AP436" s="15"/>
      <c r="AQ436" s="15"/>
      <c r="AR436" s="15"/>
      <c r="AS436" s="15"/>
      <c r="AT436" s="15" t="s">
        <v>237</v>
      </c>
      <c r="AU436" s="1">
        <v>6000</v>
      </c>
      <c r="AV436" s="48">
        <v>0.5</v>
      </c>
      <c r="AW436" s="15">
        <v>3.6</v>
      </c>
      <c r="AX436" s="15">
        <v>3</v>
      </c>
      <c r="AY436" s="15">
        <v>2</v>
      </c>
      <c r="AZ436" s="15">
        <v>500</v>
      </c>
      <c r="BA436" s="15">
        <v>1500</v>
      </c>
      <c r="BB436" s="15" t="s">
        <v>199</v>
      </c>
      <c r="BC436" s="15" t="s">
        <v>199</v>
      </c>
      <c r="BD436" s="15" t="s">
        <v>199</v>
      </c>
      <c r="BE436" s="1">
        <v>35000</v>
      </c>
      <c r="BF436" s="1" t="s">
        <v>193</v>
      </c>
      <c r="BG436" s="1">
        <v>70000</v>
      </c>
      <c r="BH436" s="1" t="s">
        <v>193</v>
      </c>
      <c r="BI436" s="1" t="s">
        <v>193</v>
      </c>
      <c r="BJ436" s="15"/>
      <c r="BK436" s="15"/>
      <c r="BL436" s="15"/>
      <c r="BM436" s="15"/>
      <c r="BN436" s="15"/>
      <c r="BO436" s="15" t="s">
        <v>188</v>
      </c>
      <c r="BP436" s="15"/>
      <c r="BQ436" s="15"/>
      <c r="BR436" s="15"/>
      <c r="BS436" s="2"/>
      <c r="BT436" s="15"/>
      <c r="BU436" s="15" t="s">
        <v>188</v>
      </c>
      <c r="BV436" s="15"/>
      <c r="BW436" s="15"/>
      <c r="BX436" s="15">
        <v>1</v>
      </c>
      <c r="BY436" s="15">
        <v>3</v>
      </c>
      <c r="BZ436" s="15">
        <v>2</v>
      </c>
      <c r="CA436" s="15"/>
      <c r="CB436" s="15" t="s">
        <v>188</v>
      </c>
      <c r="CC436" s="15"/>
      <c r="CD436" s="15"/>
      <c r="CE436" s="15"/>
      <c r="CF436" s="15"/>
      <c r="CG436" s="15"/>
      <c r="CH436" s="15"/>
      <c r="CI436" s="15"/>
      <c r="CJ436" s="15"/>
      <c r="CK436" s="15" t="s">
        <v>188</v>
      </c>
      <c r="CL436" s="15"/>
      <c r="CM436" s="15"/>
      <c r="CN436" s="15"/>
      <c r="CO436" s="15"/>
      <c r="CP436" s="15" t="s">
        <v>193</v>
      </c>
      <c r="CQ436" s="15" t="s">
        <v>193</v>
      </c>
      <c r="CR436" s="15" t="s">
        <v>188</v>
      </c>
      <c r="CS436" s="15"/>
      <c r="CT436" s="15"/>
      <c r="CU436" s="15"/>
      <c r="CV436" s="15"/>
      <c r="CW436" s="15"/>
      <c r="CX436" s="15"/>
      <c r="CY436" s="15" t="s">
        <v>188</v>
      </c>
      <c r="CZ436" s="3"/>
      <c r="DA436" s="49"/>
      <c r="DC436" s="18">
        <f t="shared" si="18"/>
        <v>0</v>
      </c>
      <c r="DD436" s="18">
        <f t="shared" si="19"/>
        <v>2</v>
      </c>
      <c r="DE436" s="18">
        <f t="shared" si="20"/>
        <v>1980</v>
      </c>
    </row>
    <row r="437" spans="1:109" x14ac:dyDescent="0.25">
      <c r="A437" s="65" t="s">
        <v>1326</v>
      </c>
      <c r="B437" s="103">
        <v>41568</v>
      </c>
      <c r="C437" s="106" t="s">
        <v>1575</v>
      </c>
      <c r="D437" s="14" t="s">
        <v>1223</v>
      </c>
      <c r="E437" s="15"/>
      <c r="F437" s="15"/>
      <c r="G437" s="15" t="s">
        <v>188</v>
      </c>
      <c r="H437" s="15"/>
      <c r="I437" s="15">
        <v>51</v>
      </c>
      <c r="J437" s="15" t="s">
        <v>189</v>
      </c>
      <c r="K437" s="15" t="s">
        <v>190</v>
      </c>
      <c r="L437" s="15" t="s">
        <v>886</v>
      </c>
      <c r="M437" s="15" t="s">
        <v>1130</v>
      </c>
      <c r="N437" s="15" t="s">
        <v>1130</v>
      </c>
      <c r="O437" s="15">
        <v>30</v>
      </c>
      <c r="P437" s="15"/>
      <c r="Q437" s="15"/>
      <c r="R437" s="15"/>
      <c r="S437" s="15" t="s">
        <v>188</v>
      </c>
      <c r="T437" s="15"/>
      <c r="U437" s="15" t="s">
        <v>188</v>
      </c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>
        <v>2004</v>
      </c>
      <c r="AI437" s="1">
        <v>758911</v>
      </c>
      <c r="AJ437" s="15"/>
      <c r="AK437" s="15"/>
      <c r="AL437" s="15" t="s">
        <v>188</v>
      </c>
      <c r="AM437" s="15"/>
      <c r="AN437" s="15"/>
      <c r="AO437" s="15"/>
      <c r="AP437" s="15" t="s">
        <v>188</v>
      </c>
      <c r="AQ437" s="15"/>
      <c r="AR437" s="15"/>
      <c r="AS437" s="15"/>
      <c r="AT437" s="15" t="s">
        <v>322</v>
      </c>
      <c r="AU437" s="1">
        <v>10000</v>
      </c>
      <c r="AV437" s="48">
        <v>0.5</v>
      </c>
      <c r="AW437" s="15">
        <v>2.7</v>
      </c>
      <c r="AX437" s="15">
        <v>2.4</v>
      </c>
      <c r="AY437" s="15">
        <v>2</v>
      </c>
      <c r="AZ437" s="15">
        <v>920</v>
      </c>
      <c r="BA437" s="15">
        <v>2300</v>
      </c>
      <c r="BB437" s="15" t="s">
        <v>188</v>
      </c>
      <c r="BC437" s="15" t="s">
        <v>199</v>
      </c>
      <c r="BD437" s="15" t="s">
        <v>199</v>
      </c>
      <c r="BE437" s="1">
        <v>20000</v>
      </c>
      <c r="BF437" s="1" t="s">
        <v>193</v>
      </c>
      <c r="BG437" s="1" t="s">
        <v>193</v>
      </c>
      <c r="BH437" s="1" t="s">
        <v>193</v>
      </c>
      <c r="BI437" s="1" t="s">
        <v>193</v>
      </c>
      <c r="BJ437" s="15"/>
      <c r="BK437" s="15"/>
      <c r="BL437" s="15"/>
      <c r="BM437" s="15"/>
      <c r="BN437" s="15" t="s">
        <v>188</v>
      </c>
      <c r="BO437" s="15"/>
      <c r="BP437" s="15" t="s">
        <v>188</v>
      </c>
      <c r="BQ437" s="15"/>
      <c r="BR437" s="15"/>
      <c r="BS437" s="2"/>
      <c r="BT437" s="15"/>
      <c r="BU437" s="15" t="s">
        <v>188</v>
      </c>
      <c r="BV437" s="15"/>
      <c r="BW437" s="15"/>
      <c r="BX437" s="15">
        <v>1</v>
      </c>
      <c r="BY437" s="15">
        <v>2</v>
      </c>
      <c r="BZ437" s="15">
        <v>3</v>
      </c>
      <c r="CA437" s="15"/>
      <c r="CB437" s="15" t="s">
        <v>188</v>
      </c>
      <c r="CC437" s="15"/>
      <c r="CD437" s="15"/>
      <c r="CE437" s="15"/>
      <c r="CF437" s="15"/>
      <c r="CG437" s="15"/>
      <c r="CH437" s="15"/>
      <c r="CI437" s="15"/>
      <c r="CJ437" s="15"/>
      <c r="CK437" s="15" t="s">
        <v>188</v>
      </c>
      <c r="CL437" s="15"/>
      <c r="CM437" s="15"/>
      <c r="CN437" s="15"/>
      <c r="CO437" s="15"/>
      <c r="CP437" s="15" t="s">
        <v>193</v>
      </c>
      <c r="CQ437" s="15" t="s">
        <v>193</v>
      </c>
      <c r="CR437" s="15" t="s">
        <v>188</v>
      </c>
      <c r="CS437" s="15"/>
      <c r="CT437" s="15"/>
      <c r="CU437" s="15"/>
      <c r="CV437" s="15"/>
      <c r="CW437" s="15"/>
      <c r="CX437" s="15"/>
      <c r="CY437" s="15"/>
      <c r="CZ437" s="3" t="s">
        <v>1249</v>
      </c>
      <c r="DA437" s="49"/>
      <c r="DC437" s="18">
        <f t="shared" si="18"/>
        <v>0</v>
      </c>
      <c r="DD437" s="18">
        <f t="shared" si="19"/>
        <v>3</v>
      </c>
      <c r="DE437" s="18">
        <f t="shared" si="20"/>
        <v>2004</v>
      </c>
    </row>
    <row r="438" spans="1:109" x14ac:dyDescent="0.25">
      <c r="A438" s="65" t="s">
        <v>1326</v>
      </c>
      <c r="B438" s="103">
        <v>41569</v>
      </c>
      <c r="C438" s="106" t="s">
        <v>1574</v>
      </c>
      <c r="D438" s="14" t="s">
        <v>1224</v>
      </c>
      <c r="E438" s="15"/>
      <c r="F438" s="15" t="s">
        <v>188</v>
      </c>
      <c r="G438" s="15"/>
      <c r="H438" s="15"/>
      <c r="I438" s="15">
        <v>53</v>
      </c>
      <c r="J438" s="15" t="s">
        <v>189</v>
      </c>
      <c r="K438" s="15" t="s">
        <v>190</v>
      </c>
      <c r="L438" s="15" t="s">
        <v>1250</v>
      </c>
      <c r="M438" s="15" t="s">
        <v>1251</v>
      </c>
      <c r="N438" s="15" t="s">
        <v>1150</v>
      </c>
      <c r="O438" s="15">
        <v>37</v>
      </c>
      <c r="P438" s="15"/>
      <c r="Q438" s="15" t="s">
        <v>188</v>
      </c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 t="s">
        <v>188</v>
      </c>
      <c r="AG438" s="15"/>
      <c r="AH438" s="15">
        <v>2001</v>
      </c>
      <c r="AI438" s="1" t="s">
        <v>193</v>
      </c>
      <c r="AJ438" s="15"/>
      <c r="AK438" s="15"/>
      <c r="AL438" s="15" t="s">
        <v>188</v>
      </c>
      <c r="AM438" s="15"/>
      <c r="AN438" s="15"/>
      <c r="AO438" s="15"/>
      <c r="AP438" s="15" t="s">
        <v>188</v>
      </c>
      <c r="AQ438" s="15"/>
      <c r="AR438" s="15"/>
      <c r="AS438" s="15"/>
      <c r="AT438" s="15" t="s">
        <v>229</v>
      </c>
      <c r="AU438" s="1">
        <v>8000</v>
      </c>
      <c r="AV438" s="48">
        <v>0.5</v>
      </c>
      <c r="AW438" s="15">
        <v>2.7</v>
      </c>
      <c r="AX438" s="15">
        <v>2.2000000000000002</v>
      </c>
      <c r="AY438" s="15">
        <v>2</v>
      </c>
      <c r="AZ438" s="15">
        <v>500</v>
      </c>
      <c r="BA438" s="15">
        <v>1100</v>
      </c>
      <c r="BB438" s="15" t="s">
        <v>188</v>
      </c>
      <c r="BC438" s="15" t="s">
        <v>199</v>
      </c>
      <c r="BD438" s="15" t="s">
        <v>199</v>
      </c>
      <c r="BE438" s="1">
        <v>15000</v>
      </c>
      <c r="BF438" s="1">
        <v>200000</v>
      </c>
      <c r="BG438" s="1">
        <v>60000</v>
      </c>
      <c r="BH438" s="1">
        <v>180000</v>
      </c>
      <c r="BI438" s="1" t="s">
        <v>193</v>
      </c>
      <c r="BJ438" s="15" t="s">
        <v>188</v>
      </c>
      <c r="BK438" s="15"/>
      <c r="BL438" s="15"/>
      <c r="BM438" s="15"/>
      <c r="BN438" s="15"/>
      <c r="BO438" s="15"/>
      <c r="BP438" s="15"/>
      <c r="BQ438" s="15"/>
      <c r="BR438" s="15"/>
      <c r="BS438" s="2"/>
      <c r="BT438" s="15"/>
      <c r="BU438" s="15" t="s">
        <v>188</v>
      </c>
      <c r="BV438" s="15"/>
      <c r="BW438" s="15"/>
      <c r="BX438" s="15">
        <v>1</v>
      </c>
      <c r="BY438" s="15">
        <v>2</v>
      </c>
      <c r="BZ438" s="15">
        <v>3</v>
      </c>
      <c r="CA438" s="15"/>
      <c r="CB438" s="15" t="s">
        <v>188</v>
      </c>
      <c r="CC438" s="15"/>
      <c r="CD438" s="15"/>
      <c r="CE438" s="15"/>
      <c r="CF438" s="15"/>
      <c r="CG438" s="15"/>
      <c r="CH438" s="15"/>
      <c r="CI438" s="15"/>
      <c r="CJ438" s="15"/>
      <c r="CK438" s="15"/>
      <c r="CL438" s="15" t="s">
        <v>188</v>
      </c>
      <c r="CM438" s="15"/>
      <c r="CN438" s="15"/>
      <c r="CO438" s="15"/>
      <c r="CP438" s="15" t="s">
        <v>1252</v>
      </c>
      <c r="CQ438" s="15"/>
      <c r="CR438" s="15" t="s">
        <v>188</v>
      </c>
      <c r="CS438" s="15"/>
      <c r="CT438" s="15"/>
      <c r="CU438" s="15"/>
      <c r="CV438" s="15"/>
      <c r="CW438" s="15"/>
      <c r="CX438" s="15" t="s">
        <v>188</v>
      </c>
      <c r="CY438" s="15" t="s">
        <v>188</v>
      </c>
      <c r="CZ438" s="3"/>
      <c r="DA438" s="49"/>
      <c r="DC438" s="18">
        <f t="shared" si="18"/>
        <v>0</v>
      </c>
      <c r="DD438" s="18">
        <f t="shared" si="19"/>
        <v>2</v>
      </c>
      <c r="DE438" s="18">
        <f t="shared" si="20"/>
        <v>2001</v>
      </c>
    </row>
    <row r="439" spans="1:109" x14ac:dyDescent="0.25">
      <c r="A439" s="65" t="s">
        <v>1326</v>
      </c>
      <c r="B439" s="103">
        <v>41569</v>
      </c>
      <c r="C439" s="106" t="s">
        <v>1574</v>
      </c>
      <c r="D439" s="14" t="s">
        <v>1225</v>
      </c>
      <c r="E439" s="15"/>
      <c r="F439" s="15" t="s">
        <v>188</v>
      </c>
      <c r="G439" s="15"/>
      <c r="H439" s="15"/>
      <c r="I439" s="15">
        <v>50</v>
      </c>
      <c r="J439" s="15" t="s">
        <v>189</v>
      </c>
      <c r="K439" s="15" t="s">
        <v>190</v>
      </c>
      <c r="L439" s="15" t="s">
        <v>1253</v>
      </c>
      <c r="M439" s="15" t="s">
        <v>1145</v>
      </c>
      <c r="N439" s="15" t="s">
        <v>1142</v>
      </c>
      <c r="O439" s="15">
        <v>20</v>
      </c>
      <c r="P439" s="15" t="s">
        <v>188</v>
      </c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 t="s">
        <v>188</v>
      </c>
      <c r="AG439" s="15"/>
      <c r="AH439" s="15">
        <v>1973</v>
      </c>
      <c r="AI439" s="1" t="s">
        <v>193</v>
      </c>
      <c r="AJ439" s="15"/>
      <c r="AK439" s="15"/>
      <c r="AL439" s="15" t="s">
        <v>188</v>
      </c>
      <c r="AM439" s="15"/>
      <c r="AN439" s="15"/>
      <c r="AO439" s="15"/>
      <c r="AP439" s="15" t="s">
        <v>188</v>
      </c>
      <c r="AQ439" s="15"/>
      <c r="AR439" s="15"/>
      <c r="AS439" s="15"/>
      <c r="AT439" s="15" t="s">
        <v>285</v>
      </c>
      <c r="AU439" s="1">
        <v>5000</v>
      </c>
      <c r="AV439" s="48">
        <v>0.5</v>
      </c>
      <c r="AW439" s="15">
        <v>2.7</v>
      </c>
      <c r="AX439" s="15">
        <v>2.4</v>
      </c>
      <c r="AY439" s="15">
        <v>2</v>
      </c>
      <c r="AZ439" s="15">
        <v>500</v>
      </c>
      <c r="BA439" s="15">
        <v>1200</v>
      </c>
      <c r="BB439" s="15" t="s">
        <v>199</v>
      </c>
      <c r="BC439" s="15" t="s">
        <v>199</v>
      </c>
      <c r="BD439" s="15" t="s">
        <v>199</v>
      </c>
      <c r="BE439" s="1">
        <v>60000</v>
      </c>
      <c r="BF439" s="1" t="s">
        <v>193</v>
      </c>
      <c r="BG439" s="1">
        <v>60000</v>
      </c>
      <c r="BH439" s="1" t="s">
        <v>193</v>
      </c>
      <c r="BI439" s="1" t="s">
        <v>193</v>
      </c>
      <c r="BJ439" s="15" t="s">
        <v>188</v>
      </c>
      <c r="BK439" s="15"/>
      <c r="BL439" s="15"/>
      <c r="BM439" s="15"/>
      <c r="BN439" s="15"/>
      <c r="BO439" s="15"/>
      <c r="BP439" s="15"/>
      <c r="BQ439" s="15"/>
      <c r="BR439" s="15"/>
      <c r="BS439" s="2"/>
      <c r="BT439" s="15"/>
      <c r="BU439" s="15"/>
      <c r="BV439" s="15" t="s">
        <v>188</v>
      </c>
      <c r="BW439" s="15"/>
      <c r="BX439" s="15">
        <v>1</v>
      </c>
      <c r="BY439" s="15">
        <v>3</v>
      </c>
      <c r="BZ439" s="15">
        <v>2</v>
      </c>
      <c r="CA439" s="15"/>
      <c r="CB439" s="15" t="s">
        <v>188</v>
      </c>
      <c r="CC439" s="15"/>
      <c r="CD439" s="15"/>
      <c r="CE439" s="15"/>
      <c r="CF439" s="15"/>
      <c r="CG439" s="15"/>
      <c r="CH439" s="15"/>
      <c r="CI439" s="15"/>
      <c r="CJ439" s="15"/>
      <c r="CK439" s="15"/>
      <c r="CL439" s="15" t="s">
        <v>188</v>
      </c>
      <c r="CM439" s="15"/>
      <c r="CN439" s="15"/>
      <c r="CO439" s="15"/>
      <c r="CP439" s="15"/>
      <c r="CQ439" s="15"/>
      <c r="CR439" s="15" t="s">
        <v>188</v>
      </c>
      <c r="CS439" s="15"/>
      <c r="CT439" s="15"/>
      <c r="CU439" s="15"/>
      <c r="CV439" s="15"/>
      <c r="CW439" s="15"/>
      <c r="CX439" s="15"/>
      <c r="CY439" s="15" t="s">
        <v>188</v>
      </c>
      <c r="CZ439" s="3"/>
      <c r="DA439" s="49"/>
      <c r="DC439" s="18">
        <f t="shared" si="18"/>
        <v>0</v>
      </c>
      <c r="DD439" s="18">
        <f t="shared" si="19"/>
        <v>2</v>
      </c>
      <c r="DE439" s="18">
        <f t="shared" si="20"/>
        <v>1973</v>
      </c>
    </row>
    <row r="440" spans="1:109" x14ac:dyDescent="0.25">
      <c r="A440" s="65" t="s">
        <v>1326</v>
      </c>
      <c r="B440" s="103">
        <v>41569</v>
      </c>
      <c r="C440" s="106" t="s">
        <v>1574</v>
      </c>
      <c r="D440" s="14" t="s">
        <v>1226</v>
      </c>
      <c r="E440" s="15" t="s">
        <v>188</v>
      </c>
      <c r="F440" s="15"/>
      <c r="G440" s="15"/>
      <c r="H440" s="15"/>
      <c r="I440" s="15">
        <v>42</v>
      </c>
      <c r="J440" s="15" t="s">
        <v>189</v>
      </c>
      <c r="K440" s="15" t="s">
        <v>190</v>
      </c>
      <c r="L440" s="15" t="s">
        <v>1253</v>
      </c>
      <c r="M440" s="15" t="s">
        <v>1145</v>
      </c>
      <c r="N440" s="15" t="s">
        <v>1142</v>
      </c>
      <c r="O440" s="15">
        <v>21</v>
      </c>
      <c r="P440" s="15"/>
      <c r="Q440" s="15"/>
      <c r="R440" s="15"/>
      <c r="S440" s="15" t="s">
        <v>188</v>
      </c>
      <c r="T440" s="15"/>
      <c r="U440" s="15"/>
      <c r="V440" s="15" t="s">
        <v>188</v>
      </c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>
        <v>1985</v>
      </c>
      <c r="AI440" s="1" t="s">
        <v>193</v>
      </c>
      <c r="AJ440" s="15"/>
      <c r="AK440" s="15"/>
      <c r="AL440" s="15" t="s">
        <v>188</v>
      </c>
      <c r="AM440" s="15"/>
      <c r="AN440" s="15"/>
      <c r="AO440" s="15" t="s">
        <v>188</v>
      </c>
      <c r="AP440" s="15"/>
      <c r="AQ440" s="15"/>
      <c r="AR440" s="15"/>
      <c r="AS440" s="15"/>
      <c r="AT440" s="15" t="s">
        <v>322</v>
      </c>
      <c r="AU440" s="1">
        <v>8000</v>
      </c>
      <c r="AV440" s="48">
        <v>0.1</v>
      </c>
      <c r="AW440" s="15">
        <v>2.7</v>
      </c>
      <c r="AX440" s="15">
        <v>2.4</v>
      </c>
      <c r="AY440" s="15">
        <v>3</v>
      </c>
      <c r="AZ440" s="15">
        <v>1200</v>
      </c>
      <c r="BA440" s="15">
        <v>2600</v>
      </c>
      <c r="BB440" s="15" t="s">
        <v>199</v>
      </c>
      <c r="BC440" s="15" t="s">
        <v>199</v>
      </c>
      <c r="BD440" s="15" t="s">
        <v>199</v>
      </c>
      <c r="BE440" s="1">
        <v>40000</v>
      </c>
      <c r="BF440" s="1" t="s">
        <v>193</v>
      </c>
      <c r="BG440" s="1">
        <v>40000</v>
      </c>
      <c r="BH440" s="1" t="s">
        <v>193</v>
      </c>
      <c r="BI440" s="1" t="s">
        <v>193</v>
      </c>
      <c r="BJ440" s="15" t="s">
        <v>188</v>
      </c>
      <c r="BK440" s="15"/>
      <c r="BL440" s="15"/>
      <c r="BM440" s="15"/>
      <c r="BN440" s="15"/>
      <c r="BO440" s="15"/>
      <c r="BP440" s="15"/>
      <c r="BQ440" s="15" t="s">
        <v>188</v>
      </c>
      <c r="BR440" s="15"/>
      <c r="BS440" s="2"/>
      <c r="BT440" s="15"/>
      <c r="BU440" s="15"/>
      <c r="BV440" s="15" t="s">
        <v>188</v>
      </c>
      <c r="BW440" s="15"/>
      <c r="BX440" s="15">
        <v>1</v>
      </c>
      <c r="BY440" s="15">
        <v>2</v>
      </c>
      <c r="BZ440" s="15">
        <v>3</v>
      </c>
      <c r="CA440" s="15"/>
      <c r="CB440" s="15" t="s">
        <v>188</v>
      </c>
      <c r="CC440" s="15"/>
      <c r="CD440" s="15"/>
      <c r="CE440" s="15"/>
      <c r="CF440" s="15"/>
      <c r="CG440" s="15"/>
      <c r="CH440" s="15"/>
      <c r="CI440" s="15"/>
      <c r="CJ440" s="15"/>
      <c r="CK440" s="15" t="s">
        <v>188</v>
      </c>
      <c r="CL440" s="15"/>
      <c r="CM440" s="15"/>
      <c r="CN440" s="15"/>
      <c r="CO440" s="15"/>
      <c r="CP440" s="15" t="s">
        <v>193</v>
      </c>
      <c r="CQ440" s="15" t="s">
        <v>193</v>
      </c>
      <c r="CR440" s="15" t="s">
        <v>188</v>
      </c>
      <c r="CS440" s="15"/>
      <c r="CT440" s="15"/>
      <c r="CU440" s="15"/>
      <c r="CV440" s="15"/>
      <c r="CW440" s="15"/>
      <c r="CX440" s="15" t="s">
        <v>188</v>
      </c>
      <c r="CY440" s="15"/>
      <c r="CZ440" s="3"/>
      <c r="DA440" s="49"/>
      <c r="DC440" s="18">
        <f t="shared" si="18"/>
        <v>0</v>
      </c>
      <c r="DD440" s="18">
        <f t="shared" si="19"/>
        <v>1</v>
      </c>
      <c r="DE440" s="18">
        <f t="shared" si="20"/>
        <v>1985</v>
      </c>
    </row>
    <row r="441" spans="1:109" x14ac:dyDescent="0.25">
      <c r="A441" s="65" t="s">
        <v>1326</v>
      </c>
      <c r="B441" s="103">
        <v>41569</v>
      </c>
      <c r="C441" s="106" t="s">
        <v>1574</v>
      </c>
      <c r="D441" s="14" t="s">
        <v>1227</v>
      </c>
      <c r="E441" s="15"/>
      <c r="F441" s="15"/>
      <c r="G441" s="15"/>
      <c r="H441" s="15" t="s">
        <v>188</v>
      </c>
      <c r="I441" s="15">
        <v>37</v>
      </c>
      <c r="J441" s="15" t="s">
        <v>189</v>
      </c>
      <c r="K441" s="15" t="s">
        <v>196</v>
      </c>
      <c r="L441" s="15" t="s">
        <v>637</v>
      </c>
      <c r="M441" s="15" t="s">
        <v>1066</v>
      </c>
      <c r="N441" s="15" t="s">
        <v>1066</v>
      </c>
      <c r="O441" s="15">
        <v>15</v>
      </c>
      <c r="P441" s="15"/>
      <c r="Q441" s="15"/>
      <c r="R441" s="15"/>
      <c r="S441" s="15" t="s">
        <v>188</v>
      </c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 t="s">
        <v>188</v>
      </c>
      <c r="AG441" s="15"/>
      <c r="AH441" s="15">
        <v>1989</v>
      </c>
      <c r="AI441" s="1">
        <v>787390</v>
      </c>
      <c r="AJ441" s="15"/>
      <c r="AK441" s="15"/>
      <c r="AL441" s="15" t="s">
        <v>188</v>
      </c>
      <c r="AM441" s="15"/>
      <c r="AN441" s="15"/>
      <c r="AO441" s="15" t="s">
        <v>188</v>
      </c>
      <c r="AP441" s="15"/>
      <c r="AQ441" s="15"/>
      <c r="AR441" s="15"/>
      <c r="AS441" s="15"/>
      <c r="AT441" s="15" t="s">
        <v>322</v>
      </c>
      <c r="AU441" s="1">
        <v>16000</v>
      </c>
      <c r="AV441" s="48">
        <v>0.5</v>
      </c>
      <c r="AW441" s="15">
        <v>2.7</v>
      </c>
      <c r="AX441" s="15">
        <v>2</v>
      </c>
      <c r="AY441" s="15">
        <v>2</v>
      </c>
      <c r="AZ441" s="15">
        <v>750</v>
      </c>
      <c r="BA441" s="15">
        <v>1800</v>
      </c>
      <c r="BB441" s="15" t="s">
        <v>199</v>
      </c>
      <c r="BC441" s="15" t="s">
        <v>199</v>
      </c>
      <c r="BD441" s="15" t="s">
        <v>199</v>
      </c>
      <c r="BE441" s="1">
        <v>22000</v>
      </c>
      <c r="BF441" s="1" t="s">
        <v>193</v>
      </c>
      <c r="BG441" s="1">
        <v>44000</v>
      </c>
      <c r="BH441" s="1" t="s">
        <v>193</v>
      </c>
      <c r="BI441" s="1" t="s">
        <v>193</v>
      </c>
      <c r="BJ441" s="15" t="s">
        <v>188</v>
      </c>
      <c r="BK441" s="15"/>
      <c r="BL441" s="15"/>
      <c r="BM441" s="15"/>
      <c r="BN441" s="15"/>
      <c r="BO441" s="15"/>
      <c r="BP441" s="15"/>
      <c r="BQ441" s="15"/>
      <c r="BR441" s="15"/>
      <c r="BS441" s="2"/>
      <c r="BT441" s="15" t="s">
        <v>188</v>
      </c>
      <c r="BU441" s="15"/>
      <c r="BV441" s="15"/>
      <c r="BW441" s="15"/>
      <c r="BX441" s="15">
        <v>1</v>
      </c>
      <c r="BY441" s="15">
        <v>2</v>
      </c>
      <c r="BZ441" s="15">
        <v>3</v>
      </c>
      <c r="CA441" s="15"/>
      <c r="CB441" s="15" t="s">
        <v>188</v>
      </c>
      <c r="CC441" s="15"/>
      <c r="CD441" s="15"/>
      <c r="CE441" s="15"/>
      <c r="CF441" s="15"/>
      <c r="CG441" s="15"/>
      <c r="CH441" s="15"/>
      <c r="CI441" s="15"/>
      <c r="CJ441" s="15"/>
      <c r="CK441" s="15" t="s">
        <v>188</v>
      </c>
      <c r="CL441" s="15"/>
      <c r="CM441" s="15"/>
      <c r="CN441" s="15"/>
      <c r="CO441" s="15"/>
      <c r="CP441" s="15" t="s">
        <v>193</v>
      </c>
      <c r="CQ441" s="15" t="s">
        <v>193</v>
      </c>
      <c r="CR441" s="15" t="s">
        <v>188</v>
      </c>
      <c r="CS441" s="15"/>
      <c r="CT441" s="15"/>
      <c r="CU441" s="15"/>
      <c r="CV441" s="15" t="s">
        <v>188</v>
      </c>
      <c r="CW441" s="15" t="s">
        <v>599</v>
      </c>
      <c r="CX441" s="15"/>
      <c r="CY441" s="15"/>
      <c r="CZ441" s="3"/>
      <c r="DA441" s="49"/>
      <c r="DC441" s="18">
        <f t="shared" si="18"/>
        <v>0</v>
      </c>
      <c r="DD441" s="18">
        <f t="shared" si="19"/>
        <v>7</v>
      </c>
      <c r="DE441" s="18">
        <f t="shared" si="20"/>
        <v>1989</v>
      </c>
    </row>
    <row r="442" spans="1:109" x14ac:dyDescent="0.25">
      <c r="A442" s="65" t="s">
        <v>1326</v>
      </c>
      <c r="B442" s="103">
        <v>41569</v>
      </c>
      <c r="C442" s="106" t="s">
        <v>1574</v>
      </c>
      <c r="D442" s="14" t="s">
        <v>1228</v>
      </c>
      <c r="E442" s="15"/>
      <c r="F442" s="15"/>
      <c r="G442" s="15" t="s">
        <v>188</v>
      </c>
      <c r="H442" s="15"/>
      <c r="I442" s="15">
        <v>48</v>
      </c>
      <c r="J442" s="15" t="s">
        <v>189</v>
      </c>
      <c r="K442" s="15" t="s">
        <v>190</v>
      </c>
      <c r="L442" s="15" t="s">
        <v>1254</v>
      </c>
      <c r="M442" s="15" t="s">
        <v>1255</v>
      </c>
      <c r="N442" s="15" t="s">
        <v>1130</v>
      </c>
      <c r="O442" s="15">
        <v>25</v>
      </c>
      <c r="P442" s="15"/>
      <c r="Q442" s="15"/>
      <c r="R442" s="15"/>
      <c r="S442" s="15" t="s">
        <v>188</v>
      </c>
      <c r="T442" s="15"/>
      <c r="U442" s="15"/>
      <c r="V442" s="15" t="s">
        <v>188</v>
      </c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>
        <v>2006</v>
      </c>
      <c r="AI442" s="1">
        <v>573815</v>
      </c>
      <c r="AJ442" s="15"/>
      <c r="AK442" s="15"/>
      <c r="AL442" s="15" t="s">
        <v>188</v>
      </c>
      <c r="AM442" s="15"/>
      <c r="AN442" s="15"/>
      <c r="AO442" s="15"/>
      <c r="AP442" s="15" t="s">
        <v>188</v>
      </c>
      <c r="AQ442" s="15"/>
      <c r="AR442" s="15"/>
      <c r="AS442" s="15"/>
      <c r="AT442" s="15" t="s">
        <v>322</v>
      </c>
      <c r="AU442" s="1">
        <v>8000</v>
      </c>
      <c r="AV442" s="48">
        <v>0.2</v>
      </c>
      <c r="AW442" s="15">
        <v>2.7</v>
      </c>
      <c r="AX442" s="15">
        <v>2.4</v>
      </c>
      <c r="AY442" s="15">
        <v>3</v>
      </c>
      <c r="AZ442" s="15">
        <v>1100</v>
      </c>
      <c r="BA442" s="15">
        <v>2700</v>
      </c>
      <c r="BB442" s="15" t="s">
        <v>188</v>
      </c>
      <c r="BC442" s="15" t="s">
        <v>199</v>
      </c>
      <c r="BD442" s="15" t="s">
        <v>199</v>
      </c>
      <c r="BE442" s="1">
        <v>60000</v>
      </c>
      <c r="BF442" s="1">
        <v>50000</v>
      </c>
      <c r="BG442" s="1">
        <v>60000</v>
      </c>
      <c r="BH442" s="1">
        <v>130000</v>
      </c>
      <c r="BI442" s="1">
        <v>50000</v>
      </c>
      <c r="BJ442" s="15"/>
      <c r="BK442" s="15"/>
      <c r="BL442" s="15"/>
      <c r="BM442" s="15"/>
      <c r="BN442" s="15"/>
      <c r="BO442" s="15"/>
      <c r="BP442" s="15"/>
      <c r="BQ442" s="15"/>
      <c r="BR442" s="15"/>
      <c r="BS442" s="2"/>
      <c r="BT442" s="15"/>
      <c r="BU442" s="15"/>
      <c r="BV442" s="15"/>
      <c r="BW442" s="15"/>
      <c r="BX442" s="15">
        <v>2</v>
      </c>
      <c r="BY442" s="15">
        <v>4</v>
      </c>
      <c r="BZ442" s="15">
        <v>3</v>
      </c>
      <c r="CA442" s="15" t="s">
        <v>208</v>
      </c>
      <c r="CB442" s="15"/>
      <c r="CC442" s="15" t="s">
        <v>188</v>
      </c>
      <c r="CD442" s="15"/>
      <c r="CE442" s="15"/>
      <c r="CF442" s="15"/>
      <c r="CG442" s="15" t="s">
        <v>188</v>
      </c>
      <c r="CH442" s="15"/>
      <c r="CI442" s="15"/>
      <c r="CJ442" s="15"/>
      <c r="CK442" s="15" t="s">
        <v>188</v>
      </c>
      <c r="CL442" s="15"/>
      <c r="CM442" s="15"/>
      <c r="CN442" s="15"/>
      <c r="CO442" s="15"/>
      <c r="CP442" s="15" t="s">
        <v>193</v>
      </c>
      <c r="CQ442" s="15" t="s">
        <v>193</v>
      </c>
      <c r="CR442" s="15"/>
      <c r="CS442" s="15"/>
      <c r="CT442" s="15" t="s">
        <v>188</v>
      </c>
      <c r="CU442" s="15"/>
      <c r="CV442" s="15"/>
      <c r="CW442" s="15"/>
      <c r="CX442" s="15" t="s">
        <v>188</v>
      </c>
      <c r="CY442" s="15"/>
      <c r="CZ442" s="3"/>
      <c r="DA442" s="49"/>
      <c r="DC442" s="18">
        <f t="shared" si="18"/>
        <v>0</v>
      </c>
      <c r="DD442" s="18">
        <f t="shared" si="19"/>
        <v>3</v>
      </c>
      <c r="DE442" s="18">
        <f t="shared" si="20"/>
        <v>2006</v>
      </c>
    </row>
    <row r="443" spans="1:109" x14ac:dyDescent="0.25">
      <c r="A443" s="65" t="s">
        <v>1326</v>
      </c>
      <c r="B443" s="103">
        <v>41569</v>
      </c>
      <c r="C443" s="106" t="s">
        <v>1574</v>
      </c>
      <c r="D443" s="14" t="s">
        <v>1229</v>
      </c>
      <c r="E443" s="15" t="s">
        <v>188</v>
      </c>
      <c r="F443" s="15"/>
      <c r="G443" s="15"/>
      <c r="H443" s="15"/>
      <c r="I443" s="15">
        <v>57</v>
      </c>
      <c r="J443" s="15" t="s">
        <v>189</v>
      </c>
      <c r="K443" s="15" t="s">
        <v>196</v>
      </c>
      <c r="L443" s="15" t="s">
        <v>1257</v>
      </c>
      <c r="M443" s="15" t="s">
        <v>1256</v>
      </c>
      <c r="N443" s="15" t="s">
        <v>1009</v>
      </c>
      <c r="O443" s="15">
        <v>23</v>
      </c>
      <c r="P443" s="15"/>
      <c r="Q443" s="15" t="s">
        <v>188</v>
      </c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 t="s">
        <v>188</v>
      </c>
      <c r="AG443" s="15"/>
      <c r="AH443" s="15">
        <v>1980</v>
      </c>
      <c r="AI443" s="1">
        <v>1900000</v>
      </c>
      <c r="AJ443" s="15"/>
      <c r="AK443" s="15"/>
      <c r="AL443" s="15" t="s">
        <v>188</v>
      </c>
      <c r="AM443" s="15"/>
      <c r="AN443" s="15"/>
      <c r="AO443" s="15"/>
      <c r="AP443" s="15" t="s">
        <v>188</v>
      </c>
      <c r="AQ443" s="15"/>
      <c r="AR443" s="15"/>
      <c r="AS443" s="15"/>
      <c r="AT443" s="15" t="s">
        <v>237</v>
      </c>
      <c r="AU443" s="1">
        <v>6000</v>
      </c>
      <c r="AV443" s="48">
        <v>0.5</v>
      </c>
      <c r="AW443" s="15">
        <v>2.4</v>
      </c>
      <c r="AX443" s="15">
        <v>2.2000000000000002</v>
      </c>
      <c r="AY443" s="15">
        <v>2</v>
      </c>
      <c r="AZ443" s="15">
        <v>1100</v>
      </c>
      <c r="BA443" s="15">
        <v>2700</v>
      </c>
      <c r="BB443" s="15" t="s">
        <v>199</v>
      </c>
      <c r="BC443" s="15" t="s">
        <v>188</v>
      </c>
      <c r="BD443" s="15" t="s">
        <v>199</v>
      </c>
      <c r="BE443" s="1">
        <v>40000</v>
      </c>
      <c r="BF443" s="1">
        <v>60000</v>
      </c>
      <c r="BG443" s="1">
        <v>40000</v>
      </c>
      <c r="BH443" s="1">
        <v>100000</v>
      </c>
      <c r="BI443" s="1">
        <v>40000</v>
      </c>
      <c r="BJ443" s="15"/>
      <c r="BK443" s="15"/>
      <c r="BL443" s="15"/>
      <c r="BM443" s="15"/>
      <c r="BN443" s="15"/>
      <c r="BO443" s="15" t="s">
        <v>188</v>
      </c>
      <c r="BP443" s="15"/>
      <c r="BQ443" s="15"/>
      <c r="BR443" s="15"/>
      <c r="BS443" s="2"/>
      <c r="BT443" s="15"/>
      <c r="BU443" s="15" t="s">
        <v>188</v>
      </c>
      <c r="BV443" s="15"/>
      <c r="BW443" s="15"/>
      <c r="BX443" s="15">
        <v>3</v>
      </c>
      <c r="BY443" s="15">
        <v>2</v>
      </c>
      <c r="BZ443" s="15">
        <v>1</v>
      </c>
      <c r="CA443" s="15"/>
      <c r="CB443" s="15"/>
      <c r="CC443" s="15" t="s">
        <v>188</v>
      </c>
      <c r="CD443" s="15"/>
      <c r="CE443" s="15"/>
      <c r="CF443" s="15"/>
      <c r="CG443" s="15" t="s">
        <v>188</v>
      </c>
      <c r="CH443" s="15"/>
      <c r="CI443" s="15" t="s">
        <v>188</v>
      </c>
      <c r="CJ443" s="15"/>
      <c r="CK443" s="15"/>
      <c r="CL443" s="15" t="s">
        <v>188</v>
      </c>
      <c r="CM443" s="15" t="s">
        <v>188</v>
      </c>
      <c r="CN443" s="15" t="s">
        <v>1291</v>
      </c>
      <c r="CO443" s="15"/>
      <c r="CP443" s="15" t="s">
        <v>261</v>
      </c>
      <c r="CQ443" s="15" t="s">
        <v>193</v>
      </c>
      <c r="CR443" s="15"/>
      <c r="CS443" s="15" t="s">
        <v>188</v>
      </c>
      <c r="CT443" s="15"/>
      <c r="CU443" s="15"/>
      <c r="CV443" s="15"/>
      <c r="CW443" s="15"/>
      <c r="CX443" s="15" t="s">
        <v>188</v>
      </c>
      <c r="CY443" s="15" t="s">
        <v>188</v>
      </c>
      <c r="CZ443" s="3"/>
      <c r="DA443" s="49"/>
      <c r="DC443" s="18">
        <f t="shared" si="18"/>
        <v>0</v>
      </c>
      <c r="DD443" s="18">
        <f t="shared" si="19"/>
        <v>1</v>
      </c>
      <c r="DE443" s="18">
        <f t="shared" si="20"/>
        <v>1980</v>
      </c>
    </row>
    <row r="444" spans="1:109" x14ac:dyDescent="0.25">
      <c r="A444" s="61" t="s">
        <v>1323</v>
      </c>
      <c r="B444" s="103">
        <v>41549</v>
      </c>
      <c r="C444" s="106" t="s">
        <v>1584</v>
      </c>
      <c r="D444" s="14" t="s">
        <v>1258</v>
      </c>
      <c r="E444" s="15"/>
      <c r="F444" s="15"/>
      <c r="G444" s="15"/>
      <c r="H444" s="15" t="s">
        <v>188</v>
      </c>
      <c r="I444" s="15">
        <v>46</v>
      </c>
      <c r="J444" s="15" t="s">
        <v>189</v>
      </c>
      <c r="K444" s="15" t="s">
        <v>190</v>
      </c>
      <c r="L444" s="15" t="s">
        <v>1274</v>
      </c>
      <c r="M444" s="15" t="s">
        <v>1275</v>
      </c>
      <c r="N444" s="15" t="s">
        <v>1130</v>
      </c>
      <c r="O444" s="15">
        <v>27</v>
      </c>
      <c r="P444" s="15"/>
      <c r="Q444" s="15"/>
      <c r="R444" s="15"/>
      <c r="S444" s="15" t="s">
        <v>188</v>
      </c>
      <c r="T444" s="15"/>
      <c r="U444" s="15" t="s">
        <v>188</v>
      </c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>
        <v>1991</v>
      </c>
      <c r="AI444" s="1">
        <v>1200000</v>
      </c>
      <c r="AJ444" s="15"/>
      <c r="AK444" s="15"/>
      <c r="AL444" s="15" t="s">
        <v>188</v>
      </c>
      <c r="AM444" s="15"/>
      <c r="AN444" s="15"/>
      <c r="AO444" s="15"/>
      <c r="AP444" s="15"/>
      <c r="AQ444" s="15" t="s">
        <v>188</v>
      </c>
      <c r="AR444" s="15"/>
      <c r="AS444" s="15">
        <v>1991</v>
      </c>
      <c r="AT444" s="15" t="s">
        <v>322</v>
      </c>
      <c r="AU444" s="1">
        <v>5000</v>
      </c>
      <c r="AV444" s="48">
        <v>0</v>
      </c>
      <c r="AW444" s="15">
        <v>2.2000000000000002</v>
      </c>
      <c r="AX444" s="15">
        <v>1.9</v>
      </c>
      <c r="AY444" s="15">
        <v>2</v>
      </c>
      <c r="AZ444" s="15">
        <v>800</v>
      </c>
      <c r="BA444" s="15">
        <v>1600</v>
      </c>
      <c r="BB444" s="15" t="s">
        <v>188</v>
      </c>
      <c r="BC444" s="15" t="s">
        <v>188</v>
      </c>
      <c r="BD444" s="15" t="s">
        <v>199</v>
      </c>
      <c r="BE444" s="1">
        <v>25000</v>
      </c>
      <c r="BF444" s="1" t="s">
        <v>193</v>
      </c>
      <c r="BG444" s="1" t="s">
        <v>193</v>
      </c>
      <c r="BH444" s="1" t="s">
        <v>193</v>
      </c>
      <c r="BI444" s="1" t="s">
        <v>1276</v>
      </c>
      <c r="BJ444" s="15"/>
      <c r="BK444" s="15"/>
      <c r="BL444" s="15"/>
      <c r="BM444" s="15"/>
      <c r="BN444" s="15"/>
      <c r="BO444" s="15"/>
      <c r="BP444" s="15"/>
      <c r="BQ444" s="15"/>
      <c r="BR444" s="15" t="s">
        <v>188</v>
      </c>
      <c r="BS444" s="2"/>
      <c r="BT444" s="15"/>
      <c r="BU444" s="15"/>
      <c r="BV444" s="15"/>
      <c r="BW444" s="15" t="s">
        <v>188</v>
      </c>
      <c r="BX444" s="15">
        <v>2</v>
      </c>
      <c r="BY444" s="15">
        <v>3</v>
      </c>
      <c r="BZ444" s="15">
        <v>4</v>
      </c>
      <c r="CA444" s="15" t="s">
        <v>1277</v>
      </c>
      <c r="CB444" s="15" t="s">
        <v>188</v>
      </c>
      <c r="CC444" s="15"/>
      <c r="CD444" s="15"/>
      <c r="CE444" s="15"/>
      <c r="CF444" s="15"/>
      <c r="CG444" s="15"/>
      <c r="CH444" s="15"/>
      <c r="CI444" s="15"/>
      <c r="CJ444" s="15"/>
      <c r="CK444" s="15"/>
      <c r="CL444" s="15" t="s">
        <v>188</v>
      </c>
      <c r="CM444" s="15"/>
      <c r="CN444" s="15"/>
      <c r="CO444" s="15" t="s">
        <v>188</v>
      </c>
      <c r="CP444" s="15" t="s">
        <v>1278</v>
      </c>
      <c r="CQ444" s="15" t="s">
        <v>1279</v>
      </c>
      <c r="CR444" s="15"/>
      <c r="CS444" s="15" t="s">
        <v>188</v>
      </c>
      <c r="CT444" s="15"/>
      <c r="CU444" s="15"/>
      <c r="CV444" s="15"/>
      <c r="CW444" s="15"/>
      <c r="CX444" s="15" t="s">
        <v>188</v>
      </c>
      <c r="CY444" s="15"/>
      <c r="CZ444" s="3"/>
      <c r="DA444" s="49"/>
      <c r="DC444" s="18">
        <f t="shared" si="18"/>
        <v>0</v>
      </c>
      <c r="DD444" s="18">
        <f t="shared" si="19"/>
        <v>7</v>
      </c>
      <c r="DE444" s="18">
        <f t="shared" si="20"/>
        <v>1991</v>
      </c>
    </row>
    <row r="445" spans="1:109" x14ac:dyDescent="0.25">
      <c r="A445" s="61" t="s">
        <v>1323</v>
      </c>
      <c r="B445" s="103">
        <v>41549</v>
      </c>
      <c r="C445" s="106" t="s">
        <v>1584</v>
      </c>
      <c r="D445" s="14" t="s">
        <v>1259</v>
      </c>
      <c r="E445" s="15"/>
      <c r="F445" s="15"/>
      <c r="G445" s="15" t="s">
        <v>188</v>
      </c>
      <c r="H445" s="15"/>
      <c r="I445" s="15">
        <v>34</v>
      </c>
      <c r="J445" s="15" t="s">
        <v>189</v>
      </c>
      <c r="K445" s="15" t="s">
        <v>214</v>
      </c>
      <c r="L445" s="15" t="s">
        <v>1274</v>
      </c>
      <c r="M445" s="15" t="s">
        <v>1275</v>
      </c>
      <c r="N445" s="15" t="s">
        <v>1130</v>
      </c>
      <c r="O445" s="15">
        <v>10</v>
      </c>
      <c r="P445" s="15"/>
      <c r="Q445" s="15"/>
      <c r="R445" s="15"/>
      <c r="S445" s="15" t="s">
        <v>188</v>
      </c>
      <c r="T445" s="15"/>
      <c r="U445" s="15"/>
      <c r="V445" s="15"/>
      <c r="W445" s="15"/>
      <c r="X445" s="15"/>
      <c r="Y445" s="15"/>
      <c r="Z445" s="15"/>
      <c r="AA445" s="15"/>
      <c r="AB445" s="15" t="s">
        <v>188</v>
      </c>
      <c r="AC445" s="15"/>
      <c r="AD445" s="15"/>
      <c r="AE445" s="15"/>
      <c r="AF445" s="15"/>
      <c r="AG445" s="15"/>
      <c r="AH445" s="15">
        <v>1996</v>
      </c>
      <c r="AI445" s="1">
        <v>614380</v>
      </c>
      <c r="AJ445" s="15"/>
      <c r="AK445" s="15"/>
      <c r="AL445" s="15" t="s">
        <v>188</v>
      </c>
      <c r="AM445" s="15"/>
      <c r="AN445" s="15"/>
      <c r="AO445" s="15"/>
      <c r="AP445" s="15" t="s">
        <v>188</v>
      </c>
      <c r="AQ445" s="15"/>
      <c r="AR445" s="15"/>
      <c r="AS445" s="15"/>
      <c r="AT445" s="15" t="s">
        <v>322</v>
      </c>
      <c r="AU445" s="1">
        <v>6000</v>
      </c>
      <c r="AV445" s="48">
        <v>0.5</v>
      </c>
      <c r="AW445" s="15">
        <v>2.2000000000000002</v>
      </c>
      <c r="AX445" s="15">
        <v>1.9</v>
      </c>
      <c r="AY445" s="15">
        <v>2</v>
      </c>
      <c r="AZ445" s="15">
        <v>567</v>
      </c>
      <c r="BA445" s="15">
        <v>1300</v>
      </c>
      <c r="BB445" s="15" t="s">
        <v>188</v>
      </c>
      <c r="BC445" s="15" t="s">
        <v>188</v>
      </c>
      <c r="BD445" s="15" t="s">
        <v>199</v>
      </c>
      <c r="BE445" s="1">
        <v>18000</v>
      </c>
      <c r="BF445" s="1">
        <v>84000</v>
      </c>
      <c r="BG445" s="1" t="s">
        <v>193</v>
      </c>
      <c r="BH445" s="1">
        <v>84000</v>
      </c>
      <c r="BI445" s="1">
        <v>18000</v>
      </c>
      <c r="BJ445" s="15"/>
      <c r="BK445" s="15" t="s">
        <v>188</v>
      </c>
      <c r="BL445" s="15"/>
      <c r="BM445" s="15"/>
      <c r="BN445" s="15" t="s">
        <v>188</v>
      </c>
      <c r="BO445" s="15"/>
      <c r="BP445" s="15" t="s">
        <v>188</v>
      </c>
      <c r="BQ445" s="15"/>
      <c r="BR445" s="15"/>
      <c r="BS445" s="2"/>
      <c r="BT445" s="15"/>
      <c r="BU445" s="15"/>
      <c r="BV445" s="15"/>
      <c r="BW445" s="15" t="s">
        <v>188</v>
      </c>
      <c r="BX445" s="15">
        <v>2</v>
      </c>
      <c r="BY445" s="15">
        <v>3</v>
      </c>
      <c r="BZ445" s="15">
        <v>1</v>
      </c>
      <c r="CA445" s="15"/>
      <c r="CB445" s="15" t="s">
        <v>188</v>
      </c>
      <c r="CC445" s="15"/>
      <c r="CD445" s="15"/>
      <c r="CE445" s="15"/>
      <c r="CF445" s="15"/>
      <c r="CG445" s="15"/>
      <c r="CH445" s="15"/>
      <c r="CI445" s="15"/>
      <c r="CJ445" s="15"/>
      <c r="CK445" s="15" t="s">
        <v>188</v>
      </c>
      <c r="CL445" s="15"/>
      <c r="CM445" s="15"/>
      <c r="CN445" s="15"/>
      <c r="CO445" s="15"/>
      <c r="CP445" s="15" t="s">
        <v>193</v>
      </c>
      <c r="CQ445" s="15" t="s">
        <v>193</v>
      </c>
      <c r="CR445" s="15" t="s">
        <v>188</v>
      </c>
      <c r="CS445" s="15"/>
      <c r="CT445" s="15"/>
      <c r="CU445" s="15"/>
      <c r="CV445" s="15"/>
      <c r="CW445" s="15"/>
      <c r="CX445" s="15"/>
      <c r="CY445" s="15" t="s">
        <v>188</v>
      </c>
      <c r="CZ445" s="3"/>
      <c r="DA445" s="49"/>
      <c r="DC445" s="18">
        <f t="shared" si="18"/>
        <v>0</v>
      </c>
      <c r="DD445" s="18">
        <f t="shared" si="19"/>
        <v>3</v>
      </c>
      <c r="DE445" s="18">
        <f t="shared" si="20"/>
        <v>1996</v>
      </c>
    </row>
    <row r="446" spans="1:109" x14ac:dyDescent="0.25">
      <c r="A446" s="61" t="s">
        <v>1323</v>
      </c>
      <c r="B446" s="103">
        <v>41549</v>
      </c>
      <c r="C446" s="106" t="s">
        <v>1584</v>
      </c>
      <c r="D446" s="14" t="s">
        <v>1260</v>
      </c>
      <c r="E446" s="15"/>
      <c r="F446" s="15"/>
      <c r="G446" s="15" t="s">
        <v>188</v>
      </c>
      <c r="H446" s="15"/>
      <c r="I446" s="15">
        <v>36</v>
      </c>
      <c r="J446" s="15" t="s">
        <v>189</v>
      </c>
      <c r="K446" s="15" t="s">
        <v>214</v>
      </c>
      <c r="L446" s="15" t="s">
        <v>1274</v>
      </c>
      <c r="M446" s="15" t="s">
        <v>1275</v>
      </c>
      <c r="N446" s="15" t="s">
        <v>1130</v>
      </c>
      <c r="O446" s="15">
        <v>13</v>
      </c>
      <c r="P446" s="15"/>
      <c r="Q446" s="15" t="s">
        <v>188</v>
      </c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 t="s">
        <v>188</v>
      </c>
      <c r="AC446" s="15"/>
      <c r="AD446" s="15"/>
      <c r="AE446" s="15"/>
      <c r="AF446" s="15"/>
      <c r="AG446" s="15"/>
      <c r="AH446" s="15">
        <v>1990</v>
      </c>
      <c r="AI446" s="1" t="s">
        <v>193</v>
      </c>
      <c r="AJ446" s="15"/>
      <c r="AK446" s="15"/>
      <c r="AL446" s="15" t="s">
        <v>188</v>
      </c>
      <c r="AM446" s="15"/>
      <c r="AN446" s="15"/>
      <c r="AO446" s="15" t="s">
        <v>188</v>
      </c>
      <c r="AP446" s="15"/>
      <c r="AQ446" s="15"/>
      <c r="AR446" s="15"/>
      <c r="AS446" s="15"/>
      <c r="AT446" s="15" t="s">
        <v>193</v>
      </c>
      <c r="AU446" s="1">
        <v>7000</v>
      </c>
      <c r="AV446" s="48">
        <v>0.5</v>
      </c>
      <c r="AW446" s="15">
        <v>2.2999999999999998</v>
      </c>
      <c r="AX446" s="15">
        <v>2</v>
      </c>
      <c r="AY446" s="15">
        <v>2</v>
      </c>
      <c r="AZ446" s="15">
        <v>300</v>
      </c>
      <c r="BA446" s="15">
        <v>1500</v>
      </c>
      <c r="BB446" s="15" t="s">
        <v>188</v>
      </c>
      <c r="BC446" s="15" t="s">
        <v>188</v>
      </c>
      <c r="BD446" s="15" t="s">
        <v>188</v>
      </c>
      <c r="BE446" s="1">
        <f>7000*3</f>
        <v>21000</v>
      </c>
      <c r="BF446" s="1" t="s">
        <v>193</v>
      </c>
      <c r="BG446" s="1" t="s">
        <v>193</v>
      </c>
      <c r="BH446" s="1" t="s">
        <v>193</v>
      </c>
      <c r="BI446" s="1">
        <v>21000</v>
      </c>
      <c r="BJ446" s="15"/>
      <c r="BK446" s="15"/>
      <c r="BL446" s="15"/>
      <c r="BM446" s="15"/>
      <c r="BN446" s="15" t="s">
        <v>188</v>
      </c>
      <c r="BO446" s="15"/>
      <c r="BP446" s="15" t="s">
        <v>188</v>
      </c>
      <c r="BQ446" s="15"/>
      <c r="BR446" s="15"/>
      <c r="BS446" s="2"/>
      <c r="BT446" s="15"/>
      <c r="BU446" s="15"/>
      <c r="BV446" s="15"/>
      <c r="BW446" s="15" t="s">
        <v>188</v>
      </c>
      <c r="BX446" s="15">
        <v>2</v>
      </c>
      <c r="BY446" s="15">
        <v>3</v>
      </c>
      <c r="BZ446" s="15">
        <v>1</v>
      </c>
      <c r="CA446" s="15"/>
      <c r="CB446" s="15"/>
      <c r="CC446" s="15" t="s">
        <v>188</v>
      </c>
      <c r="CD446" s="15"/>
      <c r="CE446" s="15"/>
      <c r="CF446" s="15"/>
      <c r="CG446" s="15"/>
      <c r="CH446" s="15" t="s">
        <v>188</v>
      </c>
      <c r="CI446" s="15" t="s">
        <v>188</v>
      </c>
      <c r="CJ446" s="15"/>
      <c r="CK446" s="15"/>
      <c r="CL446" s="15" t="s">
        <v>188</v>
      </c>
      <c r="CM446" s="15"/>
      <c r="CN446" s="15"/>
      <c r="CO446" s="15"/>
      <c r="CP446" s="15" t="s">
        <v>1282</v>
      </c>
      <c r="CQ446" s="15" t="s">
        <v>1280</v>
      </c>
      <c r="CR446" s="15"/>
      <c r="CS446" s="15"/>
      <c r="CT446" s="15"/>
      <c r="CU446" s="15" t="s">
        <v>1281</v>
      </c>
      <c r="CV446" s="15"/>
      <c r="CW446" s="15"/>
      <c r="CX446" s="15" t="s">
        <v>188</v>
      </c>
      <c r="CY446" s="15" t="s">
        <v>188</v>
      </c>
      <c r="CZ446" s="3"/>
      <c r="DA446" s="49"/>
      <c r="DC446" s="18">
        <f t="shared" si="18"/>
        <v>0</v>
      </c>
      <c r="DD446" s="18">
        <f t="shared" si="19"/>
        <v>3</v>
      </c>
      <c r="DE446" s="18">
        <f t="shared" si="20"/>
        <v>1990</v>
      </c>
    </row>
    <row r="447" spans="1:109" x14ac:dyDescent="0.25">
      <c r="A447" s="61" t="s">
        <v>1323</v>
      </c>
      <c r="B447" s="103">
        <v>41549</v>
      </c>
      <c r="C447" s="106" t="s">
        <v>1584</v>
      </c>
      <c r="D447" s="14" t="s">
        <v>1261</v>
      </c>
      <c r="E447" s="15"/>
      <c r="F447" s="15"/>
      <c r="G447" s="15" t="s">
        <v>188</v>
      </c>
      <c r="H447" s="15"/>
      <c r="I447" s="15">
        <v>34</v>
      </c>
      <c r="J447" s="15" t="s">
        <v>189</v>
      </c>
      <c r="K447" s="15" t="s">
        <v>214</v>
      </c>
      <c r="L447" s="15" t="s">
        <v>1274</v>
      </c>
      <c r="M447" s="15" t="s">
        <v>1275</v>
      </c>
      <c r="N447" s="15" t="s">
        <v>1130</v>
      </c>
      <c r="O447" s="15">
        <v>12</v>
      </c>
      <c r="P447" s="15"/>
      <c r="Q447" s="15" t="s">
        <v>188</v>
      </c>
      <c r="R447" s="15"/>
      <c r="S447" s="15"/>
      <c r="T447" s="15"/>
      <c r="U447" s="15" t="s">
        <v>188</v>
      </c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>
        <v>1999</v>
      </c>
      <c r="AI447" s="1" t="s">
        <v>193</v>
      </c>
      <c r="AJ447" s="15"/>
      <c r="AK447" s="15"/>
      <c r="AL447" s="15" t="s">
        <v>188</v>
      </c>
      <c r="AM447" s="15"/>
      <c r="AN447" s="15"/>
      <c r="AO447" s="15"/>
      <c r="AP447" s="15" t="s">
        <v>188</v>
      </c>
      <c r="AQ447" s="15"/>
      <c r="AR447" s="15"/>
      <c r="AS447" s="15"/>
      <c r="AT447" s="15" t="s">
        <v>193</v>
      </c>
      <c r="AU447" s="1">
        <v>7000</v>
      </c>
      <c r="AV447" s="48">
        <v>0.5</v>
      </c>
      <c r="AW447" s="15">
        <v>2.2999999999999998</v>
      </c>
      <c r="AX447" s="15">
        <v>2</v>
      </c>
      <c r="AY447" s="15">
        <v>2</v>
      </c>
      <c r="AZ447" s="15">
        <v>300</v>
      </c>
      <c r="BA447" s="15">
        <v>1500</v>
      </c>
      <c r="BB447" s="15" t="s">
        <v>188</v>
      </c>
      <c r="BC447" s="15" t="s">
        <v>188</v>
      </c>
      <c r="BD447" s="15" t="s">
        <v>199</v>
      </c>
      <c r="BE447" s="1">
        <v>21000</v>
      </c>
      <c r="BF447" s="1" t="s">
        <v>193</v>
      </c>
      <c r="BG447" s="1" t="s">
        <v>193</v>
      </c>
      <c r="BH447" s="1" t="s">
        <v>193</v>
      </c>
      <c r="BI447" s="1">
        <v>21000</v>
      </c>
      <c r="BJ447" s="15"/>
      <c r="BK447" s="15"/>
      <c r="BL447" s="15"/>
      <c r="BM447" s="15"/>
      <c r="BN447" s="15" t="s">
        <v>188</v>
      </c>
      <c r="BO447" s="15"/>
      <c r="BP447" s="15" t="s">
        <v>188</v>
      </c>
      <c r="BQ447" s="15"/>
      <c r="BR447" s="15"/>
      <c r="BS447" s="2"/>
      <c r="BT447" s="15"/>
      <c r="BU447" s="15"/>
      <c r="BV447" s="15" t="s">
        <v>188</v>
      </c>
      <c r="BW447" s="15"/>
      <c r="BX447" s="15">
        <v>2</v>
      </c>
      <c r="BY447" s="15">
        <v>3</v>
      </c>
      <c r="BZ447" s="15">
        <v>1</v>
      </c>
      <c r="CA447" s="15"/>
      <c r="CB447" s="15"/>
      <c r="CC447" s="15" t="s">
        <v>188</v>
      </c>
      <c r="CD447" s="15"/>
      <c r="CE447" s="15"/>
      <c r="CF447" s="15"/>
      <c r="CG447" s="15"/>
      <c r="CH447" s="15" t="s">
        <v>188</v>
      </c>
      <c r="CI447" s="15" t="s">
        <v>188</v>
      </c>
      <c r="CJ447" s="15"/>
      <c r="CK447" s="15"/>
      <c r="CL447" s="15" t="s">
        <v>188</v>
      </c>
      <c r="CM447" s="15"/>
      <c r="CN447" s="15"/>
      <c r="CO447" s="15"/>
      <c r="CP447" s="15" t="s">
        <v>1282</v>
      </c>
      <c r="CQ447" s="15" t="s">
        <v>1280</v>
      </c>
      <c r="CR447" s="15"/>
      <c r="CS447" s="15" t="s">
        <v>188</v>
      </c>
      <c r="CT447" s="15" t="s">
        <v>188</v>
      </c>
      <c r="CU447" s="15" t="s">
        <v>1283</v>
      </c>
      <c r="CV447" s="15"/>
      <c r="CW447" s="15"/>
      <c r="CX447" s="15" t="s">
        <v>188</v>
      </c>
      <c r="CY447" s="15" t="s">
        <v>188</v>
      </c>
      <c r="CZ447" s="3"/>
      <c r="DA447" s="49"/>
      <c r="DC447" s="18">
        <f t="shared" si="18"/>
        <v>0</v>
      </c>
      <c r="DD447" s="18">
        <f t="shared" si="19"/>
        <v>3</v>
      </c>
      <c r="DE447" s="18">
        <f t="shared" si="20"/>
        <v>1999</v>
      </c>
    </row>
    <row r="448" spans="1:109" x14ac:dyDescent="0.25">
      <c r="A448" s="61" t="s">
        <v>1323</v>
      </c>
      <c r="B448" s="103">
        <v>41549</v>
      </c>
      <c r="C448" s="106" t="s">
        <v>1584</v>
      </c>
      <c r="D448" s="14" t="s">
        <v>1262</v>
      </c>
      <c r="E448" s="15"/>
      <c r="F448" s="15"/>
      <c r="G448" s="15"/>
      <c r="H448" s="15" t="s">
        <v>188</v>
      </c>
      <c r="I448" s="15">
        <v>26</v>
      </c>
      <c r="J448" s="15" t="s">
        <v>189</v>
      </c>
      <c r="K448" s="15" t="s">
        <v>220</v>
      </c>
      <c r="L448" s="15" t="s">
        <v>1274</v>
      </c>
      <c r="M448" s="15" t="s">
        <v>1275</v>
      </c>
      <c r="N448" s="15" t="s">
        <v>1130</v>
      </c>
      <c r="O448" s="15">
        <v>3</v>
      </c>
      <c r="P448" s="15"/>
      <c r="Q448" s="15"/>
      <c r="R448" s="15"/>
      <c r="S448" s="15" t="s">
        <v>188</v>
      </c>
      <c r="T448" s="15"/>
      <c r="U448" s="15" t="s">
        <v>188</v>
      </c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>
        <v>1994</v>
      </c>
      <c r="AI448" s="1">
        <v>1633250</v>
      </c>
      <c r="AJ448" s="15"/>
      <c r="AK448" s="15"/>
      <c r="AL448" s="15" t="s">
        <v>188</v>
      </c>
      <c r="AM448" s="15"/>
      <c r="AN448" s="15"/>
      <c r="AO448" s="15" t="s">
        <v>188</v>
      </c>
      <c r="AP448" s="15"/>
      <c r="AQ448" s="15"/>
      <c r="AR448" s="15"/>
      <c r="AS448" s="15"/>
      <c r="AT448" s="15" t="s">
        <v>193</v>
      </c>
      <c r="AU448" s="1">
        <v>2253</v>
      </c>
      <c r="AV448" s="48">
        <v>0.15</v>
      </c>
      <c r="AW448" s="15">
        <v>3</v>
      </c>
      <c r="AX448" s="15">
        <v>2.4</v>
      </c>
      <c r="AY448" s="15">
        <v>2</v>
      </c>
      <c r="AZ448" s="15">
        <v>520</v>
      </c>
      <c r="BA448" s="15">
        <v>2500</v>
      </c>
      <c r="BB448" s="15" t="s">
        <v>1284</v>
      </c>
      <c r="BC448" s="15" t="s">
        <v>199</v>
      </c>
      <c r="BD448" s="15" t="s">
        <v>199</v>
      </c>
      <c r="BE448" s="1">
        <v>11270</v>
      </c>
      <c r="BF448" s="1" t="s">
        <v>193</v>
      </c>
      <c r="BG448" s="1" t="s">
        <v>193</v>
      </c>
      <c r="BH448" s="1" t="s">
        <v>193</v>
      </c>
      <c r="BI448" s="1" t="s">
        <v>193</v>
      </c>
      <c r="BJ448" s="15"/>
      <c r="BK448" s="15"/>
      <c r="BL448" s="15"/>
      <c r="BM448" s="15"/>
      <c r="BN448" s="15" t="s">
        <v>188</v>
      </c>
      <c r="BO448" s="15"/>
      <c r="BP448" s="15"/>
      <c r="BQ448" s="15"/>
      <c r="BR448" s="15"/>
      <c r="BS448" s="2"/>
      <c r="BT448" s="15" t="s">
        <v>188</v>
      </c>
      <c r="BU448" s="15"/>
      <c r="BV448" s="15"/>
      <c r="BW448" s="15"/>
      <c r="BX448" s="15">
        <v>1</v>
      </c>
      <c r="BY448" s="15">
        <v>3</v>
      </c>
      <c r="BZ448" s="15">
        <v>2</v>
      </c>
      <c r="CA448" s="15"/>
      <c r="CB448" s="15" t="s">
        <v>188</v>
      </c>
      <c r="CC448" s="15"/>
      <c r="CD448" s="15"/>
      <c r="CE448" s="15"/>
      <c r="CF448" s="15"/>
      <c r="CG448" s="15"/>
      <c r="CH448" s="15"/>
      <c r="CI448" s="15"/>
      <c r="CJ448" s="15"/>
      <c r="CK448" s="15" t="s">
        <v>188</v>
      </c>
      <c r="CL448" s="15"/>
      <c r="CM448" s="15"/>
      <c r="CN448" s="15"/>
      <c r="CO448" s="15"/>
      <c r="CP448" s="15" t="s">
        <v>193</v>
      </c>
      <c r="CQ448" s="15" t="s">
        <v>193</v>
      </c>
      <c r="CR448" s="15"/>
      <c r="CS448" s="15"/>
      <c r="CT448" s="15"/>
      <c r="CU448" s="15" t="s">
        <v>1285</v>
      </c>
      <c r="CV448" s="15"/>
      <c r="CW448" s="15"/>
      <c r="CX448" s="15" t="s">
        <v>188</v>
      </c>
      <c r="CY448" s="15" t="s">
        <v>188</v>
      </c>
      <c r="CZ448" s="3"/>
      <c r="DA448" s="49"/>
      <c r="DC448" s="18">
        <f t="shared" si="18"/>
        <v>0</v>
      </c>
      <c r="DD448" s="18">
        <f t="shared" si="19"/>
        <v>7</v>
      </c>
      <c r="DE448" s="18">
        <f t="shared" si="20"/>
        <v>1994</v>
      </c>
    </row>
    <row r="449" spans="1:109" x14ac:dyDescent="0.25">
      <c r="A449" s="61" t="s">
        <v>1323</v>
      </c>
      <c r="B449" s="103">
        <v>41549</v>
      </c>
      <c r="C449" s="106" t="s">
        <v>1584</v>
      </c>
      <c r="D449" s="14" t="s">
        <v>1263</v>
      </c>
      <c r="E449" s="15"/>
      <c r="F449" s="15"/>
      <c r="G449" s="15"/>
      <c r="H449" s="15" t="s">
        <v>188</v>
      </c>
      <c r="I449" s="15">
        <v>56</v>
      </c>
      <c r="J449" s="15" t="s">
        <v>189</v>
      </c>
      <c r="K449" s="15" t="s">
        <v>196</v>
      </c>
      <c r="L449" s="15" t="s">
        <v>1274</v>
      </c>
      <c r="M449" s="15" t="s">
        <v>1275</v>
      </c>
      <c r="N449" s="15" t="s">
        <v>1130</v>
      </c>
      <c r="O449" s="15">
        <v>20</v>
      </c>
      <c r="P449" s="15"/>
      <c r="Q449" s="15"/>
      <c r="R449" s="15"/>
      <c r="S449" s="15" t="s">
        <v>188</v>
      </c>
      <c r="T449" s="15"/>
      <c r="U449" s="15" t="s">
        <v>188</v>
      </c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>
        <v>1984</v>
      </c>
      <c r="AI449" s="1">
        <v>1400000</v>
      </c>
      <c r="AJ449" s="15"/>
      <c r="AK449" s="15"/>
      <c r="AL449" s="15" t="s">
        <v>188</v>
      </c>
      <c r="AM449" s="15"/>
      <c r="AN449" s="15"/>
      <c r="AO449" s="15"/>
      <c r="AP449" s="15" t="s">
        <v>188</v>
      </c>
      <c r="AQ449" s="15"/>
      <c r="AR449" s="15"/>
      <c r="AS449" s="15"/>
      <c r="AT449" s="15" t="s">
        <v>193</v>
      </c>
      <c r="AU449" s="1">
        <v>8500</v>
      </c>
      <c r="AV449" s="48">
        <v>0.3</v>
      </c>
      <c r="AW449" s="15">
        <v>2.2000000000000002</v>
      </c>
      <c r="AX449" s="15">
        <v>2</v>
      </c>
      <c r="AY449" s="15">
        <v>2</v>
      </c>
      <c r="AZ449" s="15">
        <v>620</v>
      </c>
      <c r="BA449" s="15">
        <v>1350</v>
      </c>
      <c r="BB449" s="15" t="s">
        <v>188</v>
      </c>
      <c r="BC449" s="15" t="s">
        <v>188</v>
      </c>
      <c r="BD449" s="15" t="s">
        <v>199</v>
      </c>
      <c r="BE449" s="1">
        <v>25000</v>
      </c>
      <c r="BF449" s="1">
        <v>30000</v>
      </c>
      <c r="BG449" s="1">
        <v>50000</v>
      </c>
      <c r="BH449" s="1">
        <v>90000</v>
      </c>
      <c r="BI449" s="1">
        <v>10000</v>
      </c>
      <c r="BJ449" s="15"/>
      <c r="BK449" s="15"/>
      <c r="BL449" s="15"/>
      <c r="BM449" s="15"/>
      <c r="BN449" s="15" t="s">
        <v>188</v>
      </c>
      <c r="BO449" s="15"/>
      <c r="BP449" s="15"/>
      <c r="BQ449" s="15"/>
      <c r="BR449" s="15"/>
      <c r="BS449" s="2"/>
      <c r="BT449" s="15"/>
      <c r="BU449" s="15" t="s">
        <v>188</v>
      </c>
      <c r="BV449" s="15"/>
      <c r="BW449" s="15"/>
      <c r="BX449" s="15">
        <v>1</v>
      </c>
      <c r="BY449" s="15">
        <v>3</v>
      </c>
      <c r="BZ449" s="15">
        <v>2</v>
      </c>
      <c r="CA449" s="15"/>
      <c r="CB449" s="15" t="s">
        <v>188</v>
      </c>
      <c r="CC449" s="15"/>
      <c r="CD449" s="15"/>
      <c r="CE449" s="15"/>
      <c r="CF449" s="15"/>
      <c r="CG449" s="15"/>
      <c r="CH449" s="15"/>
      <c r="CI449" s="15"/>
      <c r="CJ449" s="15"/>
      <c r="CK449" s="15" t="s">
        <v>188</v>
      </c>
      <c r="CL449" s="15"/>
      <c r="CM449" s="15"/>
      <c r="CN449" s="15"/>
      <c r="CO449" s="15"/>
      <c r="CP449" s="15" t="s">
        <v>193</v>
      </c>
      <c r="CQ449" s="15" t="s">
        <v>193</v>
      </c>
      <c r="CR449" s="15" t="s">
        <v>188</v>
      </c>
      <c r="CS449" s="15"/>
      <c r="CT449" s="15"/>
      <c r="CU449" s="15"/>
      <c r="CV449" s="15" t="s">
        <v>188</v>
      </c>
      <c r="CW449" s="15"/>
      <c r="CX449" s="15"/>
      <c r="CY449" s="15"/>
      <c r="CZ449" s="3"/>
      <c r="DA449" s="49"/>
      <c r="DC449" s="18">
        <f t="shared" si="18"/>
        <v>0</v>
      </c>
      <c r="DD449" s="18">
        <f t="shared" si="19"/>
        <v>7</v>
      </c>
      <c r="DE449" s="18">
        <f t="shared" si="20"/>
        <v>1984</v>
      </c>
    </row>
    <row r="450" spans="1:109" x14ac:dyDescent="0.25">
      <c r="A450" s="61" t="s">
        <v>1323</v>
      </c>
      <c r="B450" s="103">
        <v>41549</v>
      </c>
      <c r="C450" s="106" t="s">
        <v>1584</v>
      </c>
      <c r="D450" s="14" t="s">
        <v>1264</v>
      </c>
      <c r="E450" s="15"/>
      <c r="F450" s="15"/>
      <c r="G450" s="15"/>
      <c r="H450" s="15" t="s">
        <v>188</v>
      </c>
      <c r="I450" s="15">
        <v>42</v>
      </c>
      <c r="J450" s="15" t="s">
        <v>189</v>
      </c>
      <c r="K450" s="15" t="s">
        <v>214</v>
      </c>
      <c r="L450" s="15" t="s">
        <v>1274</v>
      </c>
      <c r="M450" s="15" t="s">
        <v>1275</v>
      </c>
      <c r="N450" s="15" t="s">
        <v>1130</v>
      </c>
      <c r="O450" s="15">
        <v>20</v>
      </c>
      <c r="P450" s="15"/>
      <c r="Q450" s="15"/>
      <c r="R450" s="15"/>
      <c r="S450" s="15" t="s">
        <v>188</v>
      </c>
      <c r="T450" s="15"/>
      <c r="U450" s="15" t="s">
        <v>188</v>
      </c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>
        <v>1996</v>
      </c>
      <c r="AI450" s="1">
        <v>2500000</v>
      </c>
      <c r="AJ450" s="15"/>
      <c r="AK450" s="15"/>
      <c r="AL450" s="15" t="s">
        <v>188</v>
      </c>
      <c r="AM450" s="15"/>
      <c r="AN450" s="15"/>
      <c r="AO450" s="15"/>
      <c r="AP450" s="15" t="s">
        <v>188</v>
      </c>
      <c r="AQ450" s="15"/>
      <c r="AR450" s="15"/>
      <c r="AS450" s="15"/>
      <c r="AT450" s="15" t="s">
        <v>322</v>
      </c>
      <c r="AU450" s="1">
        <v>12000</v>
      </c>
      <c r="AV450" s="48">
        <v>0.5</v>
      </c>
      <c r="AW450" s="15">
        <v>2.1</v>
      </c>
      <c r="AX450" s="15">
        <v>1.9</v>
      </c>
      <c r="AY450" s="15">
        <v>2</v>
      </c>
      <c r="AZ450" s="15">
        <v>750</v>
      </c>
      <c r="BA450" s="15">
        <v>1500</v>
      </c>
      <c r="BB450" s="15" t="s">
        <v>188</v>
      </c>
      <c r="BC450" s="15" t="s">
        <v>199</v>
      </c>
      <c r="BD450" s="15" t="s">
        <v>199</v>
      </c>
      <c r="BE450" s="1">
        <v>24000</v>
      </c>
      <c r="BF450" s="1">
        <v>16000</v>
      </c>
      <c r="BG450" s="1">
        <v>24000</v>
      </c>
      <c r="BH450" s="1">
        <v>110000</v>
      </c>
      <c r="BI450" s="1">
        <v>24000</v>
      </c>
      <c r="BJ450" s="15"/>
      <c r="BK450" s="15"/>
      <c r="BL450" s="15"/>
      <c r="BM450" s="15"/>
      <c r="BN450" s="15" t="s">
        <v>188</v>
      </c>
      <c r="BO450" s="15"/>
      <c r="BP450" s="15"/>
      <c r="BQ450" s="15"/>
      <c r="BR450" s="15"/>
      <c r="BS450" s="2"/>
      <c r="BT450" s="15"/>
      <c r="BU450" s="15"/>
      <c r="BV450" s="15" t="s">
        <v>188</v>
      </c>
      <c r="BW450" s="15"/>
      <c r="BX450" s="15">
        <v>2</v>
      </c>
      <c r="BY450" s="15">
        <v>3</v>
      </c>
      <c r="BZ450" s="15">
        <v>1</v>
      </c>
      <c r="CA450" s="15"/>
      <c r="CB450" s="15"/>
      <c r="CC450" s="15" t="s">
        <v>188</v>
      </c>
      <c r="CD450" s="15"/>
      <c r="CE450" s="15"/>
      <c r="CF450" s="15"/>
      <c r="CG450" s="15"/>
      <c r="CH450" s="15"/>
      <c r="CI450" s="15" t="s">
        <v>188</v>
      </c>
      <c r="CJ450" s="15"/>
      <c r="CK450" s="15" t="s">
        <v>188</v>
      </c>
      <c r="CL450" s="15"/>
      <c r="CM450" s="15"/>
      <c r="CN450" s="15"/>
      <c r="CO450" s="15"/>
      <c r="CP450" s="15" t="s">
        <v>193</v>
      </c>
      <c r="CQ450" s="15" t="s">
        <v>193</v>
      </c>
      <c r="CR450" s="15"/>
      <c r="CS450" s="15"/>
      <c r="CT450" s="15" t="s">
        <v>188</v>
      </c>
      <c r="CU450" s="15"/>
      <c r="CV450" s="15"/>
      <c r="CW450" s="15"/>
      <c r="CX450" s="15"/>
      <c r="CY450" s="15" t="s">
        <v>188</v>
      </c>
      <c r="CZ450" s="3"/>
      <c r="DA450" s="49"/>
      <c r="DC450" s="18">
        <f t="shared" si="18"/>
        <v>0</v>
      </c>
      <c r="DD450" s="18">
        <f t="shared" si="19"/>
        <v>7</v>
      </c>
      <c r="DE450" s="18">
        <f t="shared" si="20"/>
        <v>1996</v>
      </c>
    </row>
    <row r="451" spans="1:109" x14ac:dyDescent="0.25">
      <c r="A451" s="61" t="s">
        <v>1323</v>
      </c>
      <c r="B451" s="103">
        <v>41549</v>
      </c>
      <c r="C451" s="106" t="s">
        <v>1584</v>
      </c>
      <c r="D451" s="14" t="s">
        <v>1265</v>
      </c>
      <c r="E451" s="15"/>
      <c r="F451" s="15" t="s">
        <v>188</v>
      </c>
      <c r="G451" s="15"/>
      <c r="H451" s="15"/>
      <c r="I451" s="15">
        <v>39</v>
      </c>
      <c r="J451" s="15" t="s">
        <v>189</v>
      </c>
      <c r="K451" s="15" t="s">
        <v>196</v>
      </c>
      <c r="L451" s="15" t="s">
        <v>1274</v>
      </c>
      <c r="M451" s="15" t="s">
        <v>1275</v>
      </c>
      <c r="N451" s="15" t="s">
        <v>1130</v>
      </c>
      <c r="O451" s="15">
        <v>11</v>
      </c>
      <c r="P451" s="15"/>
      <c r="Q451" s="15"/>
      <c r="R451" s="15"/>
      <c r="S451" s="15" t="s">
        <v>188</v>
      </c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>
        <v>1995</v>
      </c>
      <c r="AI451" s="1">
        <v>61367</v>
      </c>
      <c r="AJ451" s="15"/>
      <c r="AK451" s="15"/>
      <c r="AL451" s="15" t="s">
        <v>188</v>
      </c>
      <c r="AM451" s="15"/>
      <c r="AN451" s="15"/>
      <c r="AO451" s="15"/>
      <c r="AP451" s="15" t="s">
        <v>188</v>
      </c>
      <c r="AQ451" s="15"/>
      <c r="AR451" s="15"/>
      <c r="AS451" s="15"/>
      <c r="AT451" s="15" t="s">
        <v>193</v>
      </c>
      <c r="AU451" s="1">
        <v>8000</v>
      </c>
      <c r="AV451" s="48">
        <v>0.5</v>
      </c>
      <c r="AW451" s="15">
        <v>2.1</v>
      </c>
      <c r="AX451" s="15">
        <v>1.7</v>
      </c>
      <c r="AY451" s="15">
        <v>2</v>
      </c>
      <c r="AZ451" s="15">
        <v>400</v>
      </c>
      <c r="BA451" s="15">
        <v>1400</v>
      </c>
      <c r="BB451" s="15" t="s">
        <v>188</v>
      </c>
      <c r="BC451" s="15" t="s">
        <v>188</v>
      </c>
      <c r="BD451" s="15" t="s">
        <v>188</v>
      </c>
      <c r="BE451" s="1">
        <v>8000</v>
      </c>
      <c r="BF451" s="1">
        <v>6000</v>
      </c>
      <c r="BG451" s="1">
        <v>17000</v>
      </c>
      <c r="BH451" s="1">
        <v>130000</v>
      </c>
      <c r="BI451" s="1">
        <v>17000</v>
      </c>
      <c r="BJ451" s="15"/>
      <c r="BK451" s="15"/>
      <c r="BL451" s="15"/>
      <c r="BM451" s="15"/>
      <c r="BN451" s="15" t="s">
        <v>188</v>
      </c>
      <c r="BO451" s="15"/>
      <c r="BP451" s="15"/>
      <c r="BQ451" s="15"/>
      <c r="BR451" s="15"/>
      <c r="BS451" s="2"/>
      <c r="BT451" s="15"/>
      <c r="BU451" s="15"/>
      <c r="BV451" s="15" t="s">
        <v>188</v>
      </c>
      <c r="BW451" s="15"/>
      <c r="BX451" s="15">
        <v>1</v>
      </c>
      <c r="BY451" s="15">
        <v>3</v>
      </c>
      <c r="BZ451" s="15">
        <v>2</v>
      </c>
      <c r="CA451" s="15"/>
      <c r="CB451" s="15" t="s">
        <v>188</v>
      </c>
      <c r="CC451" s="15"/>
      <c r="CD451" s="15"/>
      <c r="CE451" s="15"/>
      <c r="CF451" s="15"/>
      <c r="CG451" s="15"/>
      <c r="CH451" s="15"/>
      <c r="CI451" s="15"/>
      <c r="CJ451" s="15"/>
      <c r="CK451" s="15"/>
      <c r="CL451" s="15" t="s">
        <v>188</v>
      </c>
      <c r="CM451" s="15"/>
      <c r="CN451" s="15"/>
      <c r="CO451" s="15" t="s">
        <v>188</v>
      </c>
      <c r="CP451" s="15" t="s">
        <v>1286</v>
      </c>
      <c r="CQ451" s="15" t="s">
        <v>1287</v>
      </c>
      <c r="CR451" s="15"/>
      <c r="CS451" s="15" t="s">
        <v>188</v>
      </c>
      <c r="CT451" s="15"/>
      <c r="CU451" s="15"/>
      <c r="CV451" s="15"/>
      <c r="CW451" s="15"/>
      <c r="CX451" s="15"/>
      <c r="CY451" s="15" t="s">
        <v>188</v>
      </c>
      <c r="CZ451" s="3"/>
      <c r="DA451" s="49"/>
      <c r="DC451" s="18">
        <f t="shared" si="18"/>
        <v>0</v>
      </c>
      <c r="DD451" s="18">
        <f t="shared" si="19"/>
        <v>2</v>
      </c>
      <c r="DE451" s="18">
        <f t="shared" si="20"/>
        <v>1995</v>
      </c>
    </row>
    <row r="452" spans="1:109" x14ac:dyDescent="0.25">
      <c r="A452" s="61" t="s">
        <v>1323</v>
      </c>
      <c r="B452" s="103">
        <v>41549</v>
      </c>
      <c r="C452" s="106" t="s">
        <v>1584</v>
      </c>
      <c r="D452" s="14" t="s">
        <v>1266</v>
      </c>
      <c r="E452" s="15"/>
      <c r="F452" s="15"/>
      <c r="G452" s="15"/>
      <c r="H452" s="15" t="s">
        <v>188</v>
      </c>
      <c r="I452" s="15">
        <v>49</v>
      </c>
      <c r="J452" s="15" t="s">
        <v>189</v>
      </c>
      <c r="K452" s="15" t="s">
        <v>190</v>
      </c>
      <c r="L452" s="15" t="s">
        <v>1274</v>
      </c>
      <c r="M452" s="15" t="s">
        <v>1275</v>
      </c>
      <c r="N452" s="15" t="s">
        <v>1130</v>
      </c>
      <c r="O452" s="15">
        <v>13</v>
      </c>
      <c r="P452" s="15"/>
      <c r="Q452" s="15"/>
      <c r="R452" s="15"/>
      <c r="S452" s="15" t="s">
        <v>188</v>
      </c>
      <c r="T452" s="15"/>
      <c r="U452" s="15" t="s">
        <v>188</v>
      </c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>
        <v>1994</v>
      </c>
      <c r="AI452" s="1" t="s">
        <v>193</v>
      </c>
      <c r="AJ452" s="15"/>
      <c r="AK452" s="15"/>
      <c r="AL452" s="15" t="s">
        <v>188</v>
      </c>
      <c r="AM452" s="15"/>
      <c r="AN452" s="15"/>
      <c r="AO452" s="15"/>
      <c r="AP452" s="15" t="s">
        <v>188</v>
      </c>
      <c r="AQ452" s="15"/>
      <c r="AR452" s="15"/>
      <c r="AS452" s="15"/>
      <c r="AT452" s="15" t="s">
        <v>322</v>
      </c>
      <c r="AU452" s="1">
        <v>8000</v>
      </c>
      <c r="AV452" s="48">
        <v>0.5</v>
      </c>
      <c r="AW452" s="15">
        <v>2.5</v>
      </c>
      <c r="AX452" s="15">
        <v>2</v>
      </c>
      <c r="AY452" s="15">
        <v>1</v>
      </c>
      <c r="AZ452" s="15">
        <v>350</v>
      </c>
      <c r="BA452" s="15">
        <v>1500</v>
      </c>
      <c r="BB452" s="15" t="s">
        <v>188</v>
      </c>
      <c r="BC452" s="15" t="s">
        <v>188</v>
      </c>
      <c r="BD452" s="15" t="s">
        <v>199</v>
      </c>
      <c r="BE452" s="1">
        <v>15000</v>
      </c>
      <c r="BF452" s="1">
        <v>10000</v>
      </c>
      <c r="BG452" s="1">
        <v>22000</v>
      </c>
      <c r="BH452" s="1">
        <v>150000</v>
      </c>
      <c r="BI452" s="1">
        <v>22000</v>
      </c>
      <c r="BJ452" s="15"/>
      <c r="BK452" s="15"/>
      <c r="BL452" s="15"/>
      <c r="BM452" s="15"/>
      <c r="BN452" s="15" t="s">
        <v>188</v>
      </c>
      <c r="BO452" s="15"/>
      <c r="BP452" s="15" t="s">
        <v>188</v>
      </c>
      <c r="BQ452" s="15"/>
      <c r="BR452" s="15"/>
      <c r="BS452" s="2"/>
      <c r="BT452" s="15"/>
      <c r="BU452" s="15"/>
      <c r="BV452" s="15" t="s">
        <v>188</v>
      </c>
      <c r="BW452" s="15"/>
      <c r="BX452" s="15">
        <v>2</v>
      </c>
      <c r="BY452" s="15">
        <v>1</v>
      </c>
      <c r="BZ452" s="15">
        <v>3</v>
      </c>
      <c r="CA452" s="15"/>
      <c r="CB452" s="15"/>
      <c r="CC452" s="15" t="s">
        <v>188</v>
      </c>
      <c r="CD452" s="15"/>
      <c r="CE452" s="15"/>
      <c r="CF452" s="15"/>
      <c r="CG452" s="15"/>
      <c r="CH452" s="15"/>
      <c r="CI452" s="15" t="s">
        <v>188</v>
      </c>
      <c r="CJ452" s="15"/>
      <c r="CK452" s="15"/>
      <c r="CL452" s="15" t="s">
        <v>188</v>
      </c>
      <c r="CM452" s="15"/>
      <c r="CN452" s="15"/>
      <c r="CO452" s="15" t="s">
        <v>188</v>
      </c>
      <c r="CP452" s="15" t="s">
        <v>668</v>
      </c>
      <c r="CQ452" s="15"/>
      <c r="CR452" s="15"/>
      <c r="CS452" s="15" t="s">
        <v>188</v>
      </c>
      <c r="CT452" s="15"/>
      <c r="CU452" s="15"/>
      <c r="CV452" s="15"/>
      <c r="CW452" s="15"/>
      <c r="CX452" s="15"/>
      <c r="CY452" s="15" t="s">
        <v>188</v>
      </c>
      <c r="CZ452" s="3"/>
      <c r="DA452" s="49"/>
      <c r="DC452" s="18">
        <f t="shared" si="18"/>
        <v>0</v>
      </c>
      <c r="DD452" s="18">
        <f t="shared" si="19"/>
        <v>7</v>
      </c>
      <c r="DE452" s="18">
        <f t="shared" si="20"/>
        <v>1994</v>
      </c>
    </row>
    <row r="453" spans="1:109" x14ac:dyDescent="0.25">
      <c r="A453" s="61" t="s">
        <v>1323</v>
      </c>
      <c r="B453" s="103">
        <v>41549</v>
      </c>
      <c r="C453" s="106" t="s">
        <v>1584</v>
      </c>
      <c r="D453" s="14" t="s">
        <v>1267</v>
      </c>
      <c r="E453" s="15"/>
      <c r="F453" s="15"/>
      <c r="G453" s="15"/>
      <c r="H453" s="15" t="s">
        <v>188</v>
      </c>
      <c r="I453" s="15">
        <v>36</v>
      </c>
      <c r="J453" s="15" t="s">
        <v>189</v>
      </c>
      <c r="K453" s="15" t="s">
        <v>190</v>
      </c>
      <c r="L453" s="15" t="s">
        <v>1274</v>
      </c>
      <c r="M453" s="15" t="s">
        <v>1275</v>
      </c>
      <c r="N453" s="15" t="s">
        <v>1130</v>
      </c>
      <c r="O453" s="15">
        <v>13</v>
      </c>
      <c r="P453" s="15"/>
      <c r="Q453" s="15"/>
      <c r="R453" s="15"/>
      <c r="S453" s="15" t="s">
        <v>188</v>
      </c>
      <c r="T453" s="15"/>
      <c r="U453" s="15" t="s">
        <v>188</v>
      </c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>
        <v>1992</v>
      </c>
      <c r="AI453" s="1">
        <v>1300000</v>
      </c>
      <c r="AJ453" s="15"/>
      <c r="AK453" s="15"/>
      <c r="AL453" s="15" t="s">
        <v>188</v>
      </c>
      <c r="AM453" s="15"/>
      <c r="AN453" s="15"/>
      <c r="AO453" s="15"/>
      <c r="AP453" s="15" t="s">
        <v>188</v>
      </c>
      <c r="AQ453" s="15"/>
      <c r="AR453" s="15"/>
      <c r="AS453" s="15"/>
      <c r="AT453" s="15" t="s">
        <v>322</v>
      </c>
      <c r="AU453" s="1">
        <v>6000</v>
      </c>
      <c r="AV453" s="48">
        <v>0.5</v>
      </c>
      <c r="AW453" s="15">
        <v>2.2999999999999998</v>
      </c>
      <c r="AX453" s="15">
        <v>2</v>
      </c>
      <c r="AY453" s="15">
        <v>2</v>
      </c>
      <c r="AZ453" s="15">
        <v>400</v>
      </c>
      <c r="BA453" s="15">
        <v>1700</v>
      </c>
      <c r="BB453" s="15" t="s">
        <v>188</v>
      </c>
      <c r="BC453" s="15" t="s">
        <v>188</v>
      </c>
      <c r="BD453" s="15" t="s">
        <v>199</v>
      </c>
      <c r="BE453" s="1">
        <f>6000*3</f>
        <v>18000</v>
      </c>
      <c r="BF453" s="1">
        <v>15000</v>
      </c>
      <c r="BG453" s="1" t="s">
        <v>193</v>
      </c>
      <c r="BH453" s="1">
        <v>120000</v>
      </c>
      <c r="BI453" s="1" t="s">
        <v>193</v>
      </c>
      <c r="BJ453" s="15"/>
      <c r="BK453" s="15"/>
      <c r="BL453" s="15"/>
      <c r="BM453" s="15"/>
      <c r="BN453" s="15" t="s">
        <v>188</v>
      </c>
      <c r="BO453" s="15"/>
      <c r="BP453" s="15"/>
      <c r="BQ453" s="15"/>
      <c r="BR453" s="15"/>
      <c r="BS453" s="2"/>
      <c r="BT453" s="15"/>
      <c r="BU453" s="15"/>
      <c r="BV453" s="15" t="s">
        <v>188</v>
      </c>
      <c r="BW453" s="15"/>
      <c r="BX453" s="15">
        <v>1</v>
      </c>
      <c r="BY453" s="15">
        <v>2</v>
      </c>
      <c r="BZ453" s="15">
        <v>3</v>
      </c>
      <c r="CA453" s="15"/>
      <c r="CB453" s="15" t="s">
        <v>188</v>
      </c>
      <c r="CC453" s="15"/>
      <c r="CD453" s="15"/>
      <c r="CE453" s="15"/>
      <c r="CF453" s="15"/>
      <c r="CG453" s="15"/>
      <c r="CH453" s="15"/>
      <c r="CI453" s="15"/>
      <c r="CJ453" s="15"/>
      <c r="CK453" s="15" t="s">
        <v>188</v>
      </c>
      <c r="CL453" s="15"/>
      <c r="CM453" s="15"/>
      <c r="CN453" s="15"/>
      <c r="CO453" s="15"/>
      <c r="CP453" s="15" t="s">
        <v>193</v>
      </c>
      <c r="CQ453" s="15" t="s">
        <v>193</v>
      </c>
      <c r="CR453" s="15"/>
      <c r="CS453" s="15" t="s">
        <v>188</v>
      </c>
      <c r="CT453" s="15"/>
      <c r="CU453" s="15"/>
      <c r="CV453" s="15"/>
      <c r="CW453" s="15"/>
      <c r="CX453" s="15"/>
      <c r="CY453" s="15" t="s">
        <v>188</v>
      </c>
      <c r="CZ453" s="3"/>
      <c r="DA453" s="49"/>
      <c r="DC453" s="18">
        <f t="shared" si="18"/>
        <v>0</v>
      </c>
      <c r="DD453" s="18">
        <f t="shared" si="19"/>
        <v>7</v>
      </c>
      <c r="DE453" s="18">
        <f t="shared" si="20"/>
        <v>1992</v>
      </c>
    </row>
    <row r="454" spans="1:109" x14ac:dyDescent="0.25">
      <c r="A454" s="61" t="s">
        <v>1323</v>
      </c>
      <c r="B454" s="103">
        <v>41549</v>
      </c>
      <c r="C454" s="106" t="s">
        <v>1584</v>
      </c>
      <c r="D454" s="14" t="s">
        <v>1268</v>
      </c>
      <c r="E454" s="15"/>
      <c r="F454" s="15"/>
      <c r="G454" s="15"/>
      <c r="H454" s="15" t="s">
        <v>188</v>
      </c>
      <c r="I454" s="15">
        <v>50</v>
      </c>
      <c r="J454" s="15" t="s">
        <v>189</v>
      </c>
      <c r="K454" s="15" t="s">
        <v>214</v>
      </c>
      <c r="L454" s="15" t="s">
        <v>1274</v>
      </c>
      <c r="M454" s="15" t="s">
        <v>1275</v>
      </c>
      <c r="N454" s="15" t="s">
        <v>1130</v>
      </c>
      <c r="O454" s="15">
        <v>5</v>
      </c>
      <c r="P454" s="15"/>
      <c r="Q454" s="15"/>
      <c r="R454" s="15"/>
      <c r="S454" s="15" t="s">
        <v>188</v>
      </c>
      <c r="T454" s="15"/>
      <c r="U454" s="15" t="s">
        <v>188</v>
      </c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>
        <v>2000</v>
      </c>
      <c r="AI454" s="1">
        <v>1100000</v>
      </c>
      <c r="AJ454" s="15"/>
      <c r="AK454" s="15"/>
      <c r="AL454" s="15" t="s">
        <v>188</v>
      </c>
      <c r="AM454" s="15"/>
      <c r="AN454" s="15"/>
      <c r="AO454" s="15"/>
      <c r="AP454" s="15" t="s">
        <v>188</v>
      </c>
      <c r="AQ454" s="15"/>
      <c r="AR454" s="15"/>
      <c r="AS454" s="15"/>
      <c r="AT454" s="15" t="s">
        <v>193</v>
      </c>
      <c r="AU454" s="1">
        <v>7000</v>
      </c>
      <c r="AV454" s="48">
        <v>0.5</v>
      </c>
      <c r="AW454" s="15">
        <v>2</v>
      </c>
      <c r="AX454" s="15">
        <v>1.7</v>
      </c>
      <c r="AY454" s="15">
        <v>2</v>
      </c>
      <c r="AZ454" s="15">
        <v>400</v>
      </c>
      <c r="BA454" s="15">
        <v>1800</v>
      </c>
      <c r="BB454" s="15" t="s">
        <v>188</v>
      </c>
      <c r="BC454" s="15" t="s">
        <v>188</v>
      </c>
      <c r="BD454" s="15" t="s">
        <v>199</v>
      </c>
      <c r="BE454" s="1">
        <f>7000*3</f>
        <v>21000</v>
      </c>
      <c r="BF454" s="1" t="s">
        <v>193</v>
      </c>
      <c r="BG454" s="1" t="s">
        <v>193</v>
      </c>
      <c r="BH454" s="1" t="s">
        <v>193</v>
      </c>
      <c r="BI454" s="1" t="s">
        <v>193</v>
      </c>
      <c r="BJ454" s="15"/>
      <c r="BK454" s="15"/>
      <c r="BL454" s="15"/>
      <c r="BM454" s="15"/>
      <c r="BN454" s="15" t="s">
        <v>188</v>
      </c>
      <c r="BO454" s="15"/>
      <c r="BP454" s="15"/>
      <c r="BQ454" s="15"/>
      <c r="BR454" s="15"/>
      <c r="BS454" s="2"/>
      <c r="BT454" s="15"/>
      <c r="BU454" s="15" t="s">
        <v>188</v>
      </c>
      <c r="BV454" s="15"/>
      <c r="BW454" s="15"/>
      <c r="BX454" s="15">
        <v>3</v>
      </c>
      <c r="BY454" s="15">
        <v>2</v>
      </c>
      <c r="BZ454" s="15">
        <v>1</v>
      </c>
      <c r="CA454" s="15"/>
      <c r="CB454" s="15" t="s">
        <v>188</v>
      </c>
      <c r="CC454" s="15"/>
      <c r="CD454" s="15"/>
      <c r="CE454" s="15"/>
      <c r="CF454" s="15"/>
      <c r="CG454" s="15"/>
      <c r="CH454" s="15"/>
      <c r="CI454" s="15"/>
      <c r="CJ454" s="15"/>
      <c r="CK454" s="15" t="s">
        <v>188</v>
      </c>
      <c r="CL454" s="15"/>
      <c r="CM454" s="15"/>
      <c r="CN454" s="15"/>
      <c r="CO454" s="15"/>
      <c r="CP454" s="15" t="s">
        <v>193</v>
      </c>
      <c r="CQ454" s="15" t="s">
        <v>193</v>
      </c>
      <c r="CR454" s="15" t="s">
        <v>188</v>
      </c>
      <c r="CS454" s="15"/>
      <c r="CT454" s="15"/>
      <c r="CU454" s="15"/>
      <c r="CV454" s="15"/>
      <c r="CW454" s="15"/>
      <c r="CX454" s="15" t="s">
        <v>188</v>
      </c>
      <c r="CY454" s="15" t="s">
        <v>188</v>
      </c>
      <c r="CZ454" s="3"/>
      <c r="DA454" s="49"/>
      <c r="DC454" s="18">
        <f t="shared" si="18"/>
        <v>0</v>
      </c>
      <c r="DD454" s="18">
        <f t="shared" si="19"/>
        <v>7</v>
      </c>
      <c r="DE454" s="18">
        <f t="shared" si="20"/>
        <v>2000</v>
      </c>
    </row>
    <row r="455" spans="1:109" x14ac:dyDescent="0.25">
      <c r="A455" s="61" t="s">
        <v>1323</v>
      </c>
      <c r="B455" s="103">
        <v>41549</v>
      </c>
      <c r="C455" s="106" t="s">
        <v>1584</v>
      </c>
      <c r="D455" s="14" t="s">
        <v>1269</v>
      </c>
      <c r="E455" s="15"/>
      <c r="F455" s="15"/>
      <c r="G455" s="15"/>
      <c r="H455" s="15" t="s">
        <v>188</v>
      </c>
      <c r="I455" s="15">
        <v>35</v>
      </c>
      <c r="J455" s="15" t="s">
        <v>189</v>
      </c>
      <c r="K455" s="15" t="s">
        <v>214</v>
      </c>
      <c r="L455" s="15" t="s">
        <v>1274</v>
      </c>
      <c r="M455" s="15" t="s">
        <v>1275</v>
      </c>
      <c r="N455" s="15" t="s">
        <v>1130</v>
      </c>
      <c r="O455" s="15">
        <v>18</v>
      </c>
      <c r="P455" s="15"/>
      <c r="Q455" s="15"/>
      <c r="R455" s="15"/>
      <c r="S455" s="15" t="s">
        <v>188</v>
      </c>
      <c r="T455" s="15"/>
      <c r="U455" s="15" t="s">
        <v>188</v>
      </c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>
        <v>1995</v>
      </c>
      <c r="AI455" s="1">
        <v>1824000</v>
      </c>
      <c r="AJ455" s="15"/>
      <c r="AK455" s="15"/>
      <c r="AL455" s="15" t="s">
        <v>188</v>
      </c>
      <c r="AM455" s="15"/>
      <c r="AN455" s="15"/>
      <c r="AO455" s="15" t="s">
        <v>188</v>
      </c>
      <c r="AP455" s="15"/>
      <c r="AQ455" s="15"/>
      <c r="AR455" s="15"/>
      <c r="AS455" s="15"/>
      <c r="AT455" s="15" t="s">
        <v>322</v>
      </c>
      <c r="AU455" s="1">
        <v>10000</v>
      </c>
      <c r="AV455" s="48">
        <v>0.5</v>
      </c>
      <c r="AW455" s="15">
        <v>2.2999999999999998</v>
      </c>
      <c r="AX455" s="15">
        <v>2</v>
      </c>
      <c r="AY455" s="15">
        <v>2</v>
      </c>
      <c r="AZ455" s="15">
        <v>400</v>
      </c>
      <c r="BA455" s="15">
        <v>2000</v>
      </c>
      <c r="BB455" s="15" t="s">
        <v>188</v>
      </c>
      <c r="BC455" s="15" t="s">
        <v>188</v>
      </c>
      <c r="BD455" s="15" t="s">
        <v>199</v>
      </c>
      <c r="BE455" s="1">
        <v>30000</v>
      </c>
      <c r="BF455" s="1" t="s">
        <v>193</v>
      </c>
      <c r="BG455" s="1" t="s">
        <v>193</v>
      </c>
      <c r="BH455" s="1" t="s">
        <v>193</v>
      </c>
      <c r="BI455" s="1">
        <v>30000</v>
      </c>
      <c r="BJ455" s="15"/>
      <c r="BK455" s="15"/>
      <c r="BL455" s="15"/>
      <c r="BM455" s="15"/>
      <c r="BN455" s="15" t="s">
        <v>188</v>
      </c>
      <c r="BO455" s="15"/>
      <c r="BP455" s="15" t="s">
        <v>188</v>
      </c>
      <c r="BQ455" s="15"/>
      <c r="BR455" s="15"/>
      <c r="BS455" s="2"/>
      <c r="BT455" s="15"/>
      <c r="BU455" s="15"/>
      <c r="BV455" s="15" t="s">
        <v>188</v>
      </c>
      <c r="BW455" s="15"/>
      <c r="BX455" s="15">
        <v>1</v>
      </c>
      <c r="BY455" s="15">
        <v>3</v>
      </c>
      <c r="BZ455" s="15">
        <v>2</v>
      </c>
      <c r="CA455" s="15"/>
      <c r="CB455" s="15"/>
      <c r="CC455" s="15" t="s">
        <v>188</v>
      </c>
      <c r="CD455" s="15"/>
      <c r="CE455" s="15"/>
      <c r="CF455" s="15"/>
      <c r="CG455" s="15"/>
      <c r="CH455" s="15"/>
      <c r="CI455" s="15" t="s">
        <v>188</v>
      </c>
      <c r="CJ455" s="15"/>
      <c r="CK455" s="15" t="s">
        <v>188</v>
      </c>
      <c r="CL455" s="15"/>
      <c r="CM455" s="15"/>
      <c r="CN455" s="15"/>
      <c r="CO455" s="15"/>
      <c r="CP455" s="15" t="s">
        <v>193</v>
      </c>
      <c r="CQ455" s="15" t="s">
        <v>193</v>
      </c>
      <c r="CR455" s="15"/>
      <c r="CS455" s="15"/>
      <c r="CT455" s="15" t="s">
        <v>188</v>
      </c>
      <c r="CU455" s="15"/>
      <c r="CV455" s="15"/>
      <c r="CW455" s="15"/>
      <c r="CX455" s="15" t="s">
        <v>188</v>
      </c>
      <c r="CY455" s="15"/>
      <c r="CZ455" s="3"/>
      <c r="DA455" s="49"/>
      <c r="DC455" s="18">
        <f t="shared" si="18"/>
        <v>0</v>
      </c>
      <c r="DD455" s="18">
        <f t="shared" si="19"/>
        <v>7</v>
      </c>
      <c r="DE455" s="18">
        <f t="shared" si="20"/>
        <v>1995</v>
      </c>
    </row>
    <row r="456" spans="1:109" x14ac:dyDescent="0.25">
      <c r="A456" s="61" t="s">
        <v>1323</v>
      </c>
      <c r="B456" s="103">
        <v>41549</v>
      </c>
      <c r="C456" s="106" t="s">
        <v>1584</v>
      </c>
      <c r="D456" s="14" t="s">
        <v>1270</v>
      </c>
      <c r="E456" s="15"/>
      <c r="F456" s="15" t="s">
        <v>188</v>
      </c>
      <c r="G456" s="15"/>
      <c r="H456" s="15"/>
      <c r="I456" s="15">
        <v>49</v>
      </c>
      <c r="J456" s="15" t="s">
        <v>189</v>
      </c>
      <c r="K456" s="15" t="s">
        <v>190</v>
      </c>
      <c r="L456" s="15" t="s">
        <v>1274</v>
      </c>
      <c r="M456" s="15" t="s">
        <v>1275</v>
      </c>
      <c r="N456" s="15" t="s">
        <v>1130</v>
      </c>
      <c r="O456" s="15">
        <v>20</v>
      </c>
      <c r="P456" s="15"/>
      <c r="Q456" s="15"/>
      <c r="R456" s="15"/>
      <c r="S456" s="15" t="s">
        <v>188</v>
      </c>
      <c r="T456" s="15"/>
      <c r="U456" s="15" t="s">
        <v>188</v>
      </c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>
        <v>1997</v>
      </c>
      <c r="AI456" s="1">
        <v>832000</v>
      </c>
      <c r="AJ456" s="15"/>
      <c r="AK456" s="15"/>
      <c r="AL456" s="15" t="s">
        <v>188</v>
      </c>
      <c r="AM456" s="15"/>
      <c r="AN456" s="15"/>
      <c r="AO456" s="15"/>
      <c r="AP456" s="15"/>
      <c r="AQ456" s="15" t="s">
        <v>188</v>
      </c>
      <c r="AR456" s="15"/>
      <c r="AS456" s="15"/>
      <c r="AT456" s="15" t="s">
        <v>322</v>
      </c>
      <c r="AU456" s="1">
        <v>3000</v>
      </c>
      <c r="AV456" s="48">
        <v>0.4</v>
      </c>
      <c r="AW456" s="15">
        <v>3</v>
      </c>
      <c r="AX456" s="15">
        <v>2.8</v>
      </c>
      <c r="AY456" s="15">
        <v>2</v>
      </c>
      <c r="AZ456" s="15">
        <v>500</v>
      </c>
      <c r="BA456" s="15">
        <v>1400</v>
      </c>
      <c r="BB456" s="15" t="s">
        <v>1284</v>
      </c>
      <c r="BC456" s="15" t="s">
        <v>188</v>
      </c>
      <c r="BD456" s="15" t="s">
        <v>199</v>
      </c>
      <c r="BE456" s="1">
        <v>25000</v>
      </c>
      <c r="BF456" s="1">
        <v>50000</v>
      </c>
      <c r="BG456" s="1">
        <v>25000</v>
      </c>
      <c r="BH456" s="1">
        <v>50000</v>
      </c>
      <c r="BI456" s="1">
        <v>25000</v>
      </c>
      <c r="BJ456" s="15"/>
      <c r="BK456" s="15"/>
      <c r="BL456" s="15"/>
      <c r="BM456" s="15" t="s">
        <v>188</v>
      </c>
      <c r="BN456" s="15" t="s">
        <v>188</v>
      </c>
      <c r="BO456" s="15"/>
      <c r="BP456" s="15" t="s">
        <v>188</v>
      </c>
      <c r="BQ456" s="15"/>
      <c r="BR456" s="15"/>
      <c r="BS456" s="2"/>
      <c r="BT456" s="15"/>
      <c r="BU456" s="15"/>
      <c r="BV456" s="15"/>
      <c r="BW456" s="15" t="s">
        <v>188</v>
      </c>
      <c r="BX456" s="15">
        <v>3</v>
      </c>
      <c r="BY456" s="15">
        <v>1</v>
      </c>
      <c r="BZ456" s="15">
        <v>2</v>
      </c>
      <c r="CA456" s="15"/>
      <c r="CB456" s="15"/>
      <c r="CC456" s="15" t="s">
        <v>188</v>
      </c>
      <c r="CD456" s="15"/>
      <c r="CE456" s="15"/>
      <c r="CF456" s="15"/>
      <c r="CG456" s="15" t="s">
        <v>188</v>
      </c>
      <c r="CH456" s="15"/>
      <c r="CI456" s="15"/>
      <c r="CJ456" s="15" t="s">
        <v>1288</v>
      </c>
      <c r="CK456" s="15"/>
      <c r="CL456" s="15" t="s">
        <v>188</v>
      </c>
      <c r="CM456" s="15"/>
      <c r="CN456" s="15"/>
      <c r="CO456" s="15" t="s">
        <v>188</v>
      </c>
      <c r="CP456" s="15" t="s">
        <v>668</v>
      </c>
      <c r="CQ456" s="15" t="s">
        <v>1289</v>
      </c>
      <c r="CR456" s="15"/>
      <c r="CS456" s="15"/>
      <c r="CT456" s="15" t="s">
        <v>188</v>
      </c>
      <c r="CU456" s="15"/>
      <c r="CV456" s="15"/>
      <c r="CW456" s="15"/>
      <c r="CX456" s="15" t="s">
        <v>188</v>
      </c>
      <c r="CY456" s="15"/>
      <c r="CZ456" s="3"/>
      <c r="DA456" s="49"/>
      <c r="DC456" s="18">
        <f t="shared" ref="DC456:DC459" si="21">IF(AX456&gt;AW456,1,0)</f>
        <v>0</v>
      </c>
      <c r="DD456" s="18">
        <f t="shared" ref="DD456:DD459" si="22">IF(E456="X",1,(IF(F456="X",2,(IF(G456="X",3,7)))))</f>
        <v>2</v>
      </c>
      <c r="DE456" s="18">
        <f t="shared" ref="DE456:DE459" si="23">IF(AS456&gt;AH456,AS456,AH456)</f>
        <v>1997</v>
      </c>
    </row>
    <row r="457" spans="1:109" x14ac:dyDescent="0.25">
      <c r="A457" s="61" t="s">
        <v>1323</v>
      </c>
      <c r="B457" s="103">
        <v>41549</v>
      </c>
      <c r="C457" s="106" t="s">
        <v>1584</v>
      </c>
      <c r="D457" s="14" t="s">
        <v>1271</v>
      </c>
      <c r="E457" s="15"/>
      <c r="F457" s="15" t="s">
        <v>188</v>
      </c>
      <c r="G457" s="15"/>
      <c r="H457" s="15"/>
      <c r="I457" s="15">
        <v>44</v>
      </c>
      <c r="J457" s="15" t="s">
        <v>189</v>
      </c>
      <c r="K457" s="15" t="s">
        <v>190</v>
      </c>
      <c r="L457" s="15" t="s">
        <v>1274</v>
      </c>
      <c r="M457" s="15" t="s">
        <v>1275</v>
      </c>
      <c r="N457" s="15" t="s">
        <v>1130</v>
      </c>
      <c r="O457" s="15">
        <v>14</v>
      </c>
      <c r="P457" s="15"/>
      <c r="Q457" s="15"/>
      <c r="R457" s="15"/>
      <c r="S457" s="15" t="s">
        <v>188</v>
      </c>
      <c r="T457" s="15"/>
      <c r="U457" s="15" t="s">
        <v>188</v>
      </c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>
        <v>1996</v>
      </c>
      <c r="AI457" s="1">
        <v>989000</v>
      </c>
      <c r="AJ457" s="15"/>
      <c r="AK457" s="15"/>
      <c r="AL457" s="15" t="s">
        <v>188</v>
      </c>
      <c r="AM457" s="15"/>
      <c r="AN457" s="15"/>
      <c r="AO457" s="15"/>
      <c r="AP457" s="15"/>
      <c r="AQ457" s="15"/>
      <c r="AR457" s="15" t="s">
        <v>188</v>
      </c>
      <c r="AS457" s="15"/>
      <c r="AT457" s="15" t="s">
        <v>322</v>
      </c>
      <c r="AU457" s="1">
        <v>3000</v>
      </c>
      <c r="AV457" s="48">
        <v>0.4</v>
      </c>
      <c r="AW457" s="15">
        <v>3</v>
      </c>
      <c r="AX457" s="15">
        <v>2.8</v>
      </c>
      <c r="AY457" s="15">
        <v>2</v>
      </c>
      <c r="AZ457" s="15">
        <v>530</v>
      </c>
      <c r="BA457" s="15">
        <v>1400</v>
      </c>
      <c r="BB457" s="15" t="s">
        <v>188</v>
      </c>
      <c r="BC457" s="15" t="s">
        <v>188</v>
      </c>
      <c r="BD457" s="15" t="s">
        <v>199</v>
      </c>
      <c r="BE457" s="1">
        <v>25000</v>
      </c>
      <c r="BF457" s="1">
        <v>50000</v>
      </c>
      <c r="BG457" s="1">
        <v>25000</v>
      </c>
      <c r="BH457" s="1">
        <v>50000</v>
      </c>
      <c r="BI457" s="1">
        <v>25000</v>
      </c>
      <c r="BJ457" s="15"/>
      <c r="BK457" s="15"/>
      <c r="BL457" s="15"/>
      <c r="BM457" s="15" t="s">
        <v>188</v>
      </c>
      <c r="BN457" s="15" t="s">
        <v>188</v>
      </c>
      <c r="BO457" s="15"/>
      <c r="BP457" s="15" t="s">
        <v>188</v>
      </c>
      <c r="BQ457" s="15"/>
      <c r="BR457" s="15"/>
      <c r="BS457" s="2"/>
      <c r="BT457" s="15"/>
      <c r="BU457" s="15"/>
      <c r="BV457" s="15"/>
      <c r="BW457" s="15" t="s">
        <v>188</v>
      </c>
      <c r="BX457" s="15">
        <v>3</v>
      </c>
      <c r="BY457" s="15">
        <v>1</v>
      </c>
      <c r="BZ457" s="15">
        <v>2</v>
      </c>
      <c r="CA457" s="15"/>
      <c r="CB457" s="15"/>
      <c r="CC457" s="15" t="s">
        <v>188</v>
      </c>
      <c r="CD457" s="15"/>
      <c r="CE457" s="15"/>
      <c r="CF457" s="15"/>
      <c r="CG457" s="15"/>
      <c r="CH457" s="15"/>
      <c r="CI457" s="15" t="s">
        <v>188</v>
      </c>
      <c r="CJ457" s="15"/>
      <c r="CK457" s="15" t="s">
        <v>188</v>
      </c>
      <c r="CL457" s="15"/>
      <c r="CM457" s="15"/>
      <c r="CN457" s="15"/>
      <c r="CO457" s="15"/>
      <c r="CP457" s="15" t="s">
        <v>193</v>
      </c>
      <c r="CQ457" s="15" t="s">
        <v>193</v>
      </c>
      <c r="CR457" s="15"/>
      <c r="CS457" s="15"/>
      <c r="CT457" s="15" t="s">
        <v>188</v>
      </c>
      <c r="CU457" s="15"/>
      <c r="CV457" s="15"/>
      <c r="CW457" s="15"/>
      <c r="CX457" s="15" t="s">
        <v>188</v>
      </c>
      <c r="CY457" s="15"/>
      <c r="CZ457" s="3"/>
      <c r="DA457" s="49"/>
      <c r="DC457" s="18">
        <f t="shared" si="21"/>
        <v>0</v>
      </c>
      <c r="DD457" s="18">
        <f t="shared" si="22"/>
        <v>2</v>
      </c>
      <c r="DE457" s="18">
        <f t="shared" si="23"/>
        <v>1996</v>
      </c>
    </row>
    <row r="458" spans="1:109" x14ac:dyDescent="0.25">
      <c r="A458" s="61" t="s">
        <v>1323</v>
      </c>
      <c r="B458" s="107">
        <v>41549</v>
      </c>
      <c r="C458" s="106" t="s">
        <v>1584</v>
      </c>
      <c r="D458" s="14" t="s">
        <v>1272</v>
      </c>
      <c r="E458" s="15"/>
      <c r="F458" s="15"/>
      <c r="G458" s="15"/>
      <c r="H458" s="15" t="s">
        <v>188</v>
      </c>
      <c r="I458" s="15">
        <v>24</v>
      </c>
      <c r="J458" s="15" t="s">
        <v>189</v>
      </c>
      <c r="K458" s="15" t="s">
        <v>214</v>
      </c>
      <c r="L458" s="15" t="s">
        <v>1274</v>
      </c>
      <c r="M458" s="15" t="s">
        <v>1275</v>
      </c>
      <c r="N458" s="15" t="s">
        <v>1130</v>
      </c>
      <c r="O458" s="15">
        <v>4</v>
      </c>
      <c r="P458" s="15"/>
      <c r="Q458" s="15"/>
      <c r="R458" s="15"/>
      <c r="S458" s="15" t="s">
        <v>188</v>
      </c>
      <c r="T458" s="15"/>
      <c r="U458" s="15" t="s">
        <v>188</v>
      </c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>
        <v>1992</v>
      </c>
      <c r="AI458" s="1">
        <v>1100000</v>
      </c>
      <c r="AJ458" s="15"/>
      <c r="AK458" s="15"/>
      <c r="AL458" s="15" t="s">
        <v>188</v>
      </c>
      <c r="AM458" s="15"/>
      <c r="AN458" s="15"/>
      <c r="AO458" s="15"/>
      <c r="AP458" s="15" t="s">
        <v>188</v>
      </c>
      <c r="AQ458" s="15"/>
      <c r="AR458" s="15"/>
      <c r="AS458" s="15"/>
      <c r="AT458" s="15" t="s">
        <v>1290</v>
      </c>
      <c r="AU458" s="1">
        <v>2800</v>
      </c>
      <c r="AV458" s="48">
        <v>0.4</v>
      </c>
      <c r="AW458" s="15">
        <v>2.1</v>
      </c>
      <c r="AX458" s="15">
        <v>1.9</v>
      </c>
      <c r="AY458" s="15">
        <v>2</v>
      </c>
      <c r="AZ458" s="15">
        <v>400</v>
      </c>
      <c r="BA458" s="15">
        <v>1600</v>
      </c>
      <c r="BB458" s="15" t="s">
        <v>188</v>
      </c>
      <c r="BC458" s="15" t="s">
        <v>188</v>
      </c>
      <c r="BD458" s="15" t="s">
        <v>199</v>
      </c>
      <c r="BE458" s="1">
        <v>5000</v>
      </c>
      <c r="BF458" s="1">
        <v>60000</v>
      </c>
      <c r="BG458" s="1">
        <v>30000</v>
      </c>
      <c r="BH458" s="1">
        <v>120000</v>
      </c>
      <c r="BI458" s="1">
        <v>30000</v>
      </c>
      <c r="BJ458" s="15"/>
      <c r="BK458" s="15"/>
      <c r="BL458" s="15"/>
      <c r="BM458" s="15"/>
      <c r="BN458" s="15" t="s">
        <v>188</v>
      </c>
      <c r="BO458" s="15"/>
      <c r="BP458" s="15"/>
      <c r="BQ458" s="15"/>
      <c r="BR458" s="15"/>
      <c r="BS458" s="2"/>
      <c r="BT458" s="15"/>
      <c r="BU458" s="15"/>
      <c r="BV458" s="15" t="s">
        <v>188</v>
      </c>
      <c r="BW458" s="15"/>
      <c r="BX458" s="15">
        <v>1</v>
      </c>
      <c r="BY458" s="15">
        <v>2</v>
      </c>
      <c r="BZ458" s="15">
        <v>3</v>
      </c>
      <c r="CA458" s="15"/>
      <c r="CB458" s="15" t="s">
        <v>188</v>
      </c>
      <c r="CC458" s="15"/>
      <c r="CD458" s="15"/>
      <c r="CE458" s="15"/>
      <c r="CF458" s="15"/>
      <c r="CG458" s="15"/>
      <c r="CH458" s="15"/>
      <c r="CI458" s="15"/>
      <c r="CJ458" s="15"/>
      <c r="CK458" s="15" t="s">
        <v>188</v>
      </c>
      <c r="CL458" s="15"/>
      <c r="CM458" s="15"/>
      <c r="CN458" s="15"/>
      <c r="CO458" s="15"/>
      <c r="CP458" s="15" t="s">
        <v>193</v>
      </c>
      <c r="CQ458" s="15" t="s">
        <v>193</v>
      </c>
      <c r="CR458" s="15" t="s">
        <v>188</v>
      </c>
      <c r="CS458" s="15"/>
      <c r="CT458" s="15"/>
      <c r="CU458" s="15"/>
      <c r="CV458" s="15" t="s">
        <v>188</v>
      </c>
      <c r="CW458" s="15" t="s">
        <v>270</v>
      </c>
      <c r="CX458" s="15"/>
      <c r="CY458" s="15"/>
      <c r="CZ458" s="3"/>
      <c r="DA458" s="49"/>
      <c r="DC458" s="18">
        <f t="shared" si="21"/>
        <v>0</v>
      </c>
      <c r="DD458" s="18">
        <f t="shared" si="22"/>
        <v>7</v>
      </c>
      <c r="DE458" s="18">
        <f t="shared" si="23"/>
        <v>1992</v>
      </c>
    </row>
    <row r="459" spans="1:109" ht="15.75" thickBot="1" x14ac:dyDescent="0.3">
      <c r="A459" s="62" t="s">
        <v>1323</v>
      </c>
      <c r="B459" s="108">
        <v>41549</v>
      </c>
      <c r="C459" s="106" t="s">
        <v>1584</v>
      </c>
      <c r="D459" s="14" t="s">
        <v>1273</v>
      </c>
      <c r="E459" s="15"/>
      <c r="F459" s="15"/>
      <c r="G459" s="15" t="s">
        <v>188</v>
      </c>
      <c r="H459" s="15"/>
      <c r="I459" s="15">
        <v>50</v>
      </c>
      <c r="J459" s="15" t="s">
        <v>189</v>
      </c>
      <c r="K459" s="15" t="s">
        <v>445</v>
      </c>
      <c r="L459" s="15" t="s">
        <v>1274</v>
      </c>
      <c r="M459" s="15" t="s">
        <v>1275</v>
      </c>
      <c r="N459" s="15" t="s">
        <v>1130</v>
      </c>
      <c r="O459" s="15">
        <v>9</v>
      </c>
      <c r="P459" s="15"/>
      <c r="Q459" s="15"/>
      <c r="R459" s="15"/>
      <c r="S459" s="15" t="s">
        <v>188</v>
      </c>
      <c r="T459" s="15"/>
      <c r="U459" s="15" t="s">
        <v>188</v>
      </c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>
        <v>1985</v>
      </c>
      <c r="AI459" s="1" t="s">
        <v>269</v>
      </c>
      <c r="AJ459" s="15"/>
      <c r="AK459" s="15"/>
      <c r="AL459" s="15" t="s">
        <v>188</v>
      </c>
      <c r="AM459" s="15"/>
      <c r="AN459" s="15"/>
      <c r="AO459" s="15"/>
      <c r="AP459" s="15"/>
      <c r="AQ459" s="15"/>
      <c r="AR459" s="15" t="s">
        <v>188</v>
      </c>
      <c r="AS459" s="15">
        <v>1985</v>
      </c>
      <c r="AT459" s="15" t="s">
        <v>1316</v>
      </c>
      <c r="AU459" s="1">
        <v>4000</v>
      </c>
      <c r="AV459" s="48">
        <v>0.5</v>
      </c>
      <c r="AW459" s="15">
        <v>1.9</v>
      </c>
      <c r="AX459" s="15">
        <v>1.8</v>
      </c>
      <c r="AY459" s="15">
        <v>2</v>
      </c>
      <c r="AZ459" s="15">
        <v>1000</v>
      </c>
      <c r="BA459" s="15">
        <v>2000</v>
      </c>
      <c r="BB459" s="15" t="s">
        <v>199</v>
      </c>
      <c r="BC459" s="15" t="s">
        <v>199</v>
      </c>
      <c r="BD459" s="15" t="s">
        <v>199</v>
      </c>
      <c r="BE459" s="1">
        <v>10000</v>
      </c>
      <c r="BF459" s="1">
        <v>25000</v>
      </c>
      <c r="BG459" s="1">
        <v>30000</v>
      </c>
      <c r="BH459" s="1">
        <v>130000</v>
      </c>
      <c r="BI459" s="1">
        <v>10000</v>
      </c>
      <c r="BJ459" s="15"/>
      <c r="BK459" s="15"/>
      <c r="BL459" s="15"/>
      <c r="BM459" s="15"/>
      <c r="BN459" s="15" t="s">
        <v>188</v>
      </c>
      <c r="BO459" s="15"/>
      <c r="BP459" s="15"/>
      <c r="BQ459" s="15"/>
      <c r="BR459" s="15"/>
      <c r="BS459" s="2"/>
      <c r="BT459" s="15"/>
      <c r="BU459" s="15"/>
      <c r="BV459" s="15" t="s">
        <v>188</v>
      </c>
      <c r="BW459" s="15"/>
      <c r="BX459" s="15">
        <v>1</v>
      </c>
      <c r="BY459" s="15">
        <v>2</v>
      </c>
      <c r="BZ459" s="15">
        <v>3</v>
      </c>
      <c r="CA459" s="15"/>
      <c r="CB459" s="15" t="s">
        <v>188</v>
      </c>
      <c r="CC459" s="15"/>
      <c r="CD459" s="15"/>
      <c r="CE459" s="15"/>
      <c r="CF459" s="15"/>
      <c r="CG459" s="15"/>
      <c r="CH459" s="15"/>
      <c r="CI459" s="15"/>
      <c r="CJ459" s="15"/>
      <c r="CK459" s="15" t="s">
        <v>188</v>
      </c>
      <c r="CL459" s="15"/>
      <c r="CM459" s="15"/>
      <c r="CN459" s="15"/>
      <c r="CO459" s="15"/>
      <c r="CP459" s="15" t="s">
        <v>193</v>
      </c>
      <c r="CQ459" s="15" t="s">
        <v>193</v>
      </c>
      <c r="CR459" s="15"/>
      <c r="CS459" s="15"/>
      <c r="CT459" s="15" t="s">
        <v>188</v>
      </c>
      <c r="CU459" s="15"/>
      <c r="CV459" s="15"/>
      <c r="CW459" s="15"/>
      <c r="CX459" s="15" t="s">
        <v>188</v>
      </c>
      <c r="CY459" s="15"/>
      <c r="CZ459" s="3"/>
      <c r="DA459" s="49"/>
      <c r="DC459" s="18">
        <f t="shared" si="21"/>
        <v>0</v>
      </c>
      <c r="DD459" s="18">
        <f t="shared" si="22"/>
        <v>3</v>
      </c>
      <c r="DE459" s="18">
        <f t="shared" si="23"/>
        <v>1985</v>
      </c>
    </row>
    <row r="460" spans="1:109" ht="15.75" thickBot="1" x14ac:dyDescent="0.3">
      <c r="DA460" s="57"/>
    </row>
    <row r="461" spans="1:109" x14ac:dyDescent="0.25">
      <c r="A461" s="132" t="s">
        <v>1324</v>
      </c>
      <c r="B461" s="133"/>
      <c r="C461" s="133"/>
      <c r="D461" s="134"/>
      <c r="P461" s="18">
        <f t="shared" ref="P461:AF461" si="24">COUNTIF(P7:P459,"X")</f>
        <v>106</v>
      </c>
      <c r="Q461" s="18">
        <f t="shared" si="24"/>
        <v>84</v>
      </c>
      <c r="R461" s="18">
        <f t="shared" si="24"/>
        <v>13</v>
      </c>
      <c r="S461" s="18">
        <f t="shared" si="24"/>
        <v>250</v>
      </c>
      <c r="T461" s="18">
        <f t="shared" si="24"/>
        <v>0</v>
      </c>
      <c r="U461" s="18">
        <f t="shared" si="24"/>
        <v>243</v>
      </c>
      <c r="V461" s="18">
        <f t="shared" si="24"/>
        <v>19</v>
      </c>
      <c r="W461" s="18">
        <f t="shared" si="24"/>
        <v>6</v>
      </c>
      <c r="X461" s="18">
        <f t="shared" si="24"/>
        <v>27</v>
      </c>
      <c r="Y461" s="18">
        <f t="shared" si="24"/>
        <v>41</v>
      </c>
      <c r="Z461" s="18">
        <f t="shared" si="24"/>
        <v>0</v>
      </c>
      <c r="AA461" s="18">
        <f t="shared" si="24"/>
        <v>4</v>
      </c>
      <c r="AB461" s="18">
        <f t="shared" si="24"/>
        <v>40</v>
      </c>
      <c r="AC461" s="18">
        <f t="shared" si="24"/>
        <v>4</v>
      </c>
      <c r="AD461" s="18">
        <f t="shared" si="24"/>
        <v>3</v>
      </c>
      <c r="AE461" s="18">
        <f t="shared" si="24"/>
        <v>1</v>
      </c>
      <c r="AF461" s="18">
        <f t="shared" si="24"/>
        <v>64</v>
      </c>
      <c r="AJ461" s="18">
        <f>COUNTIF(AJ7:AJ459,"X")</f>
        <v>22</v>
      </c>
      <c r="AK461" s="18">
        <f>COUNTIF(AK7:AK459,"X")</f>
        <v>3</v>
      </c>
      <c r="AL461" s="18">
        <f>COUNTIF(AL7:AL459,"X")</f>
        <v>428</v>
      </c>
      <c r="AM461" s="18">
        <f>COUNTIF(AM7:AM459,"X")</f>
        <v>0</v>
      </c>
      <c r="AN461" s="18">
        <f>COUNTIF(AN7:AN459,"X")</f>
        <v>0</v>
      </c>
      <c r="BJ461" s="18">
        <f t="shared" ref="BJ461:BW461" si="25">COUNTIF(BJ7:BJ459,"X")</f>
        <v>80</v>
      </c>
      <c r="BK461" s="18">
        <f t="shared" si="25"/>
        <v>72</v>
      </c>
      <c r="BL461" s="18">
        <f t="shared" si="25"/>
        <v>28</v>
      </c>
      <c r="BM461" s="18">
        <f t="shared" si="25"/>
        <v>63</v>
      </c>
      <c r="BN461" s="18">
        <f t="shared" si="25"/>
        <v>111</v>
      </c>
      <c r="BO461" s="18">
        <f t="shared" si="25"/>
        <v>65</v>
      </c>
      <c r="BP461" s="18">
        <f t="shared" si="25"/>
        <v>65</v>
      </c>
      <c r="BQ461" s="18">
        <f t="shared" si="25"/>
        <v>25</v>
      </c>
      <c r="BR461" s="18">
        <f t="shared" si="25"/>
        <v>51</v>
      </c>
      <c r="BS461" s="18">
        <f>COUNTA(BS7:BS459)</f>
        <v>104</v>
      </c>
      <c r="BT461" s="18">
        <f t="shared" si="25"/>
        <v>15</v>
      </c>
      <c r="BU461" s="18">
        <f t="shared" si="25"/>
        <v>231</v>
      </c>
      <c r="BV461" s="18">
        <f t="shared" si="25"/>
        <v>192</v>
      </c>
      <c r="BW461" s="18">
        <f t="shared" si="25"/>
        <v>14</v>
      </c>
      <c r="BX461" s="18">
        <f>COUNTIF(BX7:BX459,"1")</f>
        <v>258</v>
      </c>
      <c r="BY461" s="18">
        <f>COUNTIF(BY7:BY459,"1")</f>
        <v>49</v>
      </c>
      <c r="BZ461" s="18">
        <f>COUNTIF(BZ7:BZ459,"1")</f>
        <v>96</v>
      </c>
      <c r="CA461" s="18">
        <f>COUNTIF(CA7:CA459,"SEGURIDAD")</f>
        <v>40</v>
      </c>
      <c r="CB461" s="18">
        <f>COUNTIF(CB7:CB459,"X")</f>
        <v>295</v>
      </c>
      <c r="CC461" s="18">
        <f t="shared" ref="CC461:CI461" si="26">COUNTIF(CC7:CC459,"X")</f>
        <v>155</v>
      </c>
      <c r="CD461" s="18">
        <f t="shared" si="26"/>
        <v>17</v>
      </c>
      <c r="CE461" s="18">
        <f t="shared" si="26"/>
        <v>58</v>
      </c>
      <c r="CF461" s="18">
        <f t="shared" si="26"/>
        <v>12</v>
      </c>
      <c r="CG461" s="18">
        <f t="shared" si="26"/>
        <v>73</v>
      </c>
      <c r="CH461" s="18">
        <f t="shared" si="26"/>
        <v>116</v>
      </c>
      <c r="CI461" s="18">
        <f t="shared" si="26"/>
        <v>116</v>
      </c>
      <c r="CJ461" s="18">
        <f>COUNTA(CJ7:CJ459)</f>
        <v>3</v>
      </c>
      <c r="DA461" s="57"/>
    </row>
    <row r="462" spans="1:109" x14ac:dyDescent="0.25">
      <c r="A462" s="63" t="s">
        <v>1317</v>
      </c>
      <c r="B462" s="93"/>
      <c r="C462" s="93"/>
      <c r="D462" s="64">
        <f t="shared" ref="D462:D472" si="27">COUNTIF($A$7:$A$459,A462)</f>
        <v>28</v>
      </c>
      <c r="T462" s="18">
        <f>SUM(P461:T461)</f>
        <v>453</v>
      </c>
      <c r="AN462" s="18">
        <f>SUM(AJ461:AN461)</f>
        <v>453</v>
      </c>
      <c r="BL462" s="18">
        <f>+BL461+BR461</f>
        <v>79</v>
      </c>
      <c r="BN462" s="18">
        <f>+BN461+BP461</f>
        <v>176</v>
      </c>
      <c r="BS462" s="18">
        <f>SUM(BJ461:BS461)</f>
        <v>664</v>
      </c>
      <c r="BW462" s="18">
        <f>SUM(BT461:BW461)</f>
        <v>452</v>
      </c>
      <c r="BX462" s="18">
        <f>COUNTIF(BX7:BX459,"2")</f>
        <v>127</v>
      </c>
      <c r="BY462" s="18">
        <f>COUNTIF(BY7:BY459,"2")</f>
        <v>115</v>
      </c>
      <c r="BZ462" s="18">
        <f>COUNTIF(BZ7:BZ459,"2")</f>
        <v>206</v>
      </c>
      <c r="CA462" s="18">
        <f>COUNTIF(CA7:CA459,"2")</f>
        <v>0</v>
      </c>
      <c r="CJ462" s="18">
        <f>SUM(CB461:CJ461)</f>
        <v>845</v>
      </c>
      <c r="DA462" s="57"/>
    </row>
    <row r="463" spans="1:109" x14ac:dyDescent="0.25">
      <c r="A463" s="63" t="s">
        <v>1318</v>
      </c>
      <c r="B463" s="93"/>
      <c r="C463" s="93"/>
      <c r="D463" s="64">
        <f t="shared" si="27"/>
        <v>228</v>
      </c>
      <c r="U463" s="18">
        <f>SUM(U461:AF461)+AG463</f>
        <v>453</v>
      </c>
      <c r="Z463" s="18" t="s">
        <v>740</v>
      </c>
      <c r="AG463" s="18">
        <f>COUNTIF($AG$7:$AG$459,"FULL")</f>
        <v>1</v>
      </c>
      <c r="BX463" s="18">
        <f>COUNTIF(BX7:BX459,"3")</f>
        <v>63</v>
      </c>
      <c r="BY463" s="18">
        <f>COUNTIF(BY7:BY459,"3")</f>
        <v>250</v>
      </c>
      <c r="BZ463" s="18">
        <f>COUNTIF(BZ7:BZ459,"3")</f>
        <v>135</v>
      </c>
      <c r="CA463" s="18">
        <f>COUNTIF(CA7:CA459,"3")</f>
        <v>0</v>
      </c>
      <c r="DA463" s="57"/>
    </row>
    <row r="464" spans="1:109" x14ac:dyDescent="0.25">
      <c r="A464" s="63" t="s">
        <v>1319</v>
      </c>
      <c r="B464" s="93"/>
      <c r="C464" s="93"/>
      <c r="D464" s="64">
        <f t="shared" si="27"/>
        <v>27</v>
      </c>
      <c r="BX464" s="18">
        <f>COUNTIF(BX7:BX459,"4")</f>
        <v>0</v>
      </c>
      <c r="BY464" s="18">
        <f>COUNTIF(BY7:BY459,"4")</f>
        <v>34</v>
      </c>
      <c r="BZ464" s="18">
        <f>COUNTIF(BZ7:BZ459,"4")</f>
        <v>11</v>
      </c>
      <c r="CA464" s="18">
        <f>COUNTIF(CA7:CA459,"4")</f>
        <v>0</v>
      </c>
      <c r="DA464" s="57"/>
    </row>
    <row r="465" spans="1:105" x14ac:dyDescent="0.25">
      <c r="A465" s="65" t="s">
        <v>1321</v>
      </c>
      <c r="B465" s="94"/>
      <c r="C465" s="94"/>
      <c r="D465" s="64">
        <f t="shared" si="27"/>
        <v>47</v>
      </c>
      <c r="DA465" s="57"/>
    </row>
    <row r="466" spans="1:105" x14ac:dyDescent="0.25">
      <c r="A466" s="59" t="s">
        <v>1320</v>
      </c>
      <c r="B466" s="95"/>
      <c r="C466" s="95"/>
      <c r="D466" s="64">
        <f t="shared" si="27"/>
        <v>67</v>
      </c>
      <c r="DA466" s="57"/>
    </row>
    <row r="467" spans="1:105" x14ac:dyDescent="0.25">
      <c r="A467" s="60" t="s">
        <v>1322</v>
      </c>
      <c r="B467" s="96"/>
      <c r="C467" s="96"/>
      <c r="D467" s="64">
        <f t="shared" si="27"/>
        <v>14</v>
      </c>
      <c r="DA467" s="57"/>
    </row>
    <row r="468" spans="1:105" x14ac:dyDescent="0.25">
      <c r="A468" s="65" t="s">
        <v>1325</v>
      </c>
      <c r="B468" s="94"/>
      <c r="C468" s="94"/>
      <c r="D468" s="64">
        <f t="shared" si="27"/>
        <v>0</v>
      </c>
      <c r="DA468" s="57"/>
    </row>
    <row r="469" spans="1:105" x14ac:dyDescent="0.25">
      <c r="A469" s="65" t="s">
        <v>1326</v>
      </c>
      <c r="B469" s="94"/>
      <c r="C469" s="94"/>
      <c r="D469" s="64">
        <f t="shared" si="27"/>
        <v>26</v>
      </c>
      <c r="DA469" s="57"/>
    </row>
    <row r="470" spans="1:105" x14ac:dyDescent="0.25">
      <c r="A470" s="65" t="s">
        <v>1327</v>
      </c>
      <c r="B470" s="94"/>
      <c r="C470" s="94"/>
      <c r="D470" s="64">
        <f t="shared" si="27"/>
        <v>0</v>
      </c>
      <c r="DA470" s="57"/>
    </row>
    <row r="471" spans="1:105" x14ac:dyDescent="0.25">
      <c r="A471" s="65" t="s">
        <v>1323</v>
      </c>
      <c r="B471" s="94"/>
      <c r="C471" s="94"/>
      <c r="D471" s="64">
        <f t="shared" si="27"/>
        <v>16</v>
      </c>
      <c r="DA471" s="57"/>
    </row>
    <row r="472" spans="1:105" x14ac:dyDescent="0.25">
      <c r="A472" s="66" t="s">
        <v>1328</v>
      </c>
      <c r="B472" s="97"/>
      <c r="C472" s="97"/>
      <c r="D472" s="64">
        <f t="shared" si="27"/>
        <v>0</v>
      </c>
      <c r="DA472" s="57"/>
    </row>
    <row r="473" spans="1:105" x14ac:dyDescent="0.25">
      <c r="A473" s="67"/>
      <c r="B473" s="98"/>
      <c r="C473" s="98"/>
      <c r="D473" s="68"/>
    </row>
    <row r="474" spans="1:105" x14ac:dyDescent="0.25">
      <c r="A474" s="65" t="s">
        <v>1329</v>
      </c>
      <c r="B474" s="94"/>
      <c r="C474" s="94"/>
      <c r="D474" s="64">
        <f>+D462</f>
        <v>28</v>
      </c>
    </row>
    <row r="475" spans="1:105" x14ac:dyDescent="0.25">
      <c r="A475" s="65" t="s">
        <v>1330</v>
      </c>
      <c r="B475" s="94"/>
      <c r="C475" s="94"/>
      <c r="D475" s="64">
        <f>+D463+D464+D465+D472+D466+D467</f>
        <v>383</v>
      </c>
    </row>
    <row r="476" spans="1:105" x14ac:dyDescent="0.25">
      <c r="A476" s="65" t="s">
        <v>1331</v>
      </c>
      <c r="B476" s="94"/>
      <c r="C476" s="94"/>
      <c r="D476" s="64">
        <f>+D468+D471</f>
        <v>16</v>
      </c>
    </row>
    <row r="477" spans="1:105" x14ac:dyDescent="0.25">
      <c r="A477" s="65" t="s">
        <v>1332</v>
      </c>
      <c r="B477" s="94"/>
      <c r="C477" s="94"/>
      <c r="D477" s="64">
        <f>+D469+D470</f>
        <v>26</v>
      </c>
    </row>
    <row r="478" spans="1:105" ht="15.75" thickBot="1" x14ac:dyDescent="0.3">
      <c r="A478" s="69" t="s">
        <v>1333</v>
      </c>
      <c r="B478" s="99"/>
      <c r="C478" s="99"/>
      <c r="D478" s="88">
        <f>SUM(D474:D477)</f>
        <v>453</v>
      </c>
    </row>
    <row r="487" spans="1:109" ht="15.75" thickBot="1" x14ac:dyDescent="0.3">
      <c r="B487" s="131" t="s">
        <v>1585</v>
      </c>
      <c r="C487" s="131"/>
      <c r="D487" s="131"/>
    </row>
    <row r="488" spans="1:109" x14ac:dyDescent="0.25">
      <c r="B488" s="109" t="s">
        <v>1317</v>
      </c>
      <c r="C488" s="110" t="s">
        <v>1556</v>
      </c>
      <c r="D488" s="46">
        <f>COUNTIF($C$7:$C$459,C488)</f>
        <v>28</v>
      </c>
      <c r="AH488" s="19"/>
      <c r="AI488" s="18"/>
      <c r="AT488" s="19"/>
      <c r="AU488" s="20"/>
      <c r="AV488" s="18"/>
      <c r="BD488" s="19"/>
      <c r="BI488" s="18"/>
      <c r="DA488" s="21"/>
      <c r="DC488" s="18"/>
      <c r="DE488" s="21"/>
    </row>
    <row r="489" spans="1:109" x14ac:dyDescent="0.25">
      <c r="B489" s="111" t="s">
        <v>1318</v>
      </c>
      <c r="C489" s="112" t="s">
        <v>1576</v>
      </c>
      <c r="D489" s="3">
        <f t="shared" ref="D489:D514" si="28">COUNTIF($C$7:$C$459,C489)</f>
        <v>203</v>
      </c>
      <c r="AH489" s="19"/>
      <c r="AI489" s="18"/>
      <c r="AT489" s="19"/>
      <c r="AU489" s="20"/>
      <c r="AV489" s="18"/>
      <c r="BD489" s="19"/>
      <c r="BI489" s="18"/>
      <c r="DA489" s="21"/>
      <c r="DC489" s="18"/>
      <c r="DE489" s="21"/>
    </row>
    <row r="490" spans="1:109" x14ac:dyDescent="0.25">
      <c r="A490" s="21"/>
      <c r="B490" s="111" t="s">
        <v>1319</v>
      </c>
      <c r="C490" s="113" t="s">
        <v>1577</v>
      </c>
      <c r="D490" s="3">
        <f t="shared" si="28"/>
        <v>1</v>
      </c>
      <c r="AH490" s="19"/>
      <c r="AI490" s="18"/>
      <c r="AT490" s="19"/>
      <c r="AU490" s="20"/>
      <c r="AV490" s="18"/>
      <c r="BD490" s="19"/>
      <c r="BI490" s="18"/>
      <c r="DA490" s="21"/>
      <c r="DC490" s="18"/>
      <c r="DE490" s="21"/>
    </row>
    <row r="491" spans="1:109" x14ac:dyDescent="0.25">
      <c r="A491" s="21"/>
      <c r="B491" s="111" t="s">
        <v>1319</v>
      </c>
      <c r="C491" s="112" t="s">
        <v>1578</v>
      </c>
      <c r="D491" s="3">
        <f t="shared" si="28"/>
        <v>6</v>
      </c>
      <c r="AH491" s="19"/>
      <c r="AI491" s="18"/>
      <c r="AT491" s="19"/>
      <c r="AU491" s="20"/>
      <c r="AV491" s="18"/>
      <c r="BD491" s="19"/>
      <c r="BI491" s="18"/>
      <c r="DA491" s="21"/>
      <c r="DC491" s="18"/>
      <c r="DE491" s="21"/>
    </row>
    <row r="492" spans="1:109" x14ac:dyDescent="0.25">
      <c r="A492" s="21"/>
      <c r="B492" s="111" t="s">
        <v>1319</v>
      </c>
      <c r="C492" s="112" t="s">
        <v>1559</v>
      </c>
      <c r="D492" s="3">
        <f t="shared" si="28"/>
        <v>2</v>
      </c>
      <c r="AH492" s="19"/>
      <c r="AI492" s="18"/>
      <c r="AT492" s="19"/>
      <c r="AU492" s="20"/>
      <c r="AV492" s="18"/>
      <c r="BD492" s="19"/>
      <c r="BI492" s="18"/>
      <c r="DA492" s="21"/>
      <c r="DC492" s="18"/>
      <c r="DE492" s="21"/>
    </row>
    <row r="493" spans="1:109" x14ac:dyDescent="0.25">
      <c r="A493" s="21"/>
      <c r="B493" s="111" t="s">
        <v>1319</v>
      </c>
      <c r="C493" s="113" t="s">
        <v>1579</v>
      </c>
      <c r="D493" s="3">
        <f t="shared" si="28"/>
        <v>2</v>
      </c>
      <c r="AH493" s="19"/>
      <c r="AI493" s="18"/>
      <c r="AT493" s="19"/>
      <c r="AU493" s="20"/>
      <c r="AV493" s="18"/>
      <c r="BD493" s="19"/>
      <c r="BI493" s="18"/>
      <c r="DA493" s="21"/>
      <c r="DC493" s="18"/>
      <c r="DE493" s="21"/>
    </row>
    <row r="494" spans="1:109" x14ac:dyDescent="0.25">
      <c r="A494" s="21"/>
      <c r="B494" s="111" t="s">
        <v>1320</v>
      </c>
      <c r="C494" s="113" t="s">
        <v>1560</v>
      </c>
      <c r="D494" s="3">
        <f t="shared" si="28"/>
        <v>6</v>
      </c>
      <c r="AH494" s="19"/>
      <c r="AI494" s="18"/>
      <c r="AT494" s="19"/>
      <c r="AU494" s="20"/>
      <c r="AV494" s="18"/>
      <c r="BD494" s="19"/>
      <c r="BI494" s="18"/>
      <c r="DA494" s="21"/>
      <c r="DC494" s="18"/>
      <c r="DE494" s="21"/>
    </row>
    <row r="495" spans="1:109" x14ac:dyDescent="0.25">
      <c r="A495" s="21"/>
      <c r="B495" s="111" t="s">
        <v>1320</v>
      </c>
      <c r="C495" s="112" t="s">
        <v>1561</v>
      </c>
      <c r="D495" s="3">
        <f t="shared" si="28"/>
        <v>13</v>
      </c>
      <c r="AH495" s="19"/>
      <c r="AI495" s="18"/>
      <c r="AT495" s="19"/>
      <c r="AU495" s="20"/>
      <c r="AV495" s="18"/>
      <c r="BD495" s="19"/>
      <c r="BI495" s="18"/>
      <c r="DA495" s="21"/>
      <c r="DC495" s="18"/>
      <c r="DE495" s="21"/>
    </row>
    <row r="496" spans="1:109" x14ac:dyDescent="0.25">
      <c r="A496" s="21"/>
      <c r="B496" s="111" t="s">
        <v>1318</v>
      </c>
      <c r="C496" s="112" t="s">
        <v>1580</v>
      </c>
      <c r="D496" s="3">
        <f t="shared" si="28"/>
        <v>13</v>
      </c>
      <c r="AH496" s="19"/>
      <c r="AI496" s="18"/>
      <c r="AT496" s="19"/>
      <c r="AU496" s="20"/>
      <c r="AV496" s="18"/>
      <c r="BD496" s="19"/>
      <c r="BI496" s="18"/>
      <c r="DA496" s="21"/>
      <c r="DC496" s="18"/>
      <c r="DE496" s="21"/>
    </row>
    <row r="497" spans="1:109" x14ac:dyDescent="0.25">
      <c r="A497" s="21"/>
      <c r="B497" s="111" t="s">
        <v>1321</v>
      </c>
      <c r="C497" s="113" t="s">
        <v>1581</v>
      </c>
      <c r="D497" s="3">
        <f t="shared" si="28"/>
        <v>12</v>
      </c>
      <c r="AH497" s="19"/>
      <c r="AI497" s="18"/>
      <c r="AT497" s="19"/>
      <c r="AU497" s="20"/>
      <c r="AV497" s="18"/>
      <c r="BD497" s="19"/>
      <c r="BI497" s="18"/>
      <c r="DA497" s="21"/>
      <c r="DC497" s="18"/>
      <c r="DE497" s="21"/>
    </row>
    <row r="498" spans="1:109" x14ac:dyDescent="0.25">
      <c r="A498" s="21"/>
      <c r="B498" s="111" t="s">
        <v>1321</v>
      </c>
      <c r="C498" s="113" t="s">
        <v>1582</v>
      </c>
      <c r="D498" s="3">
        <f t="shared" si="28"/>
        <v>5</v>
      </c>
      <c r="AH498" s="19"/>
      <c r="AI498" s="18"/>
      <c r="AT498" s="19"/>
      <c r="AU498" s="20"/>
      <c r="AV498" s="18"/>
      <c r="BD498" s="19"/>
      <c r="BI498" s="18"/>
      <c r="DA498" s="21"/>
      <c r="DC498" s="18"/>
      <c r="DE498" s="21"/>
    </row>
    <row r="499" spans="1:109" x14ac:dyDescent="0.25">
      <c r="A499" s="21"/>
      <c r="B499" s="111" t="s">
        <v>1318</v>
      </c>
      <c r="C499" s="113" t="s">
        <v>1563</v>
      </c>
      <c r="D499" s="3">
        <f t="shared" si="28"/>
        <v>12</v>
      </c>
      <c r="AH499" s="19"/>
      <c r="AI499" s="18"/>
      <c r="AT499" s="19"/>
      <c r="AU499" s="20"/>
      <c r="AV499" s="18"/>
      <c r="BD499" s="19"/>
      <c r="BI499" s="18"/>
      <c r="DA499" s="21"/>
      <c r="DC499" s="18"/>
      <c r="DE499" s="21"/>
    </row>
    <row r="500" spans="1:109" x14ac:dyDescent="0.25">
      <c r="A500" s="21"/>
      <c r="B500" s="111" t="s">
        <v>1320</v>
      </c>
      <c r="C500" s="113" t="s">
        <v>1564</v>
      </c>
      <c r="D500" s="3">
        <f t="shared" si="28"/>
        <v>9</v>
      </c>
      <c r="AH500" s="19"/>
      <c r="AI500" s="18"/>
      <c r="AT500" s="19"/>
      <c r="AU500" s="20"/>
      <c r="AV500" s="18"/>
      <c r="BD500" s="19"/>
      <c r="BI500" s="18"/>
      <c r="DA500" s="21"/>
      <c r="DC500" s="18"/>
      <c r="DE500" s="21"/>
    </row>
    <row r="501" spans="1:109" x14ac:dyDescent="0.25">
      <c r="A501" s="21"/>
      <c r="B501" s="111" t="s">
        <v>1320</v>
      </c>
      <c r="C501" s="113" t="s">
        <v>1565</v>
      </c>
      <c r="D501" s="3">
        <f t="shared" si="28"/>
        <v>5</v>
      </c>
      <c r="AH501" s="19"/>
      <c r="AI501" s="18"/>
      <c r="AT501" s="19"/>
      <c r="AU501" s="20"/>
      <c r="AV501" s="18"/>
      <c r="BD501" s="19"/>
      <c r="BI501" s="18"/>
      <c r="DA501" s="21"/>
      <c r="DC501" s="18"/>
      <c r="DE501" s="21"/>
    </row>
    <row r="502" spans="1:109" x14ac:dyDescent="0.25">
      <c r="A502" s="21"/>
      <c r="B502" s="111" t="s">
        <v>1320</v>
      </c>
      <c r="C502" s="113" t="s">
        <v>1566</v>
      </c>
      <c r="D502" s="3">
        <f t="shared" si="28"/>
        <v>3</v>
      </c>
      <c r="AH502" s="19"/>
      <c r="AI502" s="18"/>
      <c r="AT502" s="19"/>
      <c r="AU502" s="20"/>
      <c r="AV502" s="18"/>
      <c r="BD502" s="19"/>
      <c r="BI502" s="18"/>
      <c r="DA502" s="21"/>
      <c r="DC502" s="18"/>
      <c r="DE502" s="21"/>
    </row>
    <row r="503" spans="1:109" x14ac:dyDescent="0.25">
      <c r="A503" s="21"/>
      <c r="B503" s="111" t="s">
        <v>1320</v>
      </c>
      <c r="C503" s="113" t="s">
        <v>1567</v>
      </c>
      <c r="D503" s="3">
        <f t="shared" si="28"/>
        <v>10</v>
      </c>
      <c r="AH503" s="19"/>
      <c r="AI503" s="18"/>
      <c r="AT503" s="19"/>
      <c r="AU503" s="20"/>
      <c r="AV503" s="18"/>
      <c r="BD503" s="19"/>
      <c r="BI503" s="18"/>
      <c r="DA503" s="21"/>
      <c r="DC503" s="18"/>
      <c r="DE503" s="21"/>
    </row>
    <row r="504" spans="1:109" x14ac:dyDescent="0.25">
      <c r="A504" s="21"/>
      <c r="B504" s="111" t="s">
        <v>1320</v>
      </c>
      <c r="C504" s="113" t="s">
        <v>1568</v>
      </c>
      <c r="D504" s="3">
        <f t="shared" si="28"/>
        <v>2</v>
      </c>
      <c r="AH504" s="19"/>
      <c r="AI504" s="18"/>
      <c r="AT504" s="19"/>
      <c r="AU504" s="20"/>
      <c r="AV504" s="18"/>
      <c r="BD504" s="19"/>
      <c r="BI504" s="18"/>
      <c r="DA504" s="21"/>
      <c r="DC504" s="18"/>
      <c r="DE504" s="21"/>
    </row>
    <row r="505" spans="1:109" x14ac:dyDescent="0.25">
      <c r="A505" s="21"/>
      <c r="B505" s="111" t="s">
        <v>1320</v>
      </c>
      <c r="C505" s="113" t="s">
        <v>1569</v>
      </c>
      <c r="D505" s="3">
        <f t="shared" si="28"/>
        <v>5</v>
      </c>
      <c r="AH505" s="19"/>
      <c r="AI505" s="18"/>
      <c r="AT505" s="19"/>
      <c r="AU505" s="20"/>
      <c r="AV505" s="18"/>
      <c r="BD505" s="19"/>
      <c r="BI505" s="18"/>
      <c r="DA505" s="21"/>
      <c r="DC505" s="18"/>
      <c r="DE505" s="21"/>
    </row>
    <row r="506" spans="1:109" x14ac:dyDescent="0.25">
      <c r="A506" s="21"/>
      <c r="B506" s="111" t="s">
        <v>1320</v>
      </c>
      <c r="C506" s="113" t="s">
        <v>1570</v>
      </c>
      <c r="D506" s="3">
        <f t="shared" si="28"/>
        <v>4</v>
      </c>
      <c r="AH506" s="19"/>
      <c r="AI506" s="18"/>
      <c r="AT506" s="19"/>
      <c r="AU506" s="20"/>
      <c r="AV506" s="18"/>
      <c r="BD506" s="19"/>
      <c r="BI506" s="18"/>
      <c r="DA506" s="21"/>
      <c r="DC506" s="18"/>
      <c r="DE506" s="21"/>
    </row>
    <row r="507" spans="1:109" x14ac:dyDescent="0.25">
      <c r="A507" s="21"/>
      <c r="B507" s="111" t="s">
        <v>1320</v>
      </c>
      <c r="C507" s="113" t="s">
        <v>1571</v>
      </c>
      <c r="D507" s="3">
        <f t="shared" si="28"/>
        <v>10</v>
      </c>
      <c r="AH507" s="19"/>
      <c r="AI507" s="18"/>
      <c r="AT507" s="19"/>
      <c r="AU507" s="20"/>
      <c r="AV507" s="18"/>
      <c r="BD507" s="19"/>
      <c r="BI507" s="18"/>
      <c r="DA507" s="21"/>
      <c r="DC507" s="18"/>
      <c r="DE507" s="21"/>
    </row>
    <row r="508" spans="1:109" x14ac:dyDescent="0.25">
      <c r="A508" s="21"/>
      <c r="B508" s="111" t="s">
        <v>1319</v>
      </c>
      <c r="C508" s="113" t="s">
        <v>1583</v>
      </c>
      <c r="D508" s="3">
        <f t="shared" si="28"/>
        <v>16</v>
      </c>
      <c r="AH508" s="19"/>
      <c r="AI508" s="18"/>
      <c r="AT508" s="19"/>
      <c r="AU508" s="20"/>
      <c r="AV508" s="18"/>
      <c r="BD508" s="19"/>
      <c r="BI508" s="18"/>
      <c r="DA508" s="21"/>
      <c r="DC508" s="18"/>
      <c r="DE508" s="21"/>
    </row>
    <row r="509" spans="1:109" x14ac:dyDescent="0.25">
      <c r="A509" s="21"/>
      <c r="B509" s="114" t="s">
        <v>1322</v>
      </c>
      <c r="C509" s="113" t="s">
        <v>1572</v>
      </c>
      <c r="D509" s="3">
        <f t="shared" si="28"/>
        <v>4</v>
      </c>
      <c r="AH509" s="19"/>
      <c r="AI509" s="18"/>
      <c r="AT509" s="19"/>
      <c r="AU509" s="20"/>
      <c r="AV509" s="18"/>
      <c r="BD509" s="19"/>
      <c r="BI509" s="18"/>
      <c r="DA509" s="21"/>
      <c r="DC509" s="18"/>
      <c r="DE509" s="21"/>
    </row>
    <row r="510" spans="1:109" x14ac:dyDescent="0.25">
      <c r="A510" s="21"/>
      <c r="B510" s="114" t="s">
        <v>1322</v>
      </c>
      <c r="C510" s="112" t="s">
        <v>1573</v>
      </c>
      <c r="D510" s="3">
        <f t="shared" si="28"/>
        <v>10</v>
      </c>
      <c r="AH510" s="19"/>
      <c r="AI510" s="18"/>
      <c r="AT510" s="19"/>
      <c r="AU510" s="20"/>
      <c r="AV510" s="18"/>
      <c r="BD510" s="19"/>
      <c r="BI510" s="18"/>
      <c r="DA510" s="21"/>
      <c r="DC510" s="18"/>
      <c r="DE510" s="21"/>
    </row>
    <row r="511" spans="1:109" x14ac:dyDescent="0.25">
      <c r="A511" s="21"/>
      <c r="B511" s="65" t="s">
        <v>1326</v>
      </c>
      <c r="C511" s="113" t="s">
        <v>1575</v>
      </c>
      <c r="D511" s="3">
        <f t="shared" si="28"/>
        <v>20</v>
      </c>
      <c r="AH511" s="19"/>
      <c r="AI511" s="18"/>
      <c r="AT511" s="19"/>
      <c r="AU511" s="20"/>
      <c r="AV511" s="18"/>
      <c r="BD511" s="19"/>
      <c r="BI511" s="18"/>
      <c r="DA511" s="21"/>
      <c r="DC511" s="18"/>
      <c r="DE511" s="21"/>
    </row>
    <row r="512" spans="1:109" x14ac:dyDescent="0.25">
      <c r="A512" s="21"/>
      <c r="B512" s="65" t="s">
        <v>1326</v>
      </c>
      <c r="C512" s="113" t="s">
        <v>1574</v>
      </c>
      <c r="D512" s="3">
        <f t="shared" si="28"/>
        <v>6</v>
      </c>
      <c r="AH512" s="19"/>
      <c r="AI512" s="18"/>
      <c r="AT512" s="19"/>
      <c r="AU512" s="20"/>
      <c r="AV512" s="18"/>
      <c r="BD512" s="19"/>
      <c r="BI512" s="18"/>
      <c r="DA512" s="21"/>
      <c r="DC512" s="18"/>
      <c r="DE512" s="21"/>
    </row>
    <row r="513" spans="1:109" x14ac:dyDescent="0.25">
      <c r="A513" s="21"/>
      <c r="B513" s="115" t="s">
        <v>1323</v>
      </c>
      <c r="C513" s="113" t="s">
        <v>1584</v>
      </c>
      <c r="D513" s="3">
        <f t="shared" si="28"/>
        <v>16</v>
      </c>
      <c r="AH513" s="19"/>
      <c r="AI513" s="18"/>
      <c r="AT513" s="19"/>
      <c r="AU513" s="20"/>
      <c r="AV513" s="18"/>
      <c r="BD513" s="19"/>
      <c r="BI513" s="18"/>
      <c r="DA513" s="21"/>
      <c r="DC513" s="18"/>
      <c r="DE513" s="21"/>
    </row>
    <row r="514" spans="1:109" ht="15.75" thickBot="1" x14ac:dyDescent="0.3">
      <c r="B514" s="116" t="s">
        <v>1321</v>
      </c>
      <c r="C514" s="117" t="s">
        <v>1562</v>
      </c>
      <c r="D514" s="118">
        <f t="shared" si="28"/>
        <v>30</v>
      </c>
    </row>
    <row r="516" spans="1:109" x14ac:dyDescent="0.25">
      <c r="D516" s="18">
        <f>SUM(D488:D514)</f>
        <v>453</v>
      </c>
    </row>
  </sheetData>
  <mergeCells count="52">
    <mergeCell ref="BT3:BW3"/>
    <mergeCell ref="BT2:BW2"/>
    <mergeCell ref="BX3:CA3"/>
    <mergeCell ref="BX2:CA2"/>
    <mergeCell ref="CB3:CJ3"/>
    <mergeCell ref="CB2:CJ2"/>
    <mergeCell ref="CP3:CP4"/>
    <mergeCell ref="CQ3:CQ4"/>
    <mergeCell ref="CK2:CQ2"/>
    <mergeCell ref="CV3:CZ3"/>
    <mergeCell ref="CV2:CZ2"/>
    <mergeCell ref="CR2:CU2"/>
    <mergeCell ref="CR3:CU3"/>
    <mergeCell ref="CM3:CO3"/>
    <mergeCell ref="CK3:CL3"/>
    <mergeCell ref="BJ2:BS2"/>
    <mergeCell ref="AU3:AV3"/>
    <mergeCell ref="AW3:AX3"/>
    <mergeCell ref="AU2:AV2"/>
    <mergeCell ref="AW2:AX2"/>
    <mergeCell ref="AY3:AY4"/>
    <mergeCell ref="AZ3:AZ4"/>
    <mergeCell ref="AY2:AZ2"/>
    <mergeCell ref="BA3:BA4"/>
    <mergeCell ref="BB3:BD3"/>
    <mergeCell ref="BB2:BD2"/>
    <mergeCell ref="BE3:BI3"/>
    <mergeCell ref="BE2:BI2"/>
    <mergeCell ref="BJ3:BS3"/>
    <mergeCell ref="AO2:AT2"/>
    <mergeCell ref="U3:AG3"/>
    <mergeCell ref="U2:AG2"/>
    <mergeCell ref="AH3:AI3"/>
    <mergeCell ref="AH2:AI2"/>
    <mergeCell ref="AJ3:AN3"/>
    <mergeCell ref="AJ2:AN2"/>
    <mergeCell ref="AO3:AO4"/>
    <mergeCell ref="AP3:AP4"/>
    <mergeCell ref="AT3:AT4"/>
    <mergeCell ref="AQ3:AS3"/>
    <mergeCell ref="K3:K4"/>
    <mergeCell ref="E2:H3"/>
    <mergeCell ref="D2:D4"/>
    <mergeCell ref="P3:T3"/>
    <mergeCell ref="P2:T2"/>
    <mergeCell ref="L3:L4"/>
    <mergeCell ref="O3:O4"/>
    <mergeCell ref="B487:D487"/>
    <mergeCell ref="A461:D461"/>
    <mergeCell ref="I2:J2"/>
    <mergeCell ref="I3:I4"/>
    <mergeCell ref="J3:J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156"/>
  <sheetViews>
    <sheetView workbookViewId="0"/>
  </sheetViews>
  <sheetFormatPr baseColWidth="10" defaultColWidth="11.42578125" defaultRowHeight="15" x14ac:dyDescent="0.25"/>
  <cols>
    <col min="1" max="1" width="13.42578125" style="17" customWidth="1"/>
    <col min="2" max="2" width="25.42578125" style="17" bestFit="1" customWidth="1"/>
    <col min="3" max="3" width="11.42578125" style="18"/>
    <col min="4" max="4" width="12.28515625" style="17" bestFit="1" customWidth="1"/>
    <col min="5" max="5" width="11.42578125" style="17"/>
    <col min="6" max="6" width="20.28515625" style="17" customWidth="1"/>
    <col min="7" max="7" width="11.42578125" style="17"/>
    <col min="8" max="8" width="11.5703125" style="17" bestFit="1" customWidth="1"/>
    <col min="9" max="9" width="11.42578125" style="17"/>
    <col min="10" max="10" width="16.5703125" style="17" customWidth="1"/>
    <col min="11" max="11" width="11.85546875" style="18" bestFit="1" customWidth="1"/>
    <col min="12" max="13" width="11.42578125" style="17"/>
    <col min="14" max="14" width="20.140625" style="57" customWidth="1"/>
    <col min="15" max="16" width="11.42578125" style="18"/>
    <col min="17" max="17" width="20.140625" style="17" customWidth="1"/>
    <col min="18" max="16384" width="11.42578125" style="17"/>
  </cols>
  <sheetData>
    <row r="4" spans="2:20" x14ac:dyDescent="0.25">
      <c r="B4" s="17" t="s">
        <v>424</v>
      </c>
      <c r="C4" s="18" t="s">
        <v>430</v>
      </c>
      <c r="D4" s="18" t="s">
        <v>431</v>
      </c>
      <c r="F4" s="17" t="s">
        <v>449</v>
      </c>
      <c r="G4" s="72">
        <f>SUM(G5:G10)</f>
        <v>1</v>
      </c>
      <c r="H4" s="17">
        <f>SUM(H5:H10)</f>
        <v>453</v>
      </c>
      <c r="J4" s="17" t="s">
        <v>472</v>
      </c>
      <c r="N4" s="57" t="s">
        <v>497</v>
      </c>
      <c r="R4" s="57" t="s">
        <v>1295</v>
      </c>
    </row>
    <row r="5" spans="2:20" x14ac:dyDescent="0.25">
      <c r="B5" s="17" t="s">
        <v>425</v>
      </c>
      <c r="C5" s="18">
        <f>COUNTIF('ENCUESTA CONDUCTORES'!E$7:E$459,"X")</f>
        <v>66</v>
      </c>
      <c r="D5" s="73">
        <f>ROUND(C5/$C$9,4)</f>
        <v>0.1457</v>
      </c>
      <c r="F5" s="17" t="s">
        <v>455</v>
      </c>
      <c r="G5" s="72">
        <f>H5/$H$4</f>
        <v>0.16114790286975716</v>
      </c>
      <c r="H5" s="17">
        <f>COUNTIF('ENCUESTA CONDUCTORES'!$O$7:$O$459,"&lt;6")</f>
        <v>73</v>
      </c>
      <c r="J5" s="17" t="s">
        <v>473</v>
      </c>
      <c r="K5" s="74">
        <f>L5/$L$10</f>
        <v>4.856512141280353E-2</v>
      </c>
      <c r="L5" s="17">
        <f>COUNTIF('ENCUESTA CONDUCTORES'!AJ7:AJ459,"X")</f>
        <v>22</v>
      </c>
      <c r="N5" s="75" t="s">
        <v>499</v>
      </c>
      <c r="O5" s="74">
        <f>P5/$P$15</f>
        <v>0.12030075187969924</v>
      </c>
      <c r="P5" s="18">
        <f>COUNTIF('ENCUESTA CONDUCTORES'!BJ$7:BJ$459,"X")</f>
        <v>80</v>
      </c>
      <c r="R5" s="11" t="s">
        <v>1296</v>
      </c>
      <c r="S5" s="74">
        <f>+T5/T14</f>
        <v>7.3008849557522126E-2</v>
      </c>
      <c r="T5" s="17">
        <f>COUNTIF('ENCUESTA CONDUCTORES'!$AX$7:$AX$459,"&lt;1.6")</f>
        <v>33</v>
      </c>
    </row>
    <row r="6" spans="2:20" ht="25.5" x14ac:dyDescent="0.25">
      <c r="B6" s="17" t="s">
        <v>426</v>
      </c>
      <c r="C6" s="18">
        <f>COUNTIF('ENCUESTA CONDUCTORES'!F$7:F$459,"X")</f>
        <v>81</v>
      </c>
      <c r="D6" s="73">
        <f t="shared" ref="D6:D9" si="0">ROUND(C6/$C$9,4)</f>
        <v>0.17879999999999999</v>
      </c>
      <c r="F6" s="17" t="s">
        <v>450</v>
      </c>
      <c r="G6" s="72">
        <f t="shared" ref="G6:G10" si="1">H6/$H$4</f>
        <v>0.18101545253863136</v>
      </c>
      <c r="H6" s="17">
        <f>COUNTIF('ENCUESTA CONDUCTORES'!$O$7:$O$459,"&lt;11")-H5</f>
        <v>82</v>
      </c>
      <c r="J6" s="17" t="s">
        <v>474</v>
      </c>
      <c r="K6" s="74">
        <f t="shared" ref="K6:K10" si="2">L6/$L$10</f>
        <v>6.6225165562913907E-3</v>
      </c>
      <c r="L6" s="17">
        <f>+COUNTIF('ENCUESTA CONDUCTORES'!$AK$7:$AK$459,"X")</f>
        <v>3</v>
      </c>
      <c r="N6" s="75" t="s">
        <v>49</v>
      </c>
      <c r="O6" s="74">
        <f t="shared" ref="O6:O15" si="3">P6/$P$15</f>
        <v>0.10827067669172932</v>
      </c>
      <c r="P6" s="18">
        <f>COUNTIF('ENCUESTA CONDUCTORES'!BK$7:BK$459,"X")</f>
        <v>72</v>
      </c>
      <c r="R6" s="11" t="s">
        <v>1297</v>
      </c>
      <c r="S6" s="74">
        <f>+T6/T14</f>
        <v>0.12610619469026549</v>
      </c>
      <c r="T6" s="17">
        <f>COUNTIF('ENCUESTA CONDUCTORES'!$AX$7:$AX$459,"&lt;1.91")-T5</f>
        <v>57</v>
      </c>
    </row>
    <row r="7" spans="2:20" x14ac:dyDescent="0.25">
      <c r="B7" s="17" t="s">
        <v>427</v>
      </c>
      <c r="C7" s="18">
        <f>COUNTIF('ENCUESTA CONDUCTORES'!G$7:G$459,"X")</f>
        <v>182</v>
      </c>
      <c r="D7" s="73">
        <f t="shared" si="0"/>
        <v>0.40179999999999999</v>
      </c>
      <c r="F7" s="17" t="s">
        <v>451</v>
      </c>
      <c r="G7" s="72">
        <f t="shared" si="1"/>
        <v>9.2715231788079472E-2</v>
      </c>
      <c r="H7" s="17">
        <f>COUNTIF('ENCUESTA CONDUCTORES'!$O$7:$O$459,"&lt;15")-H6-H5</f>
        <v>42</v>
      </c>
      <c r="J7" s="17" t="s">
        <v>475</v>
      </c>
      <c r="K7" s="74">
        <f t="shared" si="2"/>
        <v>0.94481236203090513</v>
      </c>
      <c r="L7" s="17">
        <f>+COUNTIF('ENCUESTA CONDUCTORES'!$AL$7:$AL$459,"X")</f>
        <v>428</v>
      </c>
      <c r="N7" s="75" t="s">
        <v>50</v>
      </c>
      <c r="O7" s="74">
        <f t="shared" si="3"/>
        <v>4.2105263157894736E-2</v>
      </c>
      <c r="P7" s="18">
        <f>COUNTIF('ENCUESTA CONDUCTORES'!BL$7:BL$459,"X")</f>
        <v>28</v>
      </c>
      <c r="R7" s="11" t="s">
        <v>1298</v>
      </c>
      <c r="S7" s="74">
        <f>+T7/T14</f>
        <v>9.2920353982300891E-2</v>
      </c>
      <c r="T7" s="17">
        <f>COUNTIF('ENCUESTA CONDUCTORES'!$AX$7:$AX$459,"&lt;2.01")-T6-T5</f>
        <v>42</v>
      </c>
    </row>
    <row r="8" spans="2:20" ht="25.5" x14ac:dyDescent="0.25">
      <c r="B8" s="17" t="s">
        <v>428</v>
      </c>
      <c r="C8" s="18">
        <f>COUNTIF('ENCUESTA CONDUCTORES'!H$7:H$459,"X")</f>
        <v>124</v>
      </c>
      <c r="D8" s="73">
        <f t="shared" si="0"/>
        <v>0.2737</v>
      </c>
      <c r="F8" s="17" t="s">
        <v>452</v>
      </c>
      <c r="G8" s="72">
        <f t="shared" si="1"/>
        <v>0.18101545253863136</v>
      </c>
      <c r="H8" s="17">
        <f>COUNTIF('ENCUESTA CONDUCTORES'!$O$7:$O$459,"&lt;20")-H7-H6-H5</f>
        <v>82</v>
      </c>
      <c r="J8" s="17" t="s">
        <v>476</v>
      </c>
      <c r="K8" s="74">
        <f t="shared" si="2"/>
        <v>0</v>
      </c>
      <c r="L8" s="17">
        <f>+COUNTIF('ENCUESTA CONDUCTORES'!$AM$7:$AM$459,"X")</f>
        <v>0</v>
      </c>
      <c r="N8" s="75" t="s">
        <v>51</v>
      </c>
      <c r="O8" s="74">
        <f t="shared" si="3"/>
        <v>9.4736842105263161E-2</v>
      </c>
      <c r="P8" s="18">
        <f>COUNTIF('ENCUESTA CONDUCTORES'!BM$7:BM$459,"X")</f>
        <v>63</v>
      </c>
      <c r="R8" s="11" t="s">
        <v>1299</v>
      </c>
      <c r="S8" s="74">
        <f>+T8/T14</f>
        <v>7.5221238938053103E-2</v>
      </c>
      <c r="T8" s="17">
        <f>COUNTIF('ENCUESTA CONDUCTORES'!$AX$7:$AX$459,"&lt;2.21")-T7-T6-T5</f>
        <v>34</v>
      </c>
    </row>
    <row r="9" spans="2:20" ht="25.5" x14ac:dyDescent="0.25">
      <c r="B9" s="17" t="s">
        <v>429</v>
      </c>
      <c r="C9" s="18">
        <f>SUM(C5:C8)</f>
        <v>453</v>
      </c>
      <c r="D9" s="76">
        <f t="shared" si="0"/>
        <v>1</v>
      </c>
      <c r="F9" s="17" t="s">
        <v>453</v>
      </c>
      <c r="G9" s="72">
        <f t="shared" si="1"/>
        <v>0.16777041942604856</v>
      </c>
      <c r="H9" s="17">
        <f>COUNTIF('ENCUESTA CONDUCTORES'!$O$7:$O$459,"&lt;25")-H8-H7-H6-H5</f>
        <v>76</v>
      </c>
      <c r="J9" s="17" t="s">
        <v>447</v>
      </c>
      <c r="K9" s="74">
        <f t="shared" si="2"/>
        <v>0</v>
      </c>
      <c r="L9" s="17">
        <f>+COUNTIF('ENCUESTA CONDUCTORES'!$AN$7:$AN$459,"X")</f>
        <v>0</v>
      </c>
      <c r="N9" s="75" t="s">
        <v>52</v>
      </c>
      <c r="O9" s="74">
        <f t="shared" si="3"/>
        <v>0.16691729323308271</v>
      </c>
      <c r="P9" s="18">
        <f>COUNTIF('ENCUESTA CONDUCTORES'!BN$7:BN$459,"X")</f>
        <v>111</v>
      </c>
      <c r="R9" s="11" t="s">
        <v>1300</v>
      </c>
      <c r="S9" s="74">
        <f>+T9/T14</f>
        <v>0.3584070796460177</v>
      </c>
      <c r="T9" s="17">
        <f>COUNTIF('ENCUESTA CONDUCTORES'!$AX$7:$AX$459,"&lt;2.51")-T8-T7-T6-T5</f>
        <v>162</v>
      </c>
    </row>
    <row r="10" spans="2:20" x14ac:dyDescent="0.25">
      <c r="F10" s="17" t="s">
        <v>454</v>
      </c>
      <c r="G10" s="72">
        <f t="shared" si="1"/>
        <v>0.21633554083885209</v>
      </c>
      <c r="H10" s="17">
        <f>COUNTIF('ENCUESTA CONDUCTORES'!$O$7:$O$459,"&gt;24")</f>
        <v>98</v>
      </c>
      <c r="J10" s="17" t="s">
        <v>429</v>
      </c>
      <c r="K10" s="74">
        <f t="shared" si="2"/>
        <v>1</v>
      </c>
      <c r="L10" s="17">
        <f>SUM(L5:L9)</f>
        <v>453</v>
      </c>
      <c r="N10" s="75" t="s">
        <v>53</v>
      </c>
      <c r="O10" s="74">
        <f t="shared" si="3"/>
        <v>9.7744360902255634E-2</v>
      </c>
      <c r="P10" s="18">
        <f>COUNTIF('ENCUESTA CONDUCTORES'!BO$7:BO$459,"X")</f>
        <v>65</v>
      </c>
      <c r="R10" s="11" t="s">
        <v>1301</v>
      </c>
      <c r="S10" s="74">
        <f>+T10/T14</f>
        <v>0.15707964601769911</v>
      </c>
      <c r="T10" s="17">
        <f>COUNTIF('ENCUESTA CONDUCTORES'!$AX$7:$AX$459,"&lt;3.01")-T9-T8-T7-T6-T5</f>
        <v>71</v>
      </c>
    </row>
    <row r="11" spans="2:20" ht="25.5" x14ac:dyDescent="0.25">
      <c r="B11" s="17" t="s">
        <v>432</v>
      </c>
      <c r="C11" s="18" t="s">
        <v>430</v>
      </c>
      <c r="D11" s="17" t="s">
        <v>431</v>
      </c>
      <c r="N11" s="75" t="s">
        <v>54</v>
      </c>
      <c r="O11" s="74">
        <f t="shared" si="3"/>
        <v>9.7744360902255634E-2</v>
      </c>
      <c r="P11" s="18">
        <f>COUNTIF('ENCUESTA CONDUCTORES'!BP$7:BP$459,"X")</f>
        <v>65</v>
      </c>
      <c r="R11" s="11" t="s">
        <v>1302</v>
      </c>
      <c r="S11" s="74">
        <f>+T11/T14</f>
        <v>8.185840707964602E-2</v>
      </c>
      <c r="T11" s="17">
        <f>COUNTIF('ENCUESTA CONDUCTORES'!$AX$7:$AX$459,"&lt;4.01")-T10-T9-T8-T7-T6-T5</f>
        <v>37</v>
      </c>
    </row>
    <row r="12" spans="2:20" x14ac:dyDescent="0.25">
      <c r="B12" s="17" t="s">
        <v>433</v>
      </c>
      <c r="C12" s="18">
        <f>+COUNTIF('ENCUESTA CONDUCTORES'!$I$7:$I$459,"&lt;25")</f>
        <v>43</v>
      </c>
      <c r="D12" s="73">
        <f>C12/$C$20</f>
        <v>9.4922737306843266E-2</v>
      </c>
      <c r="F12" s="17" t="s">
        <v>456</v>
      </c>
      <c r="I12" s="5"/>
      <c r="J12" s="77" t="s">
        <v>478</v>
      </c>
      <c r="K12" s="18" t="s">
        <v>430</v>
      </c>
      <c r="N12" s="75" t="s">
        <v>55</v>
      </c>
      <c r="O12" s="74">
        <f t="shared" si="3"/>
        <v>3.7593984962406013E-2</v>
      </c>
      <c r="P12" s="18">
        <f>COUNTIF('ENCUESTA CONDUCTORES'!BQ$7:BQ$459,"X")</f>
        <v>25</v>
      </c>
      <c r="R12" s="11" t="s">
        <v>1303</v>
      </c>
      <c r="S12" s="74">
        <f>+T12/T14</f>
        <v>2.6548672566371681E-2</v>
      </c>
      <c r="T12" s="17">
        <f>COUNTIF('ENCUESTA CONDUCTORES'!$AX$7:$AX$459,"&lt;5.01")-T11-T10-T9-T8-T7-T6-T5</f>
        <v>12</v>
      </c>
    </row>
    <row r="13" spans="2:20" x14ac:dyDescent="0.25">
      <c r="B13" s="17" t="s">
        <v>434</v>
      </c>
      <c r="C13" s="18">
        <f>+COUNTIF('ENCUESTA CONDUCTORES'!$I$7:$I$459,"&lt;31")-C12</f>
        <v>72</v>
      </c>
      <c r="D13" s="73">
        <f t="shared" ref="D13:D20" si="4">C13/$C$20</f>
        <v>0.15894039735099338</v>
      </c>
      <c r="F13" s="17" t="s">
        <v>4</v>
      </c>
      <c r="G13" s="17">
        <f>COUNTIF('ENCUESTA CONDUCTORES'!$P$7:$P$459,"X")</f>
        <v>106</v>
      </c>
      <c r="I13" s="5"/>
      <c r="J13" s="16" t="s">
        <v>193</v>
      </c>
      <c r="K13" s="18">
        <f>COUNTIF('ENCUESTA CONDUCTORES'!$AT$7:$AT$459,J13)</f>
        <v>18</v>
      </c>
      <c r="N13" s="75" t="s">
        <v>56</v>
      </c>
      <c r="O13" s="74">
        <f t="shared" si="3"/>
        <v>7.6691729323308269E-2</v>
      </c>
      <c r="P13" s="18">
        <f>COUNTIF('ENCUESTA CONDUCTORES'!BR$7:BR$459,"X")</f>
        <v>51</v>
      </c>
      <c r="R13" s="11" t="s">
        <v>1304</v>
      </c>
      <c r="S13" s="74">
        <f>+T13/T14</f>
        <v>8.8495575221238937E-3</v>
      </c>
      <c r="T13" s="17">
        <f>COUNTIF('ENCUESTA CONDUCTORES'!$AX$7:$AX$459,"&gt;5")</f>
        <v>4</v>
      </c>
    </row>
    <row r="14" spans="2:20" x14ac:dyDescent="0.25">
      <c r="B14" s="17" t="s">
        <v>435</v>
      </c>
      <c r="C14" s="18">
        <f>+COUNTIF('ENCUESTA CONDUCTORES'!$I$7:$I$459,"&lt;36")-C13-C12</f>
        <v>65</v>
      </c>
      <c r="D14" s="73">
        <f t="shared" si="4"/>
        <v>0.14348785871964681</v>
      </c>
      <c r="F14" s="17" t="s">
        <v>5</v>
      </c>
      <c r="G14" s="17">
        <f>COUNTIF('ENCUESTA CONDUCTORES'!$Q$7:$Q$459,"X")</f>
        <v>84</v>
      </c>
      <c r="I14" s="5"/>
      <c r="J14" s="11" t="s">
        <v>285</v>
      </c>
      <c r="K14" s="18">
        <f>COUNTIF('ENCUESTA CONDUCTORES'!$AT$7:$AT$459,J14)</f>
        <v>2</v>
      </c>
      <c r="N14" s="75" t="s">
        <v>498</v>
      </c>
      <c r="O14" s="74">
        <f t="shared" si="3"/>
        <v>0.15789473684210525</v>
      </c>
      <c r="P14" s="18">
        <f>COUNTA('ENCUESTA CONDUCTORES'!BS$7:BS$459,"X")</f>
        <v>105</v>
      </c>
      <c r="R14" s="11" t="s">
        <v>429</v>
      </c>
      <c r="S14" s="78">
        <f>SUM(S5:S13)</f>
        <v>1</v>
      </c>
      <c r="T14" s="17">
        <f>SUM(T5:T13)</f>
        <v>452</v>
      </c>
    </row>
    <row r="15" spans="2:20" x14ac:dyDescent="0.25">
      <c r="B15" s="17" t="s">
        <v>436</v>
      </c>
      <c r="C15" s="18">
        <f>+COUNTIF('ENCUESTA CONDUCTORES'!$I$7:$I$459,"&lt;41")-C14-C13-C12</f>
        <v>81</v>
      </c>
      <c r="D15" s="73">
        <f t="shared" si="4"/>
        <v>0.17880794701986755</v>
      </c>
      <c r="F15" s="17" t="s">
        <v>6</v>
      </c>
      <c r="G15" s="17">
        <f>COUNTIF('ENCUESTA CONDUCTORES'!$R$7:$R$459,"X")</f>
        <v>13</v>
      </c>
      <c r="I15" s="5"/>
      <c r="J15" s="11" t="s">
        <v>407</v>
      </c>
      <c r="K15" s="18">
        <f>COUNTIF('ENCUESTA CONDUCTORES'!$AT$7:$AT$459,J15)</f>
        <v>10</v>
      </c>
      <c r="N15" s="57" t="s">
        <v>429</v>
      </c>
      <c r="O15" s="74">
        <f t="shared" si="3"/>
        <v>1</v>
      </c>
      <c r="P15" s="18">
        <f>SUM(P5:P14)</f>
        <v>665</v>
      </c>
    </row>
    <row r="16" spans="2:20" x14ac:dyDescent="0.25">
      <c r="B16" s="17" t="s">
        <v>437</v>
      </c>
      <c r="C16" s="18">
        <f>+COUNTIF('ENCUESTA CONDUCTORES'!$I$7:$I$459,"&lt;46")-C15-C14-C13-C12</f>
        <v>60</v>
      </c>
      <c r="D16" s="73">
        <f t="shared" si="4"/>
        <v>0.13245033112582782</v>
      </c>
      <c r="F16" s="17" t="s">
        <v>7</v>
      </c>
      <c r="G16" s="17">
        <f>COUNTIF('ENCUESTA CONDUCTORES'!$S$7:$S$459,"X")</f>
        <v>250</v>
      </c>
      <c r="I16" s="5"/>
      <c r="J16" s="11" t="s">
        <v>192</v>
      </c>
      <c r="K16" s="18">
        <f>COUNTIF('ENCUESTA CONDUCTORES'!$AT$7:$AT$459,J16)</f>
        <v>5</v>
      </c>
    </row>
    <row r="17" spans="2:20" x14ac:dyDescent="0.25">
      <c r="B17" s="17" t="s">
        <v>438</v>
      </c>
      <c r="C17" s="18">
        <f>+COUNTIF('ENCUESTA CONDUCTORES'!$I$7:$I$459,"&lt;51")-C15-C14-C13-C12-C16</f>
        <v>52</v>
      </c>
      <c r="D17" s="73">
        <f t="shared" si="4"/>
        <v>0.11479028697571744</v>
      </c>
      <c r="F17" s="17" t="s">
        <v>457</v>
      </c>
      <c r="G17" s="17">
        <f>COUNTIF('ENCUESTA CONDUCTORES'!$T$7:$T$459,"X")</f>
        <v>0</v>
      </c>
      <c r="I17" s="5"/>
      <c r="J17" s="11" t="s">
        <v>322</v>
      </c>
      <c r="K17" s="18">
        <f>COUNTIF('ENCUESTA CONDUCTORES'!$AT$7:$AT$459,J17)</f>
        <v>183</v>
      </c>
      <c r="R17" s="57" t="s">
        <v>1305</v>
      </c>
      <c r="S17" s="18"/>
    </row>
    <row r="18" spans="2:20" x14ac:dyDescent="0.25">
      <c r="B18" s="17" t="s">
        <v>439</v>
      </c>
      <c r="C18" s="18">
        <f>+COUNTIF('ENCUESTA CONDUCTORES'!$I$7:$I$459,"&lt;56")-C16-C15-C14-C13-C17-C12</f>
        <v>45</v>
      </c>
      <c r="D18" s="73">
        <f t="shared" si="4"/>
        <v>9.9337748344370855E-2</v>
      </c>
      <c r="F18" s="17" t="s">
        <v>429</v>
      </c>
      <c r="G18" s="17">
        <f>SUM(G13:G17)</f>
        <v>453</v>
      </c>
      <c r="I18" s="5"/>
      <c r="J18" s="11" t="s">
        <v>266</v>
      </c>
      <c r="K18" s="18">
        <f>COUNTIF('ENCUESTA CONDUCTORES'!$AT$7:$AT$459,J18)</f>
        <v>50</v>
      </c>
      <c r="N18" s="57" t="s">
        <v>501</v>
      </c>
      <c r="R18" s="11" t="s">
        <v>1306</v>
      </c>
      <c r="S18" s="74">
        <f>+T18/T27</f>
        <v>4.8672566371681415E-2</v>
      </c>
      <c r="T18" s="17">
        <f>COUNTIF('ENCUESTA CONDUCTORES'!$AW$7:$AW$459,"&lt;1.9")</f>
        <v>22</v>
      </c>
    </row>
    <row r="19" spans="2:20" x14ac:dyDescent="0.25">
      <c r="B19" s="17" t="s">
        <v>440</v>
      </c>
      <c r="C19" s="18">
        <f>+COUNTIF('ENCUESTA CONDUCTORES'!$I$7:$I$459,"&gt;55")</f>
        <v>35</v>
      </c>
      <c r="D19" s="73">
        <f t="shared" si="4"/>
        <v>7.7262693156732898E-2</v>
      </c>
      <c r="I19" s="5"/>
      <c r="J19" s="11" t="s">
        <v>211</v>
      </c>
      <c r="K19" s="18">
        <f>COUNTIF('ENCUESTA CONDUCTORES'!$AT$7:$AT$459,J19)</f>
        <v>12</v>
      </c>
      <c r="N19" s="75" t="s">
        <v>502</v>
      </c>
      <c r="O19" s="72">
        <f>P19/$P$23</f>
        <v>3.3185840707964605E-2</v>
      </c>
      <c r="P19" s="18">
        <f>COUNTIF('ENCUESTA CONDUCTORES'!$BT$7:$BT$459,"X")</f>
        <v>15</v>
      </c>
      <c r="R19" s="11" t="s">
        <v>1307</v>
      </c>
      <c r="S19" s="74">
        <f>+T19/T27</f>
        <v>0.13716814159292035</v>
      </c>
      <c r="T19" s="17">
        <f>COUNTIF('ENCUESTA CONDUCTORES'!$AW$7:$AW$459,"&lt;2.21")-T18</f>
        <v>62</v>
      </c>
    </row>
    <row r="20" spans="2:20" x14ac:dyDescent="0.25">
      <c r="B20" s="17" t="s">
        <v>429</v>
      </c>
      <c r="C20" s="18">
        <f>SUM(C12:C19)</f>
        <v>453</v>
      </c>
      <c r="D20" s="79">
        <f t="shared" si="4"/>
        <v>1</v>
      </c>
      <c r="F20" s="17" t="s">
        <v>459</v>
      </c>
      <c r="G20" s="17">
        <f>SUM(G21:G30)</f>
        <v>337</v>
      </c>
      <c r="I20" s="5"/>
      <c r="J20" s="11" t="s">
        <v>233</v>
      </c>
      <c r="K20" s="18">
        <f>COUNTIF('ENCUESTA CONDUCTORES'!$AT$7:$AT$459,J20)</f>
        <v>14</v>
      </c>
      <c r="N20" s="75" t="s">
        <v>59</v>
      </c>
      <c r="O20" s="72">
        <f t="shared" ref="O20:O23" si="5">P20/$P$23</f>
        <v>0.51106194690265483</v>
      </c>
      <c r="P20" s="18">
        <f>COUNTIF('ENCUESTA CONDUCTORES'!$BU$7:$BU$459,"X")</f>
        <v>231</v>
      </c>
      <c r="R20" s="17" t="s">
        <v>1308</v>
      </c>
      <c r="S20" s="74">
        <f>+T20/T27</f>
        <v>4.4247787610619468E-2</v>
      </c>
      <c r="T20" s="17">
        <f>COUNTIF('ENCUESTA CONDUCTORES'!$AW$7:$AW$459,"&lt;2.41")-T19-T18</f>
        <v>20</v>
      </c>
    </row>
    <row r="21" spans="2:20" x14ac:dyDescent="0.25">
      <c r="F21" s="80" t="s">
        <v>10</v>
      </c>
      <c r="G21" s="17">
        <f>COUNTIF('ENCUESTA CONDUCTORES'!$U$7:$U$459,"X")</f>
        <v>243</v>
      </c>
      <c r="I21" s="5"/>
      <c r="J21" s="11" t="s">
        <v>1316</v>
      </c>
      <c r="K21" s="18">
        <f>COUNTIF('ENCUESTA CONDUCTORES'!$AT$7:$AT$459,J21)</f>
        <v>20</v>
      </c>
      <c r="N21" s="75" t="s">
        <v>60</v>
      </c>
      <c r="O21" s="72">
        <f t="shared" si="5"/>
        <v>0.4247787610619469</v>
      </c>
      <c r="P21" s="18">
        <f>COUNTIF('ENCUESTA CONDUCTORES'!$BV$7:$BV$459,"X")</f>
        <v>192</v>
      </c>
      <c r="R21" s="11" t="s">
        <v>1334</v>
      </c>
      <c r="S21" s="74">
        <f>+T21/T27</f>
        <v>9.7345132743362831E-2</v>
      </c>
      <c r="T21" s="17">
        <f>COUNTIF('ENCUESTA CONDUCTORES'!$AW$7:$AW$459,"&lt;2.61")-T20-T19-T18</f>
        <v>44</v>
      </c>
    </row>
    <row r="22" spans="2:20" ht="25.5" x14ac:dyDescent="0.25">
      <c r="B22" s="17" t="s">
        <v>441</v>
      </c>
      <c r="F22" s="81" t="s">
        <v>11</v>
      </c>
      <c r="G22" s="17">
        <f>COUNTIF('ENCUESTA CONDUCTORES'!$V$7:$V$459,"X")</f>
        <v>19</v>
      </c>
      <c r="I22" s="5"/>
      <c r="J22" s="11" t="s">
        <v>1290</v>
      </c>
      <c r="K22" s="18">
        <f>COUNTIF('ENCUESTA CONDUCTORES'!$AT$7:$AT$459,J22)</f>
        <v>1</v>
      </c>
      <c r="N22" s="75" t="s">
        <v>1174</v>
      </c>
      <c r="O22" s="72">
        <f t="shared" si="5"/>
        <v>3.0973451327433628E-2</v>
      </c>
      <c r="P22" s="18">
        <f>COUNTIF('ENCUESTA CONDUCTORES'!$BW$7:$BW$459,"X")</f>
        <v>14</v>
      </c>
      <c r="R22" s="11" t="s">
        <v>1309</v>
      </c>
      <c r="S22" s="74">
        <f>+T22/T27</f>
        <v>0.30309734513274339</v>
      </c>
      <c r="T22" s="17">
        <f>COUNTIF('ENCUESTA CONDUCTORES'!$AW$7:$AW$459,"&lt;2.81")-T21-T20-T19-T18</f>
        <v>137</v>
      </c>
    </row>
    <row r="23" spans="2:20" x14ac:dyDescent="0.25">
      <c r="B23" s="17" t="s">
        <v>442</v>
      </c>
      <c r="C23" s="82">
        <f>+D23/$D$25</f>
        <v>0</v>
      </c>
      <c r="D23" s="18">
        <f>COUNTIF('ENCUESTA CONDUCTORES'!$J$7:$J$459,"F")</f>
        <v>0</v>
      </c>
      <c r="F23" s="80" t="s">
        <v>12</v>
      </c>
      <c r="G23" s="17">
        <f>COUNTIF('ENCUESTA CONDUCTORES'!$W$7:$W$459,"X")</f>
        <v>6</v>
      </c>
      <c r="I23" s="5"/>
      <c r="J23" s="11" t="s">
        <v>198</v>
      </c>
      <c r="K23" s="18">
        <f>COUNTIF('ENCUESTA CONDUCTORES'!$AT$7:$AT$459,J23)</f>
        <v>41</v>
      </c>
      <c r="N23" s="57" t="s">
        <v>429</v>
      </c>
      <c r="O23" s="72">
        <f t="shared" si="5"/>
        <v>1</v>
      </c>
      <c r="P23" s="18">
        <f>SUM(P19:P22)</f>
        <v>452</v>
      </c>
      <c r="R23" s="11" t="s">
        <v>1310</v>
      </c>
      <c r="S23" s="74">
        <f>+T23/T27</f>
        <v>0.18805309734513273</v>
      </c>
      <c r="T23" s="17">
        <f>COUNTIF('ENCUESTA CONDUCTORES'!$AW$7:$AW$459,"&lt;3.21")-T22-T21-T20-T19-T18</f>
        <v>85</v>
      </c>
    </row>
    <row r="24" spans="2:20" x14ac:dyDescent="0.25">
      <c r="B24" s="57" t="s">
        <v>443</v>
      </c>
      <c r="C24" s="82">
        <f>+D24/$D$25</f>
        <v>1</v>
      </c>
      <c r="D24" s="18">
        <f>COUNTIF('ENCUESTA CONDUCTORES'!$J$7:$J$459,"M")</f>
        <v>453</v>
      </c>
      <c r="F24" s="81" t="s">
        <v>13</v>
      </c>
      <c r="G24" s="17">
        <f>COUNTIF('ENCUESTA CONDUCTORES'!$X$7:$X$459,"X")</f>
        <v>27</v>
      </c>
      <c r="I24" s="5"/>
      <c r="J24" s="11" t="s">
        <v>401</v>
      </c>
      <c r="K24" s="18">
        <f>COUNTIF('ENCUESTA CONDUCTORES'!$AT$7:$AT$459,J24)</f>
        <v>2</v>
      </c>
      <c r="R24" s="11" t="s">
        <v>1311</v>
      </c>
      <c r="S24" s="74">
        <f>+T24/T27</f>
        <v>0.12831858407079647</v>
      </c>
      <c r="T24" s="17">
        <f>COUNTIF('ENCUESTA CONDUCTORES'!$AW$7:$AW$459,"&lt;4.01")-T23-T22-T21-T20-T19-T18</f>
        <v>58</v>
      </c>
    </row>
    <row r="25" spans="2:20" x14ac:dyDescent="0.25">
      <c r="B25" s="57" t="s">
        <v>429</v>
      </c>
      <c r="C25" s="82">
        <f>+D25/$D$25</f>
        <v>1</v>
      </c>
      <c r="D25" s="18">
        <f>D24+D23</f>
        <v>453</v>
      </c>
      <c r="F25" s="80" t="s">
        <v>14</v>
      </c>
      <c r="G25" s="17">
        <f>COUNTIF('ENCUESTA CONDUCTORES'!$Y$7:$Y$459,"X")</f>
        <v>41</v>
      </c>
      <c r="I25" s="5"/>
      <c r="J25" s="11" t="s">
        <v>390</v>
      </c>
      <c r="K25" s="18">
        <f>COUNTIF('ENCUESTA CONDUCTORES'!$AT$7:$AT$459,J25)</f>
        <v>51</v>
      </c>
      <c r="R25" s="11" t="s">
        <v>1312</v>
      </c>
      <c r="S25" s="74">
        <f>+T25/T27</f>
        <v>4.6460176991150445E-2</v>
      </c>
      <c r="T25" s="17">
        <f>COUNTIF('ENCUESTA CONDUCTORES'!$AW$7:$AW$459,"&lt;6.01")-T24-T23-T22-T21-T20-T19-T18</f>
        <v>21</v>
      </c>
    </row>
    <row r="26" spans="2:20" x14ac:dyDescent="0.25">
      <c r="B26" s="18"/>
      <c r="F26" s="80" t="s">
        <v>1171</v>
      </c>
      <c r="G26" s="17">
        <f>COUNTIF('ENCUESTA CONDUCTORES'!$AG$7:$AG$459,"PLATAFORMA")</f>
        <v>0</v>
      </c>
      <c r="I26" s="5"/>
      <c r="J26" s="11" t="s">
        <v>860</v>
      </c>
      <c r="K26" s="18">
        <f>COUNTIF('ENCUESTA CONDUCTORES'!$AT$7:$AT$459,J26)</f>
        <v>4</v>
      </c>
      <c r="R26" s="11" t="s">
        <v>1335</v>
      </c>
      <c r="S26" s="74">
        <f>+T26/T27</f>
        <v>6.6371681415929203E-3</v>
      </c>
      <c r="T26" s="17">
        <f>COUNTIF('ENCUESTA CONDUCTORES'!$AW$7:$AW$459,"&gt;6.0")</f>
        <v>3</v>
      </c>
    </row>
    <row r="27" spans="2:20" x14ac:dyDescent="0.25">
      <c r="B27" s="57" t="s">
        <v>444</v>
      </c>
      <c r="F27" s="80" t="s">
        <v>1172</v>
      </c>
      <c r="G27" s="17">
        <f>COUNTIF('ENCUESTA CONDUCTORES'!$AG$7:$AG$459,"VOLTEO")</f>
        <v>0</v>
      </c>
      <c r="I27" s="5"/>
      <c r="J27" s="11" t="s">
        <v>237</v>
      </c>
      <c r="K27" s="18">
        <f>COUNTIF('ENCUESTA CONDUCTORES'!$AT$7:$AT$459,J27)</f>
        <v>22</v>
      </c>
      <c r="N27" s="57" t="s">
        <v>503</v>
      </c>
      <c r="R27" s="11" t="s">
        <v>429</v>
      </c>
      <c r="S27" s="78">
        <f>SUM(S18:S26)</f>
        <v>0.99999999999999989</v>
      </c>
      <c r="T27" s="17">
        <f>SUM(T18:T26)</f>
        <v>452</v>
      </c>
    </row>
    <row r="28" spans="2:20" x14ac:dyDescent="0.25">
      <c r="B28" s="57" t="s">
        <v>445</v>
      </c>
      <c r="C28" s="74">
        <f>+D28/$D$35</f>
        <v>4.6357615894039736E-2</v>
      </c>
      <c r="D28" s="18">
        <f>COUNTIF('ENCUESTA CONDUCTORES'!$K$7:$K$459,"SIN ESTUDIOS")</f>
        <v>21</v>
      </c>
      <c r="F28" s="80" t="s">
        <v>1173</v>
      </c>
      <c r="G28" s="17">
        <f>COUNTIF('ENCUESTA CONDUCTORES'!$AG$7:$AG$459,"REDILAS")</f>
        <v>0</v>
      </c>
      <c r="I28" s="5"/>
      <c r="J28" s="11" t="s">
        <v>229</v>
      </c>
      <c r="K28" s="18">
        <f>COUNTIF('ENCUESTA CONDUCTORES'!$AT$7:$AT$459,J28)</f>
        <v>6</v>
      </c>
    </row>
    <row r="29" spans="2:20" x14ac:dyDescent="0.25">
      <c r="B29" s="57" t="s">
        <v>196</v>
      </c>
      <c r="C29" s="74">
        <f t="shared" ref="C29:C35" si="6">+D29/$D$35</f>
        <v>0.24061810154525387</v>
      </c>
      <c r="D29" s="18">
        <f>COUNTIF('ENCUESTA CONDUCTORES'!$K$7:$K$459,"PRIMARIA")</f>
        <v>109</v>
      </c>
      <c r="F29" s="81" t="s">
        <v>15</v>
      </c>
      <c r="G29" s="17">
        <f>COUNTIF('ENCUESTA CONDUCTORES'!$Z$7:$Z$459,"X")</f>
        <v>0</v>
      </c>
      <c r="I29" s="5"/>
      <c r="J29" s="11" t="s">
        <v>249</v>
      </c>
      <c r="K29" s="18">
        <f>COUNTIF('ENCUESTA CONDUCTORES'!$AT$7:$AT$459,J29)</f>
        <v>4</v>
      </c>
      <c r="O29" s="18" t="s">
        <v>264</v>
      </c>
      <c r="P29" s="18" t="s">
        <v>504</v>
      </c>
      <c r="Q29" s="17" t="s">
        <v>505</v>
      </c>
      <c r="R29" s="17" t="s">
        <v>208</v>
      </c>
      <c r="S29" s="17" t="s">
        <v>412</v>
      </c>
    </row>
    <row r="30" spans="2:20" x14ac:dyDescent="0.25">
      <c r="B30" s="57" t="s">
        <v>190</v>
      </c>
      <c r="C30" s="74">
        <f t="shared" si="6"/>
        <v>0.48123620309050774</v>
      </c>
      <c r="D30" s="18">
        <f>COUNTIF('ENCUESTA CONDUCTORES'!$K$7:$K$459,"SECUNDARIA")</f>
        <v>218</v>
      </c>
      <c r="F30" s="81" t="s">
        <v>460</v>
      </c>
      <c r="G30" s="17">
        <f>COUNTA('ENCUESTA CONDUCTORES'!$AG$7:$AG$459)-COUNTIF('ENCUESTA CONDUCTORES'!$AG$7:$AG$459,"REDILAS")-COUNTIF('ENCUESTA CONDUCTORES'!$AG$7:$AG$459,"PLATAFORMA")-COUNTIF('ENCUESTA CONDUCTORES'!$AG$7:$AG$459,"VOLTEO")</f>
        <v>1</v>
      </c>
      <c r="I30" s="5"/>
      <c r="J30" s="11" t="s">
        <v>289</v>
      </c>
      <c r="K30" s="18">
        <f>COUNTIF('ENCUESTA CONDUCTORES'!$AT$7:$AT$459,J30)</f>
        <v>3</v>
      </c>
      <c r="M30" s="17">
        <v>1</v>
      </c>
      <c r="N30" s="57" t="s">
        <v>506</v>
      </c>
      <c r="O30" s="18">
        <f>COUNTIF('ENCUESTA CONDUCTORES'!BX$7:BX$459,M30)</f>
        <v>258</v>
      </c>
      <c r="P30" s="18">
        <f>COUNTIF('ENCUESTA CONDUCTORES'!BY$7:BY$459,M30)</f>
        <v>49</v>
      </c>
      <c r="Q30" s="18">
        <f>COUNTIF('ENCUESTA CONDUCTORES'!BZ$7:BZ$459,M30)</f>
        <v>96</v>
      </c>
      <c r="R30" s="18">
        <f>COUNTIF('ENCUESTA CONDUCTORES'!CA$7:CA$459,"SEGURIDAD")</f>
        <v>40</v>
      </c>
      <c r="S30" s="18">
        <f>COUNTIF('ENCUESTA CONDUCTORES'!CA$7:CA$459,"LUGAR DONDE SE ENCUENTRA")</f>
        <v>1</v>
      </c>
    </row>
    <row r="31" spans="2:20" ht="30" x14ac:dyDescent="0.25">
      <c r="B31" s="83" t="s">
        <v>448</v>
      </c>
      <c r="C31" s="74">
        <f t="shared" si="6"/>
        <v>0.20971302428256069</v>
      </c>
      <c r="D31" s="18">
        <f>COUNTIF('ENCUESTA CONDUCTORES'!$K$7:$K$459,"PREPARATORIA")+COUNTIF('ENCUESTA CONDUCTORES'!$K$7:$K$459,"BACHILLERATO")</f>
        <v>95</v>
      </c>
      <c r="I31" s="5"/>
      <c r="J31" s="11" t="s">
        <v>328</v>
      </c>
      <c r="K31" s="18">
        <f>COUNTIF('ENCUESTA CONDUCTORES'!$AT$7:$AT$459,J31)</f>
        <v>5</v>
      </c>
      <c r="M31" s="17">
        <v>2</v>
      </c>
      <c r="N31" s="57" t="s">
        <v>507</v>
      </c>
      <c r="O31" s="18">
        <f>COUNTIF('ENCUESTA CONDUCTORES'!BX$7:BX$459,M31)</f>
        <v>127</v>
      </c>
      <c r="P31" s="18">
        <f>COUNTIF('ENCUESTA CONDUCTORES'!BY$7:BY$459,M31)</f>
        <v>115</v>
      </c>
      <c r="Q31" s="18">
        <f>COUNTIF('ENCUESTA CONDUCTORES'!BZ$7:BZ$459,M31)</f>
        <v>206</v>
      </c>
      <c r="R31" s="18"/>
      <c r="S31" s="18"/>
    </row>
    <row r="32" spans="2:20" x14ac:dyDescent="0.25">
      <c r="B32" s="57" t="s">
        <v>240</v>
      </c>
      <c r="C32" s="74">
        <f t="shared" si="6"/>
        <v>1.3245033112582781E-2</v>
      </c>
      <c r="D32" s="18">
        <f>COUNTIF('ENCUESTA CONDUCTORES'!$K$7:$K$459,"LICENCIATURA")</f>
        <v>6</v>
      </c>
      <c r="F32" s="17" t="s">
        <v>461</v>
      </c>
      <c r="H32" s="17">
        <f>SUM(G33:G78)</f>
        <v>453</v>
      </c>
      <c r="I32" s="5"/>
      <c r="J32" s="17" t="s">
        <v>429</v>
      </c>
      <c r="K32" s="18">
        <f>SUM(K13:K31)</f>
        <v>453</v>
      </c>
      <c r="M32" s="17">
        <v>3</v>
      </c>
      <c r="N32" s="57" t="s">
        <v>508</v>
      </c>
      <c r="O32" s="18">
        <f>COUNTIF('ENCUESTA CONDUCTORES'!BX$7:BX$459,M32)</f>
        <v>63</v>
      </c>
      <c r="P32" s="18">
        <f>COUNTIF('ENCUESTA CONDUCTORES'!BY$7:BY$459,M32)</f>
        <v>250</v>
      </c>
      <c r="Q32" s="18">
        <f>COUNTIF('ENCUESTA CONDUCTORES'!BZ$7:BZ$459,M32)</f>
        <v>135</v>
      </c>
    </row>
    <row r="33" spans="1:17" x14ac:dyDescent="0.25">
      <c r="B33" s="57" t="s">
        <v>446</v>
      </c>
      <c r="C33" s="74">
        <f t="shared" si="6"/>
        <v>0</v>
      </c>
      <c r="D33" s="18">
        <f>COUNTIF('ENCUESTA CONDUCTORES'!$K$7:$K$459,"POSGRADO")</f>
        <v>0</v>
      </c>
      <c r="F33" s="18">
        <v>1969</v>
      </c>
      <c r="G33" s="18">
        <f>COUNTIF('ENCUESTA CONDUCTORES'!$AH$7:$AH$459,F33)</f>
        <v>0</v>
      </c>
      <c r="H33" s="78">
        <f>(SUM(G39:G57)/H32)</f>
        <v>0.18322295805739514</v>
      </c>
      <c r="I33" s="5"/>
      <c r="M33" s="17">
        <v>4</v>
      </c>
      <c r="N33" s="57" t="s">
        <v>509</v>
      </c>
      <c r="O33" s="18">
        <f>COUNTIF('ENCUESTA CONDUCTORES'!BX$7:BX$459,M33)</f>
        <v>0</v>
      </c>
      <c r="P33" s="18">
        <f>COUNTIF('ENCUESTA CONDUCTORES'!BY$7:BY$459,M33)</f>
        <v>34</v>
      </c>
      <c r="Q33" s="18">
        <f>COUNTIF('ENCUESTA CONDUCTORES'!BZ$7:BZ$459,M33)</f>
        <v>11</v>
      </c>
    </row>
    <row r="34" spans="1:17" x14ac:dyDescent="0.25">
      <c r="B34" s="57" t="s">
        <v>447</v>
      </c>
      <c r="C34" s="74">
        <f t="shared" si="6"/>
        <v>8.8300220750551876E-3</v>
      </c>
      <c r="D34" s="18">
        <f>COUNTIF('ENCUESTA CONDUCTORES'!$K$7:$K$459,"OTROS")+COUNTIF('ENCUESTA CONDUCTORES'!$K$7:$K$459,"MAESTRO")</f>
        <v>4</v>
      </c>
      <c r="F34" s="18">
        <v>1970</v>
      </c>
      <c r="G34" s="18">
        <f>COUNTIF('ENCUESTA CONDUCTORES'!$AH$7:$AH$459,F34)</f>
        <v>0</v>
      </c>
      <c r="I34" s="5"/>
    </row>
    <row r="35" spans="1:17" x14ac:dyDescent="0.25">
      <c r="B35" s="57" t="s">
        <v>429</v>
      </c>
      <c r="C35" s="74">
        <f t="shared" si="6"/>
        <v>1</v>
      </c>
      <c r="D35" s="18">
        <f>SUM(D28:D34)</f>
        <v>453</v>
      </c>
      <c r="F35" s="18">
        <v>1971</v>
      </c>
      <c r="G35" s="18">
        <f>COUNTIF('ENCUESTA CONDUCTORES'!$AH$7:$AH$459,F35)</f>
        <v>0</v>
      </c>
      <c r="I35" s="5"/>
    </row>
    <row r="36" spans="1:17" x14ac:dyDescent="0.25">
      <c r="B36" s="57"/>
      <c r="F36" s="18">
        <v>1972</v>
      </c>
      <c r="G36" s="18">
        <f>COUNTIF('ENCUESTA CONDUCTORES'!$AH$7:$AH$459,F36)</f>
        <v>0</v>
      </c>
      <c r="I36" s="5"/>
      <c r="N36" s="57" t="s">
        <v>548</v>
      </c>
    </row>
    <row r="37" spans="1:17" ht="25.5" x14ac:dyDescent="0.25">
      <c r="B37" s="57"/>
      <c r="F37" s="18">
        <v>1973</v>
      </c>
      <c r="G37" s="18">
        <f>COUNTIF('ENCUESTA CONDUCTORES'!$AH$7:$AH$459,F37)</f>
        <v>1</v>
      </c>
      <c r="I37" s="5"/>
      <c r="N37" s="75" t="s">
        <v>1313</v>
      </c>
      <c r="O37" s="18">
        <f>COUNTIF('ENCUESTA CONDUCTORES'!BB7:BB459,"X")</f>
        <v>277</v>
      </c>
      <c r="Q37" s="75"/>
    </row>
    <row r="38" spans="1:17" ht="25.5" x14ac:dyDescent="0.25">
      <c r="B38" s="57" t="s">
        <v>1165</v>
      </c>
      <c r="C38" s="18" t="s">
        <v>430</v>
      </c>
      <c r="D38" s="18">
        <f>SUM(C39:C142)</f>
        <v>453</v>
      </c>
      <c r="F38" s="18">
        <v>1974</v>
      </c>
      <c r="G38" s="18">
        <f>COUNTIF('ENCUESTA CONDUCTORES'!$AH$7:$AH$459,F38)</f>
        <v>0</v>
      </c>
      <c r="I38" s="5"/>
      <c r="J38" s="17" t="s">
        <v>479</v>
      </c>
      <c r="N38" s="75" t="s">
        <v>1314</v>
      </c>
      <c r="Q38" s="75"/>
    </row>
    <row r="39" spans="1:17" ht="25.5" x14ac:dyDescent="0.25">
      <c r="A39" s="5"/>
      <c r="B39" s="11" t="s">
        <v>1085</v>
      </c>
      <c r="C39" s="18">
        <v>149</v>
      </c>
      <c r="F39" s="5">
        <v>1975</v>
      </c>
      <c r="G39" s="18">
        <f>COUNTIF('ENCUESTA CONDUCTORES'!$AH$7:$AH$459,F39)</f>
        <v>1</v>
      </c>
      <c r="I39" s="5"/>
      <c r="J39" s="17" t="s">
        <v>480</v>
      </c>
      <c r="K39" s="74">
        <f t="shared" ref="K39:K54" si="7">L39/$L$54</f>
        <v>0.10154525386313466</v>
      </c>
      <c r="L39" s="17">
        <f>COUNTIF('ENCUESTA CONDUCTORES'!$AU$7:$AU$459,"&lt;2501")</f>
        <v>46</v>
      </c>
      <c r="N39" s="75" t="s">
        <v>67</v>
      </c>
      <c r="O39" s="18">
        <f>COUNTIF('ENCUESTA CONDUCTORES'!CD$7:CD$459,"X")</f>
        <v>17</v>
      </c>
      <c r="Q39" s="75"/>
    </row>
    <row r="40" spans="1:17" x14ac:dyDescent="0.25">
      <c r="A40" s="5"/>
      <c r="B40" s="11" t="s">
        <v>1084</v>
      </c>
      <c r="C40" s="18">
        <v>75</v>
      </c>
      <c r="F40" s="5">
        <v>1976</v>
      </c>
      <c r="G40" s="18">
        <f>COUNTIF('ENCUESTA CONDUCTORES'!$AH$7:$AH$459,F40)</f>
        <v>3</v>
      </c>
      <c r="I40" s="5"/>
      <c r="J40" s="17" t="s">
        <v>481</v>
      </c>
      <c r="K40" s="74">
        <f t="shared" si="7"/>
        <v>4.6357615894039736E-2</v>
      </c>
      <c r="L40" s="84">
        <f>COUNTIF('ENCUESTA CONDUCTORES'!$AU$7:$AU$459,"&lt;3001")-L39</f>
        <v>21</v>
      </c>
      <c r="N40" s="75" t="s">
        <v>68</v>
      </c>
      <c r="O40" s="18">
        <f>COUNTIF('ENCUESTA CONDUCTORES'!CE$7:CE$459,"X")</f>
        <v>58</v>
      </c>
      <c r="Q40" s="75"/>
    </row>
    <row r="41" spans="1:17" ht="25.5" x14ac:dyDescent="0.25">
      <c r="A41" s="5"/>
      <c r="B41" s="11" t="s">
        <v>1089</v>
      </c>
      <c r="C41" s="18">
        <v>49</v>
      </c>
      <c r="F41" s="5">
        <v>1977</v>
      </c>
      <c r="G41" s="18">
        <f>COUNTIF('ENCUESTA CONDUCTORES'!$AH$7:$AH$459,F41)</f>
        <v>1</v>
      </c>
      <c r="I41" s="5"/>
      <c r="J41" s="17" t="s">
        <v>482</v>
      </c>
      <c r="K41" s="74">
        <f t="shared" si="7"/>
        <v>1.9867549668874173E-2</v>
      </c>
      <c r="L41" s="84">
        <f>COUNTIF('ENCUESTA CONDUCTORES'!$AU$7:$AU$459,"&lt;3501")-L40-L39</f>
        <v>9</v>
      </c>
      <c r="N41" s="75" t="s">
        <v>70</v>
      </c>
      <c r="O41" s="18">
        <f>COUNTIF('ENCUESTA CONDUCTORES'!CG$7:CG$459,"X")</f>
        <v>73</v>
      </c>
      <c r="Q41" s="75"/>
    </row>
    <row r="42" spans="1:17" x14ac:dyDescent="0.25">
      <c r="A42" s="5"/>
      <c r="B42" s="11" t="s">
        <v>1130</v>
      </c>
      <c r="C42" s="18">
        <v>22</v>
      </c>
      <c r="F42" s="5">
        <v>1978</v>
      </c>
      <c r="G42" s="18">
        <f>COUNTIF('ENCUESTA CONDUCTORES'!$AH$7:$AH$459,F42)</f>
        <v>2</v>
      </c>
      <c r="I42" s="5"/>
      <c r="J42" s="17" t="s">
        <v>483</v>
      </c>
      <c r="K42" s="74">
        <f t="shared" si="7"/>
        <v>6.6225165562913912E-2</v>
      </c>
      <c r="L42" s="84">
        <f>COUNTIF('ENCUESTA CONDUCTORES'!$AU$7:$AU$459,"&lt;4001")-L41-L40-L39</f>
        <v>30</v>
      </c>
      <c r="N42" s="75" t="s">
        <v>71</v>
      </c>
      <c r="O42" s="18">
        <f>COUNTIF('ENCUESTA CONDUCTORES'!CH$7:CH$459,"X")</f>
        <v>116</v>
      </c>
      <c r="Q42" s="75"/>
    </row>
    <row r="43" spans="1:17" ht="25.5" x14ac:dyDescent="0.25">
      <c r="A43" s="5"/>
      <c r="B43" s="85" t="s">
        <v>1066</v>
      </c>
      <c r="C43" s="18">
        <v>19</v>
      </c>
      <c r="F43" s="5">
        <v>1979</v>
      </c>
      <c r="G43" s="18">
        <f>COUNTIF('ENCUESTA CONDUCTORES'!$AH$7:$AH$459,F43)</f>
        <v>5</v>
      </c>
      <c r="I43" s="5"/>
      <c r="J43" s="17" t="s">
        <v>484</v>
      </c>
      <c r="K43" s="74">
        <f t="shared" si="7"/>
        <v>1.3245033112582781E-2</v>
      </c>
      <c r="L43" s="84">
        <f>COUNTIF('ENCUESTA CONDUCTORES'!$AU$7:$AU$459,"&lt;4501")-L42-L41-L40-L39</f>
        <v>6</v>
      </c>
      <c r="N43" s="75" t="s">
        <v>69</v>
      </c>
      <c r="O43" s="18">
        <f>COUNTIF('ENCUESTA CONDUCTORES'!CF$7:CF$459,"X")</f>
        <v>12</v>
      </c>
      <c r="Q43" s="75"/>
    </row>
    <row r="44" spans="1:17" x14ac:dyDescent="0.25">
      <c r="A44" s="5"/>
      <c r="B44" s="11" t="s">
        <v>1005</v>
      </c>
      <c r="C44" s="18">
        <v>18</v>
      </c>
      <c r="F44" s="5">
        <v>1980</v>
      </c>
      <c r="G44" s="18">
        <f>COUNTIF('ENCUESTA CONDUCTORES'!$AH$7:$AH$459,F44)</f>
        <v>7</v>
      </c>
      <c r="I44" s="5"/>
      <c r="J44" s="17" t="s">
        <v>485</v>
      </c>
      <c r="K44" s="74">
        <f t="shared" si="7"/>
        <v>6.4017660044150104E-2</v>
      </c>
      <c r="L44" s="84">
        <f>COUNTIF('ENCUESTA CONDUCTORES'!$AU$7:$AU$459,"&lt;5001")-L43-L42-L41-L40-L39</f>
        <v>29</v>
      </c>
      <c r="N44" s="75" t="s">
        <v>72</v>
      </c>
      <c r="O44" s="18">
        <f>COUNTIF('ENCUESTA CONDUCTORES'!CI$7:CI$459,"X")</f>
        <v>116</v>
      </c>
      <c r="Q44" s="75"/>
    </row>
    <row r="45" spans="1:17" ht="25.5" x14ac:dyDescent="0.25">
      <c r="A45" s="5"/>
      <c r="B45" s="11" t="s">
        <v>1106</v>
      </c>
      <c r="C45" s="18">
        <v>16</v>
      </c>
      <c r="F45" s="5">
        <v>1981</v>
      </c>
      <c r="G45" s="18">
        <f>COUNTIF('ENCUESTA CONDUCTORES'!$AH$7:$AH$459,F45)</f>
        <v>3</v>
      </c>
      <c r="I45" s="5"/>
      <c r="J45" s="17" t="s">
        <v>486</v>
      </c>
      <c r="K45" s="74">
        <f t="shared" si="7"/>
        <v>8.6092715231788075E-2</v>
      </c>
      <c r="L45" s="84">
        <f>COUNTIF('ENCUESTA CONDUCTORES'!$AU$7:$AU$459,"&lt;6001")-L44-L43-L42-L41-L40-L39</f>
        <v>39</v>
      </c>
      <c r="N45" s="75" t="s">
        <v>125</v>
      </c>
      <c r="O45" s="18">
        <f>COUNTIF('ENCUESTA CONDUCTORES'!BC7:BC459,"X")</f>
        <v>274</v>
      </c>
      <c r="Q45" s="75"/>
    </row>
    <row r="46" spans="1:17" ht="25.5" x14ac:dyDescent="0.25">
      <c r="A46" s="5"/>
      <c r="B46" s="11" t="s">
        <v>1006</v>
      </c>
      <c r="C46" s="18">
        <v>15</v>
      </c>
      <c r="F46" s="5">
        <v>1982</v>
      </c>
      <c r="G46" s="18">
        <f>COUNTIF('ENCUESTA CONDUCTORES'!$AH$7:$AH$459,F46)</f>
        <v>4</v>
      </c>
      <c r="I46" s="5"/>
      <c r="J46" s="17" t="s">
        <v>487</v>
      </c>
      <c r="K46" s="74">
        <f t="shared" si="7"/>
        <v>6.6225165562913912E-2</v>
      </c>
      <c r="L46" s="84">
        <f>COUNTIF('ENCUESTA CONDUCTORES'!$AU$7:$AU$459,"&lt;7001")-L45-L44-L43-L42-L41-L40-L39</f>
        <v>30</v>
      </c>
      <c r="N46" s="75" t="s">
        <v>1315</v>
      </c>
      <c r="O46" s="18">
        <f>COUNTIF('ENCUESTA CONDUCTORES'!BD7:BD459,"X")</f>
        <v>55</v>
      </c>
      <c r="Q46" s="75"/>
    </row>
    <row r="47" spans="1:17" x14ac:dyDescent="0.25">
      <c r="A47" s="5"/>
      <c r="B47" s="11" t="s">
        <v>1133</v>
      </c>
      <c r="C47" s="18">
        <v>12</v>
      </c>
      <c r="F47" s="5">
        <v>1983</v>
      </c>
      <c r="G47" s="18">
        <f>COUNTIF('ENCUESTA CONDUCTORES'!$AH$7:$AH$459,F47)</f>
        <v>2</v>
      </c>
      <c r="I47" s="5"/>
      <c r="J47" s="17" t="s">
        <v>488</v>
      </c>
      <c r="K47" s="74">
        <f t="shared" si="7"/>
        <v>0.141280353200883</v>
      </c>
      <c r="L47" s="84">
        <f>COUNTIF('ENCUESTA CONDUCTORES'!$AU$7:$AU$459,"&lt;8001")-L46-L45-L44-L43-L42-L41-L40-L39</f>
        <v>64</v>
      </c>
      <c r="N47" s="75" t="s">
        <v>549</v>
      </c>
      <c r="O47" s="18">
        <f>COUNTIF('ENCUESTA CONDUCTORES'!CB$7:CB$459,"X")</f>
        <v>295</v>
      </c>
      <c r="Q47" s="86"/>
    </row>
    <row r="48" spans="1:17" x14ac:dyDescent="0.25">
      <c r="A48" s="5"/>
      <c r="B48" s="11" t="s">
        <v>1090</v>
      </c>
      <c r="C48" s="18">
        <v>11</v>
      </c>
      <c r="F48" s="5">
        <v>1984</v>
      </c>
      <c r="G48" s="18">
        <f>COUNTIF('ENCUESTA CONDUCTORES'!$AH$7:$AH$459,F48)</f>
        <v>3</v>
      </c>
      <c r="I48" s="5"/>
      <c r="J48" s="17" t="s">
        <v>489</v>
      </c>
      <c r="K48" s="74">
        <f t="shared" si="7"/>
        <v>7.9470198675496692E-2</v>
      </c>
      <c r="L48" s="84">
        <f>COUNTIF('ENCUESTA CONDUCTORES'!$AU$7:$AU$459,"&lt;9001")-L47-L46-L45-L44-L43-L42-L41-L40-L39</f>
        <v>36</v>
      </c>
      <c r="N48" s="75" t="s">
        <v>498</v>
      </c>
      <c r="O48" s="18">
        <f>COUNTIF('ENCUESTA CONDUCTORES'!CJ$7:CJ$459,"X")</f>
        <v>0</v>
      </c>
    </row>
    <row r="49" spans="1:15" x14ac:dyDescent="0.25">
      <c r="A49" s="5"/>
      <c r="B49" s="11" t="s">
        <v>1009</v>
      </c>
      <c r="C49" s="18">
        <v>10</v>
      </c>
      <c r="F49" s="5">
        <v>1985</v>
      </c>
      <c r="G49" s="18">
        <f>COUNTIF('ENCUESTA CONDUCTORES'!$AH$7:$AH$459,F49)</f>
        <v>7</v>
      </c>
      <c r="I49" s="5"/>
      <c r="J49" s="17" t="s">
        <v>490</v>
      </c>
      <c r="K49" s="74">
        <f t="shared" si="7"/>
        <v>0.1545253863134658</v>
      </c>
      <c r="L49" s="84">
        <f>COUNTIF('ENCUESTA CONDUCTORES'!$AU$7:$AU$459,"&lt;10001")-L48-L47-L46-L45-L44-L43-L42-L41-L40-L39</f>
        <v>70</v>
      </c>
      <c r="O49" s="18">
        <f>SUM(O37:O48)</f>
        <v>1293</v>
      </c>
    </row>
    <row r="50" spans="1:15" x14ac:dyDescent="0.25">
      <c r="A50" s="5"/>
      <c r="B50" s="11" t="s">
        <v>1087</v>
      </c>
      <c r="C50" s="18">
        <v>9</v>
      </c>
      <c r="F50" s="5">
        <v>1986</v>
      </c>
      <c r="G50" s="18">
        <f>COUNTIF('ENCUESTA CONDUCTORES'!$AH$7:$AH$459,F50)</f>
        <v>6</v>
      </c>
      <c r="I50" s="5"/>
      <c r="J50" s="17" t="s">
        <v>491</v>
      </c>
      <c r="K50" s="74">
        <f t="shared" si="7"/>
        <v>8.8300220750551876E-3</v>
      </c>
      <c r="L50" s="84">
        <f>COUNTIF('ENCUESTA CONDUCTORES'!$AU$7:$AU$459,"&lt;11001")-L49-L48-L47-L46-L45-L44-L43-L42-L41-L40-L39</f>
        <v>4</v>
      </c>
    </row>
    <row r="51" spans="1:15" x14ac:dyDescent="0.25">
      <c r="A51" s="5"/>
      <c r="B51" s="11" t="s">
        <v>1142</v>
      </c>
      <c r="C51" s="18">
        <v>8</v>
      </c>
      <c r="F51" s="5">
        <v>1987</v>
      </c>
      <c r="G51" s="18">
        <f>COUNTIF('ENCUESTA CONDUCTORES'!$AH$7:$AH$459,F51)</f>
        <v>6</v>
      </c>
      <c r="I51" s="5"/>
      <c r="J51" s="17" t="s">
        <v>492</v>
      </c>
      <c r="K51" s="74">
        <f t="shared" si="7"/>
        <v>5.0772626931567331E-2</v>
      </c>
      <c r="L51" s="84">
        <f>COUNTIF('ENCUESTA CONDUCTORES'!$AU$7:$AU$459,"&lt;12001")-L50-L49-L48-L47-L46-L45-L44-L43-L42-L41-L40-L39</f>
        <v>23</v>
      </c>
    </row>
    <row r="52" spans="1:15" x14ac:dyDescent="0.25">
      <c r="A52" s="5"/>
      <c r="B52" s="11" t="s">
        <v>1118</v>
      </c>
      <c r="C52" s="18">
        <v>6</v>
      </c>
      <c r="F52" s="5">
        <v>1988</v>
      </c>
      <c r="G52" s="18">
        <f>COUNTIF('ENCUESTA CONDUCTORES'!$AH$7:$AH$459,F52)</f>
        <v>4</v>
      </c>
      <c r="I52" s="5"/>
      <c r="J52" s="17" t="s">
        <v>493</v>
      </c>
      <c r="K52" s="74">
        <f t="shared" si="7"/>
        <v>4.6357615894039736E-2</v>
      </c>
      <c r="L52" s="84">
        <f>COUNTIF('ENCUESTA CONDUCTORES'!$AU$7:$AU$459,"&lt;15001")-L51-L50-L49-L48-L47-L46-L45-L44-L43-L42-L41-L40-L39</f>
        <v>21</v>
      </c>
    </row>
    <row r="53" spans="1:15" x14ac:dyDescent="0.25">
      <c r="A53" s="5"/>
      <c r="B53" s="11" t="s">
        <v>1086</v>
      </c>
      <c r="C53" s="18">
        <v>5</v>
      </c>
      <c r="F53" s="5">
        <v>1989</v>
      </c>
      <c r="G53" s="18">
        <f>COUNTIF('ENCUESTA CONDUCTORES'!$AH$7:$AH$459,F53)</f>
        <v>7</v>
      </c>
      <c r="I53" s="5"/>
      <c r="J53" s="17" t="s">
        <v>494</v>
      </c>
      <c r="K53" s="74">
        <f t="shared" si="7"/>
        <v>5.518763796909492E-2</v>
      </c>
      <c r="L53" s="84">
        <f>COUNTIF('ENCUESTA CONDUCTORES'!$AU$7:$AU$459,"&gt;15001")</f>
        <v>25</v>
      </c>
    </row>
    <row r="54" spans="1:15" x14ac:dyDescent="0.25">
      <c r="A54" s="5"/>
      <c r="B54" s="11" t="s">
        <v>1092</v>
      </c>
      <c r="C54" s="18">
        <v>4</v>
      </c>
      <c r="F54" s="5">
        <v>1990</v>
      </c>
      <c r="G54" s="18">
        <f>COUNTIF('ENCUESTA CONDUCTORES'!$AH$7:$AH$459,F54)</f>
        <v>11</v>
      </c>
      <c r="J54" s="17" t="s">
        <v>429</v>
      </c>
      <c r="K54" s="74">
        <f t="shared" si="7"/>
        <v>1</v>
      </c>
      <c r="L54" s="17">
        <f>SUM(L39:L53)</f>
        <v>453</v>
      </c>
    </row>
    <row r="55" spans="1:15" x14ac:dyDescent="0.25">
      <c r="A55" s="5"/>
      <c r="B55" s="11" t="s">
        <v>1150</v>
      </c>
      <c r="C55" s="18">
        <v>4</v>
      </c>
      <c r="F55" s="5">
        <v>1991</v>
      </c>
      <c r="G55" s="18">
        <f>COUNTIF('ENCUESTA CONDUCTORES'!$AH$7:$AH$459,F55)</f>
        <v>3</v>
      </c>
    </row>
    <row r="56" spans="1:15" x14ac:dyDescent="0.25">
      <c r="A56" s="5"/>
      <c r="B56" s="11" t="s">
        <v>1091</v>
      </c>
      <c r="C56" s="18">
        <v>4</v>
      </c>
      <c r="F56" s="5">
        <v>1992</v>
      </c>
      <c r="G56" s="18">
        <f>COUNTIF('ENCUESTA CONDUCTORES'!$AH$7:$AH$459,F56)</f>
        <v>6</v>
      </c>
      <c r="J56" s="17" t="s">
        <v>496</v>
      </c>
    </row>
    <row r="57" spans="1:15" x14ac:dyDescent="0.25">
      <c r="A57" s="5"/>
      <c r="B57" s="11" t="s">
        <v>1088</v>
      </c>
      <c r="C57" s="18">
        <v>4</v>
      </c>
      <c r="F57" s="5">
        <v>1993</v>
      </c>
      <c r="G57" s="18">
        <f>COUNTIF('ENCUESTA CONDUCTORES'!$AH$7:$AH$459,F57)</f>
        <v>2</v>
      </c>
      <c r="J57" s="87">
        <v>0.5</v>
      </c>
      <c r="K57" s="18">
        <f>COUNTIF('ENCUESTA CONDUCTORES'!$AV$7:$AV$459,J57)</f>
        <v>271</v>
      </c>
    </row>
    <row r="58" spans="1:15" x14ac:dyDescent="0.25">
      <c r="A58" s="5"/>
      <c r="B58" s="11" t="s">
        <v>1102</v>
      </c>
      <c r="C58" s="18">
        <v>4</v>
      </c>
      <c r="F58" s="5">
        <v>1994</v>
      </c>
      <c r="G58" s="18">
        <f>COUNTIF('ENCUESTA CONDUCTORES'!$AH$7:$AH$459,F58)</f>
        <v>6</v>
      </c>
      <c r="J58" s="87">
        <v>0.4</v>
      </c>
      <c r="K58" s="18">
        <f>COUNTIF('ENCUESTA CONDUCTORES'!$AV$7:$AV$459,J58)</f>
        <v>5</v>
      </c>
    </row>
    <row r="59" spans="1:15" x14ac:dyDescent="0.25">
      <c r="A59" s="5"/>
      <c r="B59" s="11" t="s">
        <v>1114</v>
      </c>
      <c r="C59" s="18">
        <v>2</v>
      </c>
      <c r="F59" s="5">
        <v>1995</v>
      </c>
      <c r="G59" s="18">
        <f>COUNTIF('ENCUESTA CONDUCTORES'!$AH$7:$AH$459,F59)</f>
        <v>13</v>
      </c>
      <c r="J59" s="87">
        <v>0.3</v>
      </c>
      <c r="K59" s="18">
        <f>COUNTIF('ENCUESTA CONDUCTORES'!$AV$7:$AV$459,J59)</f>
        <v>31</v>
      </c>
    </row>
    <row r="60" spans="1:15" x14ac:dyDescent="0.25">
      <c r="A60" s="5"/>
      <c r="B60" s="11" t="s">
        <v>1112</v>
      </c>
      <c r="C60" s="18">
        <v>2</v>
      </c>
      <c r="F60" s="5">
        <v>1996</v>
      </c>
      <c r="G60" s="18">
        <f>COUNTIF('ENCUESTA CONDUCTORES'!$AH$7:$AH$459,F60)</f>
        <v>6</v>
      </c>
      <c r="J60" s="87">
        <v>0.25</v>
      </c>
      <c r="K60" s="18">
        <f>COUNTIF('ENCUESTA CONDUCTORES'!$AV$7:$AV$459,J60)</f>
        <v>4</v>
      </c>
    </row>
    <row r="61" spans="1:15" x14ac:dyDescent="0.25">
      <c r="A61" s="5"/>
      <c r="B61" s="11" t="s">
        <v>1104</v>
      </c>
      <c r="C61" s="18">
        <v>1</v>
      </c>
      <c r="F61" s="5">
        <v>1997</v>
      </c>
      <c r="G61" s="18">
        <f>COUNTIF('ENCUESTA CONDUCTORES'!$AH$7:$AH$459,F61)</f>
        <v>11</v>
      </c>
      <c r="J61" s="87">
        <v>0.2</v>
      </c>
      <c r="K61" s="18">
        <f>COUNTIF('ENCUESTA CONDUCTORES'!$AV$7:$AV$459,J61)</f>
        <v>35</v>
      </c>
    </row>
    <row r="62" spans="1:15" x14ac:dyDescent="0.25">
      <c r="A62" s="5"/>
      <c r="B62" s="11" t="s">
        <v>1083</v>
      </c>
      <c r="C62" s="18">
        <v>1</v>
      </c>
      <c r="F62" s="5">
        <v>1998</v>
      </c>
      <c r="G62" s="18">
        <f>COUNTIF('ENCUESTA CONDUCTORES'!$AH$7:$AH$459,F62)</f>
        <v>15</v>
      </c>
      <c r="J62" s="87">
        <v>0.15</v>
      </c>
      <c r="K62" s="18">
        <f>COUNTIF('ENCUESTA CONDUCTORES'!$AV$7:$AV$459,J62)</f>
        <v>2</v>
      </c>
    </row>
    <row r="63" spans="1:15" x14ac:dyDescent="0.25">
      <c r="A63" s="5"/>
      <c r="B63" s="11" t="s">
        <v>1096</v>
      </c>
      <c r="C63" s="18">
        <v>1</v>
      </c>
      <c r="F63" s="5">
        <v>1999</v>
      </c>
      <c r="G63" s="18">
        <f>COUNTIF('ENCUESTA CONDUCTORES'!$AH$7:$AH$459,F63)</f>
        <v>9</v>
      </c>
      <c r="J63" s="87">
        <v>0.1</v>
      </c>
      <c r="K63" s="18">
        <f>COUNTIF('ENCUESTA CONDUCTORES'!$AV$7:$AV$459,J63)</f>
        <v>63</v>
      </c>
    </row>
    <row r="64" spans="1:15" x14ac:dyDescent="0.25">
      <c r="A64" s="5"/>
      <c r="B64" s="11" t="s">
        <v>1125</v>
      </c>
      <c r="C64" s="18">
        <v>1</v>
      </c>
      <c r="F64" s="5">
        <v>2000</v>
      </c>
      <c r="G64" s="18">
        <f>COUNTIF('ENCUESTA CONDUCTORES'!$AH$7:$AH$459,F64)</f>
        <v>25</v>
      </c>
      <c r="J64" s="87">
        <v>0.05</v>
      </c>
      <c r="K64" s="18">
        <f>COUNTIF('ENCUESTA CONDUCTORES'!$AV$7:$AV$459,J64)</f>
        <v>20</v>
      </c>
    </row>
    <row r="65" spans="1:11" x14ac:dyDescent="0.25">
      <c r="A65" s="5"/>
      <c r="B65" s="11" t="s">
        <v>1140</v>
      </c>
      <c r="C65" s="18">
        <v>1</v>
      </c>
      <c r="F65" s="5">
        <v>2001</v>
      </c>
      <c r="G65" s="18">
        <f>COUNTIF('ENCUESTA CONDUCTORES'!$AH$7:$AH$459,F65)</f>
        <v>18</v>
      </c>
      <c r="J65" s="87">
        <v>0</v>
      </c>
      <c r="K65" s="18">
        <f>COUNTIF('ENCUESTA CONDUCTORES'!$AV$7:$AV$459,J65)</f>
        <v>22</v>
      </c>
    </row>
    <row r="66" spans="1:11" x14ac:dyDescent="0.25">
      <c r="A66" s="5"/>
      <c r="B66" s="11" t="s">
        <v>1166</v>
      </c>
      <c r="C66" s="18">
        <v>0</v>
      </c>
      <c r="F66" s="5">
        <v>2002</v>
      </c>
      <c r="G66" s="18">
        <f>COUNTIF('ENCUESTA CONDUCTORES'!$AH$7:$AH$459,F66)</f>
        <v>12</v>
      </c>
      <c r="J66" s="17" t="s">
        <v>193</v>
      </c>
      <c r="K66" s="18">
        <f>COUNTIF('ENCUESTA CONDUCTORES'!$AV$7:$AV$459,J66)</f>
        <v>0</v>
      </c>
    </row>
    <row r="67" spans="1:11" x14ac:dyDescent="0.25">
      <c r="A67" s="5"/>
      <c r="B67" s="11" t="s">
        <v>1169</v>
      </c>
      <c r="C67" s="18">
        <v>0</v>
      </c>
      <c r="F67" s="5">
        <v>2003</v>
      </c>
      <c r="G67" s="18">
        <f>COUNTIF('ENCUESTA CONDUCTORES'!$AH$7:$AH$459,F67)</f>
        <v>21</v>
      </c>
      <c r="J67" s="87" t="s">
        <v>429</v>
      </c>
      <c r="K67" s="18">
        <f>SUM(K57:K66)</f>
        <v>453</v>
      </c>
    </row>
    <row r="68" spans="1:11" x14ac:dyDescent="0.25">
      <c r="A68" s="5"/>
      <c r="B68" s="11" t="s">
        <v>1167</v>
      </c>
      <c r="C68" s="18">
        <v>0</v>
      </c>
      <c r="F68" s="5">
        <v>2004</v>
      </c>
      <c r="G68" s="18">
        <f>COUNTIF('ENCUESTA CONDUCTORES'!$AH$7:$AH$459,F68)</f>
        <v>27</v>
      </c>
      <c r="J68" s="87"/>
    </row>
    <row r="69" spans="1:11" x14ac:dyDescent="0.25">
      <c r="A69" s="5"/>
      <c r="B69" s="11" t="s">
        <v>1170</v>
      </c>
      <c r="C69" s="18">
        <v>0</v>
      </c>
      <c r="F69" s="5">
        <v>2005</v>
      </c>
      <c r="G69" s="18">
        <f>COUNTIF('ENCUESTA CONDUCTORES'!$AH$7:$AH$459,F69)</f>
        <v>29</v>
      </c>
      <c r="J69" s="87"/>
    </row>
    <row r="70" spans="1:11" x14ac:dyDescent="0.25">
      <c r="A70" s="5"/>
      <c r="B70" s="11" t="s">
        <v>1168</v>
      </c>
      <c r="C70" s="18">
        <v>0</v>
      </c>
      <c r="F70" s="5">
        <v>2006</v>
      </c>
      <c r="G70" s="18">
        <f>COUNTIF('ENCUESTA CONDUCTORES'!$AH$7:$AH$459,F70)</f>
        <v>26</v>
      </c>
      <c r="J70" s="87"/>
    </row>
    <row r="71" spans="1:11" x14ac:dyDescent="0.25">
      <c r="A71" s="5"/>
      <c r="F71" s="5">
        <v>2007</v>
      </c>
      <c r="G71" s="18">
        <f>COUNTIF('ENCUESTA CONDUCTORES'!$AH$7:$AH$459,F71)</f>
        <v>33</v>
      </c>
      <c r="J71" s="87"/>
    </row>
    <row r="72" spans="1:11" x14ac:dyDescent="0.25">
      <c r="A72" s="5"/>
      <c r="F72" s="5">
        <v>2008</v>
      </c>
      <c r="G72" s="18">
        <f>COUNTIF('ENCUESTA CONDUCTORES'!$AH$7:$AH$459,F72)</f>
        <v>32</v>
      </c>
      <c r="J72" s="87"/>
    </row>
    <row r="73" spans="1:11" x14ac:dyDescent="0.25">
      <c r="A73" s="5"/>
      <c r="F73" s="5">
        <v>2009</v>
      </c>
      <c r="G73" s="18">
        <f>COUNTIF('ENCUESTA CONDUCTORES'!$AH$7:$AH$459,F73)</f>
        <v>22</v>
      </c>
      <c r="J73" s="87"/>
    </row>
    <row r="74" spans="1:11" x14ac:dyDescent="0.25">
      <c r="A74" s="5"/>
      <c r="F74" s="5">
        <v>2010</v>
      </c>
      <c r="G74" s="18">
        <f>COUNTIF('ENCUESTA CONDUCTORES'!$AH$7:$AH$459,F74)</f>
        <v>21</v>
      </c>
      <c r="J74" s="87"/>
    </row>
    <row r="75" spans="1:11" x14ac:dyDescent="0.25">
      <c r="A75" s="5"/>
      <c r="F75" s="5">
        <v>2011</v>
      </c>
      <c r="G75" s="18">
        <f>COUNTIF('ENCUESTA CONDUCTORES'!$AH$7:$AH$459,F75)</f>
        <v>12</v>
      </c>
      <c r="J75" s="87"/>
    </row>
    <row r="76" spans="1:11" x14ac:dyDescent="0.25">
      <c r="A76" s="5"/>
      <c r="F76" s="5">
        <v>2012</v>
      </c>
      <c r="G76" s="18">
        <f>COUNTIF('ENCUESTA CONDUCTORES'!$AH$7:$AH$459,F76)</f>
        <v>16</v>
      </c>
      <c r="J76" s="87"/>
    </row>
    <row r="77" spans="1:11" x14ac:dyDescent="0.25">
      <c r="A77" s="5"/>
      <c r="F77" s="5">
        <v>2013</v>
      </c>
      <c r="G77" s="18">
        <f>COUNTIF('ENCUESTA CONDUCTORES'!$AH$7:$AH$459,F77)</f>
        <v>10</v>
      </c>
      <c r="J77" s="87"/>
    </row>
    <row r="78" spans="1:11" x14ac:dyDescent="0.25">
      <c r="A78" s="5"/>
      <c r="F78" s="5">
        <v>2014</v>
      </c>
      <c r="G78" s="18">
        <f>COUNTIF('ENCUESTA CONDUCTORES'!$AH$7:$AH$459,F78)</f>
        <v>5</v>
      </c>
      <c r="J78" s="87"/>
    </row>
    <row r="79" spans="1:11" x14ac:dyDescent="0.25">
      <c r="A79" s="5"/>
      <c r="J79" s="87"/>
    </row>
    <row r="80" spans="1:11" x14ac:dyDescent="0.25">
      <c r="A80" s="5"/>
      <c r="F80" s="17" t="s">
        <v>462</v>
      </c>
      <c r="J80" s="87"/>
    </row>
    <row r="81" spans="1:10" x14ac:dyDescent="0.25">
      <c r="A81" s="5"/>
      <c r="F81" s="17" t="s">
        <v>468</v>
      </c>
      <c r="G81" s="79">
        <f t="shared" ref="G81:G90" si="8">H81/$H$90</f>
        <v>8.8300220750551883E-2</v>
      </c>
      <c r="H81" s="17">
        <f>COUNTIF('ENCUESTA CONDUCTORES'!$AI$7:$AI$459,"&lt;250000")</f>
        <v>40</v>
      </c>
      <c r="J81" s="87"/>
    </row>
    <row r="82" spans="1:10" x14ac:dyDescent="0.25">
      <c r="A82" s="5"/>
      <c r="F82" s="17" t="s">
        <v>463</v>
      </c>
      <c r="G82" s="79">
        <f t="shared" si="8"/>
        <v>0.1479028697571744</v>
      </c>
      <c r="H82" s="84">
        <f>COUNTIF('ENCUESTA CONDUCTORES'!$AI$7:$AI$459,"&lt;500001")-H81</f>
        <v>67</v>
      </c>
      <c r="J82" s="87"/>
    </row>
    <row r="83" spans="1:10" x14ac:dyDescent="0.25">
      <c r="A83" s="5"/>
      <c r="F83" s="17" t="s">
        <v>464</v>
      </c>
      <c r="G83" s="79">
        <f t="shared" si="8"/>
        <v>0.43487858719646799</v>
      </c>
      <c r="H83" s="84">
        <f>COUNTIF('ENCUESTA CONDUCTORES'!$AI$7:$AI$459,"&lt;1000001")-H82-H81</f>
        <v>197</v>
      </c>
      <c r="J83" s="87"/>
    </row>
    <row r="84" spans="1:10" x14ac:dyDescent="0.25">
      <c r="A84" s="5"/>
      <c r="F84" s="17" t="s">
        <v>465</v>
      </c>
      <c r="G84" s="79">
        <f t="shared" si="8"/>
        <v>9.4922737306843266E-2</v>
      </c>
      <c r="H84" s="84">
        <f>COUNTIF('ENCUESTA CONDUCTORES'!$AI$7:$AI$459,"&lt;1500001")-H83-H82-H81</f>
        <v>43</v>
      </c>
      <c r="J84" s="87"/>
    </row>
    <row r="85" spans="1:10" x14ac:dyDescent="0.25">
      <c r="A85" s="5"/>
      <c r="F85" s="17" t="s">
        <v>466</v>
      </c>
      <c r="G85" s="79">
        <f t="shared" si="8"/>
        <v>6.6225165562913912E-2</v>
      </c>
      <c r="H85" s="84">
        <f>COUNTIF('ENCUESTA CONDUCTORES'!$AI$7:$AI$459,"&lt;2000001")-H84-H83-H82-H81</f>
        <v>30</v>
      </c>
      <c r="J85" s="87"/>
    </row>
    <row r="86" spans="1:10" x14ac:dyDescent="0.25">
      <c r="A86" s="5"/>
      <c r="F86" s="17" t="s">
        <v>467</v>
      </c>
      <c r="G86" s="79">
        <f t="shared" si="8"/>
        <v>2.6490066225165563E-2</v>
      </c>
      <c r="H86" s="84">
        <f>COUNTIF('ENCUESTA CONDUCTORES'!$AI$7:$AI$459,"&lt;2500001")-H85-H84-H83-H82-H81</f>
        <v>12</v>
      </c>
      <c r="J86" s="87"/>
    </row>
    <row r="87" spans="1:10" x14ac:dyDescent="0.25">
      <c r="A87" s="5"/>
      <c r="F87" s="17" t="s">
        <v>469</v>
      </c>
      <c r="G87" s="79">
        <f t="shared" si="8"/>
        <v>1.3245033112582781E-2</v>
      </c>
      <c r="H87" s="84">
        <f>COUNTIF('ENCUESTA CONDUCTORES'!$AI$7:$AI$459,"&gt;2500000")</f>
        <v>6</v>
      </c>
      <c r="J87" s="87"/>
    </row>
    <row r="88" spans="1:10" x14ac:dyDescent="0.25">
      <c r="A88" s="5"/>
      <c r="F88" s="17" t="s">
        <v>470</v>
      </c>
      <c r="G88" s="79">
        <f t="shared" si="8"/>
        <v>5.7395143487858721E-2</v>
      </c>
      <c r="H88" s="84">
        <f>COUNTIF('ENCUESTA CONDUCTORES'!$AI$7:$AI$459,"DAÑADO")</f>
        <v>26</v>
      </c>
      <c r="J88" s="87"/>
    </row>
    <row r="89" spans="1:10" x14ac:dyDescent="0.25">
      <c r="A89" s="5"/>
      <c r="F89" s="17" t="s">
        <v>193</v>
      </c>
      <c r="G89" s="79">
        <f t="shared" si="8"/>
        <v>7.0640176600441501E-2</v>
      </c>
      <c r="H89" s="84">
        <f>COUNTIF('ENCUESTA CONDUCTORES'!$AI$7:$AI$459,"NO SABE")</f>
        <v>32</v>
      </c>
      <c r="J89" s="87"/>
    </row>
    <row r="90" spans="1:10" x14ac:dyDescent="0.25">
      <c r="A90" s="5"/>
      <c r="F90" s="17" t="s">
        <v>429</v>
      </c>
      <c r="G90" s="79">
        <f t="shared" si="8"/>
        <v>1</v>
      </c>
      <c r="H90" s="17">
        <f>SUM(H81:H89)</f>
        <v>453</v>
      </c>
      <c r="J90" s="87"/>
    </row>
    <row r="91" spans="1:10" x14ac:dyDescent="0.25">
      <c r="A91" s="5"/>
      <c r="J91" s="87"/>
    </row>
    <row r="92" spans="1:10" x14ac:dyDescent="0.25">
      <c r="A92" s="5"/>
      <c r="J92" s="87"/>
    </row>
    <row r="93" spans="1:10" x14ac:dyDescent="0.25">
      <c r="A93" s="5"/>
      <c r="J93" s="87"/>
    </row>
    <row r="94" spans="1:10" x14ac:dyDescent="0.25">
      <c r="A94" s="5"/>
    </row>
    <row r="95" spans="1:10" x14ac:dyDescent="0.25">
      <c r="A95" s="5"/>
    </row>
    <row r="96" spans="1:10" x14ac:dyDescent="0.25">
      <c r="A96" s="5"/>
    </row>
    <row r="97" spans="1:16" x14ac:dyDescent="0.25">
      <c r="A97" s="5"/>
    </row>
    <row r="98" spans="1:16" x14ac:dyDescent="0.25">
      <c r="A98" s="5"/>
    </row>
    <row r="99" spans="1:16" x14ac:dyDescent="0.25">
      <c r="A99" s="5"/>
    </row>
    <row r="100" spans="1:16" x14ac:dyDescent="0.25">
      <c r="A100" s="5"/>
    </row>
    <row r="101" spans="1:16" x14ac:dyDescent="0.25">
      <c r="A101" s="5"/>
    </row>
    <row r="102" spans="1:16" x14ac:dyDescent="0.25">
      <c r="A102" s="5"/>
    </row>
    <row r="103" spans="1:16" x14ac:dyDescent="0.25">
      <c r="A103" s="5"/>
    </row>
    <row r="104" spans="1:16" x14ac:dyDescent="0.25">
      <c r="A104" s="5"/>
    </row>
    <row r="105" spans="1:16" x14ac:dyDescent="0.25">
      <c r="A105" s="5"/>
    </row>
    <row r="106" spans="1:16" x14ac:dyDescent="0.25">
      <c r="A106" s="5"/>
    </row>
    <row r="107" spans="1:16" x14ac:dyDescent="0.25">
      <c r="A107" s="5"/>
    </row>
    <row r="108" spans="1:16" x14ac:dyDescent="0.25">
      <c r="A108" s="5"/>
    </row>
    <row r="109" spans="1:16" x14ac:dyDescent="0.25">
      <c r="A109" s="5"/>
    </row>
    <row r="110" spans="1:16" x14ac:dyDescent="0.25">
      <c r="A110" s="5"/>
    </row>
    <row r="111" spans="1:16" x14ac:dyDescent="0.25">
      <c r="A111" s="5"/>
    </row>
    <row r="112" spans="1:16" x14ac:dyDescent="0.25">
      <c r="A112" s="5"/>
      <c r="M112" s="57"/>
      <c r="N112" s="18"/>
      <c r="P112" s="17"/>
    </row>
    <row r="113" spans="1:11" x14ac:dyDescent="0.25">
      <c r="A113" s="5"/>
    </row>
    <row r="114" spans="1:11" x14ac:dyDescent="0.25">
      <c r="A114" s="5"/>
    </row>
    <row r="115" spans="1:11" x14ac:dyDescent="0.25">
      <c r="A115" s="5"/>
      <c r="J115" s="18"/>
      <c r="K115" s="17"/>
    </row>
    <row r="116" spans="1:11" x14ac:dyDescent="0.25">
      <c r="A116" s="5"/>
    </row>
    <row r="117" spans="1:11" x14ac:dyDescent="0.25">
      <c r="A117" s="5"/>
    </row>
    <row r="118" spans="1:11" x14ac:dyDescent="0.25">
      <c r="A118" s="5"/>
    </row>
    <row r="119" spans="1:11" x14ac:dyDescent="0.25">
      <c r="A119" s="5"/>
    </row>
    <row r="120" spans="1:11" x14ac:dyDescent="0.25">
      <c r="A120" s="5"/>
    </row>
    <row r="121" spans="1:11" x14ac:dyDescent="0.25">
      <c r="A121" s="5"/>
    </row>
    <row r="122" spans="1:11" x14ac:dyDescent="0.25">
      <c r="A122" s="5"/>
    </row>
    <row r="123" spans="1:11" x14ac:dyDescent="0.25">
      <c r="A123" s="5"/>
    </row>
    <row r="124" spans="1:11" x14ac:dyDescent="0.25">
      <c r="A124" s="5"/>
    </row>
    <row r="125" spans="1:11" x14ac:dyDescent="0.25">
      <c r="A125" s="5"/>
    </row>
    <row r="126" spans="1:11" x14ac:dyDescent="0.25">
      <c r="A126" s="5"/>
    </row>
    <row r="127" spans="1:11" x14ac:dyDescent="0.25">
      <c r="A127" s="5"/>
    </row>
    <row r="128" spans="1:11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</sheetData>
  <sortState ref="B39:C70">
    <sortCondition descending="1" ref="C39:C70"/>
  </sortState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2"/>
  <sheetViews>
    <sheetView zoomScale="90" zoomScaleNormal="90" workbookViewId="0"/>
  </sheetViews>
  <sheetFormatPr baseColWidth="10" defaultRowHeight="15" x14ac:dyDescent="0.25"/>
  <cols>
    <col min="1" max="16384" width="11.42578125" style="21"/>
  </cols>
  <sheetData>
    <row r="1" spans="2:70" x14ac:dyDescent="0.25">
      <c r="BB1" s="21" t="s">
        <v>1482</v>
      </c>
      <c r="BJ1" s="21" t="s">
        <v>1481</v>
      </c>
    </row>
    <row r="2" spans="2:70" x14ac:dyDescent="0.25">
      <c r="B2" s="21" t="s">
        <v>424</v>
      </c>
      <c r="J2" s="21" t="s">
        <v>432</v>
      </c>
      <c r="R2" s="21" t="s">
        <v>449</v>
      </c>
      <c r="Z2" s="21" t="s">
        <v>461</v>
      </c>
      <c r="AJ2" s="21" t="s">
        <v>471</v>
      </c>
      <c r="AS2" s="21" t="s">
        <v>478</v>
      </c>
      <c r="BB2" s="21" t="s">
        <v>496</v>
      </c>
      <c r="BJ2" s="21" t="s">
        <v>501</v>
      </c>
      <c r="BR2" s="21" t="s">
        <v>548</v>
      </c>
    </row>
    <row r="22" spans="10:54" x14ac:dyDescent="0.25">
      <c r="J22" s="21" t="s">
        <v>444</v>
      </c>
      <c r="R22" s="21" t="s">
        <v>458</v>
      </c>
    </row>
    <row r="25" spans="10:54" x14ac:dyDescent="0.25">
      <c r="BB25" s="21" t="s">
        <v>500</v>
      </c>
    </row>
    <row r="27" spans="10:54" x14ac:dyDescent="0.25">
      <c r="AJ27" s="21" t="s">
        <v>477</v>
      </c>
    </row>
    <row r="35" spans="18:45" x14ac:dyDescent="0.25">
      <c r="AS35" s="21" t="s">
        <v>495</v>
      </c>
    </row>
    <row r="37" spans="18:45" x14ac:dyDescent="0.25">
      <c r="AB37" s="125"/>
    </row>
    <row r="42" spans="18:45" x14ac:dyDescent="0.25">
      <c r="R42" s="21" t="s">
        <v>459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HO216"/>
  <sheetViews>
    <sheetView zoomScale="90" zoomScaleNormal="90" workbookViewId="0"/>
  </sheetViews>
  <sheetFormatPr baseColWidth="10" defaultColWidth="11.42578125" defaultRowHeight="15" x14ac:dyDescent="0.25"/>
  <cols>
    <col min="1" max="1" width="11.42578125" style="17"/>
    <col min="2" max="2" width="27" style="17" customWidth="1"/>
    <col min="3" max="6" width="11.42578125" style="18"/>
    <col min="7" max="13" width="11.42578125" style="17"/>
    <col min="14" max="14" width="28.140625" style="17" customWidth="1"/>
    <col min="15" max="18" width="11.42578125" style="17"/>
    <col min="19" max="19" width="11.42578125" style="18"/>
    <col min="20" max="37" width="11.42578125" style="17"/>
    <col min="38" max="38" width="29.28515625" style="17" customWidth="1"/>
    <col min="39" max="39" width="8.140625" style="17" bestFit="1" customWidth="1"/>
    <col min="40" max="40" width="8.28515625" style="17" bestFit="1" customWidth="1"/>
    <col min="41" max="43" width="9.28515625" style="17" bestFit="1" customWidth="1"/>
    <col min="44" max="44" width="9.28515625" style="17" customWidth="1"/>
    <col min="45" max="45" width="11.85546875" style="17" bestFit="1" customWidth="1"/>
    <col min="46" max="46" width="5.140625" style="17" bestFit="1" customWidth="1"/>
    <col min="47" max="47" width="7.140625" style="17" bestFit="1" customWidth="1"/>
    <col min="48" max="48" width="5" style="17" bestFit="1" customWidth="1"/>
    <col min="49" max="49" width="8.28515625" style="17" bestFit="1" customWidth="1"/>
    <col min="50" max="51" width="9.28515625" style="17" bestFit="1" customWidth="1"/>
    <col min="52" max="52" width="11.42578125" style="17"/>
    <col min="53" max="54" width="9.28515625" style="17" bestFit="1" customWidth="1"/>
    <col min="55" max="55" width="4.5703125" style="17" bestFit="1" customWidth="1"/>
    <col min="56" max="56" width="6" style="17" customWidth="1"/>
    <col min="57" max="57" width="11.42578125" style="17"/>
    <col min="58" max="58" width="27.85546875" style="17" customWidth="1"/>
    <col min="59" max="59" width="5.140625" style="17" bestFit="1" customWidth="1"/>
    <col min="60" max="60" width="8.28515625" style="17" bestFit="1" customWidth="1"/>
    <col min="61" max="64" width="9.28515625" style="17" bestFit="1" customWidth="1"/>
    <col min="65" max="65" width="11.85546875" style="17" bestFit="1" customWidth="1"/>
    <col min="66" max="66" width="5.140625" style="17" bestFit="1" customWidth="1"/>
    <col min="67" max="67" width="7.140625" style="17" bestFit="1" customWidth="1"/>
    <col min="68" max="68" width="5" style="17" bestFit="1" customWidth="1"/>
    <col min="69" max="69" width="8.28515625" style="17" bestFit="1" customWidth="1"/>
    <col min="70" max="74" width="9.28515625" style="17" bestFit="1" customWidth="1"/>
    <col min="75" max="75" width="4.5703125" style="17" bestFit="1" customWidth="1"/>
    <col min="76" max="76" width="6.28515625" style="17" customWidth="1"/>
    <col min="77" max="89" width="11.42578125" style="17"/>
    <col min="90" max="90" width="18" style="17" customWidth="1"/>
    <col min="91" max="119" width="11.42578125" style="17"/>
    <col min="120" max="120" width="22.42578125" style="17" customWidth="1"/>
    <col min="121" max="121" width="12.85546875" style="17" customWidth="1"/>
    <col min="122" max="123" width="11.42578125" style="17"/>
    <col min="124" max="124" width="20.42578125" style="17" customWidth="1"/>
    <col min="125" max="127" width="11.42578125" style="17"/>
    <col min="128" max="128" width="17" style="17" customWidth="1"/>
    <col min="129" max="129" width="16.85546875" style="17" customWidth="1"/>
    <col min="130" max="131" width="11.42578125" style="17"/>
    <col min="132" max="132" width="17.7109375" style="17" customWidth="1"/>
    <col min="133" max="137" width="11.42578125" style="17"/>
    <col min="138" max="138" width="19.5703125" style="17" customWidth="1"/>
    <col min="139" max="147" width="11.42578125" style="17"/>
    <col min="148" max="148" width="14.85546875" style="17" customWidth="1"/>
    <col min="149" max="154" width="11.42578125" style="17"/>
    <col min="155" max="155" width="11.85546875" style="17" bestFit="1" customWidth="1"/>
    <col min="156" max="156" width="15.5703125" style="17" customWidth="1"/>
    <col min="157" max="157" width="13.140625" style="17" customWidth="1"/>
    <col min="158" max="158" width="13.85546875" style="17" customWidth="1"/>
    <col min="159" max="159" width="12.42578125" style="17" customWidth="1"/>
    <col min="160" max="160" width="11.85546875" style="17" customWidth="1"/>
    <col min="161" max="167" width="11.42578125" style="17"/>
    <col min="168" max="168" width="22.140625" style="17" customWidth="1"/>
    <col min="169" max="175" width="11.42578125" style="17"/>
    <col min="176" max="176" width="18.42578125" style="17" customWidth="1"/>
    <col min="177" max="182" width="11.42578125" style="17"/>
    <col min="183" max="183" width="19.42578125" style="17" customWidth="1"/>
    <col min="184" max="191" width="11.42578125" style="17"/>
    <col min="192" max="197" width="13.5703125" style="17" customWidth="1"/>
    <col min="198" max="212" width="11.42578125" style="17"/>
    <col min="213" max="213" width="28" style="17" customWidth="1"/>
    <col min="214" max="16384" width="11.42578125" style="17"/>
  </cols>
  <sheetData>
    <row r="2" spans="1:223" x14ac:dyDescent="0.25">
      <c r="N2" s="17" t="s">
        <v>1351</v>
      </c>
      <c r="BZ2" s="57" t="s">
        <v>1415</v>
      </c>
      <c r="CL2" s="17" t="s">
        <v>1430</v>
      </c>
      <c r="FT2" s="17" t="s">
        <v>1507</v>
      </c>
      <c r="GA2" s="17" t="s">
        <v>1529</v>
      </c>
      <c r="GS2" s="17" t="s">
        <v>1543</v>
      </c>
      <c r="HE2" s="17" t="s">
        <v>1551</v>
      </c>
    </row>
    <row r="3" spans="1:223" ht="45" x14ac:dyDescent="0.25">
      <c r="A3" s="17" t="s">
        <v>1340</v>
      </c>
      <c r="C3" s="187" t="s">
        <v>431</v>
      </c>
      <c r="D3" s="187"/>
      <c r="E3" s="187"/>
      <c r="F3" s="187"/>
      <c r="G3" s="187"/>
      <c r="H3" s="187" t="s">
        <v>1338</v>
      </c>
      <c r="I3" s="187"/>
      <c r="J3" s="187"/>
      <c r="K3" s="187"/>
      <c r="L3" s="187"/>
      <c r="O3" s="17" t="s">
        <v>425</v>
      </c>
      <c r="P3" s="17" t="s">
        <v>426</v>
      </c>
      <c r="Q3" s="17" t="s">
        <v>1336</v>
      </c>
      <c r="R3" s="17" t="s">
        <v>1337</v>
      </c>
      <c r="S3" s="18" t="s">
        <v>1333</v>
      </c>
      <c r="T3" s="17" t="s">
        <v>425</v>
      </c>
      <c r="U3" s="17" t="s">
        <v>426</v>
      </c>
      <c r="V3" s="17" t="s">
        <v>1336</v>
      </c>
      <c r="W3" s="17" t="s">
        <v>1337</v>
      </c>
      <c r="X3" s="18" t="s">
        <v>1333</v>
      </c>
      <c r="Z3" s="17" t="s">
        <v>1380</v>
      </c>
      <c r="AL3" s="57" t="s">
        <v>1386</v>
      </c>
      <c r="CA3" s="18" t="s">
        <v>4</v>
      </c>
      <c r="CB3" s="18" t="s">
        <v>5</v>
      </c>
      <c r="CC3" s="18" t="s">
        <v>6</v>
      </c>
      <c r="CD3" s="18" t="s">
        <v>7</v>
      </c>
      <c r="CE3" s="18"/>
      <c r="CF3" s="18" t="s">
        <v>4</v>
      </c>
      <c r="CG3" s="18" t="s">
        <v>5</v>
      </c>
      <c r="CH3" s="18" t="s">
        <v>6</v>
      </c>
      <c r="CI3" s="18" t="s">
        <v>7</v>
      </c>
      <c r="CJ3" s="18"/>
      <c r="CM3" s="18" t="s">
        <v>4</v>
      </c>
      <c r="CN3" s="18" t="s">
        <v>5</v>
      </c>
      <c r="CO3" s="18" t="s">
        <v>6</v>
      </c>
      <c r="CP3" s="18" t="s">
        <v>7</v>
      </c>
      <c r="CQ3" s="18"/>
      <c r="CR3" s="18" t="s">
        <v>4</v>
      </c>
      <c r="CS3" s="18" t="s">
        <v>5</v>
      </c>
      <c r="CT3" s="18" t="s">
        <v>6</v>
      </c>
      <c r="CU3" s="18" t="s">
        <v>7</v>
      </c>
      <c r="CV3" s="18"/>
      <c r="CX3" s="57" t="s">
        <v>1441</v>
      </c>
      <c r="DP3" s="17" t="s">
        <v>1457</v>
      </c>
      <c r="EH3" s="17" t="s">
        <v>1467</v>
      </c>
      <c r="EZ3" s="21" t="s">
        <v>1483</v>
      </c>
      <c r="FL3" s="17" t="s">
        <v>1505</v>
      </c>
      <c r="FT3" s="17" t="s">
        <v>1468</v>
      </c>
      <c r="FU3" s="74">
        <f>+FV3/$FV$9</f>
        <v>0.23584905660377359</v>
      </c>
      <c r="FV3" s="18">
        <f>COUNTIFS('ENCUESTA CONDUCTORES'!$P$7:$P$459,"X",'ENCUESTA CONDUCTORES'!$AU$7:$AU$459,"&lt;2500")</f>
        <v>25</v>
      </c>
      <c r="GA3" s="126"/>
      <c r="GB3" s="126" t="s">
        <v>1515</v>
      </c>
      <c r="GC3" s="126" t="s">
        <v>1516</v>
      </c>
      <c r="GD3" s="126" t="s">
        <v>1518</v>
      </c>
      <c r="GE3" s="126" t="s">
        <v>1517</v>
      </c>
      <c r="GF3" s="126" t="s">
        <v>1519</v>
      </c>
      <c r="GG3" s="126" t="s">
        <v>1520</v>
      </c>
      <c r="GH3" s="126" t="s">
        <v>1521</v>
      </c>
      <c r="GI3" s="126"/>
      <c r="GJ3" s="126" t="s">
        <v>1515</v>
      </c>
      <c r="GK3" s="126" t="s">
        <v>1516</v>
      </c>
      <c r="GL3" s="126" t="s">
        <v>1518</v>
      </c>
      <c r="GM3" s="126" t="s">
        <v>1517</v>
      </c>
      <c r="GN3" s="126" t="s">
        <v>1519</v>
      </c>
      <c r="GO3" s="126" t="s">
        <v>1520</v>
      </c>
      <c r="GP3" s="126" t="s">
        <v>1521</v>
      </c>
      <c r="GT3" s="17" t="s">
        <v>425</v>
      </c>
      <c r="GU3" s="17" t="s">
        <v>426</v>
      </c>
      <c r="GV3" s="17" t="s">
        <v>1336</v>
      </c>
      <c r="GW3" s="17" t="s">
        <v>1337</v>
      </c>
      <c r="GY3" s="17" t="s">
        <v>425</v>
      </c>
      <c r="GZ3" s="17" t="s">
        <v>426</v>
      </c>
      <c r="HA3" s="17" t="s">
        <v>1336</v>
      </c>
      <c r="HB3" s="17" t="s">
        <v>1337</v>
      </c>
      <c r="HF3" s="17" t="s">
        <v>425</v>
      </c>
      <c r="HG3" s="17" t="s">
        <v>426</v>
      </c>
      <c r="HH3" s="17" t="s">
        <v>1336</v>
      </c>
      <c r="HI3" s="17" t="s">
        <v>1337</v>
      </c>
      <c r="HK3" s="17" t="s">
        <v>425</v>
      </c>
      <c r="HL3" s="17" t="s">
        <v>426</v>
      </c>
      <c r="HM3" s="17" t="s">
        <v>1336</v>
      </c>
      <c r="HN3" s="17" t="s">
        <v>1337</v>
      </c>
    </row>
    <row r="4" spans="1:223" x14ac:dyDescent="0.25">
      <c r="B4" s="17" t="s">
        <v>1339</v>
      </c>
      <c r="C4" s="18" t="s">
        <v>4</v>
      </c>
      <c r="D4" s="18" t="s">
        <v>5</v>
      </c>
      <c r="E4" s="18" t="s">
        <v>6</v>
      </c>
      <c r="F4" s="18" t="s">
        <v>7</v>
      </c>
      <c r="H4" s="18" t="s">
        <v>4</v>
      </c>
      <c r="I4" s="18" t="s">
        <v>5</v>
      </c>
      <c r="J4" s="18" t="s">
        <v>6</v>
      </c>
      <c r="K4" s="18" t="s">
        <v>7</v>
      </c>
      <c r="N4" s="75" t="s">
        <v>10</v>
      </c>
      <c r="O4" s="127">
        <f>T4/$X$11</f>
        <v>5.9602649006622516E-2</v>
      </c>
      <c r="P4" s="127">
        <f t="shared" ref="P4:P11" si="0">U4/$X$11</f>
        <v>9.4922737306843266E-2</v>
      </c>
      <c r="Q4" s="127">
        <f t="shared" ref="Q4:Q11" si="1">V4/$X$11</f>
        <v>0.22075055187637968</v>
      </c>
      <c r="R4" s="127">
        <f t="shared" ref="R4:R11" si="2">W4/$X$11</f>
        <v>0.16114790286975716</v>
      </c>
      <c r="S4" s="127">
        <f t="shared" ref="S4:S11" si="3">X4/$X$11</f>
        <v>0.53642384105960261</v>
      </c>
      <c r="T4" s="90">
        <f>COUNTIFS('ENCUESTA CONDUCTORES'!E$7:E$459,"X",'ENCUESTA CONDUCTORES'!$U$7:$U$459,"X")</f>
        <v>27</v>
      </c>
      <c r="U4" s="90">
        <f>COUNTIFS('ENCUESTA CONDUCTORES'!F$7:F$459,"X",'ENCUESTA CONDUCTORES'!$U$7:$U$459,"X")</f>
        <v>43</v>
      </c>
      <c r="V4" s="90">
        <f>COUNTIFS('ENCUESTA CONDUCTORES'!G$7:G$459,"X",'ENCUESTA CONDUCTORES'!$U$7:$U$459,"X")</f>
        <v>100</v>
      </c>
      <c r="W4" s="90">
        <f>COUNTIFS('ENCUESTA CONDUCTORES'!H$7:H$459,"X",'ENCUESTA CONDUCTORES'!$U$7:$U$459,"X")</f>
        <v>73</v>
      </c>
      <c r="X4" s="19">
        <f>SUM(T4:W4)</f>
        <v>243</v>
      </c>
      <c r="AA4" s="18" t="s">
        <v>4</v>
      </c>
      <c r="AB4" s="18" t="s">
        <v>5</v>
      </c>
      <c r="AC4" s="18" t="s">
        <v>6</v>
      </c>
      <c r="AD4" s="18" t="s">
        <v>7</v>
      </c>
      <c r="AF4" s="18" t="s">
        <v>4</v>
      </c>
      <c r="AG4" s="18" t="s">
        <v>5</v>
      </c>
      <c r="AH4" s="18" t="s">
        <v>6</v>
      </c>
      <c r="AI4" s="18" t="s">
        <v>7</v>
      </c>
      <c r="AL4" s="11" t="s">
        <v>1296</v>
      </c>
      <c r="AM4" s="74">
        <f>+AN4/$AN$12</f>
        <v>7.4941451990632318E-2</v>
      </c>
      <c r="AN4" s="18">
        <f>COUNTIFS('ENCUESTA CONDUCTORES'!$AL$7:$AL$459,"X",'ENCUESTA CONDUCTORES'!$AX$7:$AX$459,"&lt;1.6")</f>
        <v>32</v>
      </c>
      <c r="BZ4" s="17" t="s">
        <v>1417</v>
      </c>
      <c r="CA4" s="74">
        <f t="shared" ref="CA4:CE11" si="4">+CF4/$CJ$11</f>
        <v>4.5454545454545456E-2</v>
      </c>
      <c r="CB4" s="74">
        <f t="shared" si="4"/>
        <v>0</v>
      </c>
      <c r="CC4" s="74">
        <f t="shared" si="4"/>
        <v>0</v>
      </c>
      <c r="CD4" s="74">
        <f t="shared" si="4"/>
        <v>0</v>
      </c>
      <c r="CE4" s="74">
        <f t="shared" si="4"/>
        <v>4.5454545454545456E-2</v>
      </c>
      <c r="CF4" s="18">
        <f>COUNTIFS('ENCUESTA CONDUCTORES'!$AJ$7:$AJ$459,"X",'ENCUESTA CONDUCTORES'!P$7:P$459,"X",'ENCUESTA CONDUCTORES'!$AX$7:$AX$459,"&lt;2.0")</f>
        <v>1</v>
      </c>
      <c r="CG4" s="18">
        <f>COUNTIFS('ENCUESTA CONDUCTORES'!$AJ$7:$AJ$459,"X",'ENCUESTA CONDUCTORES'!Q$7:Q$459,"X",'ENCUESTA CONDUCTORES'!$AX$7:$AX$459,"&lt;2.0")</f>
        <v>0</v>
      </c>
      <c r="CH4" s="18">
        <f>COUNTIFS('ENCUESTA CONDUCTORES'!$AJ$7:$AJ$459,"X",'ENCUESTA CONDUCTORES'!R$7:R$459,"X",'ENCUESTA CONDUCTORES'!$AX$7:$AX$459,"&lt;2.0")</f>
        <v>0</v>
      </c>
      <c r="CI4" s="18">
        <f>COUNTIFS('ENCUESTA CONDUCTORES'!$AJ$7:$AJ$459,"X",'ENCUESTA CONDUCTORES'!S$7:S$459,"X",'ENCUESTA CONDUCTORES'!$AX$7:$AX$459,"&lt;2.0")</f>
        <v>0</v>
      </c>
      <c r="CJ4" s="18">
        <f>SUM(CF4:CI4)</f>
        <v>1</v>
      </c>
      <c r="CL4" s="17" t="s">
        <v>1423</v>
      </c>
      <c r="CM4" s="74">
        <f>+CR4/$CV$11</f>
        <v>3.5320088300220751E-2</v>
      </c>
      <c r="CN4" s="74">
        <f t="shared" ref="CN4:CN10" si="5">+CS4/$CV$11</f>
        <v>4.6357615894039736E-2</v>
      </c>
      <c r="CO4" s="74">
        <f t="shared" ref="CO4:CO10" si="6">+CT4/$CV$11</f>
        <v>4.4150110375275938E-3</v>
      </c>
      <c r="CP4" s="74">
        <f t="shared" ref="CP4:CP10" si="7">+CU4/$CV$11</f>
        <v>4.6357615894039736E-2</v>
      </c>
      <c r="CQ4" s="74">
        <f t="shared" ref="CQ4:CQ10" si="8">+CV4/$CV$11</f>
        <v>0.13245033112582782</v>
      </c>
      <c r="CR4" s="18">
        <f>COUNTIFS('ENCUESTA CONDUCTORES'!P$7:P$459,"X",'ENCUESTA CONDUCTORES'!$DE$7:$DE$459,"&lt;1991")</f>
        <v>16</v>
      </c>
      <c r="CS4" s="18">
        <f>COUNTIFS('ENCUESTA CONDUCTORES'!Q$7:Q$459,"X",'ENCUESTA CONDUCTORES'!$DE$7:$DE$459,"&lt;1991")</f>
        <v>21</v>
      </c>
      <c r="CT4" s="18">
        <f>COUNTIFS('ENCUESTA CONDUCTORES'!R$7:R$459,"X",'ENCUESTA CONDUCTORES'!$DE$7:$DE$459,"&lt;1991")</f>
        <v>2</v>
      </c>
      <c r="CU4" s="18">
        <f>COUNTIFS('ENCUESTA CONDUCTORES'!S$7:S$459,"X",'ENCUESTA CONDUCTORES'!$DE$7:$DE$459,"&lt;1991")</f>
        <v>21</v>
      </c>
      <c r="CV4" s="18">
        <f>SUM(CR4:CU4)</f>
        <v>60</v>
      </c>
      <c r="CY4" s="17" t="s">
        <v>1423</v>
      </c>
      <c r="CZ4" s="17" t="s">
        <v>1424</v>
      </c>
      <c r="DA4" s="17" t="s">
        <v>1425</v>
      </c>
      <c r="DB4" s="17" t="s">
        <v>1426</v>
      </c>
      <c r="DC4" s="17" t="s">
        <v>1427</v>
      </c>
      <c r="DD4" s="17" t="s">
        <v>1428</v>
      </c>
      <c r="DE4" s="17" t="s">
        <v>1429</v>
      </c>
      <c r="DG4" s="17" t="s">
        <v>1423</v>
      </c>
      <c r="DH4" s="17" t="s">
        <v>1424</v>
      </c>
      <c r="DI4" s="17" t="s">
        <v>1425</v>
      </c>
      <c r="DJ4" s="17" t="s">
        <v>1426</v>
      </c>
      <c r="DK4" s="17" t="s">
        <v>1427</v>
      </c>
      <c r="DL4" s="17" t="s">
        <v>1428</v>
      </c>
      <c r="DM4" s="17" t="s">
        <v>1429</v>
      </c>
      <c r="DQ4" s="17" t="s">
        <v>1423</v>
      </c>
      <c r="DR4" s="17" t="s">
        <v>1424</v>
      </c>
      <c r="DS4" s="17" t="s">
        <v>1425</v>
      </c>
      <c r="DT4" s="17" t="s">
        <v>1426</v>
      </c>
      <c r="DU4" s="17" t="s">
        <v>1427</v>
      </c>
      <c r="DV4" s="17" t="s">
        <v>1428</v>
      </c>
      <c r="DW4" s="17" t="s">
        <v>1429</v>
      </c>
      <c r="DY4" s="17" t="s">
        <v>1423</v>
      </c>
      <c r="DZ4" s="17" t="s">
        <v>1424</v>
      </c>
      <c r="EA4" s="17" t="s">
        <v>1425</v>
      </c>
      <c r="EB4" s="17" t="s">
        <v>1426</v>
      </c>
      <c r="EC4" s="17" t="s">
        <v>1427</v>
      </c>
      <c r="ED4" s="17" t="s">
        <v>1428</v>
      </c>
      <c r="EE4" s="17" t="s">
        <v>1429</v>
      </c>
      <c r="EI4" s="17" t="s">
        <v>1423</v>
      </c>
      <c r="EJ4" s="17" t="s">
        <v>1424</v>
      </c>
      <c r="EK4" s="17" t="s">
        <v>1425</v>
      </c>
      <c r="EL4" s="17" t="s">
        <v>1426</v>
      </c>
      <c r="EM4" s="17" t="s">
        <v>1427</v>
      </c>
      <c r="EN4" s="17" t="s">
        <v>1428</v>
      </c>
      <c r="EO4" s="17" t="s">
        <v>1429</v>
      </c>
      <c r="EQ4" s="17" t="s">
        <v>1423</v>
      </c>
      <c r="ER4" s="17" t="s">
        <v>1424</v>
      </c>
      <c r="ES4" s="17" t="s">
        <v>1425</v>
      </c>
      <c r="ET4" s="17" t="s">
        <v>1426</v>
      </c>
      <c r="EU4" s="17" t="s">
        <v>1427</v>
      </c>
      <c r="EV4" s="17" t="s">
        <v>1428</v>
      </c>
      <c r="EW4" s="17" t="s">
        <v>1429</v>
      </c>
      <c r="FA4" s="74" t="s">
        <v>425</v>
      </c>
      <c r="FB4" s="17" t="s">
        <v>426</v>
      </c>
      <c r="FC4" s="17" t="s">
        <v>1336</v>
      </c>
      <c r="FD4" s="17" t="s">
        <v>1337</v>
      </c>
      <c r="FF4" s="74" t="s">
        <v>425</v>
      </c>
      <c r="FG4" s="17" t="s">
        <v>426</v>
      </c>
      <c r="FH4" s="17" t="s">
        <v>1336</v>
      </c>
      <c r="FI4" s="17" t="s">
        <v>1337</v>
      </c>
      <c r="FL4" s="57"/>
      <c r="FM4" s="17" t="s">
        <v>425</v>
      </c>
      <c r="FN4" s="17" t="s">
        <v>426</v>
      </c>
      <c r="FO4" s="17" t="s">
        <v>1336</v>
      </c>
      <c r="FP4" s="17" t="s">
        <v>1337</v>
      </c>
      <c r="FT4" s="17" t="s">
        <v>1469</v>
      </c>
      <c r="FU4" s="74">
        <f t="shared" ref="FU4:FU9" si="9">+FV4/$FV$9</f>
        <v>0.36792452830188677</v>
      </c>
      <c r="FV4" s="18">
        <f>COUNTIFS('ENCUESTA CONDUCTORES'!$P$7:$P$459,"X",'ENCUESTA CONDUCTORES'!$AU$7:$AU$459,"&lt;5001")-FV3</f>
        <v>39</v>
      </c>
      <c r="GA4" s="17" t="s">
        <v>1423</v>
      </c>
      <c r="GB4" s="74">
        <f>+GJ4/$GQ$11</f>
        <v>4.2410714285714288E-2</v>
      </c>
      <c r="GC4" s="74">
        <f t="shared" ref="GC4:GC11" si="10">+GK4/$GQ$11</f>
        <v>3.5714285714285712E-2</v>
      </c>
      <c r="GD4" s="74">
        <f t="shared" ref="GD4:GD11" si="11">+GL4/$GQ$11</f>
        <v>1.3392857142857142E-2</v>
      </c>
      <c r="GE4" s="74">
        <f t="shared" ref="GE4:GE11" si="12">+GM4/$GQ$11</f>
        <v>1.3392857142857142E-2</v>
      </c>
      <c r="GF4" s="74">
        <f t="shared" ref="GF4:GF11" si="13">+GN4/$GQ$11</f>
        <v>1.5625E-2</v>
      </c>
      <c r="GG4" s="74">
        <f t="shared" ref="GG4:GG11" si="14">+GO4/$GQ$11</f>
        <v>6.6964285714285711E-3</v>
      </c>
      <c r="GH4" s="74">
        <f t="shared" ref="GH4:GH11" si="15">+GP4/$GQ$11</f>
        <v>6.6964285714285711E-3</v>
      </c>
      <c r="GI4" s="74">
        <f t="shared" ref="GI4:GI11" si="16">+GQ4/$GQ$11</f>
        <v>0.13392857142857142</v>
      </c>
      <c r="GJ4" s="18">
        <f>COUNTIFS('ENCUESTA CONDUCTORES'!$DE$7:$DE$459,"&lt;1991",'ENCUESTA CONDUCTORES'!$BE$7:$BE$459,"&lt;10000")</f>
        <v>19</v>
      </c>
      <c r="GK4" s="18">
        <f>COUNTIFS('ENCUESTA CONDUCTORES'!$DE$7:$DE$459,"&lt;1991",'ENCUESTA CONDUCTORES'!$BE$7:$BE$459,"&lt;15001")-GJ4</f>
        <v>16</v>
      </c>
      <c r="GL4" s="18">
        <f>COUNTIFS('ENCUESTA CONDUCTORES'!$DE$7:$DE$459,"&lt;1991",'ENCUESTA CONDUCTORES'!$BE$7:$BE$459,"&lt;20001")-GK4-GJ4</f>
        <v>6</v>
      </c>
      <c r="GM4" s="18">
        <f>COUNTIFS('ENCUESTA CONDUCTORES'!$DE$7:$DE$459,"&lt;1991",'ENCUESTA CONDUCTORES'!$BE$7:$BE$459,"&lt;25001")-GL4-GK4-GJ4</f>
        <v>6</v>
      </c>
      <c r="GN4" s="18">
        <f>COUNTIFS('ENCUESTA CONDUCTORES'!$DE$7:$DE$459,"&lt;1991",'ENCUESTA CONDUCTORES'!$BE$7:$BE$459,"&lt;30001")-GM4-GL4-GK4-GJ4</f>
        <v>7</v>
      </c>
      <c r="GO4" s="18">
        <f>COUNTIFS('ENCUESTA CONDUCTORES'!$DE$7:$DE$459,"&lt;1991",'ENCUESTA CONDUCTORES'!$BE$7:$BE$459,"&lt;40001")-GN4-GM4-GL4-GK4-GJ4</f>
        <v>3</v>
      </c>
      <c r="GP4" s="18">
        <f>COUNTIFS('ENCUESTA CONDUCTORES'!$DE$7:$DE$459,"&lt;1991",'ENCUESTA CONDUCTORES'!$BE$7:$BE$459,"&gt;40000")</f>
        <v>3</v>
      </c>
      <c r="GQ4" s="18">
        <f t="shared" ref="GQ4:GQ10" si="17">SUM(GJ4:GP4)</f>
        <v>60</v>
      </c>
      <c r="GS4" s="17" t="s">
        <v>264</v>
      </c>
      <c r="GT4" s="74">
        <f>+GY4/$HC$8</f>
        <v>7.6749435665914217E-2</v>
      </c>
      <c r="GU4" s="74">
        <f t="shared" ref="GU4:GU8" si="18">+GZ4/$HC$8</f>
        <v>0.10158013544018059</v>
      </c>
      <c r="GV4" s="74">
        <f t="shared" ref="GV4:GV8" si="19">+HA4/$HC$8</f>
        <v>0.24830699774266365</v>
      </c>
      <c r="GW4" s="74">
        <f t="shared" ref="GW4:GW8" si="20">+HB4/$HC$8</f>
        <v>0.15575620767494355</v>
      </c>
      <c r="GX4" s="74">
        <f t="shared" ref="GX4:GX8" si="21">+HC4/$HC$8</f>
        <v>0.58239277652370203</v>
      </c>
      <c r="GY4" s="18">
        <f>COUNTIFS('ENCUESTA CONDUCTORES'!$E$7:$E$459,"X",'ENCUESTA CONDUCTORES'!$BX$7:$BX$459,"1")</f>
        <v>34</v>
      </c>
      <c r="GZ4" s="18">
        <f>COUNTIFS('ENCUESTA CONDUCTORES'!$F$7:$F$459,"X",'ENCUESTA CONDUCTORES'!$BX$7:$BX$459,"1")</f>
        <v>45</v>
      </c>
      <c r="HA4" s="18">
        <f>COUNTIFS('ENCUESTA CONDUCTORES'!$G$7:$G$459,"X",'ENCUESTA CONDUCTORES'!$BX$7:$BX$459,"1")</f>
        <v>110</v>
      </c>
      <c r="HB4" s="18">
        <f>COUNTIFS('ENCUESTA CONDUCTORES'!$H$7:$H$459,"X",'ENCUESTA CONDUCTORES'!$BX$7:$BX$459,"1")</f>
        <v>69</v>
      </c>
      <c r="HC4" s="18">
        <f>SUM(GY4:HB4)</f>
        <v>258</v>
      </c>
      <c r="HE4" s="17" t="s">
        <v>1484</v>
      </c>
      <c r="HF4" s="74">
        <f>+HK4/$HO$9</f>
        <v>6.4017660044150104E-2</v>
      </c>
      <c r="HG4" s="74">
        <f t="shared" ref="HG4:HG9" si="22">+HL4/$HO$9</f>
        <v>0.11699779249448124</v>
      </c>
      <c r="HH4" s="74">
        <f t="shared" ref="HH4:HH9" si="23">+HM4/$HO$9</f>
        <v>0.27152317880794702</v>
      </c>
      <c r="HI4" s="74">
        <f t="shared" ref="HI4:HI9" si="24">+HN4/$HO$9</f>
        <v>0.14569536423841059</v>
      </c>
      <c r="HJ4" s="74">
        <f t="shared" ref="HJ4:HJ9" si="25">+HO4/$HO$9</f>
        <v>0.59823399558498891</v>
      </c>
      <c r="HK4" s="18">
        <f>COUNTIFS('ENCUESTA CONDUCTORES'!$E$7:$E$459,"X",'ENCUESTA CONDUCTORES'!$AV$7:$AV$459,"50%")</f>
        <v>29</v>
      </c>
      <c r="HL4" s="18">
        <f>COUNTIFS('ENCUESTA CONDUCTORES'!$F$7:$F$459,"X",'ENCUESTA CONDUCTORES'!$AV$7:$AV$459,"50%")</f>
        <v>53</v>
      </c>
      <c r="HM4" s="18">
        <f>COUNTIFS('ENCUESTA CONDUCTORES'!$G$7:$G$459,"X",'ENCUESTA CONDUCTORES'!$AV$7:$AV$459,"50%")</f>
        <v>123</v>
      </c>
      <c r="HN4" s="18">
        <f>COUNTIFS('ENCUESTA CONDUCTORES'!$H$7:$H$459,"X",'ENCUESTA CONDUCTORES'!$AV$7:$AV$459,"50%")</f>
        <v>66</v>
      </c>
      <c r="HO4" s="18">
        <f>SUM(HK4:HN4)</f>
        <v>271</v>
      </c>
    </row>
    <row r="5" spans="1:223" x14ac:dyDescent="0.25">
      <c r="B5" s="17" t="s">
        <v>425</v>
      </c>
      <c r="C5" s="74">
        <f>H5/$L$9</f>
        <v>1.7660044150110375E-2</v>
      </c>
      <c r="D5" s="74">
        <f t="shared" ref="D5:D9" si="26">I5/$L$9</f>
        <v>3.5320088300220751E-2</v>
      </c>
      <c r="E5" s="74">
        <f t="shared" ref="E5:E9" si="27">J5/$L$9</f>
        <v>6.6225165562913907E-3</v>
      </c>
      <c r="F5" s="74">
        <f t="shared" ref="F5:F9" si="28">K5/$L$9</f>
        <v>8.6092715231788075E-2</v>
      </c>
      <c r="G5" s="74">
        <f t="shared" ref="G5:G9" si="29">L5/$L$9</f>
        <v>0.14569536423841059</v>
      </c>
      <c r="H5" s="18">
        <f>COUNTIFS('ENCUESTA CONDUCTORES'!$E$7:$E$459,"X",'ENCUESTA CONDUCTORES'!P$7:P$459,"X")</f>
        <v>8</v>
      </c>
      <c r="I5" s="18">
        <f>COUNTIFS('ENCUESTA CONDUCTORES'!$E7:$E459,"X",'ENCUESTA CONDUCTORES'!Q7:Q459,"X")</f>
        <v>16</v>
      </c>
      <c r="J5" s="18">
        <f>COUNTIFS('ENCUESTA CONDUCTORES'!$E7:$E459,"X",'ENCUESTA CONDUCTORES'!R7:R459,"X")</f>
        <v>3</v>
      </c>
      <c r="K5" s="18">
        <f>COUNTIFS('ENCUESTA CONDUCTORES'!$E7:$E459,"X",'ENCUESTA CONDUCTORES'!S7:S459,"X")</f>
        <v>39</v>
      </c>
      <c r="L5" s="18">
        <f>SUM(H5:K5)</f>
        <v>66</v>
      </c>
      <c r="N5" s="75" t="s">
        <v>1352</v>
      </c>
      <c r="O5" s="127">
        <f t="shared" ref="O5:O11" si="30">T5/$X$11</f>
        <v>1.7660044150110375E-2</v>
      </c>
      <c r="P5" s="127">
        <f t="shared" si="0"/>
        <v>1.3245033112582781E-2</v>
      </c>
      <c r="Q5" s="127">
        <f t="shared" si="1"/>
        <v>4.6357615894039736E-2</v>
      </c>
      <c r="R5" s="127">
        <f t="shared" si="2"/>
        <v>3.3112582781456956E-2</v>
      </c>
      <c r="S5" s="127">
        <f t="shared" si="3"/>
        <v>0.11037527593818984</v>
      </c>
      <c r="T5" s="90">
        <f>COUNTIFS('ENCUESTA CONDUCTORES'!E$7:E$459,"X",'ENCUESTA CONDUCTORES'!$W$7:$W$459,"X")+COUNTIFS('ENCUESTA CONDUCTORES'!E$7:E$459,"X",'ENCUESTA CONDUCTORES'!$AB$7:$AB$459,"X")+COUNTIFS('ENCUESTA CONDUCTORES'!E$7:E$459,"X",'ENCUESTA CONDUCTORES'!$AC$7:$AC$459,"X")</f>
        <v>8</v>
      </c>
      <c r="U5" s="90">
        <f>COUNTIFS('ENCUESTA CONDUCTORES'!F$7:F$459,"X",'ENCUESTA CONDUCTORES'!$W$7:$W$459,"X")+COUNTIFS('ENCUESTA CONDUCTORES'!F$7:F$459,"X",'ENCUESTA CONDUCTORES'!$AB$7:$AB$459,"X")+COUNTIFS('ENCUESTA CONDUCTORES'!F$7:F$459,"X",'ENCUESTA CONDUCTORES'!$AC$7:$AC$459,"X")</f>
        <v>6</v>
      </c>
      <c r="V5" s="90">
        <f>COUNTIFS('ENCUESTA CONDUCTORES'!G$7:G$459,"X",'ENCUESTA CONDUCTORES'!$W$7:$W$459,"X")+COUNTIFS('ENCUESTA CONDUCTORES'!G$7:G$459,"X",'ENCUESTA CONDUCTORES'!$AB$7:$AB$459,"X")+COUNTIFS('ENCUESTA CONDUCTORES'!G$7:G$459,"X",'ENCUESTA CONDUCTORES'!$AC$7:$AC$459,"X")</f>
        <v>21</v>
      </c>
      <c r="W5" s="90">
        <f>COUNTIFS('ENCUESTA CONDUCTORES'!H$7:H$459,"X",'ENCUESTA CONDUCTORES'!$W$7:$W$459,"X")+COUNTIFS('ENCUESTA CONDUCTORES'!H$7:H$459,"X",'ENCUESTA CONDUCTORES'!$AB$7:$AB$459,"X")+COUNTIFS('ENCUESTA CONDUCTORES'!H$7:H$459,"X",'ENCUESTA CONDUCTORES'!$AC$7:$AC$459,"X")</f>
        <v>15</v>
      </c>
      <c r="X5" s="19">
        <f t="shared" ref="X5:X10" si="31">SUM(T5:W5)</f>
        <v>50</v>
      </c>
      <c r="Z5" s="17" t="s">
        <v>23</v>
      </c>
      <c r="AA5" s="76">
        <f t="shared" ref="AA5:AE8" si="32">+AF5/$AJ$8</f>
        <v>0.18543046357615894</v>
      </c>
      <c r="AB5" s="76">
        <f t="shared" si="32"/>
        <v>0.18101545253863136</v>
      </c>
      <c r="AC5" s="76">
        <f t="shared" si="32"/>
        <v>2.6490066225165563E-2</v>
      </c>
      <c r="AD5" s="76">
        <f t="shared" si="32"/>
        <v>0.55187637969094927</v>
      </c>
      <c r="AE5" s="76">
        <f t="shared" si="32"/>
        <v>0.94481236203090513</v>
      </c>
      <c r="AF5" s="18">
        <f>COUNTIFS('ENCUESTA CONDUCTORES'!P$7:P$459,"X",'ENCUESTA CONDUCTORES'!$AL$7:$AL$459,"X")</f>
        <v>84</v>
      </c>
      <c r="AG5" s="18">
        <f>COUNTIFS('ENCUESTA CONDUCTORES'!Q$7:Q$459,"X",'ENCUESTA CONDUCTORES'!$AL$7:$AL$459,"X")</f>
        <v>82</v>
      </c>
      <c r="AH5" s="18">
        <f>COUNTIFS('ENCUESTA CONDUCTORES'!R$7:R$459,"X",'ENCUESTA CONDUCTORES'!$AL$7:$AL$459,"X")</f>
        <v>12</v>
      </c>
      <c r="AI5" s="18">
        <f>COUNTIFS('ENCUESTA CONDUCTORES'!S$7:S$459,"X",'ENCUESTA CONDUCTORES'!$AL$7:$AL$459,"X")</f>
        <v>250</v>
      </c>
      <c r="AJ5" s="18">
        <f>SUM(AF5:AI5)</f>
        <v>428</v>
      </c>
      <c r="AL5" s="11" t="s">
        <v>1297</v>
      </c>
      <c r="AM5" s="74">
        <f t="shared" ref="AM5:AM12" si="33">+AN5/$AN$12</f>
        <v>0.13348946135831383</v>
      </c>
      <c r="AN5" s="18">
        <f>COUNTIFS('ENCUESTA CONDUCTORES'!$AL$7:$AL$459,"X",'ENCUESTA CONDUCTORES'!$AX$7:$AX$459,"&lt;1.91")-AN4</f>
        <v>57</v>
      </c>
      <c r="BZ5" s="17" t="s">
        <v>1418</v>
      </c>
      <c r="CA5" s="74">
        <f t="shared" si="4"/>
        <v>0.13636363636363635</v>
      </c>
      <c r="CB5" s="74">
        <f t="shared" si="4"/>
        <v>4.5454545454545456E-2</v>
      </c>
      <c r="CC5" s="74">
        <f t="shared" si="4"/>
        <v>0</v>
      </c>
      <c r="CD5" s="74">
        <f t="shared" si="4"/>
        <v>0</v>
      </c>
      <c r="CE5" s="74">
        <f t="shared" si="4"/>
        <v>0.18181818181818182</v>
      </c>
      <c r="CF5" s="18">
        <f>COUNTIFS('ENCUESTA CONDUCTORES'!$AJ$7:$AJ$459,"X",'ENCUESTA CONDUCTORES'!P$7:P$459,"X",'ENCUESTA CONDUCTORES'!$AX$7:$AX$459,"&lt;2.51")-CF4</f>
        <v>3</v>
      </c>
      <c r="CG5" s="18">
        <f>COUNTIFS('ENCUESTA CONDUCTORES'!$AJ$7:$AJ$459,"X",'ENCUESTA CONDUCTORES'!Q$7:Q$459,"X",'ENCUESTA CONDUCTORES'!$AX$7:$AX$459,"&lt;2.51")-CG4</f>
        <v>1</v>
      </c>
      <c r="CH5" s="18">
        <f>COUNTIFS('ENCUESTA CONDUCTORES'!$AJ$7:$AJ$459,"X",'ENCUESTA CONDUCTORES'!R$7:R$459,"X",'ENCUESTA CONDUCTORES'!$AX$7:$AX$459,"&lt;2.51")-CH4</f>
        <v>0</v>
      </c>
      <c r="CI5" s="18">
        <f>COUNTIFS('ENCUESTA CONDUCTORES'!$AJ$7:$AJ$459,"X",'ENCUESTA CONDUCTORES'!S$7:S$459,"X",'ENCUESTA CONDUCTORES'!$AX$7:$AX$459,"&lt;2.51")-CI4</f>
        <v>0</v>
      </c>
      <c r="CJ5" s="18">
        <f t="shared" ref="CJ5:CJ10" si="34">SUM(CF5:CI5)</f>
        <v>4</v>
      </c>
      <c r="CL5" s="17" t="s">
        <v>1424</v>
      </c>
      <c r="CM5" s="74">
        <f t="shared" ref="CM5:CM10" si="35">+CR5/$CV$11</f>
        <v>4.4150110375275938E-3</v>
      </c>
      <c r="CN5" s="74">
        <f t="shared" si="5"/>
        <v>2.2075055187637969E-3</v>
      </c>
      <c r="CO5" s="74">
        <f t="shared" si="6"/>
        <v>0</v>
      </c>
      <c r="CP5" s="74">
        <f t="shared" si="7"/>
        <v>1.3245033112582781E-2</v>
      </c>
      <c r="CQ5" s="74">
        <f t="shared" si="8"/>
        <v>1.9867549668874173E-2</v>
      </c>
      <c r="CR5" s="18">
        <f>COUNTIFS('ENCUESTA CONDUCTORES'!P$7:P$459,"X",'ENCUESTA CONDUCTORES'!$DE$7:$DE$459,"&lt;1994")-CR4</f>
        <v>2</v>
      </c>
      <c r="CS5" s="18">
        <f>COUNTIFS('ENCUESTA CONDUCTORES'!Q$7:Q$459,"X",'ENCUESTA CONDUCTORES'!$DE$7:$DE$459,"&lt;1994")-CS4</f>
        <v>1</v>
      </c>
      <c r="CT5" s="18">
        <f>COUNTIFS('ENCUESTA CONDUCTORES'!R$7:R$459,"X",'ENCUESTA CONDUCTORES'!$DE$7:$DE$459,"&lt;1994")-CT4</f>
        <v>0</v>
      </c>
      <c r="CU5" s="18">
        <f>COUNTIFS('ENCUESTA CONDUCTORES'!S$7:S$459,"X",'ENCUESTA CONDUCTORES'!$DE$7:$DE$459,"&lt;1994")-CU4</f>
        <v>6</v>
      </c>
      <c r="CV5" s="18">
        <f t="shared" ref="CV5:CV11" si="36">SUM(CR5:CU5)</f>
        <v>9</v>
      </c>
      <c r="CX5" s="11" t="s">
        <v>1296</v>
      </c>
      <c r="CY5" s="74">
        <f t="shared" ref="CY5:CY13" si="37">+DG5/$DN$13</f>
        <v>1.405152224824356E-2</v>
      </c>
      <c r="CZ5" s="74">
        <f t="shared" ref="CZ5:CZ13" si="38">+DH5/$DN$13</f>
        <v>0</v>
      </c>
      <c r="DA5" s="74">
        <f t="shared" ref="DA5:DA13" si="39">+DI5/$DN$13</f>
        <v>2.34192037470726E-3</v>
      </c>
      <c r="DB5" s="74">
        <f t="shared" ref="DB5:DB13" si="40">+DJ5/$DN$13</f>
        <v>1.6393442622950821E-2</v>
      </c>
      <c r="DC5" s="74">
        <f t="shared" ref="DC5:DC13" si="41">+DK5/$DN$13</f>
        <v>9.3676814988290398E-3</v>
      </c>
      <c r="DD5" s="74">
        <f t="shared" ref="DD5:DD13" si="42">+DL5/$DN$13</f>
        <v>2.1077283372365339E-2</v>
      </c>
      <c r="DE5" s="74">
        <f t="shared" ref="DE5:DE13" si="43">+DM5/$DN$13</f>
        <v>1.1709601873536301E-2</v>
      </c>
      <c r="DF5" s="74">
        <f t="shared" ref="DF5:DF13" si="44">+DN5/$DN$13</f>
        <v>7.4941451990632318E-2</v>
      </c>
      <c r="DG5" s="18">
        <f>COUNTIFS('ENCUESTA CONDUCTORES'!$AL$7:$AL$459,"X",'ENCUESTA CONDUCTORES'!$DE$7:$DE$459,"&lt;1991",'ENCUESTA CONDUCTORES'!$AX$7:$AX$459,"&lt;1.6")</f>
        <v>6</v>
      </c>
      <c r="DH5" s="18">
        <f>COUNTIFS('ENCUESTA CONDUCTORES'!$AL$7:$AL$459,"X",'ENCUESTA CONDUCTORES'!$DE$7:$DE$459,"&lt;1994",'ENCUESTA CONDUCTORES'!$AX$7:$AX$459,"&lt;1.6")-DG5</f>
        <v>0</v>
      </c>
      <c r="DI5" s="18">
        <f>COUNTIFS('ENCUESTA CONDUCTORES'!$AL$7:$AL$459,"X",'ENCUESTA CONDUCTORES'!$DE$7:$DE$459,"&lt;1998",'ENCUESTA CONDUCTORES'!$AX$7:$AX$459,"&lt;1.6")-DH5-DG5</f>
        <v>1</v>
      </c>
      <c r="DJ5" s="18">
        <f>COUNTIFS('ENCUESTA CONDUCTORES'!$AL$7:$AL$459,"X",'ENCUESTA CONDUCTORES'!$DE$7:$DE$459,"&lt;2004",'ENCUESTA CONDUCTORES'!$AX$7:$AX$459,"&lt;1.6")-DI5-DH5-DG5</f>
        <v>7</v>
      </c>
      <c r="DK5" s="18">
        <f>COUNTIFS('ENCUESTA CONDUCTORES'!$AL$7:$AL$459,"X",'ENCUESTA CONDUCTORES'!$DE$7:$DE$459,"&lt;2007",'ENCUESTA CONDUCTORES'!$AX$7:$AX$459,"&lt;1.6")-DJ5-DI5-DH5-DG5</f>
        <v>4</v>
      </c>
      <c r="DL5" s="18">
        <f>COUNTIFS('ENCUESTA CONDUCTORES'!$AL$7:$AL$459,"X",'ENCUESTA CONDUCTORES'!$DE$7:$DE$459,"&lt;2011",'ENCUESTA CONDUCTORES'!$AX$7:$AX$459,"&lt;1.6")-DK5-DJ5-DI5-DH5-DG5</f>
        <v>9</v>
      </c>
      <c r="DM5" s="18">
        <f>COUNTIFS('ENCUESTA CONDUCTORES'!$AL$7:$AL$459,"X",'ENCUESTA CONDUCTORES'!$DE$7:$DE$459,"&gt;2010",'ENCUESTA CONDUCTORES'!$AX$7:$AX$459,"&lt;1.6")</f>
        <v>5</v>
      </c>
      <c r="DN5" s="18">
        <f>SUM(DG5:DM5)</f>
        <v>32</v>
      </c>
      <c r="DP5" s="18" t="s">
        <v>468</v>
      </c>
      <c r="DQ5" s="74">
        <f>DY5/$EF$12</f>
        <v>0</v>
      </c>
      <c r="DR5" s="74">
        <f t="shared" ref="DR5:DR12" si="45">DZ5/$EF$12</f>
        <v>0</v>
      </c>
      <c r="DS5" s="74">
        <f t="shared" ref="DS5:DS12" si="46">EA5/$EF$12</f>
        <v>2.5316455696202532E-3</v>
      </c>
      <c r="DT5" s="74">
        <f t="shared" ref="DT5:DT12" si="47">EB5/$EF$12</f>
        <v>0</v>
      </c>
      <c r="DU5" s="74">
        <f t="shared" ref="DU5:DU12" si="48">EC5/$EF$12</f>
        <v>0</v>
      </c>
      <c r="DV5" s="74">
        <f t="shared" ref="DV5:DV12" si="49">ED5/$EF$12</f>
        <v>3.5443037974683546E-2</v>
      </c>
      <c r="DW5" s="74">
        <f t="shared" ref="DW5:DW12" si="50">EE5/$EF$12</f>
        <v>6.3291139240506333E-2</v>
      </c>
      <c r="DX5" s="74">
        <f t="shared" ref="DX5:DX12" si="51">EF5/$EF$12</f>
        <v>0.10126582278481013</v>
      </c>
      <c r="DY5" s="18">
        <f>COUNTIFS('ENCUESTA CONDUCTORES'!$AI$7:$AI$459,"&lt;250000",'ENCUESTA CONDUCTORES'!$AH$7:$AH$459,"&lt;1991")</f>
        <v>0</v>
      </c>
      <c r="DZ5" s="19">
        <f>COUNTIFS('ENCUESTA CONDUCTORES'!$AI$7:$AI$459,"&lt;250000",'ENCUESTA CONDUCTORES'!$AH$7:$AH$459,"&lt;1994")-DY5</f>
        <v>0</v>
      </c>
      <c r="EA5" s="19">
        <f>COUNTIFS('ENCUESTA CONDUCTORES'!$AI$7:$AI$459,"&lt;250000",'ENCUESTA CONDUCTORES'!$AH$7:$AH$459,"&lt;1998")-DZ5-DY5</f>
        <v>1</v>
      </c>
      <c r="EB5" s="19">
        <f>COUNTIFS('ENCUESTA CONDUCTORES'!$AI$7:$AI$459,"&lt;250000",'ENCUESTA CONDUCTORES'!$AH$7:$AH$459,"&lt;2004")-EA5-DZ5-DY5</f>
        <v>0</v>
      </c>
      <c r="EC5" s="19">
        <f>COUNTIFS('ENCUESTA CONDUCTORES'!$AI$7:$AI$459,"&lt;250000",'ENCUESTA CONDUCTORES'!$AH$7:$AH$459,"&lt;2007")-EB5-EA5-DZ5-DY5</f>
        <v>0</v>
      </c>
      <c r="ED5" s="19">
        <f>COUNTIFS('ENCUESTA CONDUCTORES'!$AI$7:$AI$459,"&lt;250000",'ENCUESTA CONDUCTORES'!$AH$7:$AH$459,"&lt;2011")-EC5-EB5-EA5-DZ5-DY5</f>
        <v>14</v>
      </c>
      <c r="EE5" s="19">
        <f>COUNTIFS('ENCUESTA CONDUCTORES'!$AI$7:$AI$459,"&lt;250000",'ENCUESTA CONDUCTORES'!$AH$7:$AH$459,"&gt;2010")</f>
        <v>25</v>
      </c>
      <c r="EF5" s="18">
        <f>SUM(DY5:EE5)</f>
        <v>40</v>
      </c>
      <c r="EH5" s="17" t="s">
        <v>1468</v>
      </c>
      <c r="EI5" s="74">
        <f>+EQ5/$EX$11</f>
        <v>1.3245033112582781E-2</v>
      </c>
      <c r="EJ5" s="74">
        <f t="shared" ref="EJ5:EJ11" si="52">+ER5/$EX$11</f>
        <v>0</v>
      </c>
      <c r="EK5" s="74">
        <f t="shared" ref="EK5:EK11" si="53">+ES5/$EX$11</f>
        <v>6.6225165562913907E-3</v>
      </c>
      <c r="EL5" s="74">
        <f t="shared" ref="EL5:EL11" si="54">+ET5/$EX$11</f>
        <v>1.9867549668874173E-2</v>
      </c>
      <c r="EM5" s="74">
        <f t="shared" ref="EM5:EM11" si="55">+EU5/$EX$11</f>
        <v>6.6225165562913907E-3</v>
      </c>
      <c r="EN5" s="74">
        <f t="shared" ref="EN5:EN11" si="56">+EV5/$EX$11</f>
        <v>1.7660044150110375E-2</v>
      </c>
      <c r="EO5" s="74">
        <f t="shared" ref="EO5:EO11" si="57">+EW5/$EX$11</f>
        <v>1.7660044150110375E-2</v>
      </c>
      <c r="EP5" s="74">
        <f t="shared" ref="EP5:EP11" si="58">+EX5/$EX$11</f>
        <v>8.1677704194260486E-2</v>
      </c>
      <c r="EQ5" s="18">
        <f>COUNTIFS('ENCUESTA CONDUCTORES'!$DE$7:$DE$459,"&lt;1991",'ENCUESTA CONDUCTORES'!$AU$7:$AU$459,"&lt;2500")</f>
        <v>6</v>
      </c>
      <c r="ER5" s="18">
        <f>COUNTIFS('ENCUESTA CONDUCTORES'!$DE$7:$DE$459,"&lt;1994",'ENCUESTA CONDUCTORES'!$AU$7:$AU$459,"&lt;2500")-EQ5</f>
        <v>0</v>
      </c>
      <c r="ES5" s="18">
        <f>COUNTIFS('ENCUESTA CONDUCTORES'!$DE$7:$DE$459,"&lt;1998",'ENCUESTA CONDUCTORES'!$AU$7:$AU$459,"&lt;2500")-ER5-EQ5</f>
        <v>3</v>
      </c>
      <c r="ET5" s="18">
        <f>COUNTIFS('ENCUESTA CONDUCTORES'!$DE$7:$DE$459,"&lt;2004",'ENCUESTA CONDUCTORES'!$AU$7:$AU$459,"&lt;2500")-ES5-ER5-EQ5</f>
        <v>9</v>
      </c>
      <c r="EU5" s="18">
        <f>COUNTIFS('ENCUESTA CONDUCTORES'!$DE$7:$DE$459,"&lt;2007",'ENCUESTA CONDUCTORES'!$AU$7:$AU$459,"&lt;2500")-ET5-ES5-ER5-EQ5</f>
        <v>3</v>
      </c>
      <c r="EV5" s="18">
        <f>COUNTIFS('ENCUESTA CONDUCTORES'!$DE$7:$DE$459,"&lt;2011",'ENCUESTA CONDUCTORES'!$AU$7:$AU$459,"&lt;2500")-EU5-ET5-ES5-ER5-EQ5</f>
        <v>8</v>
      </c>
      <c r="EW5" s="18">
        <f>COUNTIFS('ENCUESTA CONDUCTORES'!$DE$7:$DE$459,"&gt;2010",'ENCUESTA CONDUCTORES'!$AU$7:$AU$459,"&lt;2500")</f>
        <v>8</v>
      </c>
      <c r="EX5" s="18">
        <f t="shared" ref="EX5:EX11" si="59">SUM(EQ5:EW5)</f>
        <v>37</v>
      </c>
      <c r="EZ5" s="87" t="s">
        <v>1484</v>
      </c>
      <c r="FA5" s="74">
        <f>+FF5/$FJ$14</f>
        <v>6.4017660044150104E-2</v>
      </c>
      <c r="FB5" s="74">
        <f t="shared" ref="FB5:FB13" si="60">+FG5/$FJ$14</f>
        <v>0.11699779249448124</v>
      </c>
      <c r="FC5" s="74">
        <f t="shared" ref="FC5:FC13" si="61">+FH5/$FJ$14</f>
        <v>0.27152317880794702</v>
      </c>
      <c r="FD5" s="74">
        <f t="shared" ref="FD5:FD13" si="62">+FI5/$FJ$14</f>
        <v>0.14569536423841059</v>
      </c>
      <c r="FE5" s="74">
        <f t="shared" ref="FE5:FE13" si="63">+FJ5/$FJ$14</f>
        <v>0.59823399558498891</v>
      </c>
      <c r="FF5" s="18">
        <f>COUNTIFS('ENCUESTA CONDUCTORES'!E$7:E$459,"X",'ENCUESTA CONDUCTORES'!$AV$7:$AV$459,"50%")</f>
        <v>29</v>
      </c>
      <c r="FG5" s="18">
        <f>COUNTIFS('ENCUESTA CONDUCTORES'!F$7:F$459,"X",'ENCUESTA CONDUCTORES'!$AV$7:$AV$459,"50%")</f>
        <v>53</v>
      </c>
      <c r="FH5" s="18">
        <f>COUNTIFS('ENCUESTA CONDUCTORES'!G$7:G$459,"X",'ENCUESTA CONDUCTORES'!$AV$7:$AV$459,"50%")</f>
        <v>123</v>
      </c>
      <c r="FI5" s="18">
        <f>COUNTIFS('ENCUESTA CONDUCTORES'!H$7:H$459,"X",'ENCUESTA CONDUCTORES'!$AV$7:$AV$459,"50%")</f>
        <v>66</v>
      </c>
      <c r="FJ5" s="18">
        <f>SUM(FF5:FI5)</f>
        <v>271</v>
      </c>
      <c r="FL5" s="75" t="s">
        <v>502</v>
      </c>
      <c r="FM5" s="18">
        <f>COUNTIFS('ENCUESTA CONDUCTORES'!P$7:P$459,"X",'ENCUESTA CONDUCTORES'!$BT$7:$BT$459,"X")</f>
        <v>2</v>
      </c>
      <c r="FN5" s="18">
        <f>COUNTIFS('ENCUESTA CONDUCTORES'!Q$7:Q$459,"X",'ENCUESTA CONDUCTORES'!$BT$7:$BT$459,"X")</f>
        <v>8</v>
      </c>
      <c r="FO5" s="18">
        <f>COUNTIFS('ENCUESTA CONDUCTORES'!R$7:R$459,"X",'ENCUESTA CONDUCTORES'!$BT$7:$BT$459,"X")</f>
        <v>0</v>
      </c>
      <c r="FP5" s="18">
        <f>COUNTIFS('ENCUESTA CONDUCTORES'!S$7:S$459,"X",'ENCUESTA CONDUCTORES'!$BT$7:$BT$459,"X")</f>
        <v>5</v>
      </c>
      <c r="FQ5" s="18">
        <f>SUM(FM5:FP5)</f>
        <v>15</v>
      </c>
      <c r="FT5" s="17" t="s">
        <v>1470</v>
      </c>
      <c r="FU5" s="74">
        <f t="shared" si="9"/>
        <v>0.15094339622641509</v>
      </c>
      <c r="FV5" s="18">
        <f>COUNTIFS('ENCUESTA CONDUCTORES'!$P$7:$P$459,"X",'ENCUESTA CONDUCTORES'!$AU$7:$AU$459,"&lt;7501")-FV4-FV3</f>
        <v>16</v>
      </c>
      <c r="GA5" s="17" t="s">
        <v>1424</v>
      </c>
      <c r="GB5" s="74">
        <f t="shared" ref="GB5:GB11" si="64">+GJ5/$GQ$11</f>
        <v>4.464285714285714E-3</v>
      </c>
      <c r="GC5" s="74">
        <f t="shared" si="10"/>
        <v>6.6964285714285711E-3</v>
      </c>
      <c r="GD5" s="74">
        <f t="shared" si="11"/>
        <v>6.6964285714285711E-3</v>
      </c>
      <c r="GE5" s="74">
        <f t="shared" si="12"/>
        <v>2.232142857142857E-3</v>
      </c>
      <c r="GF5" s="74">
        <f t="shared" si="13"/>
        <v>0</v>
      </c>
      <c r="GG5" s="74">
        <f t="shared" si="14"/>
        <v>0</v>
      </c>
      <c r="GH5" s="74">
        <f t="shared" si="15"/>
        <v>0</v>
      </c>
      <c r="GI5" s="74">
        <f t="shared" si="16"/>
        <v>2.0089285714285716E-2</v>
      </c>
      <c r="GJ5" s="18">
        <f>COUNTIFS('ENCUESTA CONDUCTORES'!$DE$7:$DE$459,"&lt;1994",'ENCUESTA CONDUCTORES'!$BE$7:$BE$459,"&lt;10000")-GJ4</f>
        <v>2</v>
      </c>
      <c r="GK5" s="18">
        <f>COUNTIFS('ENCUESTA CONDUCTORES'!$DE$7:$DE$459,"&lt;1994",'ENCUESTA CONDUCTORES'!$BE$7:$BE$459,"&lt;15001")-GJ5-GK4-GJ4</f>
        <v>3</v>
      </c>
      <c r="GL5" s="18">
        <f>COUNTIFS('ENCUESTA CONDUCTORES'!$DE$7:$DE$459,"&lt;1994",'ENCUESTA CONDUCTORES'!$BE$7:$BE$459,"&lt;20001")-GK5-GJ5-GL4-GK4-GJ4</f>
        <v>3</v>
      </c>
      <c r="GM5" s="18">
        <f>COUNTIFS('ENCUESTA CONDUCTORES'!$DE$7:$DE$459,"&lt;1994",'ENCUESTA CONDUCTORES'!$BE$7:$BE$459,"&lt;25001")-GL5-GK5-GJ5-GM4-GL4-GK4-GJ4</f>
        <v>1</v>
      </c>
      <c r="GN5" s="18">
        <f>COUNTIFS('ENCUESTA CONDUCTORES'!$DE$7:$DE$459,"&lt;1994",'ENCUESTA CONDUCTORES'!$BE$7:$BE$459,"&lt;30001")-GM5-GL5-GK5-GJ5-GN4-GM4-GL4-GK4-GJ4</f>
        <v>0</v>
      </c>
      <c r="GO5" s="18">
        <f>COUNTIFS('ENCUESTA CONDUCTORES'!$DE$7:$DE$459,"&lt;1994",'ENCUESTA CONDUCTORES'!$BE$7:$BE$459,"&lt;40001")-GN5-GM5-GL5-GK5-GJ5-GO4-GN4-GM4-GL4-GK4-GJ4</f>
        <v>0</v>
      </c>
      <c r="GP5" s="18">
        <f>COUNTIFS('ENCUESTA CONDUCTORES'!$DE$7:$DE$459,"&lt;1994",'ENCUESTA CONDUCTORES'!$BE$7:$BE$459,"&gt;40000")-GP4</f>
        <v>0</v>
      </c>
      <c r="GQ5" s="18">
        <f t="shared" si="17"/>
        <v>9</v>
      </c>
      <c r="GS5" s="17" t="s">
        <v>504</v>
      </c>
      <c r="GT5" s="74">
        <f t="shared" ref="GT5:GT8" si="65">+GY5/$HC$8</f>
        <v>2.0316027088036117E-2</v>
      </c>
      <c r="GU5" s="74">
        <f t="shared" si="18"/>
        <v>1.8058690744920992E-2</v>
      </c>
      <c r="GV5" s="74">
        <f t="shared" si="19"/>
        <v>4.0632054176072234E-2</v>
      </c>
      <c r="GW5" s="74">
        <f t="shared" si="20"/>
        <v>3.160270880361174E-2</v>
      </c>
      <c r="GX5" s="74">
        <f t="shared" si="21"/>
        <v>0.11060948081264109</v>
      </c>
      <c r="GY5" s="18">
        <f>COUNTIFS('ENCUESTA CONDUCTORES'!$E$7:$E$459,"X",'ENCUESTA CONDUCTORES'!$BY$7:$BY$459,"1")</f>
        <v>9</v>
      </c>
      <c r="GZ5" s="18">
        <f>COUNTIFS('ENCUESTA CONDUCTORES'!$F$7:$F$459,"X",'ENCUESTA CONDUCTORES'!$BY$7:$BY$459,"1")</f>
        <v>8</v>
      </c>
      <c r="HA5" s="18">
        <f>COUNTIFS('ENCUESTA CONDUCTORES'!$G$7:$G$459,"X",'ENCUESTA CONDUCTORES'!$BY$7:$BY$459,"1")</f>
        <v>18</v>
      </c>
      <c r="HB5" s="18">
        <f>COUNTIFS('ENCUESTA CONDUCTORES'!$H$7:$H$459,"X",'ENCUESTA CONDUCTORES'!$BY$7:$BY$459,"1")</f>
        <v>14</v>
      </c>
      <c r="HC5" s="18">
        <f>SUM(GY5:HB5)</f>
        <v>49</v>
      </c>
      <c r="HE5" s="17" t="s">
        <v>1547</v>
      </c>
      <c r="HF5" s="74">
        <f t="shared" ref="HF5:HF9" si="66">+HK5/$HO$9</f>
        <v>8.8300220750551876E-3</v>
      </c>
      <c r="HG5" s="74">
        <f t="shared" si="22"/>
        <v>1.5452538631346579E-2</v>
      </c>
      <c r="HH5" s="74">
        <f t="shared" si="23"/>
        <v>2.6490066225165563E-2</v>
      </c>
      <c r="HI5" s="74">
        <f t="shared" si="24"/>
        <v>2.8697571743929361E-2</v>
      </c>
      <c r="HJ5" s="74">
        <f t="shared" si="25"/>
        <v>7.9470198675496692E-2</v>
      </c>
      <c r="HK5" s="18">
        <f>COUNTIFS('ENCUESTA CONDUCTORES'!$E$7:$E$459,"X",'ENCUESTA CONDUCTORES'!$AV$7:$AV$459,"&lt;50%")-HK6-HK7-HK8</f>
        <v>4</v>
      </c>
      <c r="HL5" s="18">
        <f>COUNTIFS('ENCUESTA CONDUCTORES'!$F$7:$F$459,"X",'ENCUESTA CONDUCTORES'!$AV$7:$AV$459,"&lt;50%")-HL6-HL7-HL8</f>
        <v>7</v>
      </c>
      <c r="HM5" s="18">
        <f>COUNTIFS('ENCUESTA CONDUCTORES'!$G$7:$G$459,"X",'ENCUESTA CONDUCTORES'!$AV$7:$AV$459,"&lt;50%")-HM6-HM7-HM8</f>
        <v>12</v>
      </c>
      <c r="HN5" s="18">
        <f>COUNTIFS('ENCUESTA CONDUCTORES'!$H$7:$H$459,"X",'ENCUESTA CONDUCTORES'!$AV$7:$AV$459,"&lt;50%")-HN6-HN7-HN8</f>
        <v>13</v>
      </c>
      <c r="HO5" s="18">
        <f t="shared" ref="HO5:HO9" si="67">SUM(HK5:HN5)</f>
        <v>36</v>
      </c>
    </row>
    <row r="6" spans="1:223" x14ac:dyDescent="0.25">
      <c r="B6" s="17" t="s">
        <v>426</v>
      </c>
      <c r="C6" s="74">
        <f t="shared" ref="C6:C9" si="68">H6/$L$9</f>
        <v>6.4017660044150104E-2</v>
      </c>
      <c r="D6" s="74">
        <f t="shared" si="26"/>
        <v>2.6490066225165563E-2</v>
      </c>
      <c r="E6" s="74">
        <f t="shared" si="27"/>
        <v>4.4150110375275938E-3</v>
      </c>
      <c r="F6" s="74">
        <f t="shared" si="28"/>
        <v>8.3885209713024281E-2</v>
      </c>
      <c r="G6" s="74">
        <f t="shared" si="29"/>
        <v>0.17880794701986755</v>
      </c>
      <c r="H6" s="18">
        <f>COUNTIFS('ENCUESTA CONDUCTORES'!$F$7:$F$459,"X",'ENCUESTA CONDUCTORES'!P$7:P$459,"X")</f>
        <v>29</v>
      </c>
      <c r="I6" s="18">
        <f>COUNTIFS('ENCUESTA CONDUCTORES'!$F$7:$F$459,"X",'ENCUESTA CONDUCTORES'!Q$7:Q$459,"X")</f>
        <v>12</v>
      </c>
      <c r="J6" s="18">
        <f>COUNTIFS('ENCUESTA CONDUCTORES'!$F$7:$F$459,"X",'ENCUESTA CONDUCTORES'!R$7:R$459,"X")</f>
        <v>2</v>
      </c>
      <c r="K6" s="18">
        <f>COUNTIFS('ENCUESTA CONDUCTORES'!$F$7:$F$459,"X",'ENCUESTA CONDUCTORES'!S$7:S$459,"X")</f>
        <v>38</v>
      </c>
      <c r="L6" s="18">
        <f t="shared" ref="L6:L8" si="69">SUM(H6:K6)</f>
        <v>81</v>
      </c>
      <c r="N6" s="75" t="s">
        <v>13</v>
      </c>
      <c r="O6" s="127">
        <f t="shared" si="30"/>
        <v>1.7660044150110375E-2</v>
      </c>
      <c r="P6" s="127">
        <f t="shared" si="0"/>
        <v>1.5452538631346579E-2</v>
      </c>
      <c r="Q6" s="127">
        <f t="shared" si="1"/>
        <v>3.5320088300220751E-2</v>
      </c>
      <c r="R6" s="127">
        <f t="shared" si="2"/>
        <v>3.3112582781456956E-2</v>
      </c>
      <c r="S6" s="127">
        <f t="shared" si="3"/>
        <v>0.10154525386313466</v>
      </c>
      <c r="T6" s="90">
        <f>COUNTIFS('ENCUESTA CONDUCTORES'!E$7:E$459,"X",'ENCUESTA CONDUCTORES'!$V$7:$V$459,"X")+COUNTIFS('ENCUESTA CONDUCTORES'!E$7:E$459,"X",'ENCUESTA CONDUCTORES'!$X$7:$X$459,"X")</f>
        <v>8</v>
      </c>
      <c r="U6" s="90">
        <f>COUNTIFS('ENCUESTA CONDUCTORES'!F$7:F$459,"X",'ENCUESTA CONDUCTORES'!$V$7:$V$459,"X")+COUNTIFS('ENCUESTA CONDUCTORES'!F$7:F$459,"X",'ENCUESTA CONDUCTORES'!$X$7:$X$459,"X")</f>
        <v>7</v>
      </c>
      <c r="V6" s="90">
        <f>COUNTIFS('ENCUESTA CONDUCTORES'!G$7:G$459,"X",'ENCUESTA CONDUCTORES'!$V$7:$V$459,"X")+COUNTIFS('ENCUESTA CONDUCTORES'!G$7:G$459,"X",'ENCUESTA CONDUCTORES'!$X$7:$X$459,"X")</f>
        <v>16</v>
      </c>
      <c r="W6" s="90">
        <f>COUNTIFS('ENCUESTA CONDUCTORES'!H$7:H$459,"X",'ENCUESTA CONDUCTORES'!$V$7:$V$459,"X")+COUNTIFS('ENCUESTA CONDUCTORES'!H$7:H$459,"X",'ENCUESTA CONDUCTORES'!$X$7:$X$459,"X")</f>
        <v>15</v>
      </c>
      <c r="X6" s="19">
        <f t="shared" si="31"/>
        <v>46</v>
      </c>
      <c r="Z6" s="17" t="s">
        <v>21</v>
      </c>
      <c r="AA6" s="76">
        <f t="shared" si="32"/>
        <v>4.194260485651214E-2</v>
      </c>
      <c r="AB6" s="76">
        <f t="shared" si="32"/>
        <v>4.4150110375275938E-3</v>
      </c>
      <c r="AC6" s="76">
        <f t="shared" si="32"/>
        <v>2.2075055187637969E-3</v>
      </c>
      <c r="AD6" s="76">
        <f t="shared" si="32"/>
        <v>0</v>
      </c>
      <c r="AE6" s="76">
        <f t="shared" si="32"/>
        <v>4.856512141280353E-2</v>
      </c>
      <c r="AF6" s="18">
        <f>COUNTIFS('ENCUESTA CONDUCTORES'!P$7:P$459,"X",'ENCUESTA CONDUCTORES'!$AJ$7:$AJ$459,"X")</f>
        <v>19</v>
      </c>
      <c r="AG6" s="18">
        <f>COUNTIFS('ENCUESTA CONDUCTORES'!Q$7:Q$459,"X",'ENCUESTA CONDUCTORES'!$AJ$7:$AJ$459,"X")</f>
        <v>2</v>
      </c>
      <c r="AH6" s="18">
        <f>COUNTIFS('ENCUESTA CONDUCTORES'!R$7:R$459,"X",'ENCUESTA CONDUCTORES'!$AJ$7:$AJ$459,"X")</f>
        <v>1</v>
      </c>
      <c r="AI6" s="18">
        <f>COUNTIFS('ENCUESTA CONDUCTORES'!S$7:S$459,"X",'ENCUESTA CONDUCTORES'!$AJ$7:$AJ$459,"X")</f>
        <v>0</v>
      </c>
      <c r="AJ6" s="18">
        <f>SUM(AF6:AI6)</f>
        <v>22</v>
      </c>
      <c r="AL6" s="11" t="s">
        <v>1298</v>
      </c>
      <c r="AM6" s="74">
        <f t="shared" si="33"/>
        <v>9.3676814988290405E-2</v>
      </c>
      <c r="AN6" s="18">
        <f>COUNTIFS('ENCUESTA CONDUCTORES'!$AL$7:$AL$459,"X",'ENCUESTA CONDUCTORES'!$AX$7:$AX$459,"&lt;2.01")-AN5-AN4</f>
        <v>40</v>
      </c>
      <c r="BZ6" s="17" t="s">
        <v>1419</v>
      </c>
      <c r="CA6" s="74">
        <f t="shared" si="4"/>
        <v>9.0909090909090912E-2</v>
      </c>
      <c r="CB6" s="74">
        <f t="shared" si="4"/>
        <v>4.5454545454545456E-2</v>
      </c>
      <c r="CC6" s="74">
        <f t="shared" si="4"/>
        <v>0</v>
      </c>
      <c r="CD6" s="74">
        <f t="shared" si="4"/>
        <v>0</v>
      </c>
      <c r="CE6" s="74">
        <f t="shared" si="4"/>
        <v>0.13636363636363635</v>
      </c>
      <c r="CF6" s="18">
        <f>COUNTIFS('ENCUESTA CONDUCTORES'!$AJ$7:$AJ$459,"X",'ENCUESTA CONDUCTORES'!P$7:P$459,"X",'ENCUESTA CONDUCTORES'!$AX$7:$AX$459,"&lt;3.511")-CF5-CF4</f>
        <v>2</v>
      </c>
      <c r="CG6" s="18">
        <f>COUNTIFS('ENCUESTA CONDUCTORES'!$AJ$7:$AJ$459,"X",'ENCUESTA CONDUCTORES'!Q$7:Q$459,"X",'ENCUESTA CONDUCTORES'!$AX$7:$AX$459,"&lt;3.511")-CG5-CG4</f>
        <v>1</v>
      </c>
      <c r="CH6" s="18">
        <f>COUNTIFS('ENCUESTA CONDUCTORES'!$AJ$7:$AJ$459,"X",'ENCUESTA CONDUCTORES'!R$7:R$459,"X",'ENCUESTA CONDUCTORES'!$AX$7:$AX$459,"&lt;3.511")-CH5-CH4</f>
        <v>0</v>
      </c>
      <c r="CI6" s="18">
        <f>COUNTIFS('ENCUESTA CONDUCTORES'!$AJ$7:$AJ$459,"X",'ENCUESTA CONDUCTORES'!S$7:S$459,"X",'ENCUESTA CONDUCTORES'!$AX$7:$AX$459,"&lt;3.511")-CI5-CI4</f>
        <v>0</v>
      </c>
      <c r="CJ6" s="18">
        <f t="shared" si="34"/>
        <v>3</v>
      </c>
      <c r="CL6" s="17" t="s">
        <v>1425</v>
      </c>
      <c r="CM6" s="74">
        <f t="shared" si="35"/>
        <v>2.4282560706401765E-2</v>
      </c>
      <c r="CN6" s="74">
        <f t="shared" si="5"/>
        <v>3.3112582781456956E-2</v>
      </c>
      <c r="CO6" s="74">
        <f t="shared" si="6"/>
        <v>2.2075055187637969E-3</v>
      </c>
      <c r="CP6" s="74">
        <f t="shared" si="7"/>
        <v>2.6490066225165563E-2</v>
      </c>
      <c r="CQ6" s="74">
        <f t="shared" si="8"/>
        <v>8.6092715231788075E-2</v>
      </c>
      <c r="CR6" s="18">
        <f>COUNTIFS('ENCUESTA CONDUCTORES'!P$7:P$459,"X",'ENCUESTA CONDUCTORES'!$DE$7:$DE$459,"&lt;1998")-CR5-CR4</f>
        <v>11</v>
      </c>
      <c r="CS6" s="18">
        <f>COUNTIFS('ENCUESTA CONDUCTORES'!Q$7:Q$459,"X",'ENCUESTA CONDUCTORES'!$DE$7:$DE$459,"&lt;1998")-CS5-CS4</f>
        <v>15</v>
      </c>
      <c r="CT6" s="18">
        <f>COUNTIFS('ENCUESTA CONDUCTORES'!R$7:R$459,"X",'ENCUESTA CONDUCTORES'!$DE$7:$DE$459,"&lt;1998")-CT5-CT4</f>
        <v>1</v>
      </c>
      <c r="CU6" s="18">
        <f>COUNTIFS('ENCUESTA CONDUCTORES'!S$7:S$459,"X",'ENCUESTA CONDUCTORES'!$DE$7:$DE$459,"&lt;1998")-CU5-CU4</f>
        <v>12</v>
      </c>
      <c r="CV6" s="18">
        <f t="shared" si="36"/>
        <v>39</v>
      </c>
      <c r="CX6" s="11" t="s">
        <v>1297</v>
      </c>
      <c r="CY6" s="74">
        <f t="shared" si="37"/>
        <v>3.7470725995316159E-2</v>
      </c>
      <c r="CZ6" s="74">
        <f t="shared" si="38"/>
        <v>7.0257611241217799E-3</v>
      </c>
      <c r="DA6" s="74">
        <f t="shared" si="39"/>
        <v>1.405152224824356E-2</v>
      </c>
      <c r="DB6" s="74">
        <f t="shared" si="40"/>
        <v>4.2154566744730677E-2</v>
      </c>
      <c r="DC6" s="74">
        <f t="shared" si="41"/>
        <v>1.1709601873536301E-2</v>
      </c>
      <c r="DD6" s="74">
        <f t="shared" si="42"/>
        <v>1.405152224824356E-2</v>
      </c>
      <c r="DE6" s="74">
        <f t="shared" si="43"/>
        <v>7.0257611241217799E-3</v>
      </c>
      <c r="DF6" s="74">
        <f t="shared" si="44"/>
        <v>0.13348946135831383</v>
      </c>
      <c r="DG6" s="18">
        <f>COUNTIFS('ENCUESTA CONDUCTORES'!$AL$7:$AL$459,"X",'ENCUESTA CONDUCTORES'!$DE$7:$DE$459,"&lt;1991",'ENCUESTA CONDUCTORES'!$AX$7:$AX$459,"&lt;1.91")-DG5</f>
        <v>16</v>
      </c>
      <c r="DH6" s="18">
        <f>COUNTIFS('ENCUESTA CONDUCTORES'!$AL$7:$AL$459,"X",'ENCUESTA CONDUCTORES'!$DE$7:$DE$459,"&lt;1994",'ENCUESTA CONDUCTORES'!$AX$7:$AX$459,"&lt;1.91")-DG6-DH5-DG5</f>
        <v>3</v>
      </c>
      <c r="DI6" s="18">
        <f>COUNTIFS('ENCUESTA CONDUCTORES'!$AL$7:$AL$459,"X",'ENCUESTA CONDUCTORES'!$DE$7:$DE$459,"&lt;1998",'ENCUESTA CONDUCTORES'!$AX$7:$AX$459,"&lt;1.91")-DH6-DG6-DI5-DH5-DG5</f>
        <v>6</v>
      </c>
      <c r="DJ6" s="18">
        <f>COUNTIFS('ENCUESTA CONDUCTORES'!$AL$7:$AL$459,"X",'ENCUESTA CONDUCTORES'!$DE$7:$DE$459,"&lt;2004",'ENCUESTA CONDUCTORES'!$AX$7:$AX$459,"&lt;1.91")-DI6-DH6-DG6-DJ5-DI5-DH5-DG5</f>
        <v>18</v>
      </c>
      <c r="DK6" s="18">
        <f>COUNTIFS('ENCUESTA CONDUCTORES'!$AL$7:$AL$459,"X",'ENCUESTA CONDUCTORES'!$DE$7:$DE$459,"&lt;2007",'ENCUESTA CONDUCTORES'!$AX$7:$AX$459,"&lt;1.91")-DJ6-DI6-DH6-DG6-DK5-DJ5-DI5-DH5-DG5</f>
        <v>5</v>
      </c>
      <c r="DL6" s="18">
        <f>COUNTIFS('ENCUESTA CONDUCTORES'!$AL$7:$AL$459,"X",'ENCUESTA CONDUCTORES'!$DE$7:$DE$459,"&lt;2011",'ENCUESTA CONDUCTORES'!$AX$7:$AX$459,"&lt;1.91")-DK6-DJ6-DI6-DH6-DG6-DL5-DK5-DJ5-DI5-DH5-DG5</f>
        <v>6</v>
      </c>
      <c r="DM6" s="18">
        <f>COUNTIFS('ENCUESTA CONDUCTORES'!$AL$7:$AL$459,"X",'ENCUESTA CONDUCTORES'!$DE$7:$DE$459,"&gt;2010",'ENCUESTA CONDUCTORES'!$AX$7:$AX$459,"&lt;1.91")-DM5</f>
        <v>3</v>
      </c>
      <c r="DN6" s="18">
        <f t="shared" ref="DN6:DN14" si="70">SUM(DG6:DM6)</f>
        <v>57</v>
      </c>
      <c r="DP6" s="18" t="s">
        <v>1458</v>
      </c>
      <c r="DQ6" s="74">
        <f t="shared" ref="DQ6:DQ12" si="71">DY6/$EF$12</f>
        <v>5.0632911392405064E-3</v>
      </c>
      <c r="DR6" s="74">
        <f t="shared" si="45"/>
        <v>2.5316455696202532E-3</v>
      </c>
      <c r="DS6" s="74">
        <f t="shared" si="46"/>
        <v>0</v>
      </c>
      <c r="DT6" s="74">
        <f t="shared" si="47"/>
        <v>7.5949367088607592E-3</v>
      </c>
      <c r="DU6" s="74">
        <f t="shared" si="48"/>
        <v>2.7848101265822784E-2</v>
      </c>
      <c r="DV6" s="74">
        <f t="shared" si="49"/>
        <v>8.3544303797468356E-2</v>
      </c>
      <c r="DW6" s="74">
        <f t="shared" si="50"/>
        <v>4.3037974683544304E-2</v>
      </c>
      <c r="DX6" s="74">
        <f t="shared" si="51"/>
        <v>0.16962025316455695</v>
      </c>
      <c r="DY6" s="19">
        <f>COUNTIFS('ENCUESTA CONDUCTORES'!$AI$7:$AI$459,"&lt;500001",'ENCUESTA CONDUCTORES'!$AH$7:$AH$459,"&lt;1991")-DY5</f>
        <v>2</v>
      </c>
      <c r="DZ6" s="19">
        <f>COUNTIFS('ENCUESTA CONDUCTORES'!$AI$7:$AI$459,"&lt;500001",'ENCUESTA CONDUCTORES'!$AH$7:$AH$459,"&lt;1994")-DY6-DZ5-DY5</f>
        <v>1</v>
      </c>
      <c r="EA6" s="19">
        <f>COUNTIFS('ENCUESTA CONDUCTORES'!$AI$7:$AI$459,"&lt;500001",'ENCUESTA CONDUCTORES'!$AH$7:$AH$459,"&lt;1998")-DZ6-DY6-EA5-DZ5-DY5</f>
        <v>0</v>
      </c>
      <c r="EB6" s="19">
        <f>COUNTIFS('ENCUESTA CONDUCTORES'!$AI$7:$AI$459,"&lt;500001",'ENCUESTA CONDUCTORES'!$AH$7:$AH$459,"&lt;2004")-EA6-DZ6-DY6-EB5-EA5-DZ5-DY5</f>
        <v>3</v>
      </c>
      <c r="EC6" s="19">
        <f>COUNTIFS('ENCUESTA CONDUCTORES'!$AI$7:$AI$459,"&lt;500001",'ENCUESTA CONDUCTORES'!$AH$7:$AH$459,"&lt;2007")-EB6-EA6-DZ6-DY6-EC5-EB5-EA5-DZ5-DY5</f>
        <v>11</v>
      </c>
      <c r="ED6" s="19">
        <f>COUNTIFS('ENCUESTA CONDUCTORES'!$AI$7:$AI$459,"&lt;500001",'ENCUESTA CONDUCTORES'!$AH$7:$AH$459,"&lt;2011")-EC6-EB6-EA6-DZ6-DY6-ED5-EC5-EB5-EA5-DZ5-DY5</f>
        <v>33</v>
      </c>
      <c r="EE6" s="19">
        <f>COUNTIFS('ENCUESTA CONDUCTORES'!$AI$7:$AI$459,"&lt;500001",'ENCUESTA CONDUCTORES'!$AH$7:$AH$459,"&gt;2010")-EE5</f>
        <v>17</v>
      </c>
      <c r="EF6" s="18">
        <f t="shared" ref="EF6:EF12" si="72">SUM(DY6:EE6)</f>
        <v>67</v>
      </c>
      <c r="EH6" s="17" t="s">
        <v>1469</v>
      </c>
      <c r="EI6" s="74">
        <f t="shared" ref="EI6:EI11" si="73">+EQ6/$EX$11</f>
        <v>5.2980132450331126E-2</v>
      </c>
      <c r="EJ6" s="74">
        <f t="shared" si="52"/>
        <v>8.8300220750551876E-3</v>
      </c>
      <c r="EK6" s="74">
        <f t="shared" si="53"/>
        <v>2.8697571743929361E-2</v>
      </c>
      <c r="EL6" s="74">
        <f t="shared" si="54"/>
        <v>4.6357615894039736E-2</v>
      </c>
      <c r="EM6" s="74">
        <f t="shared" si="55"/>
        <v>2.4282560706401765E-2</v>
      </c>
      <c r="EN6" s="74">
        <f t="shared" si="56"/>
        <v>5.518763796909492E-2</v>
      </c>
      <c r="EO6" s="74">
        <f t="shared" si="57"/>
        <v>1.3245033112582781E-2</v>
      </c>
      <c r="EP6" s="74">
        <f t="shared" si="58"/>
        <v>0.22958057395143489</v>
      </c>
      <c r="EQ6" s="18">
        <f>COUNTIFS('ENCUESTA CONDUCTORES'!$DE$7:$DE$459,"&lt;1991",'ENCUESTA CONDUCTORES'!$AU$7:$AU$459,"&lt;5001")-EQ5</f>
        <v>24</v>
      </c>
      <c r="ER6" s="18">
        <f>COUNTIFS('ENCUESTA CONDUCTORES'!$DE$7:$DE$459,"&lt;1994",'ENCUESTA CONDUCTORES'!$AU$7:$AU$459,"&lt;5001")-EQ6-ER5-EQ5</f>
        <v>4</v>
      </c>
      <c r="ES6" s="18">
        <f>COUNTIFS('ENCUESTA CONDUCTORES'!$DE$7:$DE$459,"&lt;1998",'ENCUESTA CONDUCTORES'!$AU$7:$AU$459,"&lt;5001")-ER6-EQ6-ES5-ER5-EQ5</f>
        <v>13</v>
      </c>
      <c r="ET6" s="18">
        <f>COUNTIFS('ENCUESTA CONDUCTORES'!$DE$7:$DE$459,"&lt;2004",'ENCUESTA CONDUCTORES'!$AU$7:$AU$459,"&lt;5001")-ES6-ER6-EQ6-ET5-ES5-ER5-EQ5</f>
        <v>21</v>
      </c>
      <c r="EU6" s="18">
        <f>COUNTIFS('ENCUESTA CONDUCTORES'!$DE$7:$DE$459,"&lt;2007",'ENCUESTA CONDUCTORES'!$AU$7:$AU$459,"&lt;5001")-ET6-ES6-ER6-EQ6-EU5-ET5-ES5-ER5-EQ5</f>
        <v>11</v>
      </c>
      <c r="EV6" s="18">
        <f>COUNTIFS('ENCUESTA CONDUCTORES'!$DE$7:$DE$459,"&lt;2011",'ENCUESTA CONDUCTORES'!$AU$7:$AU$459,"&lt;5001")-EU6-ET6-ES6-ER6-EQ6-EV5-EU5-ET5-ES5-ER5-EQ5</f>
        <v>25</v>
      </c>
      <c r="EW6" s="18">
        <f>COUNTIFS('ENCUESTA CONDUCTORES'!$DE$7:$DE$459,"&gt;2010",'ENCUESTA CONDUCTORES'!$AU$7:$AU$459,"&lt;5001")-EW5</f>
        <v>6</v>
      </c>
      <c r="EX6" s="18">
        <f t="shared" si="59"/>
        <v>104</v>
      </c>
      <c r="EZ6" s="87" t="s">
        <v>1485</v>
      </c>
      <c r="FA6" s="74">
        <f t="shared" ref="FA6:FA13" si="74">+FF6/$FJ$14</f>
        <v>0</v>
      </c>
      <c r="FB6" s="74">
        <f t="shared" si="60"/>
        <v>4.4150110375275938E-3</v>
      </c>
      <c r="FC6" s="74">
        <f t="shared" si="61"/>
        <v>2.2075055187637969E-3</v>
      </c>
      <c r="FD6" s="74">
        <f t="shared" si="62"/>
        <v>4.4150110375275938E-3</v>
      </c>
      <c r="FE6" s="74">
        <f t="shared" si="63"/>
        <v>1.1037527593818985E-2</v>
      </c>
      <c r="FF6" s="18">
        <f>COUNTIFS('ENCUESTA CONDUCTORES'!E$7:E$459,"X",'ENCUESTA CONDUCTORES'!$AV$7:$AV$459,"40%")</f>
        <v>0</v>
      </c>
      <c r="FG6" s="18">
        <f>COUNTIFS('ENCUESTA CONDUCTORES'!F$7:F$459,"X",'ENCUESTA CONDUCTORES'!$AV$7:$AV$459,"40%")</f>
        <v>2</v>
      </c>
      <c r="FH6" s="18">
        <f>COUNTIFS('ENCUESTA CONDUCTORES'!G$7:G$459,"X",'ENCUESTA CONDUCTORES'!$AV$7:$AV$459,"40%")</f>
        <v>1</v>
      </c>
      <c r="FI6" s="18">
        <f>COUNTIFS('ENCUESTA CONDUCTORES'!H$7:H$459,"X",'ENCUESTA CONDUCTORES'!$AV$7:$AV$459,"40%")</f>
        <v>2</v>
      </c>
      <c r="FJ6" s="18">
        <f t="shared" ref="FJ6:FJ14" si="75">SUM(FF6:FI6)</f>
        <v>5</v>
      </c>
      <c r="FL6" s="75" t="s">
        <v>59</v>
      </c>
      <c r="FM6" s="18">
        <f>COUNTIFS('ENCUESTA CONDUCTORES'!P$7:P$459,"X",'ENCUESTA CONDUCTORES'!$BU$7:$BU$459,"X")</f>
        <v>56</v>
      </c>
      <c r="FN6" s="18">
        <f>COUNTIFS('ENCUESTA CONDUCTORES'!Q$7:Q$459,"X",'ENCUESTA CONDUCTORES'!$BU$7:$BU$459,"X")</f>
        <v>47</v>
      </c>
      <c r="FO6" s="18">
        <f>COUNTIFS('ENCUESTA CONDUCTORES'!R$7:R$459,"X",'ENCUESTA CONDUCTORES'!$BU$7:$BU$459,"X")</f>
        <v>7</v>
      </c>
      <c r="FP6" s="18">
        <f>COUNTIFS('ENCUESTA CONDUCTORES'!S$7:S$459,"X",'ENCUESTA CONDUCTORES'!$BU$7:$BU$459,"X")</f>
        <v>121</v>
      </c>
      <c r="FQ6" s="18">
        <f t="shared" ref="FQ6:FQ9" si="76">SUM(FM6:FP6)</f>
        <v>231</v>
      </c>
      <c r="FT6" s="17" t="s">
        <v>1471</v>
      </c>
      <c r="FU6" s="74">
        <f t="shared" si="9"/>
        <v>0.10377358490566038</v>
      </c>
      <c r="FV6" s="18">
        <f>COUNTIFS('ENCUESTA CONDUCTORES'!$P$7:$P$459,"X",'ENCUESTA CONDUCTORES'!$AU$7:$AU$459,"&lt;10001")-FV5-FV4-FV3</f>
        <v>11</v>
      </c>
      <c r="GA6" s="17" t="s">
        <v>1425</v>
      </c>
      <c r="GB6" s="74">
        <f t="shared" si="64"/>
        <v>1.7857142857142856E-2</v>
      </c>
      <c r="GC6" s="74">
        <f t="shared" si="10"/>
        <v>2.4553571428571428E-2</v>
      </c>
      <c r="GD6" s="74">
        <f t="shared" si="11"/>
        <v>1.3392857142857142E-2</v>
      </c>
      <c r="GE6" s="74">
        <f t="shared" si="12"/>
        <v>1.3392857142857142E-2</v>
      </c>
      <c r="GF6" s="74">
        <f t="shared" si="13"/>
        <v>1.5625E-2</v>
      </c>
      <c r="GG6" s="74">
        <f t="shared" si="14"/>
        <v>0</v>
      </c>
      <c r="GH6" s="74">
        <f t="shared" si="15"/>
        <v>2.232142857142857E-3</v>
      </c>
      <c r="GI6" s="74">
        <f t="shared" si="16"/>
        <v>8.7053571428571425E-2</v>
      </c>
      <c r="GJ6" s="18">
        <f>COUNTIFS('ENCUESTA CONDUCTORES'!$DE$7:$DE$459,"&lt;1998",'ENCUESTA CONDUCTORES'!$BE$7:$BE$459,"&lt;10000")-GJ5-GJ4</f>
        <v>8</v>
      </c>
      <c r="GK6" s="18">
        <f>COUNTIFS('ENCUESTA CONDUCTORES'!$DE$7:$DE$459,"&lt;1998",'ENCUESTA CONDUCTORES'!$BE$7:$BE$459,"&lt;15001")-GJ6-GK5-GJ5-GK4-GJ4</f>
        <v>11</v>
      </c>
      <c r="GL6" s="18">
        <f>COUNTIFS('ENCUESTA CONDUCTORES'!$DE$7:$DE$459,"&lt;1998",'ENCUESTA CONDUCTORES'!$BE$7:$BE$459,"&lt;20001")-GK6-GJ6-GL5-GK5-GJ5-GL4-GK4-GJ4</f>
        <v>6</v>
      </c>
      <c r="GM6" s="18">
        <f>COUNTIFS('ENCUESTA CONDUCTORES'!$DE$7:$DE$459,"&lt;1998",'ENCUESTA CONDUCTORES'!$BE$7:$BE$459,"&lt;25001")-GL6-GK6-GJ6-GM5-GL5-GK5-GJ5-GM4-GL4-GK4-GJ4</f>
        <v>6</v>
      </c>
      <c r="GN6" s="18">
        <f>COUNTIFS('ENCUESTA CONDUCTORES'!$DE$7:$DE$459,"&lt;1998",'ENCUESTA CONDUCTORES'!$BE$7:$BE$459,"&lt;30001")-GM6-GL6-GK6-GJ6-GN5-GM5-GL5-GK5-GJ5-GN4-GM4-GL4-GK4-GJ4</f>
        <v>7</v>
      </c>
      <c r="GO6" s="18">
        <f>COUNTIFS('ENCUESTA CONDUCTORES'!$DE$7:$DE$459,"&lt;1998",'ENCUESTA CONDUCTORES'!$BE$7:$BE$459,"&lt;40001")-GN6-GM6-GL6-GK6-GJ6-GO5-GN5-GM5-GL5-GK5-GJ5-GO4-GN4-GM4-GL4-GK4-GJ4</f>
        <v>0</v>
      </c>
      <c r="GP6" s="18">
        <f>COUNTIFS('ENCUESTA CONDUCTORES'!$DE$7:$DE$459,"&lt;1998",'ENCUESTA CONDUCTORES'!$BE$7:$BE$459,"&gt;40000")-GP5-GP4</f>
        <v>1</v>
      </c>
      <c r="GQ6" s="18">
        <f t="shared" si="17"/>
        <v>39</v>
      </c>
      <c r="GS6" s="17" t="s">
        <v>505</v>
      </c>
      <c r="GT6" s="74">
        <f t="shared" si="65"/>
        <v>4.2889390519187359E-2</v>
      </c>
      <c r="GU6" s="74">
        <f t="shared" si="18"/>
        <v>4.740406320541761E-2</v>
      </c>
      <c r="GV6" s="74">
        <f t="shared" si="19"/>
        <v>8.1264108352144468E-2</v>
      </c>
      <c r="GW6" s="74">
        <f t="shared" si="20"/>
        <v>4.5146726862302484E-2</v>
      </c>
      <c r="GX6" s="74">
        <f t="shared" si="21"/>
        <v>0.21670428893905191</v>
      </c>
      <c r="GY6" s="18">
        <f>COUNTIFS('ENCUESTA CONDUCTORES'!$E$7:$E$459,"X",'ENCUESTA CONDUCTORES'!$BZ$7:$BZ$459,"1")</f>
        <v>19</v>
      </c>
      <c r="GZ6" s="18">
        <f>COUNTIFS('ENCUESTA CONDUCTORES'!$F$7:$F$459,"X",'ENCUESTA CONDUCTORES'!$BZ$7:$BZ$459,"1")</f>
        <v>21</v>
      </c>
      <c r="HA6" s="18">
        <f>COUNTIFS('ENCUESTA CONDUCTORES'!$G$7:$G$459,"X",'ENCUESTA CONDUCTORES'!$BZ$7:$BZ$459,"1")</f>
        <v>36</v>
      </c>
      <c r="HB6" s="18">
        <f>COUNTIFS('ENCUESTA CONDUCTORES'!$H$7:$H$459,"X",'ENCUESTA CONDUCTORES'!$BZ$7:$BZ$459,"1")</f>
        <v>20</v>
      </c>
      <c r="HC6" s="18">
        <f>SUM(GY6:HB6)</f>
        <v>96</v>
      </c>
      <c r="HE6" s="17" t="s">
        <v>1548</v>
      </c>
      <c r="HF6" s="74">
        <f t="shared" si="66"/>
        <v>1.3245033112582781E-2</v>
      </c>
      <c r="HG6" s="74">
        <f t="shared" si="22"/>
        <v>1.7660044150110375E-2</v>
      </c>
      <c r="HH6" s="74">
        <f t="shared" si="23"/>
        <v>3.5320088300220751E-2</v>
      </c>
      <c r="HI6" s="74">
        <f t="shared" si="24"/>
        <v>1.9867549668874173E-2</v>
      </c>
      <c r="HJ6" s="74">
        <f t="shared" si="25"/>
        <v>8.6092715231788075E-2</v>
      </c>
      <c r="HK6" s="18">
        <f>COUNTIFS('ENCUESTA CONDUCTORES'!$E$7:$E$459,"X",'ENCUESTA CONDUCTORES'!$AV$7:$AV$459,"&lt;30%")-HK7-HK8</f>
        <v>6</v>
      </c>
      <c r="HL6" s="18">
        <f>COUNTIFS('ENCUESTA CONDUCTORES'!$F$7:$F$459,"X",'ENCUESTA CONDUCTORES'!$AV$7:$AV$459,"&lt;30%")-HL7-HL8</f>
        <v>8</v>
      </c>
      <c r="HM6" s="18">
        <f>COUNTIFS('ENCUESTA CONDUCTORES'!$G$7:$G$459,"X",'ENCUESTA CONDUCTORES'!$AV$7:$AV$459,"&lt;30%")-HM7-HM8</f>
        <v>16</v>
      </c>
      <c r="HN6" s="18">
        <f>COUNTIFS('ENCUESTA CONDUCTORES'!$H$7:$H$459,"X",'ENCUESTA CONDUCTORES'!$AV$7:$AV$459,"&lt;30%")-HN7-HN8</f>
        <v>9</v>
      </c>
      <c r="HO6" s="18">
        <f t="shared" si="67"/>
        <v>39</v>
      </c>
    </row>
    <row r="7" spans="1:223" x14ac:dyDescent="0.25">
      <c r="B7" s="17" t="s">
        <v>1336</v>
      </c>
      <c r="C7" s="74">
        <f t="shared" si="68"/>
        <v>0.10154525386313466</v>
      </c>
      <c r="D7" s="74">
        <f t="shared" si="26"/>
        <v>9.2715231788079472E-2</v>
      </c>
      <c r="E7" s="74">
        <f t="shared" si="27"/>
        <v>1.1037527593818985E-2</v>
      </c>
      <c r="F7" s="74">
        <f t="shared" si="28"/>
        <v>0.19646799116997793</v>
      </c>
      <c r="G7" s="74">
        <f t="shared" si="29"/>
        <v>0.40176600441501104</v>
      </c>
      <c r="H7" s="18">
        <f>COUNTIFS('ENCUESTA CONDUCTORES'!$G$7:$G$459,"X",'ENCUESTA CONDUCTORES'!P$7:P$459,"X")</f>
        <v>46</v>
      </c>
      <c r="I7" s="18">
        <f>COUNTIFS('ENCUESTA CONDUCTORES'!$G$7:$G$459,"X",'ENCUESTA CONDUCTORES'!Q$7:Q$459,"X")</f>
        <v>42</v>
      </c>
      <c r="J7" s="18">
        <f>COUNTIFS('ENCUESTA CONDUCTORES'!$G$7:$G$459,"X",'ENCUESTA CONDUCTORES'!R$7:R$459,"X")</f>
        <v>5</v>
      </c>
      <c r="K7" s="18">
        <f>COUNTIFS('ENCUESTA CONDUCTORES'!$G$7:$G$459,"X",'ENCUESTA CONDUCTORES'!S$7:S$459,"X")</f>
        <v>89</v>
      </c>
      <c r="L7" s="18">
        <f t="shared" si="69"/>
        <v>182</v>
      </c>
      <c r="N7" s="75" t="s">
        <v>14</v>
      </c>
      <c r="O7" s="127">
        <f t="shared" si="30"/>
        <v>6.6225165562913907E-3</v>
      </c>
      <c r="P7" s="127">
        <f t="shared" si="0"/>
        <v>1.9867549668874173E-2</v>
      </c>
      <c r="Q7" s="127">
        <f t="shared" si="1"/>
        <v>3.5320088300220751E-2</v>
      </c>
      <c r="R7" s="127">
        <f t="shared" si="2"/>
        <v>2.8697571743929361E-2</v>
      </c>
      <c r="S7" s="127">
        <f t="shared" si="3"/>
        <v>9.0507726269315678E-2</v>
      </c>
      <c r="T7" s="90">
        <f>COUNTIFS('ENCUESTA CONDUCTORES'!E$7:E$459,"X",'ENCUESTA CONDUCTORES'!$Y$7:$Y$459,"X")</f>
        <v>3</v>
      </c>
      <c r="U7" s="90">
        <f>COUNTIFS('ENCUESTA CONDUCTORES'!F$7:F$459,"X",'ENCUESTA CONDUCTORES'!$Y$7:$Y$459,"X")</f>
        <v>9</v>
      </c>
      <c r="V7" s="90">
        <f>COUNTIFS('ENCUESTA CONDUCTORES'!G$7:G$459,"X",'ENCUESTA CONDUCTORES'!$Y$7:$Y$459,"X")</f>
        <v>16</v>
      </c>
      <c r="W7" s="90">
        <f>COUNTIFS('ENCUESTA CONDUCTORES'!H$7:H$459,"X",'ENCUESTA CONDUCTORES'!$Y$7:$Y$459,"X")</f>
        <v>13</v>
      </c>
      <c r="X7" s="19">
        <f t="shared" si="31"/>
        <v>41</v>
      </c>
      <c r="Z7" s="17" t="s">
        <v>22</v>
      </c>
      <c r="AA7" s="76">
        <f t="shared" si="32"/>
        <v>6.6225165562913907E-3</v>
      </c>
      <c r="AB7" s="76">
        <f t="shared" si="32"/>
        <v>0</v>
      </c>
      <c r="AC7" s="76">
        <f t="shared" si="32"/>
        <v>0</v>
      </c>
      <c r="AD7" s="76">
        <f t="shared" si="32"/>
        <v>0</v>
      </c>
      <c r="AE7" s="76">
        <f t="shared" si="32"/>
        <v>6.6225165562913907E-3</v>
      </c>
      <c r="AF7" s="18">
        <f>COUNTIFS('ENCUESTA CONDUCTORES'!P$7:P$459,"X",'ENCUESTA CONDUCTORES'!$AK$7:$AK$459,"X")</f>
        <v>3</v>
      </c>
      <c r="AG7" s="18">
        <f>COUNTIFS('ENCUESTA CONDUCTORES'!Q$7:Q$459,"X",'ENCUESTA CONDUCTORES'!$AK$7:$AK$459,"X")</f>
        <v>0</v>
      </c>
      <c r="AH7" s="18">
        <f>COUNTIFS('ENCUESTA CONDUCTORES'!R$7:R$459,"X",'ENCUESTA CONDUCTORES'!$AK$7:$AK$459,"X")</f>
        <v>0</v>
      </c>
      <c r="AI7" s="18">
        <f>COUNTIFS('ENCUESTA CONDUCTORES'!S$7:S$459,"X",'ENCUESTA CONDUCTORES'!$AK$7:$AK$459,"X")</f>
        <v>0</v>
      </c>
      <c r="AJ7" s="18">
        <f>SUM(AF7:AI7)</f>
        <v>3</v>
      </c>
      <c r="AL7" s="11" t="s">
        <v>1299</v>
      </c>
      <c r="AM7" s="74">
        <f t="shared" si="33"/>
        <v>7.2599531615925056E-2</v>
      </c>
      <c r="AN7" s="18">
        <f>COUNTIFS('ENCUESTA CONDUCTORES'!$AL$7:$AL$459,"X",'ENCUESTA CONDUCTORES'!$AX$7:$AX$459,"&lt;2.21")-AN6-AN5-AN4</f>
        <v>31</v>
      </c>
      <c r="BZ7" s="17" t="s">
        <v>1420</v>
      </c>
      <c r="CA7" s="74">
        <f t="shared" si="4"/>
        <v>0.13636363636363635</v>
      </c>
      <c r="CB7" s="74">
        <f t="shared" si="4"/>
        <v>0</v>
      </c>
      <c r="CC7" s="74">
        <f t="shared" si="4"/>
        <v>0</v>
      </c>
      <c r="CD7" s="74">
        <f t="shared" si="4"/>
        <v>0</v>
      </c>
      <c r="CE7" s="74">
        <f t="shared" si="4"/>
        <v>0.13636363636363635</v>
      </c>
      <c r="CF7" s="18">
        <f>COUNTIFS('ENCUESTA CONDUCTORES'!$AJ$7:$AJ$459,"X",'ENCUESTA CONDUCTORES'!P$7:P$459,"X",'ENCUESTA CONDUCTORES'!$AX$7:$AX$459,"&lt;4.01")-CF6-CF5-CF4</f>
        <v>3</v>
      </c>
      <c r="CG7" s="18">
        <f>COUNTIFS('ENCUESTA CONDUCTORES'!$AJ$7:$AJ$459,"X",'ENCUESTA CONDUCTORES'!Q$7:Q$459,"X",'ENCUESTA CONDUCTORES'!$AX$7:$AX$459,"&lt;4.01")-CG6-CG5-CG4</f>
        <v>0</v>
      </c>
      <c r="CH7" s="18">
        <f>COUNTIFS('ENCUESTA CONDUCTORES'!$AJ$7:$AJ$459,"X",'ENCUESTA CONDUCTORES'!R$7:R$459,"X",'ENCUESTA CONDUCTORES'!$AX$7:$AX$459,"&lt;4.01")-CH6-CH5-CH4</f>
        <v>0</v>
      </c>
      <c r="CI7" s="18">
        <f>COUNTIFS('ENCUESTA CONDUCTORES'!$AJ$7:$AJ$459,"X",'ENCUESTA CONDUCTORES'!S$7:S$459,"X",'ENCUESTA CONDUCTORES'!$AX$7:$AX$459,"&lt;4.01")-CI6-CI5-CI4</f>
        <v>0</v>
      </c>
      <c r="CJ7" s="18">
        <f t="shared" si="34"/>
        <v>3</v>
      </c>
      <c r="CL7" s="17" t="s">
        <v>1426</v>
      </c>
      <c r="CM7" s="74">
        <f t="shared" si="35"/>
        <v>5.2980132450331126E-2</v>
      </c>
      <c r="CN7" s="74">
        <f t="shared" si="5"/>
        <v>5.518763796909492E-2</v>
      </c>
      <c r="CO7" s="74">
        <f t="shared" si="6"/>
        <v>6.6225165562913907E-3</v>
      </c>
      <c r="CP7" s="74">
        <f t="shared" si="7"/>
        <v>0.12362030905077263</v>
      </c>
      <c r="CQ7" s="74">
        <f t="shared" si="8"/>
        <v>0.23841059602649006</v>
      </c>
      <c r="CR7" s="18">
        <f>COUNTIFS('ENCUESTA CONDUCTORES'!P$7:P$459,"X",'ENCUESTA CONDUCTORES'!$DE$7:$DE$459,"&lt;2004")-CR6-CR5-CR4</f>
        <v>24</v>
      </c>
      <c r="CS7" s="18">
        <f>COUNTIFS('ENCUESTA CONDUCTORES'!Q$7:Q$459,"X",'ENCUESTA CONDUCTORES'!$DE$7:$DE$459,"&lt;2004")-CS6-CS5-CS4</f>
        <v>25</v>
      </c>
      <c r="CT7" s="18">
        <f>COUNTIFS('ENCUESTA CONDUCTORES'!R$7:R$459,"X",'ENCUESTA CONDUCTORES'!$DE$7:$DE$459,"&lt;2004")-CT6-CT5-CT4</f>
        <v>3</v>
      </c>
      <c r="CU7" s="18">
        <f>COUNTIFS('ENCUESTA CONDUCTORES'!S$7:S$459,"X",'ENCUESTA CONDUCTORES'!$DE$7:$DE$459,"&lt;2004")-CU6-CU5-CU4</f>
        <v>56</v>
      </c>
      <c r="CV7" s="18">
        <f t="shared" si="36"/>
        <v>108</v>
      </c>
      <c r="CX7" s="11" t="s">
        <v>1298</v>
      </c>
      <c r="CY7" s="74">
        <f t="shared" si="37"/>
        <v>1.6393442622950821E-2</v>
      </c>
      <c r="CZ7" s="74">
        <f t="shared" si="38"/>
        <v>2.34192037470726E-3</v>
      </c>
      <c r="DA7" s="74">
        <f t="shared" si="39"/>
        <v>7.0257611241217799E-3</v>
      </c>
      <c r="DB7" s="74">
        <f t="shared" si="40"/>
        <v>2.576112412177986E-2</v>
      </c>
      <c r="DC7" s="74">
        <f t="shared" si="41"/>
        <v>4.6838407494145199E-3</v>
      </c>
      <c r="DD7" s="74">
        <f t="shared" si="42"/>
        <v>1.6393442622950821E-2</v>
      </c>
      <c r="DE7" s="74">
        <f t="shared" si="43"/>
        <v>2.1077283372365339E-2</v>
      </c>
      <c r="DF7" s="74">
        <f t="shared" si="44"/>
        <v>9.3676814988290405E-2</v>
      </c>
      <c r="DG7" s="18">
        <f>COUNTIFS('ENCUESTA CONDUCTORES'!$AL$7:$AL$459,"X",'ENCUESTA CONDUCTORES'!$DE$7:$DE$459,"&lt;1991",'ENCUESTA CONDUCTORES'!$AX$7:$AX$459,"&lt;2.01")-DG6-DG5</f>
        <v>7</v>
      </c>
      <c r="DH7" s="18">
        <f>COUNTIFS('ENCUESTA CONDUCTORES'!$AL$7:$AL$459,"X",'ENCUESTA CONDUCTORES'!$DE$7:$DE$459,"&lt;1994",'ENCUESTA CONDUCTORES'!$AX$7:$AX$459,"&lt;2.01")-DG7-DH6-DG6-DH5-DG5</f>
        <v>1</v>
      </c>
      <c r="DI7" s="18">
        <f>COUNTIFS('ENCUESTA CONDUCTORES'!$AL$7:$AL$459,"X",'ENCUESTA CONDUCTORES'!$DE$7:$DE$459,"&lt;1998",'ENCUESTA CONDUCTORES'!$AX$7:$AX$459,"&lt;2.01")-DH7-DG7-DI6-DH6-DG6-DI5-DH5-DG5</f>
        <v>3</v>
      </c>
      <c r="DJ7" s="18">
        <f>COUNTIFS('ENCUESTA CONDUCTORES'!$AL$7:$AL$459,"X",'ENCUESTA CONDUCTORES'!$DE$7:$DE$459,"&lt;2004",'ENCUESTA CONDUCTORES'!$AX$7:$AX$459,"&lt;2.01")-DI7-DH7-DG7-DJ6-DI6-DH6-DG6-DJ5-DI5-DH5-DG5</f>
        <v>11</v>
      </c>
      <c r="DK7" s="18">
        <f>COUNTIFS('ENCUESTA CONDUCTORES'!$AL$7:$AL$459,"X",'ENCUESTA CONDUCTORES'!$DE$7:$DE$459,"&lt;2007",'ENCUESTA CONDUCTORES'!$AX$7:$AX$459,"&lt;2.01")-DJ7-DI7-DH7-DG7-DK6-DJ6-DI6-DH6-DG6-DK5-DJ5-DI5-DH5-DG5</f>
        <v>2</v>
      </c>
      <c r="DL7" s="18">
        <f>COUNTIFS('ENCUESTA CONDUCTORES'!$AL$7:$AL$459,"X",'ENCUESTA CONDUCTORES'!$DE$7:$DE$459,"&lt;2011",'ENCUESTA CONDUCTORES'!$AX$7:$AX$459,"&lt;2.01")-DK7-DJ7-DI7-DH7-DG7-DL6-DK6-DJ6-DI6-DH6-DG6-DL5-DK5-DJ5-DI5-DH5-DG5</f>
        <v>7</v>
      </c>
      <c r="DM7" s="18">
        <f>COUNTIFS('ENCUESTA CONDUCTORES'!$AL$7:$AL$459,"X",'ENCUESTA CONDUCTORES'!$DE$7:$DE$459,"&gt;2010",'ENCUESTA CONDUCTORES'!$AX$7:$AX$459,"&lt;2.01")-DM6-DM5</f>
        <v>9</v>
      </c>
      <c r="DN7" s="18">
        <f t="shared" si="70"/>
        <v>40</v>
      </c>
      <c r="DP7" s="18" t="s">
        <v>464</v>
      </c>
      <c r="DQ7" s="74">
        <f t="shared" si="71"/>
        <v>3.5443037974683546E-2</v>
      </c>
      <c r="DR7" s="74">
        <f t="shared" si="45"/>
        <v>5.0632911392405064E-3</v>
      </c>
      <c r="DS7" s="74">
        <f t="shared" si="46"/>
        <v>3.2911392405063293E-2</v>
      </c>
      <c r="DT7" s="74">
        <f t="shared" si="47"/>
        <v>0.12911392405063291</v>
      </c>
      <c r="DU7" s="74">
        <f t="shared" si="48"/>
        <v>0.1569620253164557</v>
      </c>
      <c r="DV7" s="74">
        <f t="shared" si="49"/>
        <v>0.13670886075949368</v>
      </c>
      <c r="DW7" s="74">
        <f t="shared" si="50"/>
        <v>2.5316455696202532E-3</v>
      </c>
      <c r="DX7" s="74">
        <f t="shared" si="51"/>
        <v>0.49873417721518987</v>
      </c>
      <c r="DY7" s="19">
        <f>COUNTIFS('ENCUESTA CONDUCTORES'!$AI$7:$AI$459,"&lt;1000001",'ENCUESTA CONDUCTORES'!$AH$7:$AH$459,"&lt;1991")-DY6-DY5</f>
        <v>14</v>
      </c>
      <c r="DZ7" s="19">
        <f>COUNTIFS('ENCUESTA CONDUCTORES'!$AI$7:$AI$459,"&lt;1000001",'ENCUESTA CONDUCTORES'!$AH$7:$AH$459,"&lt;1994")-DY7-DZ6-DY6-DZ5-DY5</f>
        <v>2</v>
      </c>
      <c r="EA7" s="19">
        <f>COUNTIFS('ENCUESTA CONDUCTORES'!$AI$7:$AI$459,"&lt;1000001",'ENCUESTA CONDUCTORES'!$AH$7:$AH$459,"&lt;1998")-DZ7-DY7-EA6-DZ6-DY6-EA5-DZ5-DY5</f>
        <v>13</v>
      </c>
      <c r="EB7" s="19">
        <f>COUNTIFS('ENCUESTA CONDUCTORES'!$AI$7:$AI$459,"&lt;1000001",'ENCUESTA CONDUCTORES'!$AH$7:$AH$459,"&lt;2004")-EA7-DZ7-DY7-EB6-EA6-DZ6-DY6-EB5-EA5-DZ5-DY5</f>
        <v>51</v>
      </c>
      <c r="EC7" s="19">
        <f>COUNTIFS('ENCUESTA CONDUCTORES'!$AI$7:$AI$459,"&lt;1000001",'ENCUESTA CONDUCTORES'!$AH$7:$AH$459,"&lt;2007")-EB7-EA7-DZ7-DY7-EC6-EB6-EA6-DZ6-DY6-EC5-EB5-EA5-DZ5-DY5</f>
        <v>62</v>
      </c>
      <c r="ED7" s="19">
        <f>COUNTIFS('ENCUESTA CONDUCTORES'!$AI$7:$AI$459,"&lt;1000001",'ENCUESTA CONDUCTORES'!$AH$7:$AH$459,"&lt;2011")-EC7-EB7-EA7-DZ7-DY7-ED6-EC6-EB6-EA6-DZ6-DY6-ED5-EC5-EB5-EA5-DZ5-DY5</f>
        <v>54</v>
      </c>
      <c r="EE7" s="19">
        <f>COUNTIFS('ENCUESTA CONDUCTORES'!$AI$7:$AI$459,"&lt;1000001",'ENCUESTA CONDUCTORES'!$AH$7:$AH$459,"&gt;2010")-EE6-EE5</f>
        <v>1</v>
      </c>
      <c r="EF7" s="18">
        <f t="shared" si="72"/>
        <v>197</v>
      </c>
      <c r="EH7" s="17" t="s">
        <v>1470</v>
      </c>
      <c r="EI7" s="74">
        <f t="shared" si="73"/>
        <v>4.4150110375275942E-2</v>
      </c>
      <c r="EJ7" s="74">
        <f t="shared" si="52"/>
        <v>8.8300220750551876E-3</v>
      </c>
      <c r="EK7" s="74">
        <f t="shared" si="53"/>
        <v>2.2075055187637971E-2</v>
      </c>
      <c r="EL7" s="74">
        <f t="shared" si="54"/>
        <v>4.856512141280353E-2</v>
      </c>
      <c r="EM7" s="74">
        <f t="shared" si="55"/>
        <v>1.5452538631346579E-2</v>
      </c>
      <c r="EN7" s="74">
        <f t="shared" si="56"/>
        <v>1.9867549668874173E-2</v>
      </c>
      <c r="EO7" s="74">
        <f t="shared" si="57"/>
        <v>1.1037527593818985E-2</v>
      </c>
      <c r="EP7" s="74">
        <f t="shared" si="58"/>
        <v>0.16997792494481237</v>
      </c>
      <c r="EQ7" s="18">
        <f>COUNTIFS('ENCUESTA CONDUCTORES'!$DE$7:$DE$459,"&lt;1991",'ENCUESTA CONDUCTORES'!$AU$7:$AU$459,"&lt;7501")-EQ6-EQ5</f>
        <v>20</v>
      </c>
      <c r="ER7" s="18">
        <f>COUNTIFS('ENCUESTA CONDUCTORES'!$DE$7:$DE$459,"&lt;1994",'ENCUESTA CONDUCTORES'!$AU$7:$AU$459,"&lt;7501")-EQ7-ER6-EQ6-ER5-EQ5</f>
        <v>4</v>
      </c>
      <c r="ES7" s="18">
        <f>COUNTIFS('ENCUESTA CONDUCTORES'!$DE$7:$DE$459,"&lt;1998",'ENCUESTA CONDUCTORES'!$AU$7:$AU$459,"&lt;7501")-ER7-EQ7-ES6-ER6-EQ6-ES5-ER5-EQ5</f>
        <v>10</v>
      </c>
      <c r="ET7" s="18">
        <f>COUNTIFS('ENCUESTA CONDUCTORES'!$DE$7:$DE$459,"&lt;2004",'ENCUESTA CONDUCTORES'!$AU$7:$AU$459,"&lt;7501")-ES7-ER7-EQ7-ET6-ES6-ER6-EQ6-ET5-ES5-ER5-EQ5</f>
        <v>22</v>
      </c>
      <c r="EU7" s="18">
        <f>COUNTIFS('ENCUESTA CONDUCTORES'!$DE$7:$DE$459,"&lt;2007",'ENCUESTA CONDUCTORES'!$AU$7:$AU$459,"&lt;7501")-ET7-ES7-ER7-EQ7-EU6-ET6-ES6-ER6-EQ6-EU5-ET5-ES5-ER5-EQ5</f>
        <v>7</v>
      </c>
      <c r="EV7" s="18">
        <f>COUNTIFS('ENCUESTA CONDUCTORES'!$DE$7:$DE$459,"&lt;2011",'ENCUESTA CONDUCTORES'!$AU$7:$AU$459,"&lt;7501")-EU7-ET7-ES7-ER7-EQ7-EV6-EU6-ET6-ES6-ER6-EQ6-EV5-EU5-ET5-ES5-ER5-EQ5</f>
        <v>9</v>
      </c>
      <c r="EW7" s="18">
        <f>COUNTIFS('ENCUESTA CONDUCTORES'!$DE$7:$DE$459,"&gt;2010",'ENCUESTA CONDUCTORES'!$AU$7:$AU$459,"&lt;7501")-EW6-EW5</f>
        <v>5</v>
      </c>
      <c r="EX7" s="18">
        <f t="shared" si="59"/>
        <v>77</v>
      </c>
      <c r="EZ7" s="87" t="s">
        <v>1486</v>
      </c>
      <c r="FA7" s="74">
        <f t="shared" si="74"/>
        <v>8.8300220750551876E-3</v>
      </c>
      <c r="FB7" s="74">
        <f t="shared" si="60"/>
        <v>1.1037527593818985E-2</v>
      </c>
      <c r="FC7" s="74">
        <f t="shared" si="61"/>
        <v>2.4282560706401765E-2</v>
      </c>
      <c r="FD7" s="74">
        <f t="shared" si="62"/>
        <v>2.4282560706401765E-2</v>
      </c>
      <c r="FE7" s="74">
        <f t="shared" si="63"/>
        <v>6.8432671081677707E-2</v>
      </c>
      <c r="FF7" s="18">
        <f>COUNTIFS('ENCUESTA CONDUCTORES'!E$7:E$459,"X",'ENCUESTA CONDUCTORES'!$AV$7:$AV$459,"30%")</f>
        <v>4</v>
      </c>
      <c r="FG7" s="18">
        <f>COUNTIFS('ENCUESTA CONDUCTORES'!F$7:F$459,"X",'ENCUESTA CONDUCTORES'!$AV$7:$AV$459,"30%")</f>
        <v>5</v>
      </c>
      <c r="FH7" s="18">
        <f>COUNTIFS('ENCUESTA CONDUCTORES'!G$7:G$459,"X",'ENCUESTA CONDUCTORES'!$AV$7:$AV$459,"30%")</f>
        <v>11</v>
      </c>
      <c r="FI7" s="18">
        <f>COUNTIFS('ENCUESTA CONDUCTORES'!H$7:H$459,"X",'ENCUESTA CONDUCTORES'!$AV$7:$AV$459,"30%")</f>
        <v>11</v>
      </c>
      <c r="FJ7" s="18">
        <f t="shared" si="75"/>
        <v>31</v>
      </c>
      <c r="FL7" s="75" t="s">
        <v>60</v>
      </c>
      <c r="FM7" s="18">
        <f>COUNTIFS('ENCUESTA CONDUCTORES'!P$7:P$459,"X",'ENCUESTA CONDUCTORES'!$BV$7:$BV$459,"X")</f>
        <v>44</v>
      </c>
      <c r="FN7" s="18">
        <f>COUNTIFS('ENCUESTA CONDUCTORES'!Q$7:Q$459,"X",'ENCUESTA CONDUCTORES'!$BV$7:$BV$459,"X")</f>
        <v>27</v>
      </c>
      <c r="FO7" s="18">
        <f>COUNTIFS('ENCUESTA CONDUCTORES'!R$7:R$459,"X",'ENCUESTA CONDUCTORES'!$BV$7:$BV$459,"X")</f>
        <v>5</v>
      </c>
      <c r="FP7" s="18">
        <f>COUNTIFS('ENCUESTA CONDUCTORES'!S$7:S$459,"X",'ENCUESTA CONDUCTORES'!$BV$7:$BV$459,"X")</f>
        <v>116</v>
      </c>
      <c r="FQ7" s="18">
        <f t="shared" si="76"/>
        <v>192</v>
      </c>
      <c r="FT7" s="17" t="s">
        <v>1472</v>
      </c>
      <c r="FU7" s="74">
        <f t="shared" si="9"/>
        <v>1.8867924528301886E-2</v>
      </c>
      <c r="FV7" s="18">
        <f>COUNTIFS('ENCUESTA CONDUCTORES'!$P$7:$P$459,"X",'ENCUESTA CONDUCTORES'!$AU$7:$AU$459,"&lt;12501")-FV6-FV5-FV4-FV3</f>
        <v>2</v>
      </c>
      <c r="GA7" s="17" t="s">
        <v>1426</v>
      </c>
      <c r="GB7" s="74">
        <f t="shared" si="64"/>
        <v>4.9107142857142856E-2</v>
      </c>
      <c r="GC7" s="74">
        <f t="shared" si="10"/>
        <v>4.9107142857142856E-2</v>
      </c>
      <c r="GD7" s="74">
        <f t="shared" si="11"/>
        <v>6.9196428571428575E-2</v>
      </c>
      <c r="GE7" s="74">
        <f t="shared" si="12"/>
        <v>4.6875E-2</v>
      </c>
      <c r="GF7" s="74">
        <f t="shared" si="13"/>
        <v>1.5625E-2</v>
      </c>
      <c r="GG7" s="74">
        <f t="shared" si="14"/>
        <v>4.464285714285714E-3</v>
      </c>
      <c r="GH7" s="74">
        <f t="shared" si="15"/>
        <v>2.232142857142857E-3</v>
      </c>
      <c r="GI7" s="74">
        <f t="shared" si="16"/>
        <v>0.23660714285714285</v>
      </c>
      <c r="GJ7" s="18">
        <f>COUNTIFS('ENCUESTA CONDUCTORES'!$DE$7:$DE$459,"&lt;2004",'ENCUESTA CONDUCTORES'!$BE$7:$BE$459,"&lt;10000")-GJ6-GJ5-GJ4</f>
        <v>22</v>
      </c>
      <c r="GK7" s="18">
        <f>COUNTIFS('ENCUESTA CONDUCTORES'!$DE$7:$DE$459,"&lt;2004",'ENCUESTA CONDUCTORES'!$BE$7:$BE$459,"&lt;15001")-GJ7-GK6-GJ6-GK5-GJ5-GK4-GJ4</f>
        <v>22</v>
      </c>
      <c r="GL7" s="18">
        <f>COUNTIFS('ENCUESTA CONDUCTORES'!$DE$7:$DE$459,"&lt;2004",'ENCUESTA CONDUCTORES'!$BE$7:$BE$459,"&lt;20001")-GK7-GJ7-GL6-GK6-GJ6-GL5-GK5-GJ5-GL4-GK4-GJ4</f>
        <v>31</v>
      </c>
      <c r="GM7" s="18">
        <f>COUNTIFS('ENCUESTA CONDUCTORES'!$DE$7:$DE$459,"&lt;2004",'ENCUESTA CONDUCTORES'!$BE$7:$BE$459,"&lt;25001")-GL7-GK7-GJ7-GM6-GL6-GK6-GJ6-GM5-GL5-GK5-GJ5-GM4-GL4-GK4-GJ4</f>
        <v>21</v>
      </c>
      <c r="GN7" s="18">
        <f>COUNTIFS('ENCUESTA CONDUCTORES'!$DE$7:$DE$459,"&lt;2004",'ENCUESTA CONDUCTORES'!$BE$7:$BE$459,"&lt;30001")-GM7-GL7-GK7-GJ7-GN6-GM6-GL6-GK6-GJ6-GN5-GM5-GL5-GK5-GJ5-GN4-GM4-GL4-GK4-GJ4</f>
        <v>7</v>
      </c>
      <c r="GO7" s="18">
        <f>COUNTIFS('ENCUESTA CONDUCTORES'!$DE$7:$DE$459,"&lt;2004",'ENCUESTA CONDUCTORES'!$BE$7:$BE$459,"&lt;40001")-GN7-GM7-GL7-GK7-GJ7-GO6-GN6-GM6-GL6-GK6-GJ6-GO5-GN5-GM5-GL5-GK5-GJ5-GO4-GN4-GM4-GL4-GK4-GJ4</f>
        <v>2</v>
      </c>
      <c r="GP7" s="18">
        <f>COUNTIFS('ENCUESTA CONDUCTORES'!$DE$7:$DE$459,"&lt;2004",'ENCUESTA CONDUCTORES'!$BE$7:$BE$459,"&gt;40000")-GP6-GP5-GP4</f>
        <v>1</v>
      </c>
      <c r="GQ7" s="18">
        <f t="shared" si="17"/>
        <v>106</v>
      </c>
      <c r="GS7" s="17" t="s">
        <v>208</v>
      </c>
      <c r="GT7" s="74">
        <f t="shared" si="65"/>
        <v>9.0293453724604959E-3</v>
      </c>
      <c r="GU7" s="74">
        <f t="shared" si="18"/>
        <v>1.3544018058690745E-2</v>
      </c>
      <c r="GV7" s="74">
        <f t="shared" si="19"/>
        <v>3.160270880361174E-2</v>
      </c>
      <c r="GW7" s="74">
        <f t="shared" si="20"/>
        <v>3.6117381489841983E-2</v>
      </c>
      <c r="GX7" s="74">
        <f t="shared" si="21"/>
        <v>9.0293453724604969E-2</v>
      </c>
      <c r="GY7" s="18">
        <f>COUNTIFS('ENCUESTA CONDUCTORES'!$E$7:$E$459,"X",'ENCUESTA CONDUCTORES'!$CA$7:$CA$459,"SEGURIDAD")</f>
        <v>4</v>
      </c>
      <c r="GZ7" s="18">
        <f>COUNTIFS('ENCUESTA CONDUCTORES'!$F$7:$F$459,"X",'ENCUESTA CONDUCTORES'!$CA$7:$CA$459,"SEGURIDAD")</f>
        <v>6</v>
      </c>
      <c r="HA7" s="18">
        <f>COUNTIFS('ENCUESTA CONDUCTORES'!$G$7:$G$459,"X",'ENCUESTA CONDUCTORES'!$CA$7:$CA$459,"SEGURIDAD")</f>
        <v>14</v>
      </c>
      <c r="HB7" s="18">
        <f>COUNTIFS('ENCUESTA CONDUCTORES'!$H$7:$H$459,"X",'ENCUESTA CONDUCTORES'!$CA$7:$CA$459,"SEGURIDAD")</f>
        <v>16</v>
      </c>
      <c r="HC7" s="18">
        <f>SUM(GY7:HB7)</f>
        <v>40</v>
      </c>
      <c r="HE7" s="17" t="s">
        <v>1549</v>
      </c>
      <c r="HF7" s="74">
        <f t="shared" si="66"/>
        <v>4.194260485651214E-2</v>
      </c>
      <c r="HG7" s="74">
        <f t="shared" si="22"/>
        <v>2.2075055187637971E-2</v>
      </c>
      <c r="HH7" s="74">
        <f t="shared" si="23"/>
        <v>3.5320088300220751E-2</v>
      </c>
      <c r="HI7" s="74">
        <f t="shared" si="24"/>
        <v>4.4150110375275942E-2</v>
      </c>
      <c r="HJ7" s="74">
        <f t="shared" si="25"/>
        <v>0.14348785871964681</v>
      </c>
      <c r="HK7" s="18">
        <f>COUNTIFS('ENCUESTA CONDUCTORES'!$E$7:$E$459,"X",'ENCUESTA CONDUCTORES'!$AV$7:$AV$459,"&lt;20%")-HK8</f>
        <v>19</v>
      </c>
      <c r="HL7" s="18">
        <f>COUNTIFS('ENCUESTA CONDUCTORES'!$F$7:$F$459,"X",'ENCUESTA CONDUCTORES'!$AV$7:$AV$459,"&lt;20%")-HL8</f>
        <v>10</v>
      </c>
      <c r="HM7" s="18">
        <f>COUNTIFS('ENCUESTA CONDUCTORES'!$G$7:$G$459,"X",'ENCUESTA CONDUCTORES'!$AV$7:$AV$459,"&lt;20%")-HM8</f>
        <v>16</v>
      </c>
      <c r="HN7" s="18">
        <f>COUNTIFS('ENCUESTA CONDUCTORES'!$H$7:$H$459,"X",'ENCUESTA CONDUCTORES'!$AV$7:$AV$459,"&lt;20%")-HN8</f>
        <v>20</v>
      </c>
      <c r="HO7" s="18">
        <f t="shared" si="67"/>
        <v>65</v>
      </c>
    </row>
    <row r="8" spans="1:223" ht="25.5" x14ac:dyDescent="0.25">
      <c r="B8" s="17" t="s">
        <v>1337</v>
      </c>
      <c r="C8" s="74">
        <f t="shared" si="68"/>
        <v>5.0772626931567331E-2</v>
      </c>
      <c r="D8" s="74">
        <f t="shared" si="26"/>
        <v>3.0905077262693158E-2</v>
      </c>
      <c r="E8" s="74">
        <f t="shared" si="27"/>
        <v>6.6225165562913907E-3</v>
      </c>
      <c r="F8" s="74">
        <f t="shared" si="28"/>
        <v>0.18543046357615894</v>
      </c>
      <c r="G8" s="74">
        <f t="shared" si="29"/>
        <v>0.27373068432671083</v>
      </c>
      <c r="H8" s="18">
        <f>COUNTIFS('ENCUESTA CONDUCTORES'!$H$7:$H$459,"X",'ENCUESTA CONDUCTORES'!P$7:P$459,"X")</f>
        <v>23</v>
      </c>
      <c r="I8" s="18">
        <f>COUNTIFS('ENCUESTA CONDUCTORES'!$H$7:$H$459,"X",'ENCUESTA CONDUCTORES'!Q$7:Q$459,"X")</f>
        <v>14</v>
      </c>
      <c r="J8" s="18">
        <f>COUNTIFS('ENCUESTA CONDUCTORES'!$H$7:$H$459,"X",'ENCUESTA CONDUCTORES'!R$7:R$459,"X")</f>
        <v>3</v>
      </c>
      <c r="K8" s="18">
        <f>COUNTIFS('ENCUESTA CONDUCTORES'!$H$7:$H$459,"X",'ENCUESTA CONDUCTORES'!S$7:S$459,"X")</f>
        <v>84</v>
      </c>
      <c r="L8" s="18">
        <f t="shared" si="69"/>
        <v>124</v>
      </c>
      <c r="N8" s="75" t="s">
        <v>1353</v>
      </c>
      <c r="O8" s="127">
        <f t="shared" si="30"/>
        <v>0</v>
      </c>
      <c r="P8" s="127">
        <f t="shared" si="0"/>
        <v>4.4150110375275938E-3</v>
      </c>
      <c r="Q8" s="127">
        <f t="shared" si="1"/>
        <v>4.4150110375275938E-3</v>
      </c>
      <c r="R8" s="127">
        <f t="shared" si="2"/>
        <v>2.2075055187637969E-3</v>
      </c>
      <c r="S8" s="127">
        <f t="shared" si="3"/>
        <v>1.1037527593818985E-2</v>
      </c>
      <c r="T8" s="90">
        <f>COUNTIFS('ENCUESTA CONDUCTORES'!E$7:E$459,"X",'ENCUESTA CONDUCTORES'!$AA$7:$AA$459,"X")+COUNTIFS('ENCUESTA CONDUCTORES'!E$7:E$459,"X",'ENCUESTA CONDUCTORES'!$AE$7:$AE$459,"X")</f>
        <v>0</v>
      </c>
      <c r="U8" s="90">
        <f>COUNTIFS('ENCUESTA CONDUCTORES'!F$7:F$459,"X",'ENCUESTA CONDUCTORES'!$AA$7:$AA$459,"X")+COUNTIFS('ENCUESTA CONDUCTORES'!F$7:F$459,"X",'ENCUESTA CONDUCTORES'!$AE$7:$AE$459,"X")</f>
        <v>2</v>
      </c>
      <c r="V8" s="90">
        <f>COUNTIFS('ENCUESTA CONDUCTORES'!G$7:G$459,"X",'ENCUESTA CONDUCTORES'!$AA$7:$AA$459,"X")+COUNTIFS('ENCUESTA CONDUCTORES'!G$7:G$459,"X",'ENCUESTA CONDUCTORES'!$AE$7:$AE$459,"X")</f>
        <v>2</v>
      </c>
      <c r="W8" s="90">
        <f>COUNTIFS('ENCUESTA CONDUCTORES'!H$7:H$459,"X",'ENCUESTA CONDUCTORES'!$AA$7:$AA$459,"X")+COUNTIFS('ENCUESTA CONDUCTORES'!H$7:H$459,"X",'ENCUESTA CONDUCTORES'!$AE$7:$AE$459,"X")</f>
        <v>1</v>
      </c>
      <c r="X8" s="19">
        <f t="shared" si="31"/>
        <v>5</v>
      </c>
      <c r="Z8" s="17" t="s">
        <v>429</v>
      </c>
      <c r="AA8" s="76">
        <f t="shared" si="32"/>
        <v>0.23399558498896247</v>
      </c>
      <c r="AB8" s="76">
        <f t="shared" si="32"/>
        <v>0.18543046357615894</v>
      </c>
      <c r="AC8" s="76">
        <f t="shared" si="32"/>
        <v>2.8697571743929361E-2</v>
      </c>
      <c r="AD8" s="76">
        <f t="shared" si="32"/>
        <v>0.55187637969094927</v>
      </c>
      <c r="AE8" s="76">
        <f t="shared" si="32"/>
        <v>1</v>
      </c>
      <c r="AF8" s="18">
        <f>SUM(AF5:AF7)</f>
        <v>106</v>
      </c>
      <c r="AG8" s="18">
        <f>SUM(AG5:AG7)</f>
        <v>84</v>
      </c>
      <c r="AH8" s="18">
        <f>SUM(AH5:AH7)</f>
        <v>13</v>
      </c>
      <c r="AI8" s="18">
        <f>SUM(AI5:AI7)</f>
        <v>250</v>
      </c>
      <c r="AJ8" s="18">
        <f>SUM(AJ5:AJ7)</f>
        <v>453</v>
      </c>
      <c r="AL8" s="11" t="s">
        <v>1300</v>
      </c>
      <c r="AM8" s="74">
        <f t="shared" si="33"/>
        <v>0.37704918032786883</v>
      </c>
      <c r="AN8" s="18">
        <f>COUNTIFS('ENCUESTA CONDUCTORES'!$AL$7:$AL$459,"X",'ENCUESTA CONDUCTORES'!$AX$7:$AX$459,"&lt;2.51")-AN7-AN6-AN5-AN4</f>
        <v>161</v>
      </c>
      <c r="BZ8" s="17" t="s">
        <v>1303</v>
      </c>
      <c r="CA8" s="74">
        <f t="shared" si="4"/>
        <v>0.31818181818181818</v>
      </c>
      <c r="CB8" s="74">
        <f t="shared" si="4"/>
        <v>0</v>
      </c>
      <c r="CC8" s="74">
        <f t="shared" si="4"/>
        <v>4.5454545454545456E-2</v>
      </c>
      <c r="CD8" s="74">
        <f t="shared" si="4"/>
        <v>0</v>
      </c>
      <c r="CE8" s="74">
        <f t="shared" si="4"/>
        <v>0.36363636363636365</v>
      </c>
      <c r="CF8" s="18">
        <f>COUNTIFS('ENCUESTA CONDUCTORES'!$AJ$7:$AJ$459,"X",'ENCUESTA CONDUCTORES'!P$7:P$459,"X",'ENCUESTA CONDUCTORES'!$AX$7:$AX$459,"&lt;5.01")-CF7-CF6-CF5-CF4</f>
        <v>7</v>
      </c>
      <c r="CG8" s="18">
        <f>COUNTIFS('ENCUESTA CONDUCTORES'!$AJ$7:$AJ$459,"X",'ENCUESTA CONDUCTORES'!Q$7:Q$459,"X",'ENCUESTA CONDUCTORES'!$AX$7:$AX$459,"&lt;5.01")-CG7-CG6-CG5-CG4</f>
        <v>0</v>
      </c>
      <c r="CH8" s="18">
        <f>COUNTIFS('ENCUESTA CONDUCTORES'!$AJ$7:$AJ$459,"X",'ENCUESTA CONDUCTORES'!R$7:R$459,"X",'ENCUESTA CONDUCTORES'!$AX$7:$AX$459,"&lt;5.01")-CH7-CH6-CH5-CH4</f>
        <v>1</v>
      </c>
      <c r="CI8" s="18">
        <f>COUNTIFS('ENCUESTA CONDUCTORES'!$AJ$7:$AJ$459,"X",'ENCUESTA CONDUCTORES'!S$7:S$459,"X",'ENCUESTA CONDUCTORES'!$AX$7:$AX$459,"&lt;5.01")-CI7-CI6-CI5-CI4</f>
        <v>0</v>
      </c>
      <c r="CJ8" s="18">
        <f t="shared" si="34"/>
        <v>8</v>
      </c>
      <c r="CL8" s="17" t="s">
        <v>1427</v>
      </c>
      <c r="CM8" s="74">
        <f t="shared" si="35"/>
        <v>3.0905077262693158E-2</v>
      </c>
      <c r="CN8" s="74">
        <f t="shared" si="5"/>
        <v>2.2075055187637971E-2</v>
      </c>
      <c r="CO8" s="74">
        <f t="shared" si="6"/>
        <v>2.2075055187637969E-3</v>
      </c>
      <c r="CP8" s="74">
        <f t="shared" si="7"/>
        <v>0.13024282560706402</v>
      </c>
      <c r="CQ8" s="74">
        <f t="shared" si="8"/>
        <v>0.18543046357615894</v>
      </c>
      <c r="CR8" s="18">
        <f>COUNTIFS('ENCUESTA CONDUCTORES'!P$7:P$459,"X",'ENCUESTA CONDUCTORES'!$DE$7:$DE$459,"&lt;2007")-CR7-CR6-CR5-CR4</f>
        <v>14</v>
      </c>
      <c r="CS8" s="18">
        <f>COUNTIFS('ENCUESTA CONDUCTORES'!Q$7:Q$459,"X",'ENCUESTA CONDUCTORES'!$DE$7:$DE$459,"&lt;2007")-CS7-CS6-CS5-CS4</f>
        <v>10</v>
      </c>
      <c r="CT8" s="18">
        <f>COUNTIFS('ENCUESTA CONDUCTORES'!R$7:R$459,"X",'ENCUESTA CONDUCTORES'!$DE$7:$DE$459,"&lt;2007")-CT7-CT6-CT5-CT4</f>
        <v>1</v>
      </c>
      <c r="CU8" s="18">
        <f>COUNTIFS('ENCUESTA CONDUCTORES'!S$7:S$459,"X",'ENCUESTA CONDUCTORES'!$DE$7:$DE$459,"&lt;2007")-CU7-CU6-CU5-CU4</f>
        <v>59</v>
      </c>
      <c r="CV8" s="18">
        <f t="shared" si="36"/>
        <v>84</v>
      </c>
      <c r="CX8" s="11" t="s">
        <v>1299</v>
      </c>
      <c r="CY8" s="74">
        <f t="shared" si="37"/>
        <v>9.3676814988290398E-3</v>
      </c>
      <c r="CZ8" s="74">
        <f t="shared" si="38"/>
        <v>0</v>
      </c>
      <c r="DA8" s="74">
        <f t="shared" si="39"/>
        <v>4.6838407494145199E-3</v>
      </c>
      <c r="DB8" s="74">
        <f t="shared" si="40"/>
        <v>2.1077283372365339E-2</v>
      </c>
      <c r="DC8" s="74">
        <f t="shared" si="41"/>
        <v>1.405152224824356E-2</v>
      </c>
      <c r="DD8" s="74">
        <f t="shared" si="42"/>
        <v>2.1077283372365339E-2</v>
      </c>
      <c r="DE8" s="74">
        <f t="shared" si="43"/>
        <v>2.34192037470726E-3</v>
      </c>
      <c r="DF8" s="74">
        <f t="shared" si="44"/>
        <v>7.2599531615925056E-2</v>
      </c>
      <c r="DG8" s="18">
        <f>COUNTIFS('ENCUESTA CONDUCTORES'!$AL$7:$AL$459,"X",'ENCUESTA CONDUCTORES'!$DE$7:$DE$459,"&lt;1991",'ENCUESTA CONDUCTORES'!$AX$7:$AX$459,"&lt;2.21")-DG7-DG6-DG5</f>
        <v>4</v>
      </c>
      <c r="DH8" s="18">
        <f>COUNTIFS('ENCUESTA CONDUCTORES'!$AL$7:$AL$459,"X",'ENCUESTA CONDUCTORES'!$DE$7:$DE$459,"&lt;1994",'ENCUESTA CONDUCTORES'!$AX$7:$AX$459,"&lt;2.21")-DG8-DH7-DG7-DH6-DG6-DH5-DG5</f>
        <v>0</v>
      </c>
      <c r="DI8" s="18">
        <f>COUNTIFS('ENCUESTA CONDUCTORES'!$AL$7:$AL$459,"X",'ENCUESTA CONDUCTORES'!$DE$7:$DE$459,"&lt;1998",'ENCUESTA CONDUCTORES'!$AX$7:$AX$459,"&lt;2.21")-DH8-DG8-DI7-DH7-DG7-DI6-DH6-DG6-DI5-DH5-DG5</f>
        <v>2</v>
      </c>
      <c r="DJ8" s="18">
        <f>COUNTIFS('ENCUESTA CONDUCTORES'!$AL$7:$AL$459,"X",'ENCUESTA CONDUCTORES'!$DE$7:$DE$459,"&lt;2004",'ENCUESTA CONDUCTORES'!$AX$7:$AX$459,"&lt;2.21")-DI8-DH8-DG8-DJ7-DI7-DH7-DG7-DJ6-DI6-DH6-DG6-DJ5-DI5-DH5-DG5</f>
        <v>9</v>
      </c>
      <c r="DK8" s="18">
        <f>COUNTIFS('ENCUESTA CONDUCTORES'!$AL$7:$AL$459,"X",'ENCUESTA CONDUCTORES'!$DE$7:$DE$459,"&lt;2007",'ENCUESTA CONDUCTORES'!$AX$7:$AX$459,"&lt;2.21")-DJ8-DI8-DH8-DG8-DK7-DJ7-DI7-DH7-DG7-DK6-DJ6-DI6-DH6-DG6-DK5-DJ5-DI5-DH5-DG5</f>
        <v>6</v>
      </c>
      <c r="DL8" s="18">
        <f>COUNTIFS('ENCUESTA CONDUCTORES'!$AL$7:$AL$459,"X",'ENCUESTA CONDUCTORES'!$DE$7:$DE$459,"&lt;2011",'ENCUESTA CONDUCTORES'!$AX$7:$AX$459,"&lt;2.21")-DK8-DJ8-DI8-DH8-DG8-DL7-DK7-DJ7-DI7-DH7-DG7-DL6-DK6-DJ6-DI6-DH6-DG6-DL5-DK5-DJ5-DI5-DH5-DG5</f>
        <v>9</v>
      </c>
      <c r="DM8" s="18">
        <f>COUNTIFS('ENCUESTA CONDUCTORES'!$AL$7:$AL$459,"X",'ENCUESTA CONDUCTORES'!$DE$7:$DE$459,"&gt;2010",'ENCUESTA CONDUCTORES'!$AX$7:$AX$459,"&lt;2.21")-DM7-DM6-DM5</f>
        <v>1</v>
      </c>
      <c r="DN8" s="18">
        <f t="shared" si="70"/>
        <v>31</v>
      </c>
      <c r="DP8" s="18" t="s">
        <v>465</v>
      </c>
      <c r="DQ8" s="74">
        <f t="shared" si="71"/>
        <v>3.5443037974683546E-2</v>
      </c>
      <c r="DR8" s="74">
        <f t="shared" si="45"/>
        <v>1.0126582278481013E-2</v>
      </c>
      <c r="DS8" s="74">
        <f t="shared" si="46"/>
        <v>1.0126582278481013E-2</v>
      </c>
      <c r="DT8" s="74">
        <f t="shared" si="47"/>
        <v>2.7848101265822784E-2</v>
      </c>
      <c r="DU8" s="74">
        <f t="shared" si="48"/>
        <v>1.7721518987341773E-2</v>
      </c>
      <c r="DV8" s="74">
        <f t="shared" si="49"/>
        <v>7.5949367088607592E-3</v>
      </c>
      <c r="DW8" s="74">
        <f t="shared" si="50"/>
        <v>0</v>
      </c>
      <c r="DX8" s="74">
        <f t="shared" si="51"/>
        <v>0.10886075949367088</v>
      </c>
      <c r="DY8" s="19">
        <f>COUNTIFS('ENCUESTA CONDUCTORES'!$AI$7:$AI$459,"&lt;1500001",'ENCUESTA CONDUCTORES'!$AH$7:$AH$459,"&lt;1991")-DY7-DY6-DY5</f>
        <v>14</v>
      </c>
      <c r="DZ8" s="19">
        <f>COUNTIFS('ENCUESTA CONDUCTORES'!$AI$7:$AI$459,"&lt;1500001",'ENCUESTA CONDUCTORES'!$AH$7:$AH$459,"&lt;1994")-DY8-DZ7-DY7-DZ6-DY6-DZ5-DY5</f>
        <v>4</v>
      </c>
      <c r="EA8" s="19">
        <f>COUNTIFS('ENCUESTA CONDUCTORES'!$AI$7:$AI$459,"&lt;1500001",'ENCUESTA CONDUCTORES'!$AH$7:$AH$459,"&lt;1998")-DZ8-DY8-EA7-DZ7-DY7-EA6-DZ6-DY6-EA5-DZ5-DY5</f>
        <v>4</v>
      </c>
      <c r="EB8" s="19">
        <f>COUNTIFS('ENCUESTA CONDUCTORES'!$AI$7:$AI$459,"&lt;1500001",'ENCUESTA CONDUCTORES'!$AH$7:$AH$459,"&lt;2004")-EA8-DZ8-DY8-EB7-EA7-DZ7-DY7-EB6-EA6-DZ6-DY6-EB5-EA5-DZ5-DY5</f>
        <v>11</v>
      </c>
      <c r="EC8" s="19">
        <f>COUNTIFS('ENCUESTA CONDUCTORES'!$AI$7:$AI$459,"&lt;1500001",'ENCUESTA CONDUCTORES'!$AH$7:$AH$459,"&lt;2007")-EB8-EA8-DZ8-DY8-EC7-EB7-EA7-DZ7-DY7-EC6-EB6-EA6-DZ6-DY6-EC5-EB5-EA5-DZ5-DY5</f>
        <v>7</v>
      </c>
      <c r="ED8" s="19">
        <f>COUNTIFS('ENCUESTA CONDUCTORES'!$AI$7:$AI$459,"&lt;1500001",'ENCUESTA CONDUCTORES'!$AH$7:$AH$459,"&lt;2011")-EC8-EB8-EA8-DZ8-DY8-ED7-EC7-EB7-EA7-DZ7-DY7-ED6-EC6-EB6-EA6-DZ6-DY6-ED5-EC5-EB5-EA5-DZ5-DY5</f>
        <v>3</v>
      </c>
      <c r="EE8" s="19">
        <f>COUNTIFS('ENCUESTA CONDUCTORES'!$AI$7:$AI$459,"&lt;1500001",'ENCUESTA CONDUCTORES'!$AH$7:$AH$459,"&gt;2010")-EE7-EE6-EE5</f>
        <v>0</v>
      </c>
      <c r="EF8" s="18">
        <f t="shared" si="72"/>
        <v>43</v>
      </c>
      <c r="EH8" s="17" t="s">
        <v>1471</v>
      </c>
      <c r="EI8" s="74">
        <f t="shared" si="73"/>
        <v>1.9867549668874173E-2</v>
      </c>
      <c r="EJ8" s="74">
        <f t="shared" si="52"/>
        <v>2.2075055187637969E-3</v>
      </c>
      <c r="EK8" s="74">
        <f t="shared" si="53"/>
        <v>2.2075055187637971E-2</v>
      </c>
      <c r="EL8" s="74">
        <f t="shared" si="54"/>
        <v>8.1677704194260486E-2</v>
      </c>
      <c r="EM8" s="74">
        <f t="shared" si="55"/>
        <v>0.10816777041942605</v>
      </c>
      <c r="EN8" s="74">
        <f t="shared" si="56"/>
        <v>9.9337748344370855E-2</v>
      </c>
      <c r="EO8" s="74">
        <f t="shared" si="57"/>
        <v>2.4282560706401765E-2</v>
      </c>
      <c r="EP8" s="74">
        <f t="shared" si="58"/>
        <v>0.35761589403973509</v>
      </c>
      <c r="EQ8" s="18">
        <f>COUNTIFS('ENCUESTA CONDUCTORES'!$DE$7:$DE$459,"&lt;1991",'ENCUESTA CONDUCTORES'!$AU$7:$AU$459,"&lt;10001")-EQ7-EQ6-EQ5</f>
        <v>9</v>
      </c>
      <c r="ER8" s="18">
        <f>COUNTIFS('ENCUESTA CONDUCTORES'!$DE$7:$DE$459,"&lt;1994",'ENCUESTA CONDUCTORES'!$AU$7:$AU$459,"&lt;10001")-EQ8-ER7-EQ7-ER6-EQ6-ER5-EQ5</f>
        <v>1</v>
      </c>
      <c r="ES8" s="18">
        <f>COUNTIFS('ENCUESTA CONDUCTORES'!$DE$7:$DE$459,"&lt;1998",'ENCUESTA CONDUCTORES'!$AU$7:$AU$459,"&lt;10001")-ER8-EQ8-ES7-ER7-EQ7-ES6-ER6-EQ6-ES5-ER5-EQ5</f>
        <v>10</v>
      </c>
      <c r="ET8" s="18">
        <f>COUNTIFS('ENCUESTA CONDUCTORES'!$DE$7:$DE$459,"&lt;2004",'ENCUESTA CONDUCTORES'!$AU$7:$AU$459,"&lt;10001")-ES8-ER8-EQ8-ET7-ES7-ER7-EQ7-ET6-ES6-ER6-EQ6-ET5-ES5-ER5-EQ5</f>
        <v>37</v>
      </c>
      <c r="EU8" s="18">
        <f>COUNTIFS('ENCUESTA CONDUCTORES'!$DE$7:$DE$459,"&lt;2007",'ENCUESTA CONDUCTORES'!$AU$7:$AU$459,"&lt;10001")-ET8-ES8-ER8-EQ8-EU7-ET7-ES7-ER7-EQ7-EU6-ET6-ES6-ER6-EQ6-EU5-ET5-ES5-ER5-EQ5</f>
        <v>49</v>
      </c>
      <c r="EV8" s="18">
        <f>COUNTIFS('ENCUESTA CONDUCTORES'!$DE$7:$DE$459,"&lt;2011",'ENCUESTA CONDUCTORES'!$AU$7:$AU$459,"&lt;10001")-EU8-ET8-ES8-ER8-EQ8-EV7-EU7-ET7-ES7-ER7-EQ7-EV6-EU6-ET6-ES6-ER6-EQ6-EV5-EU5-ET5-ES5-ER5-EQ5</f>
        <v>45</v>
      </c>
      <c r="EW8" s="18">
        <f>COUNTIFS('ENCUESTA CONDUCTORES'!$DE$7:$DE$459,"&gt;2010",'ENCUESTA CONDUCTORES'!$AU$7:$AU$459,"&lt;10001")-EW7-EW6-EW5</f>
        <v>11</v>
      </c>
      <c r="EX8" s="18">
        <f t="shared" si="59"/>
        <v>162</v>
      </c>
      <c r="EZ8" s="87" t="s">
        <v>1487</v>
      </c>
      <c r="FA8" s="74">
        <f t="shared" si="74"/>
        <v>2.2075055187637969E-3</v>
      </c>
      <c r="FB8" s="74">
        <f t="shared" si="60"/>
        <v>2.2075055187637969E-3</v>
      </c>
      <c r="FC8" s="74">
        <f t="shared" si="61"/>
        <v>4.4150110375275938E-3</v>
      </c>
      <c r="FD8" s="74">
        <f t="shared" si="62"/>
        <v>0</v>
      </c>
      <c r="FE8" s="74">
        <f t="shared" si="63"/>
        <v>8.8300220750551876E-3</v>
      </c>
      <c r="FF8" s="18">
        <f>COUNTIFS('ENCUESTA CONDUCTORES'!E$7:E$459,"X",'ENCUESTA CONDUCTORES'!$AV$7:$AV$459,"25%")</f>
        <v>1</v>
      </c>
      <c r="FG8" s="18">
        <f>COUNTIFS('ENCUESTA CONDUCTORES'!F$7:F$459,"X",'ENCUESTA CONDUCTORES'!$AV$7:$AV$459,"25%")</f>
        <v>1</v>
      </c>
      <c r="FH8" s="18">
        <f>COUNTIFS('ENCUESTA CONDUCTORES'!G$7:G$459,"X",'ENCUESTA CONDUCTORES'!$AV$7:$AV$459,"25%")</f>
        <v>2</v>
      </c>
      <c r="FI8" s="18">
        <f>COUNTIFS('ENCUESTA CONDUCTORES'!H$7:H$459,"X",'ENCUESTA CONDUCTORES'!$AV$7:$AV$459,"25%")</f>
        <v>0</v>
      </c>
      <c r="FJ8" s="18">
        <f t="shared" si="75"/>
        <v>4</v>
      </c>
      <c r="FL8" s="75" t="s">
        <v>1174</v>
      </c>
      <c r="FM8" s="18">
        <f>COUNTIFS('ENCUESTA CONDUCTORES'!P$7:P$459,"X",'ENCUESTA CONDUCTORES'!$BW$7:$BW$459,"X")</f>
        <v>5</v>
      </c>
      <c r="FN8" s="18">
        <f>COUNTIFS('ENCUESTA CONDUCTORES'!Q$7:Q$459,"X",'ENCUESTA CONDUCTORES'!$BW$7:$BW$459,"X")</f>
        <v>1</v>
      </c>
      <c r="FO8" s="18">
        <f>COUNTIFS('ENCUESTA CONDUCTORES'!R$7:R$459,"X",'ENCUESTA CONDUCTORES'!$BW$7:$BW$459,"X")</f>
        <v>1</v>
      </c>
      <c r="FP8" s="18">
        <f>COUNTIFS('ENCUESTA CONDUCTORES'!S$7:S$459,"X",'ENCUESTA CONDUCTORES'!$BW$7:$BW$459,"X")</f>
        <v>7</v>
      </c>
      <c r="FQ8" s="18">
        <f t="shared" si="76"/>
        <v>14</v>
      </c>
      <c r="FT8" s="17" t="s">
        <v>1511</v>
      </c>
      <c r="FU8" s="74">
        <f t="shared" si="9"/>
        <v>0.12264150943396226</v>
      </c>
      <c r="FV8" s="18">
        <f>COUNTIFS('ENCUESTA CONDUCTORES'!$P$7:$P$459,"X",'ENCUESTA CONDUCTORES'!$AU$7:$AU$459,"&gt;12500")</f>
        <v>13</v>
      </c>
      <c r="GA8" s="17" t="s">
        <v>1427</v>
      </c>
      <c r="GB8" s="74">
        <f t="shared" si="64"/>
        <v>2.0089285714285716E-2</v>
      </c>
      <c r="GC8" s="74">
        <f t="shared" si="10"/>
        <v>2.2321428571428572E-2</v>
      </c>
      <c r="GD8" s="74">
        <f t="shared" si="11"/>
        <v>8.7053571428571425E-2</v>
      </c>
      <c r="GE8" s="74">
        <f t="shared" si="12"/>
        <v>3.7946428571428568E-2</v>
      </c>
      <c r="GF8" s="74">
        <f t="shared" si="13"/>
        <v>1.3392857142857142E-2</v>
      </c>
      <c r="GG8" s="74">
        <f t="shared" si="14"/>
        <v>2.232142857142857E-3</v>
      </c>
      <c r="GH8" s="74">
        <f t="shared" si="15"/>
        <v>4.464285714285714E-3</v>
      </c>
      <c r="GI8" s="74">
        <f t="shared" si="16"/>
        <v>0.1875</v>
      </c>
      <c r="GJ8" s="18">
        <f>COUNTIFS('ENCUESTA CONDUCTORES'!$DE$7:$DE$459,"&lt;2007",'ENCUESTA CONDUCTORES'!$BE$7:$BE$459,"&lt;10000")-GJ7-GJ6-GJ5-GJ4</f>
        <v>9</v>
      </c>
      <c r="GK8" s="18">
        <f>COUNTIFS('ENCUESTA CONDUCTORES'!$DE$7:$DE$459,"&lt;2007",'ENCUESTA CONDUCTORES'!$BE$7:$BE$459,"&lt;15001")-GJ8-GK7-GJ7-GK6-GJ6-GK5-GJ5-GK4-GJ4</f>
        <v>10</v>
      </c>
      <c r="GL8" s="18">
        <f>COUNTIFS('ENCUESTA CONDUCTORES'!$DE$7:$DE$459,"&lt;2007",'ENCUESTA CONDUCTORES'!$BE$7:$BE$459,"&lt;20001")-GK8-GJ8-GL7-GK7-GJ7-GL6-GK6-GJ6-GL5-GK5-GJ5-GL4-GK4-GJ4</f>
        <v>39</v>
      </c>
      <c r="GM8" s="18">
        <f>COUNTIFS('ENCUESTA CONDUCTORES'!$DE$7:$DE$459,"&lt;2007",'ENCUESTA CONDUCTORES'!$BE$7:$BE$459,"&lt;25001")-GL8-GK8-GJ8-GM7-GL7-GK7-GJ7-GM6-GL6-GK6-GJ6-GM5-GL5-GK5-GJ5-GM4-GL4-GK4-GJ4</f>
        <v>17</v>
      </c>
      <c r="GN8" s="18">
        <f>COUNTIFS('ENCUESTA CONDUCTORES'!$DE$7:$DE$459,"&lt;2007",'ENCUESTA CONDUCTORES'!$BE$7:$BE$459,"&lt;30001")-GM8-GL8-GK8-GJ8-GN7-GM7-GL7-GK7-GJ7-GN6-GM6-GL6-GK6-GJ6-GN5-GM5-GL5-GK5-GJ5-GN4-GM4-GL4-GK4-GJ4</f>
        <v>6</v>
      </c>
      <c r="GO8" s="18">
        <f>COUNTIFS('ENCUESTA CONDUCTORES'!$DE$7:$DE$459,"&lt;2007",'ENCUESTA CONDUCTORES'!$BE$7:$BE$459,"&lt;40001")-GN8-GM8-GL8-GK8-GJ8-GO7-GN7-GM7-GL7-GK7-GJ7-GO6-GN6-GM6-GL6-GK6-GJ6-GO5-GN5-GM5-GL5-GK5-GJ5-GO4-GN4-GM4-GL4-GK4-GJ4</f>
        <v>1</v>
      </c>
      <c r="GP8" s="18">
        <f>COUNTIFS('ENCUESTA CONDUCTORES'!$DE$7:$DE$459,"&lt;2007",'ENCUESTA CONDUCTORES'!$BE$7:$BE$459,"&gt;40000")-GP7-GP6-GP5-GP4</f>
        <v>2</v>
      </c>
      <c r="GQ8" s="18">
        <f t="shared" si="17"/>
        <v>84</v>
      </c>
      <c r="GS8" s="17" t="s">
        <v>429</v>
      </c>
      <c r="GT8" s="74">
        <f t="shared" si="65"/>
        <v>0.1489841986455982</v>
      </c>
      <c r="GU8" s="74">
        <f t="shared" si="18"/>
        <v>0.18058690744920994</v>
      </c>
      <c r="GV8" s="74">
        <f t="shared" si="19"/>
        <v>0.40180586907449212</v>
      </c>
      <c r="GW8" s="74">
        <f t="shared" si="20"/>
        <v>0.26862302483069977</v>
      </c>
      <c r="GX8" s="74">
        <f t="shared" si="21"/>
        <v>1</v>
      </c>
      <c r="GY8" s="18">
        <f>SUM(GY4:GY7)</f>
        <v>66</v>
      </c>
      <c r="GZ8" s="18">
        <f t="shared" ref="GZ8:HC8" si="77">SUM(GZ4:GZ7)</f>
        <v>80</v>
      </c>
      <c r="HA8" s="18">
        <f t="shared" si="77"/>
        <v>178</v>
      </c>
      <c r="HB8" s="18">
        <f t="shared" si="77"/>
        <v>119</v>
      </c>
      <c r="HC8" s="18">
        <f t="shared" si="77"/>
        <v>443</v>
      </c>
      <c r="HE8" s="17" t="s">
        <v>1550</v>
      </c>
      <c r="HF8" s="74">
        <f t="shared" si="66"/>
        <v>1.7660044150110375E-2</v>
      </c>
      <c r="HG8" s="74">
        <f t="shared" si="22"/>
        <v>6.6225165562913907E-3</v>
      </c>
      <c r="HH8" s="74">
        <f t="shared" si="23"/>
        <v>3.3112582781456956E-2</v>
      </c>
      <c r="HI8" s="74">
        <f t="shared" si="24"/>
        <v>3.5320088300220751E-2</v>
      </c>
      <c r="HJ8" s="74">
        <f t="shared" si="25"/>
        <v>9.2715231788079472E-2</v>
      </c>
      <c r="HK8" s="18">
        <f>COUNTIFS('ENCUESTA CONDUCTORES'!$E$7:$E$459,"X",'ENCUESTA CONDUCTORES'!$AV$7:$AV$459,"&lt;10%")</f>
        <v>8</v>
      </c>
      <c r="HL8" s="18">
        <f>COUNTIFS('ENCUESTA CONDUCTORES'!$F$7:$F$459,"X",'ENCUESTA CONDUCTORES'!$AV$7:$AV$459,"&lt;10%")</f>
        <v>3</v>
      </c>
      <c r="HM8" s="18">
        <f>COUNTIFS('ENCUESTA CONDUCTORES'!$G$7:$G$459,"X",'ENCUESTA CONDUCTORES'!$AV$7:$AV$459,"&lt;10%")</f>
        <v>15</v>
      </c>
      <c r="HN8" s="18">
        <f>COUNTIFS('ENCUESTA CONDUCTORES'!$H$7:$H$459,"X",'ENCUESTA CONDUCTORES'!$AV$7:$AV$459,"&lt;10%")</f>
        <v>16</v>
      </c>
      <c r="HO8" s="18">
        <f t="shared" si="67"/>
        <v>42</v>
      </c>
    </row>
    <row r="9" spans="1:223" x14ac:dyDescent="0.25">
      <c r="C9" s="74">
        <f t="shared" si="68"/>
        <v>0.23399558498896247</v>
      </c>
      <c r="D9" s="74">
        <f t="shared" si="26"/>
        <v>0.18543046357615894</v>
      </c>
      <c r="E9" s="74">
        <f t="shared" si="27"/>
        <v>2.8697571743929361E-2</v>
      </c>
      <c r="F9" s="74">
        <f t="shared" si="28"/>
        <v>0.55187637969094927</v>
      </c>
      <c r="G9" s="74">
        <f t="shared" si="29"/>
        <v>1</v>
      </c>
      <c r="H9" s="18">
        <f>SUM(H5:H8)</f>
        <v>106</v>
      </c>
      <c r="I9" s="18">
        <f t="shared" ref="I9:L9" si="78">SUM(I5:I8)</f>
        <v>84</v>
      </c>
      <c r="J9" s="18">
        <f t="shared" si="78"/>
        <v>13</v>
      </c>
      <c r="K9" s="18">
        <f t="shared" si="78"/>
        <v>250</v>
      </c>
      <c r="L9" s="18">
        <f t="shared" si="78"/>
        <v>453</v>
      </c>
      <c r="N9" s="75" t="s">
        <v>1354</v>
      </c>
      <c r="O9" s="127">
        <f t="shared" si="30"/>
        <v>4.4150110375275942E-2</v>
      </c>
      <c r="P9" s="127">
        <f t="shared" si="0"/>
        <v>2.8697571743929361E-2</v>
      </c>
      <c r="Q9" s="127">
        <f t="shared" si="1"/>
        <v>5.9602649006622516E-2</v>
      </c>
      <c r="R9" s="127">
        <f t="shared" si="2"/>
        <v>1.5452538631346579E-2</v>
      </c>
      <c r="S9" s="127">
        <f t="shared" si="3"/>
        <v>0.1479028697571744</v>
      </c>
      <c r="T9" s="90">
        <f>COUNTIFS('ENCUESTA CONDUCTORES'!E$7:E$459,"X",'ENCUESTA CONDUCTORES'!$AD$7:$AD$459,"X")+COUNTIFS('ENCUESTA CONDUCTORES'!E$7:E$459,"X",'ENCUESTA CONDUCTORES'!$AF$7:$AF$459,"X")</f>
        <v>20</v>
      </c>
      <c r="U9" s="90">
        <f>COUNTIFS('ENCUESTA CONDUCTORES'!F$7:F$459,"X",'ENCUESTA CONDUCTORES'!$AD$7:$AD$459,"X")+COUNTIFS('ENCUESTA CONDUCTORES'!F$7:F$459,"X",'ENCUESTA CONDUCTORES'!$AF$7:$AF$459,"X")</f>
        <v>13</v>
      </c>
      <c r="V9" s="90">
        <f>COUNTIFS('ENCUESTA CONDUCTORES'!G$7:G$459,"X",'ENCUESTA CONDUCTORES'!$AD$7:$AD$459,"X")+COUNTIFS('ENCUESTA CONDUCTORES'!G$7:G$459,"X",'ENCUESTA CONDUCTORES'!$AF$7:$AF$459,"X")</f>
        <v>27</v>
      </c>
      <c r="W9" s="90">
        <f>COUNTIFS('ENCUESTA CONDUCTORES'!H$7:H$459,"X",'ENCUESTA CONDUCTORES'!$AD$7:$AD$459,"X")+COUNTIFS('ENCUESTA CONDUCTORES'!H$7:H$459,"X",'ENCUESTA CONDUCTORES'!$AF$7:$AF$459,"X")</f>
        <v>7</v>
      </c>
      <c r="X9" s="19">
        <f t="shared" si="31"/>
        <v>67</v>
      </c>
      <c r="AJ9" s="18">
        <f>SUM(AF8:AI8)</f>
        <v>453</v>
      </c>
      <c r="AL9" s="11" t="s">
        <v>1301</v>
      </c>
      <c r="AM9" s="74">
        <f t="shared" si="33"/>
        <v>0.15690866510538642</v>
      </c>
      <c r="AN9" s="18">
        <f>COUNTIFS('ENCUESTA CONDUCTORES'!$AL$7:$AL$459,"X",'ENCUESTA CONDUCTORES'!$AX$7:$AX$459,"&lt;3.01")-AN8-AN7-AN6-AN5-AN4</f>
        <v>67</v>
      </c>
      <c r="BZ9" s="17" t="s">
        <v>1421</v>
      </c>
      <c r="CA9" s="74">
        <f t="shared" si="4"/>
        <v>0.13636363636363635</v>
      </c>
      <c r="CB9" s="74">
        <f t="shared" si="4"/>
        <v>0</v>
      </c>
      <c r="CC9" s="74">
        <f t="shared" si="4"/>
        <v>0</v>
      </c>
      <c r="CD9" s="74">
        <f t="shared" si="4"/>
        <v>0</v>
      </c>
      <c r="CE9" s="74">
        <f t="shared" si="4"/>
        <v>0.13636363636363635</v>
      </c>
      <c r="CF9" s="18">
        <f>COUNTIFS('ENCUESTA CONDUCTORES'!$AJ$7:$AJ$459,"X",'ENCUESTA CONDUCTORES'!P$7:P$459,"X",'ENCUESTA CONDUCTORES'!$AX$7:$AX$459,"&lt;7.01")-CF8-CF7-CF6-CF5-CF4</f>
        <v>3</v>
      </c>
      <c r="CG9" s="18">
        <f>COUNTIFS('ENCUESTA CONDUCTORES'!$AJ$7:$AJ$459,"X",'ENCUESTA CONDUCTORES'!Q$7:Q$459,"X",'ENCUESTA CONDUCTORES'!$AX$7:$AX$459,"&lt;7.01")-CG8-CG7-CG6-CG5-CG4</f>
        <v>0</v>
      </c>
      <c r="CH9" s="18">
        <f>COUNTIFS('ENCUESTA CONDUCTORES'!$AJ$7:$AJ$459,"X",'ENCUESTA CONDUCTORES'!R$7:R$459,"X",'ENCUESTA CONDUCTORES'!$AX$7:$AX$459,"&lt;7.01")-CH8-CH7-CH6-CH5-CH4</f>
        <v>0</v>
      </c>
      <c r="CI9" s="18">
        <f>COUNTIFS('ENCUESTA CONDUCTORES'!$AJ$7:$AJ$459,"X",'ENCUESTA CONDUCTORES'!S$7:S$459,"X",'ENCUESTA CONDUCTORES'!$AX$7:$AX$459,"&lt;7.01")-CI8-CI7-CI6-CI5-CI4</f>
        <v>0</v>
      </c>
      <c r="CJ9" s="18">
        <f t="shared" si="34"/>
        <v>3</v>
      </c>
      <c r="CL9" s="17" t="s">
        <v>1428</v>
      </c>
      <c r="CM9" s="74">
        <f t="shared" si="35"/>
        <v>4.856512141280353E-2</v>
      </c>
      <c r="CN9" s="74">
        <f t="shared" si="5"/>
        <v>1.7660044150110375E-2</v>
      </c>
      <c r="CO9" s="74">
        <f t="shared" si="6"/>
        <v>1.1037527593818985E-2</v>
      </c>
      <c r="CP9" s="74">
        <f t="shared" si="7"/>
        <v>0.16335540838852097</v>
      </c>
      <c r="CQ9" s="74">
        <f t="shared" si="8"/>
        <v>0.24061810154525387</v>
      </c>
      <c r="CR9" s="18">
        <f>COUNTIFS('ENCUESTA CONDUCTORES'!P$7:P$459,"X",'ENCUESTA CONDUCTORES'!$DE$7:$DE$459,"&lt;2011")-CR8-CR7-CR6-CR5-CR4</f>
        <v>22</v>
      </c>
      <c r="CS9" s="18">
        <f>COUNTIFS('ENCUESTA CONDUCTORES'!Q$7:Q$459,"X",'ENCUESTA CONDUCTORES'!$DE$7:$DE$459,"&lt;2011")-CS8-CS7-CS6-CS5-CS4</f>
        <v>8</v>
      </c>
      <c r="CT9" s="18">
        <f>COUNTIFS('ENCUESTA CONDUCTORES'!R$7:R$459,"X",'ENCUESTA CONDUCTORES'!$DE$7:$DE$459,"&lt;2011")-CT8-CT7-CT6-CT5-CT4</f>
        <v>5</v>
      </c>
      <c r="CU9" s="18">
        <f>COUNTIFS('ENCUESTA CONDUCTORES'!S$7:S$459,"X",'ENCUESTA CONDUCTORES'!$DE$7:$DE$459,"&lt;2011")-CU8-CU7-CU6-CU5-CU4</f>
        <v>74</v>
      </c>
      <c r="CV9" s="18">
        <f t="shared" si="36"/>
        <v>109</v>
      </c>
      <c r="CX9" s="11" t="s">
        <v>1300</v>
      </c>
      <c r="CY9" s="74">
        <f t="shared" si="37"/>
        <v>2.1077283372365339E-2</v>
      </c>
      <c r="CZ9" s="74">
        <f t="shared" si="38"/>
        <v>7.0257611241217799E-3</v>
      </c>
      <c r="DA9" s="74">
        <f t="shared" si="39"/>
        <v>1.1709601873536301E-2</v>
      </c>
      <c r="DB9" s="74">
        <f t="shared" si="40"/>
        <v>7.4941451990632318E-2</v>
      </c>
      <c r="DC9" s="74">
        <f t="shared" si="41"/>
        <v>0.11241217798594848</v>
      </c>
      <c r="DD9" s="74">
        <f t="shared" si="42"/>
        <v>0.12646370023419204</v>
      </c>
      <c r="DE9" s="74">
        <f t="shared" si="43"/>
        <v>2.3419203747072601E-2</v>
      </c>
      <c r="DF9" s="74">
        <f t="shared" si="44"/>
        <v>0.37704918032786883</v>
      </c>
      <c r="DG9" s="18">
        <f>COUNTIFS('ENCUESTA CONDUCTORES'!$AL$7:$AL$459,"X",'ENCUESTA CONDUCTORES'!$DE$7:$DE$459,"&lt;1991",'ENCUESTA CONDUCTORES'!$AX$7:$AX$459,"&lt;2.51")-DG8-DG7-DG6-DG5</f>
        <v>9</v>
      </c>
      <c r="DH9" s="18">
        <f>COUNTIFS('ENCUESTA CONDUCTORES'!$AL$7:$AL$459,"X",'ENCUESTA CONDUCTORES'!$DE$7:$DE$459,"&lt;1994",'ENCUESTA CONDUCTORES'!$AX$7:$AX$459,"&lt;2.51")-DG9-DH8-DG8-DH7-DG7-DH6-DG6-DH5-DG5</f>
        <v>3</v>
      </c>
      <c r="DI9" s="18">
        <f>COUNTIFS('ENCUESTA CONDUCTORES'!$AL$7:$AL$459,"X",'ENCUESTA CONDUCTORES'!$DE$7:$DE$459,"&lt;1998",'ENCUESTA CONDUCTORES'!$AX$7:$AX$459,"&lt;2.51")-DH9-DG9-DI8-DH8-DG8-DI7-DH7-DG7-DI6-DH6-DG6-DI5-DH5-DG5</f>
        <v>5</v>
      </c>
      <c r="DJ9" s="18">
        <f>COUNTIFS('ENCUESTA CONDUCTORES'!$AL$7:$AL$459,"X",'ENCUESTA CONDUCTORES'!$DE$7:$DE$459,"&lt;2004",'ENCUESTA CONDUCTORES'!$AX$7:$AX$459,"&lt;2.51")-DI9-DH9-DG9-DJ8-DI8-DH8-DG8-DJ7-DI7-DH7-DG7-DJ6-DI6-DH6-DG6-DJ5-DI5-DH5-DG5</f>
        <v>32</v>
      </c>
      <c r="DK9" s="18">
        <f>COUNTIFS('ENCUESTA CONDUCTORES'!$AL$7:$AL$459,"X",'ENCUESTA CONDUCTORES'!$DE$7:$DE$459,"&lt;2007",'ENCUESTA CONDUCTORES'!$AX$7:$AX$459,"&lt;2.51")-DJ9-DI9-DH9-DG9-DK8-DJ8-DI8-DH8-DG8-DK7-DJ7-DI7-DH7-DG7-DK6-DJ6-DI6-DH6-DG6-DK5-DJ5-DI5-DH5-DG5</f>
        <v>48</v>
      </c>
      <c r="DL9" s="18">
        <f>COUNTIFS('ENCUESTA CONDUCTORES'!$AL$7:$AL$459,"X",'ENCUESTA CONDUCTORES'!$DE$7:$DE$459,"&lt;2011",'ENCUESTA CONDUCTORES'!$AX$7:$AX$459,"&lt;2.51")-DK9-DJ9-DI9-DH9-DG9-DL8-DK8-DJ8-DI8-DH8-DG8-DL7-DK7-DJ7-DI7-DH7-DG7-DL6-DK6-DJ6-DI6-DH6-DG6-DL5-DK5-DJ5-DI5-DH5-DG5</f>
        <v>54</v>
      </c>
      <c r="DM9" s="18">
        <f>COUNTIFS('ENCUESTA CONDUCTORES'!$AL$7:$AL$459,"X",'ENCUESTA CONDUCTORES'!$DE$7:$DE$459,"&gt;2010",'ENCUESTA CONDUCTORES'!$AX$7:$AX$459,"&lt;2.51")-DM8-DM7-DM6-DM5</f>
        <v>10</v>
      </c>
      <c r="DN9" s="18">
        <f t="shared" si="70"/>
        <v>161</v>
      </c>
      <c r="DP9" s="18" t="s">
        <v>466</v>
      </c>
      <c r="DQ9" s="74">
        <f t="shared" si="71"/>
        <v>2.7848101265822784E-2</v>
      </c>
      <c r="DR9" s="74">
        <f t="shared" si="45"/>
        <v>2.5316455696202532E-3</v>
      </c>
      <c r="DS9" s="74">
        <f t="shared" si="46"/>
        <v>1.0126582278481013E-2</v>
      </c>
      <c r="DT9" s="74">
        <f t="shared" si="47"/>
        <v>2.7848101265822784E-2</v>
      </c>
      <c r="DU9" s="74">
        <f t="shared" si="48"/>
        <v>2.5316455696202532E-3</v>
      </c>
      <c r="DV9" s="74">
        <f t="shared" si="49"/>
        <v>5.0632911392405064E-3</v>
      </c>
      <c r="DW9" s="74">
        <f t="shared" si="50"/>
        <v>0</v>
      </c>
      <c r="DX9" s="74">
        <f t="shared" si="51"/>
        <v>7.5949367088607597E-2</v>
      </c>
      <c r="DY9" s="19">
        <f>COUNTIFS('ENCUESTA CONDUCTORES'!$AI$7:$AI$459,"&lt;2000001",'ENCUESTA CONDUCTORES'!$AH$7:$AH$459,"&lt;1991")-DY8-DY7-DY6-DY5</f>
        <v>11</v>
      </c>
      <c r="DZ9" s="19">
        <f>COUNTIFS('ENCUESTA CONDUCTORES'!$AI$7:$AI$459,"&lt;2000001",'ENCUESTA CONDUCTORES'!$AH$7:$AH$459,"&lt;1994")-DY9-DZ8-DY8-DZ7-DY7-DZ6-DY6-DZ5-DY5</f>
        <v>1</v>
      </c>
      <c r="EA9" s="19">
        <f>COUNTIFS('ENCUESTA CONDUCTORES'!$AI$7:$AI$459,"&lt;2000001",'ENCUESTA CONDUCTORES'!$AH$7:$AH$459,"&lt;1998")-DZ9-DY9-EA8-DZ8-DY8-EA7-DZ7-DY7-EA6-DZ6-DY6-EA5-DZ5-DY5</f>
        <v>4</v>
      </c>
      <c r="EB9" s="19">
        <f>COUNTIFS('ENCUESTA CONDUCTORES'!$AI$7:$AI$459,"&lt;2000001",'ENCUESTA CONDUCTORES'!$AH$7:$AH$459,"&lt;2004")-EA9-DZ9-DY9-EB8-EA8-DZ8-DY8-EB7-EA7-DZ7-DY7-EB6-EA6-DZ6-DY6-EB5-EA5-DZ5-DY5</f>
        <v>11</v>
      </c>
      <c r="EC9" s="19">
        <f>COUNTIFS('ENCUESTA CONDUCTORES'!$AI$7:$AI$459,"&lt;2000001",'ENCUESTA CONDUCTORES'!$AH$7:$AH$459,"&lt;2007")-EB9-EA9-DZ9-DY9-EC8-EB8-EA8-DZ8-DY8-EC7-EB7-EA7-DZ7-DY7-EC6-EB6-EA6-DZ6-DY6-EC5-EB5-EA5-DZ5-DY5</f>
        <v>1</v>
      </c>
      <c r="ED9" s="19">
        <f>COUNTIFS('ENCUESTA CONDUCTORES'!$AI$7:$AI$459,"&lt;2000001",'ENCUESTA CONDUCTORES'!$AH$7:$AH$459,"&lt;2011")-EC9-EB9-EA9-DZ9-DY9-ED8-EC8-EB8-EA8-DZ8-DY8-ED7-EC7-EB7-EA7-DZ7-DY7-ED6-EC6-EB6-EA6-DZ6-DY6-ED5-EC5-EB5-EA5-DZ5-DY5</f>
        <v>2</v>
      </c>
      <c r="EE9" s="19">
        <f>COUNTIFS('ENCUESTA CONDUCTORES'!$AI$7:$AI$459,"&lt;2000001",'ENCUESTA CONDUCTORES'!$AH$7:$AH$459,"&gt;2010")-EE8-EE7-EE6-EE5</f>
        <v>0</v>
      </c>
      <c r="EF9" s="18">
        <f t="shared" si="72"/>
        <v>30</v>
      </c>
      <c r="EH9" s="17" t="s">
        <v>1472</v>
      </c>
      <c r="EI9" s="74">
        <f t="shared" si="73"/>
        <v>0</v>
      </c>
      <c r="EJ9" s="74">
        <f t="shared" si="52"/>
        <v>0</v>
      </c>
      <c r="EK9" s="74">
        <f t="shared" si="53"/>
        <v>2.2075055187637969E-3</v>
      </c>
      <c r="EL9" s="74">
        <f t="shared" si="54"/>
        <v>1.9867549668874173E-2</v>
      </c>
      <c r="EM9" s="74">
        <f t="shared" si="55"/>
        <v>1.7660044150110375E-2</v>
      </c>
      <c r="EN9" s="74">
        <f t="shared" si="56"/>
        <v>2.4282560706401765E-2</v>
      </c>
      <c r="EO9" s="74">
        <f t="shared" si="57"/>
        <v>0</v>
      </c>
      <c r="EP9" s="74">
        <f t="shared" si="58"/>
        <v>6.4017660044150104E-2</v>
      </c>
      <c r="EQ9" s="18">
        <f>COUNTIFS('ENCUESTA CONDUCTORES'!$DE$7:$DE$459,"&lt;1991",'ENCUESTA CONDUCTORES'!$AU$7:$AU$459,"&lt;12501")-EQ8-EQ7-EQ6-EQ5</f>
        <v>0</v>
      </c>
      <c r="ER9" s="18">
        <f>COUNTIFS('ENCUESTA CONDUCTORES'!$DE$7:$DE$459,"&lt;1994",'ENCUESTA CONDUCTORES'!$AU$7:$AU$459,"&lt;12501")-EQ9-ER8-EQ8-ER7-EQ7-ER6-EQ6-ER5-EQ5</f>
        <v>0</v>
      </c>
      <c r="ES9" s="18">
        <f>COUNTIFS('ENCUESTA CONDUCTORES'!$DE$7:$DE$459,"&lt;1998",'ENCUESTA CONDUCTORES'!$AU$7:$AU$459,"&lt;12501")-ER9-EQ9-ES8-ER8-EQ8-ES7-ER7-EQ7-ES6-ER6-EQ6-ES5-ER5-EQ5</f>
        <v>1</v>
      </c>
      <c r="ET9" s="18">
        <f>COUNTIFS('ENCUESTA CONDUCTORES'!$DE$7:$DE$459,"&lt;2004",'ENCUESTA CONDUCTORES'!$AU$7:$AU$459,"&lt;12501")-ES9-ER9-EQ9-ET8-ES8-ER8-EQ8-ET7-ES7-ER7-EQ7-ET6-ES6-ER6-EQ6-ET5-ES5-ER5-EQ5</f>
        <v>9</v>
      </c>
      <c r="EU9" s="18">
        <f>COUNTIFS('ENCUESTA CONDUCTORES'!$DE$7:$DE$459,"&lt;2007",'ENCUESTA CONDUCTORES'!$AU$7:$AU$459,"&lt;12501")-ET9-ES9-ER9-EQ9-EU8-ET8-ES8-ER8-EQ8-EU7-ET7-ES7-ER7-EQ7-EU6-ET6-ES6-ER6-EQ6-EU5-ET5-ES5-ER5-EQ5</f>
        <v>8</v>
      </c>
      <c r="EV9" s="18">
        <f>COUNTIFS('ENCUESTA CONDUCTORES'!$DE$7:$DE$459,"&lt;2011",'ENCUESTA CONDUCTORES'!$AU$7:$AU$459,"&lt;12501")-EU9-ET9-ES9-ER9-EQ9-EV8-EU8-ET8-ES8-ER8-EQ8-EV7-EU7-ET7-ES7-ER7-EQ7-EV6-EU6-ET6-ES6-ER6-EQ6-EV5-EU5-ET5-ES5-ER5-EQ5</f>
        <v>11</v>
      </c>
      <c r="EW9" s="18">
        <f>COUNTIFS('ENCUESTA CONDUCTORES'!$DE$7:$DE$459,"&gt;2010",'ENCUESTA CONDUCTORES'!$AU$7:$AU$459,"&lt;12501")-EW8-EW7-EW6-EW5</f>
        <v>0</v>
      </c>
      <c r="EX9" s="18">
        <f t="shared" si="59"/>
        <v>29</v>
      </c>
      <c r="EZ9" s="87" t="s">
        <v>1488</v>
      </c>
      <c r="FA9" s="74">
        <f t="shared" si="74"/>
        <v>1.1037527593818985E-2</v>
      </c>
      <c r="FB9" s="74">
        <f t="shared" si="60"/>
        <v>1.5452538631346579E-2</v>
      </c>
      <c r="FC9" s="74">
        <f t="shared" si="61"/>
        <v>3.0905077262693158E-2</v>
      </c>
      <c r="FD9" s="74">
        <f t="shared" si="62"/>
        <v>1.9867549668874173E-2</v>
      </c>
      <c r="FE9" s="74">
        <f t="shared" si="63"/>
        <v>7.7262693156732898E-2</v>
      </c>
      <c r="FF9" s="18">
        <f>COUNTIFS('ENCUESTA CONDUCTORES'!E$7:E$459,"X",'ENCUESTA CONDUCTORES'!$AV$7:$AV$459,"20%")</f>
        <v>5</v>
      </c>
      <c r="FG9" s="18">
        <f>COUNTIFS('ENCUESTA CONDUCTORES'!F$7:F$459,"X",'ENCUESTA CONDUCTORES'!$AV$7:$AV$459,"20%")</f>
        <v>7</v>
      </c>
      <c r="FH9" s="18">
        <f>COUNTIFS('ENCUESTA CONDUCTORES'!G$7:G$459,"X",'ENCUESTA CONDUCTORES'!$AV$7:$AV$459,"20%")</f>
        <v>14</v>
      </c>
      <c r="FI9" s="18">
        <f>COUNTIFS('ENCUESTA CONDUCTORES'!H$7:H$459,"X",'ENCUESTA CONDUCTORES'!$AV$7:$AV$459,"20%")</f>
        <v>9</v>
      </c>
      <c r="FJ9" s="18">
        <f t="shared" si="75"/>
        <v>35</v>
      </c>
      <c r="FL9" s="57" t="s">
        <v>429</v>
      </c>
      <c r="FM9" s="18">
        <f>SUM(FM5:FM8)</f>
        <v>107</v>
      </c>
      <c r="FN9" s="18">
        <f t="shared" ref="FN9:FP9" si="79">SUM(FN5:FN8)</f>
        <v>83</v>
      </c>
      <c r="FO9" s="18">
        <f t="shared" si="79"/>
        <v>13</v>
      </c>
      <c r="FP9" s="18">
        <f t="shared" si="79"/>
        <v>249</v>
      </c>
      <c r="FQ9" s="18">
        <f t="shared" si="76"/>
        <v>452</v>
      </c>
      <c r="FT9" s="17" t="s">
        <v>1333</v>
      </c>
      <c r="FU9" s="74">
        <f t="shared" si="9"/>
        <v>1</v>
      </c>
      <c r="FV9" s="18">
        <f>SUM(FV3:FV8)</f>
        <v>106</v>
      </c>
      <c r="GA9" s="17" t="s">
        <v>1428</v>
      </c>
      <c r="GB9" s="74">
        <f t="shared" si="64"/>
        <v>2.6785714285714284E-2</v>
      </c>
      <c r="GC9" s="74">
        <f t="shared" si="10"/>
        <v>6.6964285714285712E-2</v>
      </c>
      <c r="GD9" s="74">
        <f t="shared" si="11"/>
        <v>0.10044642857142858</v>
      </c>
      <c r="GE9" s="74">
        <f t="shared" si="12"/>
        <v>3.5714285714285712E-2</v>
      </c>
      <c r="GF9" s="74">
        <f t="shared" si="13"/>
        <v>4.464285714285714E-3</v>
      </c>
      <c r="GG9" s="74">
        <f t="shared" si="14"/>
        <v>2.232142857142857E-3</v>
      </c>
      <c r="GH9" s="74">
        <f t="shared" si="15"/>
        <v>4.464285714285714E-3</v>
      </c>
      <c r="GI9" s="74">
        <f t="shared" si="16"/>
        <v>0.24107142857142858</v>
      </c>
      <c r="GJ9" s="18">
        <f>COUNTIFS('ENCUESTA CONDUCTORES'!$DE$7:$DE$459,"&lt;2011",'ENCUESTA CONDUCTORES'!$BE$7:$BE$459,"&lt;10000")-GJ8-GJ7-GJ6-GJ5-GJ4</f>
        <v>12</v>
      </c>
      <c r="GK9" s="18">
        <f>COUNTIFS('ENCUESTA CONDUCTORES'!$DE$7:$DE$459,"&lt;2011",'ENCUESTA CONDUCTORES'!$BE$7:$BE$459,"&lt;15001")-GJ9-GK8-GJ8-GK7-GJ7-GK6-GJ6-GK5-GJ5-GK4-GJ4</f>
        <v>30</v>
      </c>
      <c r="GL9" s="18">
        <f>COUNTIFS('ENCUESTA CONDUCTORES'!$DE$7:$DE$459,"&lt;2011",'ENCUESTA CONDUCTORES'!$BE$7:$BE$459,"&lt;20001")-GK9-GJ9-GL8-GK8-GJ8-GL7-GK7-GJ7-GL6-GK6-GJ6-GL5-GK5-GJ5-GL4-GK4-GJ4</f>
        <v>45</v>
      </c>
      <c r="GM9" s="18">
        <f>COUNTIFS('ENCUESTA CONDUCTORES'!$DE$7:$DE$459,"&lt;2011",'ENCUESTA CONDUCTORES'!$BE$7:$BE$459,"&lt;25001")-GL9-GK9-GJ9-GM8-GL8-GK8-GJ8-GM7-GL7-GK7-GJ7-GM6-GL6-GK6-GJ6-GM5-GL5-GK5-GJ5-GM4-GL4-GK4-GJ4</f>
        <v>16</v>
      </c>
      <c r="GN9" s="18">
        <f>COUNTIFS('ENCUESTA CONDUCTORES'!$DE$7:$DE$459,"&lt;2011",'ENCUESTA CONDUCTORES'!$BE$7:$BE$459,"&lt;30001")-GM9-GL9-GK9-GJ9-GN8-GM8-GL8-GK8-GJ8-GN7-GM7-GL7-GK7-GJ7-GN6-GM6-GL6-GK6-GJ6-GN5-GM5-GL5-GK5-GJ5-GN4-GM4-GL4-GK4-GJ4</f>
        <v>2</v>
      </c>
      <c r="GO9" s="18">
        <f>COUNTIFS('ENCUESTA CONDUCTORES'!$DE$7:$DE$459,"&lt;2011",'ENCUESTA CONDUCTORES'!$BE$7:$BE$459,"&lt;40001")-GN9-GM9-GL9-GK9-GJ9-GO8-GN8-GM8-GL8-GK8-GJ8-GO7-GN7-GM7-GL7-GK7-GJ7-GO6-GN6-GM6-GL6-GK6-GJ6-GO5-GN5-GM5-GL5-GK5-GJ5-GO4-GN4-GM4-GL4-GK4-GJ4</f>
        <v>1</v>
      </c>
      <c r="GP9" s="18">
        <f>COUNTIFS('ENCUESTA CONDUCTORES'!$DE$7:$DE$459,"&lt;2011",'ENCUESTA CONDUCTORES'!$BE$7:$BE$459,"&gt;40000")-GP8-GP7-GP6-GP5-GP4</f>
        <v>2</v>
      </c>
      <c r="GQ9" s="18">
        <f t="shared" si="17"/>
        <v>108</v>
      </c>
      <c r="HC9" s="18">
        <f>SUM(GY8:HB8)</f>
        <v>443</v>
      </c>
      <c r="HE9" s="17" t="s">
        <v>1333</v>
      </c>
      <c r="HF9" s="74">
        <f t="shared" si="66"/>
        <v>0.14569536423841059</v>
      </c>
      <c r="HG9" s="74">
        <f t="shared" si="22"/>
        <v>0.17880794701986755</v>
      </c>
      <c r="HH9" s="74">
        <f t="shared" si="23"/>
        <v>0.40176600441501104</v>
      </c>
      <c r="HI9" s="74">
        <f t="shared" si="24"/>
        <v>0.27373068432671083</v>
      </c>
      <c r="HJ9" s="74">
        <f t="shared" si="25"/>
        <v>1</v>
      </c>
      <c r="HK9" s="18">
        <f>SUM(HK4:HK8)</f>
        <v>66</v>
      </c>
      <c r="HL9" s="18">
        <f>SUM(HL4:HL8)</f>
        <v>81</v>
      </c>
      <c r="HM9" s="18">
        <f>SUM(HM4:HM8)</f>
        <v>182</v>
      </c>
      <c r="HN9" s="18">
        <f>SUM(HN4:HN8)</f>
        <v>124</v>
      </c>
      <c r="HO9" s="18">
        <f t="shared" si="67"/>
        <v>453</v>
      </c>
    </row>
    <row r="10" spans="1:223" x14ac:dyDescent="0.25">
      <c r="N10" s="75" t="s">
        <v>1355</v>
      </c>
      <c r="O10" s="127">
        <f t="shared" si="30"/>
        <v>0</v>
      </c>
      <c r="P10" s="127">
        <f t="shared" si="0"/>
        <v>2.2075055187637969E-3</v>
      </c>
      <c r="Q10" s="127">
        <f t="shared" si="1"/>
        <v>0</v>
      </c>
      <c r="R10" s="127">
        <f t="shared" si="2"/>
        <v>0</v>
      </c>
      <c r="S10" s="127">
        <f t="shared" si="3"/>
        <v>2.2075055187637969E-3</v>
      </c>
      <c r="T10" s="90">
        <f>COUNTIFS('ENCUESTA CONDUCTORES'!E$7:E$459,"X",'ENCUESTA CONDUCTORES'!$AG$7:$AG$459,"FULL")</f>
        <v>0</v>
      </c>
      <c r="U10" s="90">
        <f>COUNTIFS('ENCUESTA CONDUCTORES'!F$7:F$459,"X",'ENCUESTA CONDUCTORES'!$AG$7:$AG$459,"FULL")</f>
        <v>1</v>
      </c>
      <c r="V10" s="90">
        <f>COUNTIFS('ENCUESTA CONDUCTORES'!G$7:G$459,"X",'ENCUESTA CONDUCTORES'!$AG$7:$AG$459,"FULL")</f>
        <v>0</v>
      </c>
      <c r="W10" s="90">
        <f>COUNTIFS('ENCUESTA CONDUCTORES'!H$7:H$459,"X",'ENCUESTA CONDUCTORES'!$AG$7:$AG$459,"FULL")</f>
        <v>0</v>
      </c>
      <c r="X10" s="19">
        <f t="shared" si="31"/>
        <v>1</v>
      </c>
      <c r="AL10" s="11" t="s">
        <v>1302</v>
      </c>
      <c r="AM10" s="74">
        <f t="shared" si="33"/>
        <v>7.9625292740046844E-2</v>
      </c>
      <c r="AN10" s="18">
        <f>COUNTIFS('ENCUESTA CONDUCTORES'!$AL$7:$AL$459,"X",'ENCUESTA CONDUCTORES'!$AX$7:$AX$459,"&lt;4.01")-AN9-AN8-AN7-AN6-AN5-AN4</f>
        <v>34</v>
      </c>
      <c r="BZ10" s="17" t="s">
        <v>1422</v>
      </c>
      <c r="CA10" s="74">
        <f t="shared" si="4"/>
        <v>0</v>
      </c>
      <c r="CB10" s="74">
        <f t="shared" si="4"/>
        <v>0</v>
      </c>
      <c r="CC10" s="74">
        <f t="shared" si="4"/>
        <v>0</v>
      </c>
      <c r="CD10" s="74">
        <f t="shared" si="4"/>
        <v>0</v>
      </c>
      <c r="CE10" s="74">
        <f t="shared" si="4"/>
        <v>0</v>
      </c>
      <c r="CF10" s="18">
        <f>COUNTIFS('ENCUESTA CONDUCTORES'!$AJ$7:$AJ$459,"X",'ENCUESTA CONDUCTORES'!P$7:P$459,"X",'ENCUESTA CONDUCTORES'!$AX$7:$AX$459,"&gt;7.0")</f>
        <v>0</v>
      </c>
      <c r="CG10" s="18">
        <f>COUNTIFS('ENCUESTA CONDUCTORES'!$AJ$7:$AJ$459,"X",'ENCUESTA CONDUCTORES'!Q$7:Q$459,"X",'ENCUESTA CONDUCTORES'!$AX$7:$AX$459,"&gt;7.0")</f>
        <v>0</v>
      </c>
      <c r="CH10" s="18">
        <f>COUNTIFS('ENCUESTA CONDUCTORES'!$AJ$7:$AJ$459,"X",'ENCUESTA CONDUCTORES'!R$7:R$459,"X",'ENCUESTA CONDUCTORES'!$AX$7:$AX$459,"&gt;7.0")</f>
        <v>0</v>
      </c>
      <c r="CI10" s="18">
        <f>COUNTIFS('ENCUESTA CONDUCTORES'!$AJ$7:$AJ$459,"X",'ENCUESTA CONDUCTORES'!S$7:S$459,"X",'ENCUESTA CONDUCTORES'!$AX$7:$AX$459,"&gt;7.0")</f>
        <v>0</v>
      </c>
      <c r="CJ10" s="18">
        <f t="shared" si="34"/>
        <v>0</v>
      </c>
      <c r="CL10" s="17" t="s">
        <v>1429</v>
      </c>
      <c r="CM10" s="74">
        <f t="shared" si="35"/>
        <v>3.7527593818984545E-2</v>
      </c>
      <c r="CN10" s="74">
        <f t="shared" si="5"/>
        <v>8.8300220750551876E-3</v>
      </c>
      <c r="CO10" s="74">
        <f t="shared" si="6"/>
        <v>2.2075055187637969E-3</v>
      </c>
      <c r="CP10" s="74">
        <f t="shared" si="7"/>
        <v>4.856512141280353E-2</v>
      </c>
      <c r="CQ10" s="74">
        <f t="shared" si="8"/>
        <v>9.713024282560706E-2</v>
      </c>
      <c r="CR10" s="18">
        <f>COUNTIFS('ENCUESTA CONDUCTORES'!P$7:P$459,"X",'ENCUESTA CONDUCTORES'!$DE$7:$DE$459,"&gt;2010")</f>
        <v>17</v>
      </c>
      <c r="CS10" s="18">
        <f>COUNTIFS('ENCUESTA CONDUCTORES'!Q$7:Q$459,"X",'ENCUESTA CONDUCTORES'!$DE$7:$DE$459,"&gt;2010")</f>
        <v>4</v>
      </c>
      <c r="CT10" s="18">
        <f>COUNTIFS('ENCUESTA CONDUCTORES'!R$7:R$459,"X",'ENCUESTA CONDUCTORES'!$DE$7:$DE$459,"&gt;2010")</f>
        <v>1</v>
      </c>
      <c r="CU10" s="18">
        <f>COUNTIFS('ENCUESTA CONDUCTORES'!S$7:S$459,"X",'ENCUESTA CONDUCTORES'!$DE$7:$DE$459,"&gt;2010")</f>
        <v>22</v>
      </c>
      <c r="CV10" s="18">
        <f t="shared" si="36"/>
        <v>44</v>
      </c>
      <c r="CX10" s="11" t="s">
        <v>1301</v>
      </c>
      <c r="CY10" s="74">
        <f t="shared" si="37"/>
        <v>1.1709601873536301E-2</v>
      </c>
      <c r="CZ10" s="74">
        <f t="shared" si="38"/>
        <v>2.34192037470726E-3</v>
      </c>
      <c r="DA10" s="74">
        <f t="shared" si="39"/>
        <v>3.0444964871194378E-2</v>
      </c>
      <c r="DB10" s="74">
        <f t="shared" si="40"/>
        <v>3.7470725995316159E-2</v>
      </c>
      <c r="DC10" s="74">
        <f t="shared" si="41"/>
        <v>1.873536299765808E-2</v>
      </c>
      <c r="DD10" s="74">
        <f t="shared" si="42"/>
        <v>3.0444964871194378E-2</v>
      </c>
      <c r="DE10" s="74">
        <f t="shared" si="43"/>
        <v>2.576112412177986E-2</v>
      </c>
      <c r="DF10" s="74">
        <f t="shared" si="44"/>
        <v>0.15690866510538642</v>
      </c>
      <c r="DG10" s="18">
        <f>COUNTIFS('ENCUESTA CONDUCTORES'!$AL$7:$AL$459,"X",'ENCUESTA CONDUCTORES'!$DE$7:$DE$459,"&lt;1991",'ENCUESTA CONDUCTORES'!$AX$7:$AX$459,"&lt;3.01")-DG9-DG8-DG7-DG6-DG5</f>
        <v>5</v>
      </c>
      <c r="DH10" s="18">
        <f>COUNTIFS('ENCUESTA CONDUCTORES'!$AL$7:$AL$459,"X",'ENCUESTA CONDUCTORES'!$DE$7:$DE$459,"&lt;1994",'ENCUESTA CONDUCTORES'!$AX$7:$AX$459,"&lt;3.01")-DG10-DH9-DG9-DH8-DG8-DH7-DG7-DH6-DG6-DH5-DG5</f>
        <v>1</v>
      </c>
      <c r="DI10" s="18">
        <f>COUNTIFS('ENCUESTA CONDUCTORES'!$AL$7:$AL$459,"X",'ENCUESTA CONDUCTORES'!$DE$7:$DE$459,"&lt;1998",'ENCUESTA CONDUCTORES'!$AX$7:$AX$459,"&lt;3.01")-DH10-DG10-DI9-DH9-DG9-DI8-DH8-DG8-DI7-DH7-DG7-DI6-DH6-DG6-DI5-DH5-DG5</f>
        <v>13</v>
      </c>
      <c r="DJ10" s="18">
        <f>COUNTIFS('ENCUESTA CONDUCTORES'!$AL$7:$AL$459,"X",'ENCUESTA CONDUCTORES'!$DE$7:$DE$459,"&lt;2004",'ENCUESTA CONDUCTORES'!$AX$7:$AX$459,"&lt;3.01")-DI10-DH10-DG10-DJ9-DI9-DH9-DG9-DJ8-DI8-DH8-DG8-DJ7-DI7-DH7-DG7-DJ6-DI6-DH6-DG6-DJ5-DI5-DH5-DG5</f>
        <v>16</v>
      </c>
      <c r="DK10" s="18">
        <f>COUNTIFS('ENCUESTA CONDUCTORES'!$AL$7:$AL$459,"X",'ENCUESTA CONDUCTORES'!$DE$7:$DE$459,"&lt;2007",'ENCUESTA CONDUCTORES'!$AX$7:$AX$459,"&lt;3.01")-DJ10-DI10-DH10-DG10-DK9-DJ9-DI9-DH9-DG9-DK8-DJ8-DI8-DH8-DG8-DK7-DJ7-DI7-DH7-DG7-DK6-DJ6-DI6-DH6-DG6-DK5-DJ5-DI5-DH5-DG5</f>
        <v>8</v>
      </c>
      <c r="DL10" s="18">
        <f>COUNTIFS('ENCUESTA CONDUCTORES'!$AL$7:$AL$459,"X",'ENCUESTA CONDUCTORES'!$DE$7:$DE$459,"&lt;2011",'ENCUESTA CONDUCTORES'!$AX$7:$AX$459,"&lt;3.01")-DK10-DJ10-DI10-DH10-DG10-DL9-DK9-DJ9-DI9-DH9-DG9-DL8-DK8-DJ8-DI8-DH8-DG8-DL7-DK7-DJ7-DI7-DH7-DG7-DL6-DK6-DJ6-DI6-DH6-DG6-DL5-DK5-DJ5-DI5-DH5-DG5</f>
        <v>13</v>
      </c>
      <c r="DM10" s="18">
        <f>COUNTIFS('ENCUESTA CONDUCTORES'!$AL$7:$AL$459,"X",'ENCUESTA CONDUCTORES'!$DE$7:$DE$459,"&gt;2010",'ENCUESTA CONDUCTORES'!$AX$7:$AX$459,"&lt;3.01")-DM9-DM8-DM7-DM6-DM5</f>
        <v>11</v>
      </c>
      <c r="DN10" s="18">
        <f t="shared" si="70"/>
        <v>67</v>
      </c>
      <c r="DP10" s="18" t="s">
        <v>467</v>
      </c>
      <c r="DQ10" s="74">
        <f t="shared" si="71"/>
        <v>1.7721518987341773E-2</v>
      </c>
      <c r="DR10" s="74">
        <f t="shared" si="45"/>
        <v>2.5316455696202532E-3</v>
      </c>
      <c r="DS10" s="74">
        <f t="shared" si="46"/>
        <v>2.5316455696202532E-3</v>
      </c>
      <c r="DT10" s="74">
        <f t="shared" si="47"/>
        <v>7.5949367088607592E-3</v>
      </c>
      <c r="DU10" s="74">
        <f t="shared" si="48"/>
        <v>0</v>
      </c>
      <c r="DV10" s="74">
        <f t="shared" si="49"/>
        <v>0</v>
      </c>
      <c r="DW10" s="74">
        <f t="shared" si="50"/>
        <v>0</v>
      </c>
      <c r="DX10" s="74">
        <f t="shared" si="51"/>
        <v>3.0379746835443037E-2</v>
      </c>
      <c r="DY10" s="19">
        <f>COUNTIFS('ENCUESTA CONDUCTORES'!$AI$7:$AI$459,"&lt;2500001",'ENCUESTA CONDUCTORES'!$AH$7:$AH$459,"&lt;1991")-DY9-DY8-DY7-DY6-DY5</f>
        <v>7</v>
      </c>
      <c r="DZ10" s="19">
        <f>COUNTIFS('ENCUESTA CONDUCTORES'!$AI$7:$AI$459,"&lt;2500001",'ENCUESTA CONDUCTORES'!$AH$7:$AH$459,"&lt;1994")-DY10-DZ9-DY9-DZ8-DY8-DZ7-DY7-DZ6-DY6-DZ5-DY5</f>
        <v>1</v>
      </c>
      <c r="EA10" s="19">
        <f>COUNTIFS('ENCUESTA CONDUCTORES'!$AI$7:$AI$459,"&lt;2500001",'ENCUESTA CONDUCTORES'!$AH$7:$AH$459,"&lt;1998")-DZ10-DY10-EA9-DZ9-DY9-EA8-DZ8-DY8-EA7-DZ7-DY7-EA6-DZ6-DY6-EA5-DZ5-DY5</f>
        <v>1</v>
      </c>
      <c r="EB10" s="19">
        <f>COUNTIFS('ENCUESTA CONDUCTORES'!$AI$7:$AI$459,"&lt;2500001",'ENCUESTA CONDUCTORES'!$AH$7:$AH$459,"&lt;2004")-EA10-DZ10-DY10-EB9-EA9-DZ9-DY9-EB8-EA8-DZ8-DY8-EB7-EA7-DZ7-DY7-EB6-EA6-DZ6-DY6-EB5-EA5-DZ5-DY5</f>
        <v>3</v>
      </c>
      <c r="EC10" s="19">
        <f>COUNTIFS('ENCUESTA CONDUCTORES'!$AI$7:$AI$459,"&lt;2500001",'ENCUESTA CONDUCTORES'!$AH$7:$AH$459,"&lt;2007")-EB10-EA10-DZ10-DY10-EC9-EB9-EA9-DZ9-DY9-EC8-EB8-EA8-DZ8-DY8-EC7-EB7-EA7-DZ7-DY7-EC6-EB6-EA6-DZ6-DY6-EC5-EB5-EA5-DZ5-DY5</f>
        <v>0</v>
      </c>
      <c r="ED10" s="19">
        <f>COUNTIFS('ENCUESTA CONDUCTORES'!$AI$7:$AI$459,"&lt;2500001",'ENCUESTA CONDUCTORES'!$AH$7:$AH$459,"&lt;2011")-EC10-EB10-EA10-DZ10-DY10-ED9-EC9-EB9-EA9-DZ9-DY9-ED8-EC8-EB8-EA8-DZ8-DY8-ED7-EC7-EB7-EA7-DZ7-DY7-ED6-EC6-EB6-EA6-DZ6-DY6-ED5-EC5-EB5-EA5-DZ5-DY5</f>
        <v>0</v>
      </c>
      <c r="EE10" s="19">
        <f>COUNTIFS('ENCUESTA CONDUCTORES'!$AI$7:$AI$459,"&lt;2500001",'ENCUESTA CONDUCTORES'!$AH$7:$AH$459,"&gt;2010")-EE9-EE8-EE7-EE6-EE5</f>
        <v>0</v>
      </c>
      <c r="EF10" s="18">
        <f t="shared" si="72"/>
        <v>12</v>
      </c>
      <c r="EH10" s="17" t="s">
        <v>1473</v>
      </c>
      <c r="EI10" s="74">
        <f t="shared" si="73"/>
        <v>2.2075055187637969E-3</v>
      </c>
      <c r="EJ10" s="74">
        <f t="shared" si="52"/>
        <v>0</v>
      </c>
      <c r="EK10" s="74">
        <f t="shared" si="53"/>
        <v>4.4150110375275938E-3</v>
      </c>
      <c r="EL10" s="74">
        <f t="shared" si="54"/>
        <v>2.2075055187637971E-2</v>
      </c>
      <c r="EM10" s="74">
        <f t="shared" si="55"/>
        <v>1.3245033112582781E-2</v>
      </c>
      <c r="EN10" s="74">
        <f t="shared" si="56"/>
        <v>2.4282560706401765E-2</v>
      </c>
      <c r="EO10" s="74">
        <f t="shared" si="57"/>
        <v>3.0905077262693158E-2</v>
      </c>
      <c r="EP10" s="74">
        <f t="shared" si="58"/>
        <v>9.713024282560706E-2</v>
      </c>
      <c r="EQ10" s="18">
        <f>COUNTIFS('ENCUESTA CONDUCTORES'!$DE$7:$DE$459,"&lt;1991",'ENCUESTA CONDUCTORES'!$AU$7:$AU$459,"&gt;12500")</f>
        <v>1</v>
      </c>
      <c r="ER10" s="18">
        <f>COUNTIFS('ENCUESTA CONDUCTORES'!$DE$7:$DE$459,"&lt;1994",'ENCUESTA CONDUCTORES'!$AU$7:$AU$459,"&gt;12500")-EQ10</f>
        <v>0</v>
      </c>
      <c r="ES10" s="18">
        <f>COUNTIFS('ENCUESTA CONDUCTORES'!$DE$7:$DE$459,"&lt;1998",'ENCUESTA CONDUCTORES'!$AU$7:$AU$459,"&gt;12500")-ER10-EQ10</f>
        <v>2</v>
      </c>
      <c r="ET10" s="18">
        <f>COUNTIFS('ENCUESTA CONDUCTORES'!$DE$7:$DE$459,"&lt;2004",'ENCUESTA CONDUCTORES'!$AU$7:$AU$459,"&gt;12500")-ES10-ER10-EQ10</f>
        <v>10</v>
      </c>
      <c r="EU10" s="18">
        <f>COUNTIFS('ENCUESTA CONDUCTORES'!$DE$7:$DE$459,"&lt;2007",'ENCUESTA CONDUCTORES'!$AU$7:$AU$459,"&gt;12500")-ET10-ES10-ER10-EQ10</f>
        <v>6</v>
      </c>
      <c r="EV10" s="18">
        <f>COUNTIFS('ENCUESTA CONDUCTORES'!$DE$7:$DE$459,"&lt;2011",'ENCUESTA CONDUCTORES'!$AU$7:$AU$459,"&gt;12500")-EU10-ET10-ES10-ER10-EQ10</f>
        <v>11</v>
      </c>
      <c r="EW10" s="18">
        <f>COUNTIFS('ENCUESTA CONDUCTORES'!$DE$7:$DE$459,"&gt;2010",'ENCUESTA CONDUCTORES'!$AU$7:$AU$459,"&gt;12500")</f>
        <v>14</v>
      </c>
      <c r="EX10" s="18">
        <f t="shared" si="59"/>
        <v>44</v>
      </c>
      <c r="EZ10" s="87" t="s">
        <v>1489</v>
      </c>
      <c r="FA10" s="74">
        <f t="shared" si="74"/>
        <v>0</v>
      </c>
      <c r="FB10" s="74">
        <f t="shared" si="60"/>
        <v>0</v>
      </c>
      <c r="FC10" s="74">
        <f t="shared" si="61"/>
        <v>2.2075055187637969E-3</v>
      </c>
      <c r="FD10" s="74">
        <f t="shared" si="62"/>
        <v>2.2075055187637969E-3</v>
      </c>
      <c r="FE10" s="74">
        <f t="shared" si="63"/>
        <v>4.4150110375275938E-3</v>
      </c>
      <c r="FF10" s="18">
        <f>COUNTIFS('ENCUESTA CONDUCTORES'!E$7:E$459,"X",'ENCUESTA CONDUCTORES'!$AV$7:$AV$459,"15%")</f>
        <v>0</v>
      </c>
      <c r="FG10" s="18">
        <f>COUNTIFS('ENCUESTA CONDUCTORES'!F$7:F$459,"X",'ENCUESTA CONDUCTORES'!$AV$7:$AV$459,"15%")</f>
        <v>0</v>
      </c>
      <c r="FH10" s="18">
        <f>COUNTIFS('ENCUESTA CONDUCTORES'!G$7:G$459,"X",'ENCUESTA CONDUCTORES'!$AV$7:$AV$459,"15%")</f>
        <v>1</v>
      </c>
      <c r="FI10" s="18">
        <f>COUNTIFS('ENCUESTA CONDUCTORES'!H$7:H$459,"X",'ENCUESTA CONDUCTORES'!$AV$7:$AV$459,"15%")</f>
        <v>1</v>
      </c>
      <c r="FJ10" s="18">
        <f t="shared" si="75"/>
        <v>2</v>
      </c>
      <c r="FT10" s="17" t="s">
        <v>632</v>
      </c>
      <c r="FU10" s="18">
        <f>COUNTIFS('ENCUESTA CONDUCTORES'!$P$7:$P$459,"X",'ENCUESTA CONDUCTORES'!$AU$7:$AU$459,"NO SABE")+COUNTIFS('ENCUESTA CONDUCTORES'!$P$7:$P$459,"X",'ENCUESTA CONDUCTORES'!$AU$7:$AU$459,"NO CONTESTA")+COUNTIFS('ENCUESTA CONDUCTORES'!$P$7:$P$459,"X",'ENCUESTA CONDUCTORES'!$AU$7:$AU$459,"VARIABLE")</f>
        <v>0</v>
      </c>
      <c r="FV10" s="18">
        <f>COUNTIFS('ENCUESTA CONDUCTORES'!$P$7:$P$459,"X",'ENCUESTA CONDUCTORES'!$AU$7:$AU$459,"NO SABE")+COUNTIFS('ENCUESTA CONDUCTORES'!$P$7:$P$459,"X",'ENCUESTA CONDUCTORES'!$AU$7:$AU$459,"NO CONTESTA")+COUNTIFS('ENCUESTA CONDUCTORES'!$P$7:$P$459,"X",'ENCUESTA CONDUCTORES'!$AU$7:$AU$459,"VARIABLE")</f>
        <v>0</v>
      </c>
      <c r="GA10" s="17" t="s">
        <v>1429</v>
      </c>
      <c r="GB10" s="74">
        <f t="shared" si="64"/>
        <v>1.3392857142857142E-2</v>
      </c>
      <c r="GC10" s="74">
        <f t="shared" si="10"/>
        <v>3.3482142857142856E-2</v>
      </c>
      <c r="GD10" s="74">
        <f t="shared" si="11"/>
        <v>1.7857142857142856E-2</v>
      </c>
      <c r="GE10" s="74">
        <f t="shared" si="12"/>
        <v>1.5625E-2</v>
      </c>
      <c r="GF10" s="74">
        <f t="shared" si="13"/>
        <v>2.232142857142857E-3</v>
      </c>
      <c r="GG10" s="74">
        <f t="shared" si="14"/>
        <v>1.1160714285714286E-2</v>
      </c>
      <c r="GH10" s="74">
        <f t="shared" si="15"/>
        <v>0</v>
      </c>
      <c r="GI10" s="74">
        <f t="shared" si="16"/>
        <v>9.375E-2</v>
      </c>
      <c r="GJ10" s="18">
        <f>COUNTIFS('ENCUESTA CONDUCTORES'!$DE$7:$DE$459,"&gt;2010",'ENCUESTA CONDUCTORES'!$BE$7:$BE$459,"&lt;10000")</f>
        <v>6</v>
      </c>
      <c r="GK10" s="18">
        <f>COUNTIFS('ENCUESTA CONDUCTORES'!$DE$7:$DE$459,"&gt;2010",'ENCUESTA CONDUCTORES'!$BE$7:$BE$459,"&lt;15001")-GJ10</f>
        <v>15</v>
      </c>
      <c r="GL10" s="18">
        <f>COUNTIFS('ENCUESTA CONDUCTORES'!$DE$7:$DE$459,"&gt;2010",'ENCUESTA CONDUCTORES'!$BE$7:$BE$459,"&lt;20001")-GK10-GJ10</f>
        <v>8</v>
      </c>
      <c r="GM10" s="18">
        <f>COUNTIFS('ENCUESTA CONDUCTORES'!$DE$7:$DE$459,"&gt;2010",'ENCUESTA CONDUCTORES'!$BE$7:$BE$459,"&lt;25001")-GL10-GK10-GJ10</f>
        <v>7</v>
      </c>
      <c r="GN10" s="18">
        <f>COUNTIFS('ENCUESTA CONDUCTORES'!$DE$7:$DE$459,"&gt;2010",'ENCUESTA CONDUCTORES'!$BE$7:$BE$459,"&lt;30001")-GM10-GL10-GK10-GJ10</f>
        <v>1</v>
      </c>
      <c r="GO10" s="18">
        <f>COUNTIFS('ENCUESTA CONDUCTORES'!$DE$7:$DE$459,"&gt;2010",'ENCUESTA CONDUCTORES'!$BE$7:$BE$459,"&lt;40001")-GN10-GM10-GL10-GK10-GJ10</f>
        <v>5</v>
      </c>
      <c r="GP10" s="18">
        <f>COUNTIFS('ENCUESTA CONDUCTORES'!$DE$7:$DE$459,"&gt;2010",'ENCUESTA CONDUCTORES'!$BE$7:$BE$459,"&gt;40000")</f>
        <v>0</v>
      </c>
      <c r="GQ10" s="18">
        <f t="shared" si="17"/>
        <v>42</v>
      </c>
      <c r="HO10" s="18">
        <f>SUM(HO4:HO8)</f>
        <v>453</v>
      </c>
    </row>
    <row r="11" spans="1:223" x14ac:dyDescent="0.25">
      <c r="A11" s="17" t="s">
        <v>1341</v>
      </c>
      <c r="N11" s="17" t="s">
        <v>429</v>
      </c>
      <c r="O11" s="127">
        <f t="shared" si="30"/>
        <v>0.14569536423841059</v>
      </c>
      <c r="P11" s="127">
        <f t="shared" si="0"/>
        <v>0.17880794701986755</v>
      </c>
      <c r="Q11" s="127">
        <f t="shared" si="1"/>
        <v>0.40176600441501104</v>
      </c>
      <c r="R11" s="127">
        <f t="shared" si="2"/>
        <v>0.27373068432671083</v>
      </c>
      <c r="S11" s="127">
        <f t="shared" si="3"/>
        <v>1</v>
      </c>
      <c r="T11" s="19">
        <f>SUM(T4:T10)</f>
        <v>66</v>
      </c>
      <c r="U11" s="19">
        <f t="shared" ref="U11:X11" si="80">SUM(U4:U10)</f>
        <v>81</v>
      </c>
      <c r="V11" s="19">
        <f t="shared" si="80"/>
        <v>182</v>
      </c>
      <c r="W11" s="19">
        <f t="shared" si="80"/>
        <v>124</v>
      </c>
      <c r="X11" s="19">
        <f t="shared" si="80"/>
        <v>453</v>
      </c>
      <c r="AL11" s="11" t="s">
        <v>1385</v>
      </c>
      <c r="AM11" s="74">
        <f t="shared" si="33"/>
        <v>1.1709601873536301E-2</v>
      </c>
      <c r="AN11" s="18">
        <f>COUNTIFS('ENCUESTA CONDUCTORES'!$AL$7:$AL$459,"X",'ENCUESTA CONDUCTORES'!$AX$7:$AX$459,"&gt;4")</f>
        <v>5</v>
      </c>
      <c r="BZ11" s="11" t="s">
        <v>429</v>
      </c>
      <c r="CA11" s="74">
        <f t="shared" si="4"/>
        <v>0.86363636363636365</v>
      </c>
      <c r="CB11" s="74">
        <f t="shared" si="4"/>
        <v>9.0909090909090912E-2</v>
      </c>
      <c r="CC11" s="74">
        <f t="shared" si="4"/>
        <v>4.5454545454545456E-2</v>
      </c>
      <c r="CD11" s="74">
        <f t="shared" si="4"/>
        <v>0</v>
      </c>
      <c r="CE11" s="74">
        <f t="shared" si="4"/>
        <v>1</v>
      </c>
      <c r="CF11" s="18">
        <f>SUM(CF4:CF10)</f>
        <v>19</v>
      </c>
      <c r="CG11" s="18">
        <f>SUM(CG4:CG10)</f>
        <v>2</v>
      </c>
      <c r="CH11" s="18">
        <f>SUM(CH4:CH10)</f>
        <v>1</v>
      </c>
      <c r="CI11" s="18">
        <f>SUM(CI4:CI10)</f>
        <v>0</v>
      </c>
      <c r="CJ11" s="18">
        <f>SUM(CJ4:CJ10)</f>
        <v>22</v>
      </c>
      <c r="CL11" s="17" t="s">
        <v>429</v>
      </c>
      <c r="CM11" s="74">
        <f>SUM(CM4:CM10)</f>
        <v>0.23399558498896245</v>
      </c>
      <c r="CN11" s="74">
        <f t="shared" ref="CN11:CU11" si="81">SUM(CN4:CN10)</f>
        <v>0.18543046357615894</v>
      </c>
      <c r="CO11" s="74">
        <f t="shared" si="81"/>
        <v>2.8697571743929361E-2</v>
      </c>
      <c r="CP11" s="74">
        <f t="shared" si="81"/>
        <v>0.55187637969094927</v>
      </c>
      <c r="CQ11" s="74">
        <f t="shared" si="81"/>
        <v>1</v>
      </c>
      <c r="CR11" s="18">
        <f t="shared" si="81"/>
        <v>106</v>
      </c>
      <c r="CS11" s="18">
        <f t="shared" si="81"/>
        <v>84</v>
      </c>
      <c r="CT11" s="18">
        <f t="shared" si="81"/>
        <v>13</v>
      </c>
      <c r="CU11" s="18">
        <f t="shared" si="81"/>
        <v>250</v>
      </c>
      <c r="CV11" s="18">
        <f t="shared" si="36"/>
        <v>453</v>
      </c>
      <c r="CX11" s="11" t="s">
        <v>1302</v>
      </c>
      <c r="CY11" s="74">
        <f t="shared" si="37"/>
        <v>1.1709601873536301E-2</v>
      </c>
      <c r="CZ11" s="74">
        <f t="shared" si="38"/>
        <v>2.34192037470726E-3</v>
      </c>
      <c r="DA11" s="74">
        <f t="shared" si="39"/>
        <v>9.3676814988290398E-3</v>
      </c>
      <c r="DB11" s="74">
        <f t="shared" si="40"/>
        <v>2.1077283372365339E-2</v>
      </c>
      <c r="DC11" s="74">
        <f t="shared" si="41"/>
        <v>1.873536299765808E-2</v>
      </c>
      <c r="DD11" s="74">
        <f t="shared" si="42"/>
        <v>1.405152224824356E-2</v>
      </c>
      <c r="DE11" s="74">
        <f t="shared" si="43"/>
        <v>2.34192037470726E-3</v>
      </c>
      <c r="DF11" s="74">
        <f t="shared" si="44"/>
        <v>7.9625292740046844E-2</v>
      </c>
      <c r="DG11" s="18">
        <f>COUNTIFS('ENCUESTA CONDUCTORES'!$AL$7:$AL$459,"X",'ENCUESTA CONDUCTORES'!$DE$7:$DE$459,"&lt;1991",'ENCUESTA CONDUCTORES'!$AX$7:$AX$459,"&lt;4.01")-DG10-DG9-DG8-DG7-DG6-DG5</f>
        <v>5</v>
      </c>
      <c r="DH11" s="18">
        <f>COUNTIFS('ENCUESTA CONDUCTORES'!$AL$7:$AL$459,"X",'ENCUESTA CONDUCTORES'!$DE$7:$DE$459,"&lt;1994",'ENCUESTA CONDUCTORES'!$AX$7:$AX$459,"&lt;4.01")-DG11-DH10-DG10-DH9-DG9-DH8-DG8-DH7-DG7-DH6-DG6-DH5-DG5</f>
        <v>1</v>
      </c>
      <c r="DI11" s="18">
        <f>COUNTIFS('ENCUESTA CONDUCTORES'!$AL$7:$AL$459,"X",'ENCUESTA CONDUCTORES'!$DE$7:$DE$459,"&lt;1998",'ENCUESTA CONDUCTORES'!$AX$7:$AX$459,"&lt;4.01")-DH11-DG11-DI10-DH10-DG10-DI9-DH9-DG9-DI8-DH8-DG8-DI7-DH7-DG7-DI6-DH6-DG6-DI5-DH5-DG5</f>
        <v>4</v>
      </c>
      <c r="DJ11" s="18">
        <f>COUNTIFS('ENCUESTA CONDUCTORES'!$AL$7:$AL$459,"X",'ENCUESTA CONDUCTORES'!$DE$7:$DE$459,"&lt;2004",'ENCUESTA CONDUCTORES'!$AX$7:$AX$459,"&lt;4.01")-DI11-DH11-DG11-DJ10-DI10-DH10-DG10-DJ9-DI9-DH9-DG9-DJ8-DI8-DH8-DG8-DJ7-DI7-DH7-DG7-DJ6-DI6-DH6-DG6-DJ5-DI5-DH5-DG5</f>
        <v>9</v>
      </c>
      <c r="DK11" s="18">
        <f>COUNTIFS('ENCUESTA CONDUCTORES'!$AL$7:$AL$459,"X",'ENCUESTA CONDUCTORES'!$DE$7:$DE$459,"&lt;2007",'ENCUESTA CONDUCTORES'!$AX$7:$AX$459,"&lt;4.01")-DJ11-DI11-DH11-DG11-DK10-DJ10-DI10-DH10-DG10-DK9-DJ9-DI9-DH9-DG9-DK8-DJ8-DI8-DH8-DG8-DK7-DJ7-DI7-DH7-DG7-DK6-DJ6-DI6-DH6-DG6-DK5-DJ5-DI5-DH5-DG5</f>
        <v>8</v>
      </c>
      <c r="DL11" s="18">
        <f>COUNTIFS('ENCUESTA CONDUCTORES'!$AL$7:$AL$459,"X",'ENCUESTA CONDUCTORES'!$DE$7:$DE$459,"&lt;2011",'ENCUESTA CONDUCTORES'!$AX$7:$AX$459,"&lt;4.01")-DK11-DJ11-DI11-DH11-DG11-DL10-DK10-DJ10-DI10-DH10-DG10-DL9-DK9-DJ9-DI9-DH9-DG9-DL8-DK8-DJ8-DI8-DH8-DG8-DL7-DK7-DJ7-DI7-DH7-DG7-DL6-DK6-DJ6-DI6-DH6-DG6-DL5-DK5-DJ5-DI5-DH5-DG5</f>
        <v>6</v>
      </c>
      <c r="DM11" s="18">
        <f>COUNTIFS('ENCUESTA CONDUCTORES'!$AL$7:$AL$459,"X",'ENCUESTA CONDUCTORES'!$DE$7:$DE$459,"&gt;2010",'ENCUESTA CONDUCTORES'!$AX$7:$AX$459,"&lt;4.01")-DM10-DM9-DM8-DM7-DM6-DM5</f>
        <v>1</v>
      </c>
      <c r="DN11" s="18">
        <f t="shared" si="70"/>
        <v>34</v>
      </c>
      <c r="DP11" s="18" t="s">
        <v>469</v>
      </c>
      <c r="DQ11" s="74">
        <f t="shared" si="71"/>
        <v>5.0632911392405064E-3</v>
      </c>
      <c r="DR11" s="74">
        <f t="shared" si="45"/>
        <v>0</v>
      </c>
      <c r="DS11" s="74">
        <f t="shared" si="46"/>
        <v>5.0632911392405064E-3</v>
      </c>
      <c r="DT11" s="74">
        <f t="shared" si="47"/>
        <v>5.0632911392405064E-3</v>
      </c>
      <c r="DU11" s="74">
        <f t="shared" si="48"/>
        <v>0</v>
      </c>
      <c r="DV11" s="74">
        <f t="shared" si="49"/>
        <v>0</v>
      </c>
      <c r="DW11" s="74">
        <f t="shared" si="50"/>
        <v>0</v>
      </c>
      <c r="DX11" s="74">
        <f t="shared" si="51"/>
        <v>1.5189873417721518E-2</v>
      </c>
      <c r="DY11" s="19">
        <f>COUNTIFS('ENCUESTA CONDUCTORES'!$AI$7:$AI$459,"&gt;2500000",'ENCUESTA CONDUCTORES'!$AH$7:$AH$459,"&lt;1991")</f>
        <v>2</v>
      </c>
      <c r="DZ11" s="19">
        <f>COUNTIFS('ENCUESTA CONDUCTORES'!$AI$7:$AI$459,"&gt;2500000",'ENCUESTA CONDUCTORES'!$AH$7:$AH$459,"&lt;1994")-DY11</f>
        <v>0</v>
      </c>
      <c r="EA11" s="19">
        <f>COUNTIFS('ENCUESTA CONDUCTORES'!$AI$7:$AI$459,"&gt;2500000",'ENCUESTA CONDUCTORES'!$AH$7:$AH$459,"&lt;1998")-DZ11*DY11</f>
        <v>2</v>
      </c>
      <c r="EB11" s="19">
        <f>COUNTIFS('ENCUESTA CONDUCTORES'!$AI$7:$AI$459,"&gt;2500000",'ENCUESTA CONDUCTORES'!$AH$7:$AH$459,"&lt;2004")-EA11-DZ11-DY11</f>
        <v>2</v>
      </c>
      <c r="EC11" s="19">
        <f>COUNTIFS('ENCUESTA CONDUCTORES'!$AI$7:$AI$459,"&gt;2500000",'ENCUESTA CONDUCTORES'!$AH$7:$AH$459,"&lt;2007")-EB11-EA11-DZ11-DY11</f>
        <v>0</v>
      </c>
      <c r="ED11" s="19">
        <f>COUNTIFS('ENCUESTA CONDUCTORES'!$AI$7:$AI$459,"&gt;2500000",'ENCUESTA CONDUCTORES'!$AH$7:$AH$459,"&lt;2011")-EC11-EB11-EA11-DZ11-DY11</f>
        <v>0</v>
      </c>
      <c r="EE11" s="19">
        <f>COUNTIFS('ENCUESTA CONDUCTORES'!$AI$7:$AI$459,"&gt;2500000",'ENCUESTA CONDUCTORES'!$AH$7:$AH$459,"&gt;2010")</f>
        <v>0</v>
      </c>
      <c r="EF11" s="18">
        <f t="shared" si="72"/>
        <v>6</v>
      </c>
      <c r="EH11" s="17" t="s">
        <v>1333</v>
      </c>
      <c r="EI11" s="74">
        <f t="shared" si="73"/>
        <v>0.13245033112582782</v>
      </c>
      <c r="EJ11" s="74">
        <f t="shared" si="52"/>
        <v>1.9867549668874173E-2</v>
      </c>
      <c r="EK11" s="74">
        <f t="shared" si="53"/>
        <v>8.6092715231788075E-2</v>
      </c>
      <c r="EL11" s="74">
        <f t="shared" si="54"/>
        <v>0.23841059602649006</v>
      </c>
      <c r="EM11" s="74">
        <f t="shared" si="55"/>
        <v>0.18543046357615894</v>
      </c>
      <c r="EN11" s="74">
        <f t="shared" si="56"/>
        <v>0.24061810154525387</v>
      </c>
      <c r="EO11" s="74">
        <f t="shared" si="57"/>
        <v>9.713024282560706E-2</v>
      </c>
      <c r="EP11" s="74">
        <f t="shared" si="58"/>
        <v>1</v>
      </c>
      <c r="EQ11" s="18">
        <f>SUM(EQ5:EQ10)</f>
        <v>60</v>
      </c>
      <c r="ER11" s="18">
        <f t="shared" ref="ER11:EW11" si="82">SUM(ER5:ER10)</f>
        <v>9</v>
      </c>
      <c r="ES11" s="18">
        <f t="shared" si="82"/>
        <v>39</v>
      </c>
      <c r="ET11" s="18">
        <f t="shared" si="82"/>
        <v>108</v>
      </c>
      <c r="EU11" s="18">
        <f t="shared" si="82"/>
        <v>84</v>
      </c>
      <c r="EV11" s="18">
        <f t="shared" si="82"/>
        <v>109</v>
      </c>
      <c r="EW11" s="18">
        <f t="shared" si="82"/>
        <v>44</v>
      </c>
      <c r="EX11" s="18">
        <f t="shared" si="59"/>
        <v>453</v>
      </c>
      <c r="EZ11" s="87" t="s">
        <v>1490</v>
      </c>
      <c r="FA11" s="74">
        <f t="shared" si="74"/>
        <v>4.194260485651214E-2</v>
      </c>
      <c r="FB11" s="74">
        <f t="shared" si="60"/>
        <v>2.2075055187637971E-2</v>
      </c>
      <c r="FC11" s="74">
        <f t="shared" si="61"/>
        <v>3.3112582781456956E-2</v>
      </c>
      <c r="FD11" s="74">
        <f t="shared" si="62"/>
        <v>4.194260485651214E-2</v>
      </c>
      <c r="FE11" s="74">
        <f t="shared" si="63"/>
        <v>0.13907284768211919</v>
      </c>
      <c r="FF11" s="18">
        <f>COUNTIFS('ENCUESTA CONDUCTORES'!E$7:E$459,"X",'ENCUESTA CONDUCTORES'!$AV$7:$AV$459,"10%")</f>
        <v>19</v>
      </c>
      <c r="FG11" s="18">
        <f>COUNTIFS('ENCUESTA CONDUCTORES'!F$7:F$459,"X",'ENCUESTA CONDUCTORES'!$AV$7:$AV$459,"10%")</f>
        <v>10</v>
      </c>
      <c r="FH11" s="18">
        <f>COUNTIFS('ENCUESTA CONDUCTORES'!G$7:G$459,"X",'ENCUESTA CONDUCTORES'!$AV$7:$AV$459,"10%")</f>
        <v>15</v>
      </c>
      <c r="FI11" s="18">
        <f>COUNTIFS('ENCUESTA CONDUCTORES'!H$7:H$459,"X",'ENCUESTA CONDUCTORES'!$AV$7:$AV$459,"10%")</f>
        <v>19</v>
      </c>
      <c r="FJ11" s="18">
        <f t="shared" si="75"/>
        <v>63</v>
      </c>
      <c r="GA11" s="17" t="s">
        <v>429</v>
      </c>
      <c r="GB11" s="74">
        <f t="shared" si="64"/>
        <v>0.17410714285714285</v>
      </c>
      <c r="GC11" s="74">
        <f t="shared" si="10"/>
        <v>0.23883928571428573</v>
      </c>
      <c r="GD11" s="74">
        <f t="shared" si="11"/>
        <v>0.3080357142857143</v>
      </c>
      <c r="GE11" s="74">
        <f t="shared" si="12"/>
        <v>0.16517857142857142</v>
      </c>
      <c r="GF11" s="74">
        <f t="shared" si="13"/>
        <v>6.6964285714285712E-2</v>
      </c>
      <c r="GG11" s="74">
        <f t="shared" si="14"/>
        <v>2.6785714285714284E-2</v>
      </c>
      <c r="GH11" s="74">
        <f t="shared" si="15"/>
        <v>2.0089285714285716E-2</v>
      </c>
      <c r="GI11" s="74">
        <f t="shared" si="16"/>
        <v>1</v>
      </c>
      <c r="GJ11" s="18">
        <f>SUM(GJ4:GJ10)</f>
        <v>78</v>
      </c>
      <c r="GK11" s="18">
        <f t="shared" ref="GK11:GQ11" si="83">SUM(GK4:GK10)</f>
        <v>107</v>
      </c>
      <c r="GL11" s="18">
        <f t="shared" si="83"/>
        <v>138</v>
      </c>
      <c r="GM11" s="18">
        <f t="shared" si="83"/>
        <v>74</v>
      </c>
      <c r="GN11" s="18">
        <f t="shared" si="83"/>
        <v>30</v>
      </c>
      <c r="GO11" s="18">
        <f t="shared" si="83"/>
        <v>12</v>
      </c>
      <c r="GP11" s="18">
        <f t="shared" si="83"/>
        <v>9</v>
      </c>
      <c r="GQ11" s="18">
        <f t="shared" si="83"/>
        <v>448</v>
      </c>
      <c r="HE11" s="17" t="s">
        <v>1552</v>
      </c>
    </row>
    <row r="12" spans="1:223" x14ac:dyDescent="0.25">
      <c r="C12" s="18" t="s">
        <v>4</v>
      </c>
      <c r="D12" s="18" t="s">
        <v>5</v>
      </c>
      <c r="E12" s="18" t="s">
        <v>6</v>
      </c>
      <c r="F12" s="18" t="s">
        <v>7</v>
      </c>
      <c r="X12" s="19">
        <f>SUM(T11:W11)</f>
        <v>453</v>
      </c>
      <c r="Z12" s="17" t="s">
        <v>1381</v>
      </c>
      <c r="AL12" s="11" t="s">
        <v>429</v>
      </c>
      <c r="AM12" s="74">
        <f t="shared" si="33"/>
        <v>1</v>
      </c>
      <c r="AN12" s="18">
        <f>SUM(AN4:AN11)</f>
        <v>427</v>
      </c>
      <c r="BZ12" s="17" t="s">
        <v>193</v>
      </c>
      <c r="CB12" s="18"/>
      <c r="CC12" s="18"/>
      <c r="CD12" s="18"/>
      <c r="CE12" s="18"/>
      <c r="CF12" s="18">
        <f>COUNTIFS('ENCUESTA CONDUCTORES'!$AJ$7:$AJ$459,"X",'ENCUESTA CONDUCTORES'!P$7:P$459,"X",'ENCUESTA CONDUCTORES'!$AX$7:$AX$459,"NO SABE")</f>
        <v>0</v>
      </c>
      <c r="CG12" s="18">
        <f>COUNTIFS('ENCUESTA CONDUCTORES'!$AJ$7:$AJ$459,"X",'ENCUESTA CONDUCTORES'!Q$7:Q$459,"X",'ENCUESTA CONDUCTORES'!$AX$7:$AX$459,"NO SABE")</f>
        <v>0</v>
      </c>
      <c r="CH12" s="18">
        <f>COUNTIFS('ENCUESTA CONDUCTORES'!$AJ$7:$AJ$459,"X",'ENCUESTA CONDUCTORES'!R$7:R$459,"X",'ENCUESTA CONDUCTORES'!$AX$7:$AX$459,"NO SABE")</f>
        <v>0</v>
      </c>
      <c r="CI12" s="18">
        <f>COUNTIFS('ENCUESTA CONDUCTORES'!$AJ$7:$AJ$459,"X",'ENCUESTA CONDUCTORES'!S$7:S$459,"X",'ENCUESTA CONDUCTORES'!$AX$7:$AX$459,"NO SABE")</f>
        <v>0</v>
      </c>
      <c r="CJ12" s="18">
        <f>SUM(CF12:CI12)</f>
        <v>0</v>
      </c>
      <c r="CM12" s="18"/>
      <c r="CN12" s="18"/>
      <c r="CO12" s="18"/>
      <c r="CP12" s="18"/>
      <c r="CQ12" s="18"/>
      <c r="CR12" s="18"/>
      <c r="CS12" s="18"/>
      <c r="CT12" s="18"/>
      <c r="CU12" s="18"/>
      <c r="CV12" s="18">
        <f>SUM(CR11:CU11)</f>
        <v>453</v>
      </c>
      <c r="CX12" s="11" t="s">
        <v>1385</v>
      </c>
      <c r="CY12" s="74">
        <f t="shared" si="37"/>
        <v>2.34192037470726E-3</v>
      </c>
      <c r="CZ12" s="74">
        <f t="shared" si="38"/>
        <v>0</v>
      </c>
      <c r="DA12" s="74">
        <f t="shared" si="39"/>
        <v>2.34192037470726E-3</v>
      </c>
      <c r="DB12" s="74">
        <f t="shared" si="40"/>
        <v>0</v>
      </c>
      <c r="DC12" s="74">
        <f t="shared" si="41"/>
        <v>2.34192037470726E-3</v>
      </c>
      <c r="DD12" s="74">
        <f t="shared" si="42"/>
        <v>2.34192037470726E-3</v>
      </c>
      <c r="DE12" s="74">
        <f t="shared" si="43"/>
        <v>2.34192037470726E-3</v>
      </c>
      <c r="DF12" s="74">
        <f t="shared" si="44"/>
        <v>1.1709601873536301E-2</v>
      </c>
      <c r="DG12" s="18">
        <f>COUNTIFS('ENCUESTA CONDUCTORES'!$AL$7:$AL$459,"X",'ENCUESTA CONDUCTORES'!$DE$7:$DE$459,"&lt;1991",'ENCUESTA CONDUCTORES'!$AX$7:$AX$459,"&gt;4.0")</f>
        <v>1</v>
      </c>
      <c r="DH12" s="18">
        <f>COUNTIFS('ENCUESTA CONDUCTORES'!$AL$7:$AL$459,"X",'ENCUESTA CONDUCTORES'!$DE$7:$DE$459,"&lt;1994",'ENCUESTA CONDUCTORES'!$AX$7:$AX$459,"&gt;4.0")-DG12</f>
        <v>0</v>
      </c>
      <c r="DI12" s="18">
        <f>COUNTIFS('ENCUESTA CONDUCTORES'!$AL$7:$AL$459,"X",'ENCUESTA CONDUCTORES'!$DE$7:$DE$459,"&lt;1998",'ENCUESTA CONDUCTORES'!$AX$7:$AX$459,"&gt;4.0")-DH12-DG12</f>
        <v>1</v>
      </c>
      <c r="DJ12" s="18">
        <f>COUNTIFS('ENCUESTA CONDUCTORES'!$AL$7:$AL$459,"X",'ENCUESTA CONDUCTORES'!$DE$7:$DE$459,"&lt;2004",'ENCUESTA CONDUCTORES'!$AX$7:$AX$459,"&gt;4.0")-DI12-DH12-DG12</f>
        <v>0</v>
      </c>
      <c r="DK12" s="18">
        <f>COUNTIFS('ENCUESTA CONDUCTORES'!$AL$7:$AL$459,"X",'ENCUESTA CONDUCTORES'!$DE$7:$DE$459,"&lt;2007",'ENCUESTA CONDUCTORES'!$AX$7:$AX$459,"&gt;4.0")-DJ12-DI12-DH12-DG12</f>
        <v>1</v>
      </c>
      <c r="DL12" s="18">
        <f>COUNTIFS('ENCUESTA CONDUCTORES'!$AL$7:$AL$459,"X",'ENCUESTA CONDUCTORES'!$DE$7:$DE$459,"&lt;2011",'ENCUESTA CONDUCTORES'!$AX$7:$AX$459,"&gt;4.0")-DK12-DJ12-DI12-DH12-DG12</f>
        <v>1</v>
      </c>
      <c r="DM12" s="18">
        <f>COUNTIFS('ENCUESTA CONDUCTORES'!$AL$7:$AL$459,"X",'ENCUESTA CONDUCTORES'!$DE$7:$DE$459,"&gt;2010",'ENCUESTA CONDUCTORES'!$AX$7:$AX$459,"&gt;4.0")</f>
        <v>1</v>
      </c>
      <c r="DN12" s="18">
        <f t="shared" si="70"/>
        <v>5</v>
      </c>
      <c r="DP12" s="17" t="s">
        <v>429</v>
      </c>
      <c r="DQ12" s="74">
        <f t="shared" si="71"/>
        <v>0.12658227848101267</v>
      </c>
      <c r="DR12" s="74">
        <f t="shared" si="45"/>
        <v>2.2784810126582278E-2</v>
      </c>
      <c r="DS12" s="74">
        <f t="shared" si="46"/>
        <v>6.3291139240506333E-2</v>
      </c>
      <c r="DT12" s="74">
        <f t="shared" si="47"/>
        <v>0.20506329113924052</v>
      </c>
      <c r="DU12" s="74">
        <f t="shared" si="48"/>
        <v>0.20506329113924052</v>
      </c>
      <c r="DV12" s="74">
        <f t="shared" si="49"/>
        <v>0.26835443037974682</v>
      </c>
      <c r="DW12" s="74">
        <f t="shared" si="50"/>
        <v>0.10886075949367088</v>
      </c>
      <c r="DX12" s="74">
        <f t="shared" si="51"/>
        <v>1</v>
      </c>
      <c r="DY12" s="18">
        <f>SUM(DY5:DY11)</f>
        <v>50</v>
      </c>
      <c r="DZ12" s="19">
        <f>SUM(DZ5:DZ11)</f>
        <v>9</v>
      </c>
      <c r="EA12" s="18">
        <f t="shared" ref="EA12:EE12" si="84">SUM(EA5:EA11)</f>
        <v>25</v>
      </c>
      <c r="EB12" s="18">
        <f t="shared" si="84"/>
        <v>81</v>
      </c>
      <c r="EC12" s="18">
        <f t="shared" si="84"/>
        <v>81</v>
      </c>
      <c r="ED12" s="18">
        <f t="shared" si="84"/>
        <v>106</v>
      </c>
      <c r="EE12" s="18">
        <f t="shared" si="84"/>
        <v>43</v>
      </c>
      <c r="EF12" s="18">
        <f t="shared" si="72"/>
        <v>395</v>
      </c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>
        <f>SUM(EX5:EX10)</f>
        <v>453</v>
      </c>
      <c r="EZ12" s="87" t="s">
        <v>1491</v>
      </c>
      <c r="FA12" s="74">
        <f t="shared" si="74"/>
        <v>1.1037527593818985E-2</v>
      </c>
      <c r="FB12" s="74">
        <f t="shared" si="60"/>
        <v>4.4150110375275938E-3</v>
      </c>
      <c r="FC12" s="74">
        <f t="shared" si="61"/>
        <v>1.5452538631346579E-2</v>
      </c>
      <c r="FD12" s="74">
        <f t="shared" si="62"/>
        <v>1.3245033112582781E-2</v>
      </c>
      <c r="FE12" s="74">
        <f t="shared" si="63"/>
        <v>4.4150110375275942E-2</v>
      </c>
      <c r="FF12" s="18">
        <f>COUNTIFS('ENCUESTA CONDUCTORES'!E$7:E$459,"X",'ENCUESTA CONDUCTORES'!$AV$7:$AV$459,"5%")</f>
        <v>5</v>
      </c>
      <c r="FG12" s="18">
        <f>COUNTIFS('ENCUESTA CONDUCTORES'!F$7:F$459,"X",'ENCUESTA CONDUCTORES'!$AV$7:$AV$459,"5%")</f>
        <v>2</v>
      </c>
      <c r="FH12" s="18">
        <f>COUNTIFS('ENCUESTA CONDUCTORES'!G$7:G$459,"X",'ENCUESTA CONDUCTORES'!$AV$7:$AV$459,"5%")</f>
        <v>7</v>
      </c>
      <c r="FI12" s="18">
        <f>COUNTIFS('ENCUESTA CONDUCTORES'!H$7:H$459,"X",'ENCUESTA CONDUCTORES'!$AV$7:$AV$459,"5%")</f>
        <v>6</v>
      </c>
      <c r="FJ12" s="18">
        <f t="shared" si="75"/>
        <v>20</v>
      </c>
      <c r="FL12" s="21"/>
      <c r="FT12" s="17" t="s">
        <v>1508</v>
      </c>
      <c r="GQ12" s="18">
        <f>SUM(GJ11:GP11)</f>
        <v>448</v>
      </c>
      <c r="GS12" s="17" t="s">
        <v>1544</v>
      </c>
      <c r="HF12" s="17" t="s">
        <v>425</v>
      </c>
    </row>
    <row r="13" spans="1:223" x14ac:dyDescent="0.25">
      <c r="C13" s="74">
        <f>H5/$L$5</f>
        <v>0.12121212121212122</v>
      </c>
      <c r="D13" s="74">
        <f t="shared" ref="D13:F13" si="85">I5/$L$5</f>
        <v>0.24242424242424243</v>
      </c>
      <c r="E13" s="74">
        <f t="shared" si="85"/>
        <v>4.5454545454545456E-2</v>
      </c>
      <c r="F13" s="74">
        <f t="shared" si="85"/>
        <v>0.59090909090909094</v>
      </c>
      <c r="G13" s="74">
        <f>L5/$L$5</f>
        <v>1</v>
      </c>
      <c r="H13" s="128">
        <f>SUM(C13:F13)</f>
        <v>1</v>
      </c>
      <c r="N13" s="17" t="s">
        <v>1371</v>
      </c>
      <c r="AA13" s="18" t="s">
        <v>4</v>
      </c>
      <c r="AB13" s="18" t="s">
        <v>4</v>
      </c>
      <c r="AC13" s="18"/>
      <c r="AD13" s="18"/>
      <c r="AG13" s="18"/>
      <c r="AH13" s="18"/>
      <c r="AI13" s="18"/>
      <c r="AL13" s="17" t="s">
        <v>193</v>
      </c>
      <c r="AN13" s="18">
        <f>COUNTIFS('ENCUESTA CONDUCTORES'!$AL$7:$AL$459,"X",'ENCUESTA CONDUCTORES'!$AX$7:$AX$459,"NO SABE")</f>
        <v>1</v>
      </c>
      <c r="CB13" s="18"/>
      <c r="CC13" s="18"/>
      <c r="CD13" s="18"/>
      <c r="CE13" s="18"/>
      <c r="CF13" s="18">
        <f>+CF12+CF11</f>
        <v>19</v>
      </c>
      <c r="CG13" s="18"/>
      <c r="CH13" s="18"/>
      <c r="CI13" s="18"/>
      <c r="CJ13" s="18">
        <f>+CJ12+CJ11</f>
        <v>22</v>
      </c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X13" s="11" t="s">
        <v>429</v>
      </c>
      <c r="CY13" s="74">
        <f t="shared" si="37"/>
        <v>0.12412177985948478</v>
      </c>
      <c r="CZ13" s="74">
        <f t="shared" si="38"/>
        <v>2.1077283372365339E-2</v>
      </c>
      <c r="DA13" s="74">
        <f t="shared" si="39"/>
        <v>8.1967213114754092E-2</v>
      </c>
      <c r="DB13" s="74">
        <f t="shared" si="40"/>
        <v>0.2388758782201405</v>
      </c>
      <c r="DC13" s="74">
        <f t="shared" si="41"/>
        <v>0.19203747072599531</v>
      </c>
      <c r="DD13" s="74">
        <f t="shared" si="42"/>
        <v>0.24590163934426229</v>
      </c>
      <c r="DE13" s="74">
        <f t="shared" si="43"/>
        <v>9.6018735362997654E-2</v>
      </c>
      <c r="DF13" s="74">
        <f t="shared" si="44"/>
        <v>1</v>
      </c>
      <c r="DG13" s="18">
        <f>SUM(DG5:DG12)</f>
        <v>53</v>
      </c>
      <c r="DH13" s="18">
        <f t="shared" ref="DH13:DM13" si="86">SUM(DH5:DH12)</f>
        <v>9</v>
      </c>
      <c r="DI13" s="18">
        <f t="shared" si="86"/>
        <v>35</v>
      </c>
      <c r="DJ13" s="18">
        <f t="shared" si="86"/>
        <v>102</v>
      </c>
      <c r="DK13" s="18">
        <f t="shared" si="86"/>
        <v>82</v>
      </c>
      <c r="DL13" s="18">
        <f t="shared" si="86"/>
        <v>105</v>
      </c>
      <c r="DM13" s="18">
        <f t="shared" si="86"/>
        <v>41</v>
      </c>
      <c r="DN13" s="18">
        <f t="shared" si="70"/>
        <v>427</v>
      </c>
      <c r="DP13" s="17" t="s">
        <v>1459</v>
      </c>
      <c r="DQ13" s="18"/>
      <c r="DR13" s="18"/>
      <c r="DS13" s="18"/>
      <c r="DT13" s="18"/>
      <c r="DU13" s="18"/>
      <c r="DV13" s="18"/>
      <c r="DW13" s="18"/>
      <c r="DX13" s="18"/>
      <c r="DY13" s="19">
        <f>COUNTIF('ENCUESTA CONDUCTORES'!AI7:AI459,"DAÑADO")+COUNTIF('ENCUESTA CONDUCTORES'!AI7:AI459,"NO SABE")+COUNTIF('ENCUESTA CONDUCTORES'!AI7:AI459,"NO CONTESTA")</f>
        <v>58</v>
      </c>
      <c r="DZ13" s="19"/>
      <c r="EA13" s="19"/>
      <c r="EB13" s="19"/>
      <c r="EC13" s="19"/>
      <c r="ED13" s="19"/>
      <c r="EE13" s="19"/>
      <c r="EF13" s="18">
        <f>SUM(EF5:EF11)</f>
        <v>395</v>
      </c>
      <c r="EH13" s="17" t="s">
        <v>1474</v>
      </c>
      <c r="EI13" s="18"/>
      <c r="EJ13" s="18"/>
      <c r="EK13" s="18"/>
      <c r="EL13" s="18"/>
      <c r="EM13" s="18"/>
      <c r="EN13" s="18"/>
      <c r="EO13" s="18"/>
      <c r="EP13" s="18"/>
      <c r="EQ13" s="18"/>
      <c r="ER13" s="17" t="s">
        <v>1478</v>
      </c>
      <c r="ES13" s="18"/>
      <c r="ET13" s="18"/>
      <c r="EU13" s="18"/>
      <c r="EV13" s="18"/>
      <c r="EW13" s="18"/>
      <c r="EX13" s="18"/>
      <c r="EY13" s="18"/>
      <c r="EZ13" s="87" t="s">
        <v>1492</v>
      </c>
      <c r="FA13" s="74">
        <f t="shared" si="74"/>
        <v>6.6225165562913907E-3</v>
      </c>
      <c r="FB13" s="74">
        <f t="shared" si="60"/>
        <v>2.2075055187637969E-3</v>
      </c>
      <c r="FC13" s="74">
        <f t="shared" si="61"/>
        <v>1.7660044150110375E-2</v>
      </c>
      <c r="FD13" s="74">
        <f t="shared" si="62"/>
        <v>2.2075055187637971E-2</v>
      </c>
      <c r="FE13" s="74">
        <f t="shared" si="63"/>
        <v>4.856512141280353E-2</v>
      </c>
      <c r="FF13" s="18">
        <f>COUNTIFS('ENCUESTA CONDUCTORES'!E$7:E$459,"X",'ENCUESTA CONDUCTORES'!$AV$7:$AV$459,"0%")</f>
        <v>3</v>
      </c>
      <c r="FG13" s="18">
        <f>COUNTIFS('ENCUESTA CONDUCTORES'!F$7:F$459,"X",'ENCUESTA CONDUCTORES'!$AV$7:$AV$459,"0%")</f>
        <v>1</v>
      </c>
      <c r="FH13" s="18">
        <f>COUNTIFS('ENCUESTA CONDUCTORES'!G$7:G$459,"X",'ENCUESTA CONDUCTORES'!$AV$7:$AV$459,"0%")</f>
        <v>8</v>
      </c>
      <c r="FI13" s="18">
        <f>COUNTIFS('ENCUESTA CONDUCTORES'!H$7:H$459,"X",'ENCUESTA CONDUCTORES'!$AV$7:$AV$459,"0%")</f>
        <v>10</v>
      </c>
      <c r="FJ13" s="18">
        <f t="shared" si="75"/>
        <v>22</v>
      </c>
      <c r="FL13" s="21"/>
      <c r="FT13" s="17" t="s">
        <v>1468</v>
      </c>
      <c r="FU13" s="74">
        <f>+FV13/$FV$19</f>
        <v>7.1428571428571425E-2</v>
      </c>
      <c r="FV13" s="18">
        <f>COUNTIFS('ENCUESTA CONDUCTORES'!$Q$7:$Q$459,"X",'ENCUESTA CONDUCTORES'!$AU$7:$AU$459,"&lt;2500")</f>
        <v>6</v>
      </c>
      <c r="GT13" s="17" t="s">
        <v>425</v>
      </c>
      <c r="GU13" s="17" t="s">
        <v>426</v>
      </c>
      <c r="GV13" s="17" t="s">
        <v>1336</v>
      </c>
      <c r="GW13" s="17" t="s">
        <v>1337</v>
      </c>
      <c r="GY13" s="17" t="s">
        <v>425</v>
      </c>
      <c r="GZ13" s="17" t="s">
        <v>426</v>
      </c>
      <c r="HA13" s="17" t="s">
        <v>1336</v>
      </c>
      <c r="HB13" s="17" t="s">
        <v>1337</v>
      </c>
      <c r="HE13" s="17" t="s">
        <v>1484</v>
      </c>
      <c r="HF13" s="74">
        <f>+HK4/$HK$9</f>
        <v>0.43939393939393939</v>
      </c>
    </row>
    <row r="14" spans="1:223" x14ac:dyDescent="0.25">
      <c r="O14" s="17" t="s">
        <v>425</v>
      </c>
      <c r="P14" s="17" t="s">
        <v>425</v>
      </c>
      <c r="Z14" s="17" t="s">
        <v>23</v>
      </c>
      <c r="AA14" s="76">
        <f>+AB14/$AB$17</f>
        <v>0.79245283018867929</v>
      </c>
      <c r="AB14" s="18">
        <f>COUNTIFS('ENCUESTA CONDUCTORES'!P$7:P$459,"X",'ENCUESTA CONDUCTORES'!$AL$7:$AL$459,"X")</f>
        <v>84</v>
      </c>
      <c r="AC14" s="76"/>
      <c r="AD14" s="76"/>
      <c r="AE14" s="76"/>
      <c r="AG14" s="18"/>
      <c r="AH14" s="18"/>
      <c r="AI14" s="18"/>
      <c r="AJ14" s="18"/>
      <c r="AN14" s="18">
        <f>+AN13+AN12</f>
        <v>428</v>
      </c>
      <c r="CB14" s="18"/>
      <c r="CC14" s="18"/>
      <c r="CD14" s="18"/>
      <c r="CE14" s="18"/>
      <c r="CF14" s="18"/>
      <c r="CG14" s="18"/>
      <c r="CH14" s="18"/>
      <c r="CI14" s="18"/>
      <c r="CJ14" s="18">
        <f>SUM(CJ4:CJ10)</f>
        <v>22</v>
      </c>
      <c r="CL14" s="17" t="s">
        <v>1432</v>
      </c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X14" s="17" t="s">
        <v>193</v>
      </c>
      <c r="CY14" s="18"/>
      <c r="CZ14" s="18"/>
      <c r="DA14" s="18"/>
      <c r="DB14" s="18"/>
      <c r="DC14" s="18"/>
      <c r="DD14" s="18"/>
      <c r="DE14" s="18"/>
      <c r="DF14" s="18"/>
      <c r="DG14" s="18">
        <f>COUNTIFS('ENCUESTA CONDUCTORES'!$AL$7:$AL$459,"X",'ENCUESTA CONDUCTORES'!$DE$7:$DE$459,"&lt;1991",'ENCUESTA CONDUCTORES'!$AX$7:$AX$459,"NO SABE")</f>
        <v>0</v>
      </c>
      <c r="DH14" s="18">
        <f>COUNTIFS('ENCUESTA CONDUCTORES'!$AL$7:$AL$459,"X",'ENCUESTA CONDUCTORES'!$DE$7:$DE$459,"&lt;1994",'ENCUESTA CONDUCTORES'!$AX$7:$AX$459,"NO SABE")-DG14</f>
        <v>0</v>
      </c>
      <c r="DI14" s="18">
        <f>COUNTIFS('ENCUESTA CONDUCTORES'!$AL$7:$AL$459,"X",'ENCUESTA CONDUCTORES'!$DE$7:$DE$459,"&lt;1998",'ENCUESTA CONDUCTORES'!$AX$7:$AX$459,"NO SABE")-DH14-DG14</f>
        <v>0</v>
      </c>
      <c r="DJ14" s="18">
        <f>COUNTIFS('ENCUESTA CONDUCTORES'!$AL$7:$AL$459,"X",'ENCUESTA CONDUCTORES'!$DE$7:$DE$459,"&lt;2004",'ENCUESTA CONDUCTORES'!$AX$7:$AX$459,"NO SABE")-DI14-DH14-DG14</f>
        <v>1</v>
      </c>
      <c r="DK14" s="18">
        <f>COUNTIFS('ENCUESTA CONDUCTORES'!$AL$7:$AL$459,"X",'ENCUESTA CONDUCTORES'!$DE$7:$DE$459,"&lt;2007",'ENCUESTA CONDUCTORES'!$AX$7:$AX$459,"NO SABE")-DJ14-DI14-DH14-DG14</f>
        <v>0</v>
      </c>
      <c r="DL14" s="18">
        <f>COUNTIFS('ENCUESTA CONDUCTORES'!$AL$7:$AL$459,"X",'ENCUESTA CONDUCTORES'!$DE$7:$DE$459,"&lt;2011",'ENCUESTA CONDUCTORES'!$AX$7:$AX$459,"NO SABE")-DK14-DJ14-DI14-DH14-DG14</f>
        <v>0</v>
      </c>
      <c r="DM14" s="18">
        <f>COUNTIFS('ENCUESTA CONDUCTORES'!$AL$7:$AL$459,"X",'ENCUESTA CONDUCTORES'!$DE$7:$DE$459,"&gt;2010",'ENCUESTA CONDUCTORES'!$AX$7:$AX$459,"NO SABE")</f>
        <v>0</v>
      </c>
      <c r="DN14" s="18">
        <f t="shared" si="70"/>
        <v>1</v>
      </c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9">
        <f>+EF12+DY13</f>
        <v>453</v>
      </c>
      <c r="EH14" s="17" t="s">
        <v>1468</v>
      </c>
      <c r="EI14" s="74">
        <f>EJ14/$EJ$20</f>
        <v>0.1</v>
      </c>
      <c r="EJ14" s="18">
        <f t="shared" ref="EJ14:EJ20" si="87">+EQ5</f>
        <v>6</v>
      </c>
      <c r="EK14" s="18"/>
      <c r="EL14" s="18"/>
      <c r="EM14" s="18"/>
      <c r="EN14" s="18"/>
      <c r="EO14" s="18"/>
      <c r="EP14" s="18"/>
      <c r="EQ14" s="18"/>
      <c r="ER14" s="17" t="s">
        <v>1468</v>
      </c>
      <c r="ES14" s="74">
        <f>+ET14/$ET$20</f>
        <v>3.5714285714285712E-2</v>
      </c>
      <c r="ET14" s="18">
        <f>+EU5</f>
        <v>3</v>
      </c>
      <c r="EU14" s="18"/>
      <c r="EV14" s="18"/>
      <c r="EW14" s="18"/>
      <c r="EX14" s="18"/>
      <c r="EZ14" s="87" t="s">
        <v>429</v>
      </c>
      <c r="FA14" s="129">
        <f>SUM(FA5:FA13)</f>
        <v>0.14569536423841059</v>
      </c>
      <c r="FB14" s="129">
        <f t="shared" ref="FB14:FE14" si="88">SUM(FB5:FB13)</f>
        <v>0.17880794701986757</v>
      </c>
      <c r="FC14" s="129">
        <f t="shared" si="88"/>
        <v>0.40176600441501109</v>
      </c>
      <c r="FD14" s="129">
        <f t="shared" si="88"/>
        <v>0.27373068432671083</v>
      </c>
      <c r="FE14" s="129">
        <f t="shared" si="88"/>
        <v>1.0000000000000002</v>
      </c>
      <c r="FF14" s="18">
        <f>SUM(FF5:FF13)</f>
        <v>66</v>
      </c>
      <c r="FG14" s="18">
        <f t="shared" ref="FG14:FI14" si="89">SUM(FG5:FG13)</f>
        <v>81</v>
      </c>
      <c r="FH14" s="18">
        <f t="shared" si="89"/>
        <v>182</v>
      </c>
      <c r="FI14" s="18">
        <f t="shared" si="89"/>
        <v>124</v>
      </c>
      <c r="FJ14" s="18">
        <f t="shared" si="75"/>
        <v>453</v>
      </c>
      <c r="FL14" s="21"/>
      <c r="FT14" s="17" t="s">
        <v>1469</v>
      </c>
      <c r="FU14" s="74">
        <f t="shared" ref="FU14:FU20" si="90">+FV14/$FV$19</f>
        <v>0.29761904761904762</v>
      </c>
      <c r="FV14" s="18">
        <f>COUNTIFS('ENCUESTA CONDUCTORES'!$Q$7:$Q$459,"X",'ENCUESTA CONDUCTORES'!$AU$7:$AU$459,"&lt;5001")-FV13</f>
        <v>25</v>
      </c>
      <c r="GA14" s="17" t="s">
        <v>1530</v>
      </c>
      <c r="GS14" s="17" t="s">
        <v>264</v>
      </c>
      <c r="GT14" s="74">
        <f>+GY14/$HC$18</f>
        <v>3.7946428571428568E-2</v>
      </c>
      <c r="GU14" s="74">
        <f t="shared" ref="GU14:GU18" si="91">+GZ14/$HC$18</f>
        <v>4.4642857142857144E-2</v>
      </c>
      <c r="GV14" s="74">
        <f t="shared" ref="GV14:GV18" si="92">+HA14/$HC$18</f>
        <v>0.10044642857142858</v>
      </c>
      <c r="GW14" s="74">
        <f t="shared" ref="GW14:GW18" si="93">+HB14/$HC$18</f>
        <v>0.10044642857142858</v>
      </c>
      <c r="GX14" s="74">
        <f t="shared" ref="GX14:GX18" si="94">+HC14/$HC$18</f>
        <v>0.28348214285714285</v>
      </c>
      <c r="GY14" s="18">
        <f>COUNTIFS('ENCUESTA CONDUCTORES'!$E$7:$E$459,"X",'ENCUESTA CONDUCTORES'!$BX$7:$BX$459,"2")</f>
        <v>17</v>
      </c>
      <c r="GZ14" s="18">
        <f>COUNTIFS('ENCUESTA CONDUCTORES'!$F$7:$F$459,"X",'ENCUESTA CONDUCTORES'!$BX$7:$BX$459,"2")</f>
        <v>20</v>
      </c>
      <c r="HA14" s="18">
        <f>COUNTIFS('ENCUESTA CONDUCTORES'!$G$7:$G$459,"X",'ENCUESTA CONDUCTORES'!$BX$7:$BX$459,"2")</f>
        <v>45</v>
      </c>
      <c r="HB14" s="18">
        <f>COUNTIFS('ENCUESTA CONDUCTORES'!$H$7:$H$459,"X",'ENCUESTA CONDUCTORES'!$BX$7:$BX$459,"2")</f>
        <v>45</v>
      </c>
      <c r="HC14" s="18">
        <f>SUM(GY14:HB14)</f>
        <v>127</v>
      </c>
      <c r="HE14" s="17" t="s">
        <v>1547</v>
      </c>
      <c r="HF14" s="74">
        <f t="shared" ref="HF14:HF18" si="95">+HK5/$HK$9</f>
        <v>6.0606060606060608E-2</v>
      </c>
    </row>
    <row r="15" spans="1:223" ht="45" x14ac:dyDescent="0.25">
      <c r="A15" s="17" t="s">
        <v>1342</v>
      </c>
      <c r="N15" s="75" t="s">
        <v>10</v>
      </c>
      <c r="O15" s="127">
        <f t="shared" ref="O15:O22" si="96">P15/$P$22</f>
        <v>0.40909090909090912</v>
      </c>
      <c r="P15" s="90">
        <f>COUNTIFS('ENCUESTA CONDUCTORES'!E$7:E$459,"X",'ENCUESTA CONDUCTORES'!$U$7:$U$459,"X")</f>
        <v>27</v>
      </c>
      <c r="X15" s="18"/>
      <c r="Z15" s="17" t="s">
        <v>21</v>
      </c>
      <c r="AA15" s="76">
        <f>+AB15/$AB$17</f>
        <v>0.17924528301886791</v>
      </c>
      <c r="AB15" s="18">
        <f>COUNTIFS('ENCUESTA CONDUCTORES'!P$7:P$459,"X",'ENCUESTA CONDUCTORES'!$AJ$7:$AJ$459,"X")</f>
        <v>19</v>
      </c>
      <c r="AC15" s="76"/>
      <c r="AD15" s="76"/>
      <c r="AE15" s="76"/>
      <c r="AG15" s="18"/>
      <c r="AH15" s="18"/>
      <c r="AI15" s="18"/>
      <c r="AJ15" s="18"/>
      <c r="CM15" s="17" t="s">
        <v>425</v>
      </c>
      <c r="CN15" s="17" t="s">
        <v>426</v>
      </c>
      <c r="CO15" s="17" t="s">
        <v>1336</v>
      </c>
      <c r="CP15" s="17" t="s">
        <v>1337</v>
      </c>
      <c r="CQ15" s="18"/>
      <c r="CR15" s="17" t="s">
        <v>425</v>
      </c>
      <c r="CS15" s="17" t="s">
        <v>426</v>
      </c>
      <c r="CT15" s="17" t="s">
        <v>1336</v>
      </c>
      <c r="CU15" s="17" t="s">
        <v>1337</v>
      </c>
      <c r="CV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>
        <f>+DN14+DN13</f>
        <v>428</v>
      </c>
      <c r="DP15" s="17" t="s">
        <v>1460</v>
      </c>
      <c r="DQ15" s="18"/>
      <c r="DR15" s="18"/>
      <c r="DS15" s="18"/>
      <c r="DT15" s="17" t="s">
        <v>1461</v>
      </c>
      <c r="DU15" s="18"/>
      <c r="DV15" s="18"/>
      <c r="DW15" s="18"/>
      <c r="DX15" s="17" t="s">
        <v>1462</v>
      </c>
      <c r="DY15" s="18"/>
      <c r="DZ15" s="18"/>
      <c r="EB15" s="17" t="s">
        <v>1463</v>
      </c>
      <c r="EC15" s="18"/>
      <c r="ED15" s="18"/>
      <c r="EE15" s="18"/>
      <c r="EF15" s="18"/>
      <c r="EH15" s="17" t="s">
        <v>1469</v>
      </c>
      <c r="EI15" s="74">
        <f t="shared" ref="EI15:EI20" si="97">EJ15/$EJ$20</f>
        <v>0.4</v>
      </c>
      <c r="EJ15" s="18">
        <f t="shared" si="87"/>
        <v>24</v>
      </c>
      <c r="EK15" s="18"/>
      <c r="EL15" s="18"/>
      <c r="EM15" s="18"/>
      <c r="EN15" s="18"/>
      <c r="EO15" s="18"/>
      <c r="EP15" s="18"/>
      <c r="EQ15" s="18"/>
      <c r="ER15" s="17" t="s">
        <v>1469</v>
      </c>
      <c r="ES15" s="74">
        <f t="shared" ref="ES15:ES20" si="98">+ET15/$ET$20</f>
        <v>0.13095238095238096</v>
      </c>
      <c r="ET15" s="18">
        <f t="shared" ref="ET15:ET20" si="99">+EU6</f>
        <v>11</v>
      </c>
      <c r="EU15" s="18"/>
      <c r="EV15" s="18"/>
      <c r="EW15" s="18"/>
      <c r="EX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>
        <f>SUM(FF14:FI14)</f>
        <v>453</v>
      </c>
      <c r="FL15" s="75"/>
      <c r="FT15" s="17" t="s">
        <v>1470</v>
      </c>
      <c r="FU15" s="74">
        <f t="shared" si="90"/>
        <v>0.26190476190476192</v>
      </c>
      <c r="FV15" s="18">
        <f>COUNTIFS('ENCUESTA CONDUCTORES'!$Q$7:$Q$459,"X",'ENCUESTA CONDUCTORES'!$AU$7:$AU$459,"&lt;7501")-FV14-FV13</f>
        <v>22</v>
      </c>
      <c r="GA15" s="126"/>
      <c r="GB15" s="126" t="s">
        <v>1515</v>
      </c>
      <c r="GC15" s="126" t="s">
        <v>1516</v>
      </c>
      <c r="GD15" s="126" t="s">
        <v>1518</v>
      </c>
      <c r="GE15" s="126" t="s">
        <v>1517</v>
      </c>
      <c r="GF15" s="126" t="s">
        <v>1519</v>
      </c>
      <c r="GG15" s="126" t="s">
        <v>1520</v>
      </c>
      <c r="GH15" s="126" t="s">
        <v>1521</v>
      </c>
      <c r="GI15" s="126"/>
      <c r="GJ15" s="126" t="s">
        <v>1515</v>
      </c>
      <c r="GK15" s="126" t="s">
        <v>1516</v>
      </c>
      <c r="GL15" s="126" t="s">
        <v>1518</v>
      </c>
      <c r="GM15" s="126" t="s">
        <v>1517</v>
      </c>
      <c r="GN15" s="126" t="s">
        <v>1519</v>
      </c>
      <c r="GO15" s="126" t="s">
        <v>1520</v>
      </c>
      <c r="GP15" s="126" t="s">
        <v>1521</v>
      </c>
      <c r="GS15" s="17" t="s">
        <v>504</v>
      </c>
      <c r="GT15" s="74">
        <f t="shared" ref="GT15:GT18" si="100">+GY15/$HC$18</f>
        <v>4.4642857142857144E-2</v>
      </c>
      <c r="GU15" s="74">
        <f t="shared" si="91"/>
        <v>4.2410714285714288E-2</v>
      </c>
      <c r="GV15" s="74">
        <f t="shared" si="92"/>
        <v>0.10267857142857142</v>
      </c>
      <c r="GW15" s="74">
        <f t="shared" si="93"/>
        <v>6.6964285714285712E-2</v>
      </c>
      <c r="GX15" s="74">
        <f t="shared" si="94"/>
        <v>0.25669642857142855</v>
      </c>
      <c r="GY15" s="18">
        <f>COUNTIFS('ENCUESTA CONDUCTORES'!$E$7:$E$459,"X",'ENCUESTA CONDUCTORES'!$BY$7:$BY$459,"2")</f>
        <v>20</v>
      </c>
      <c r="GZ15" s="18">
        <f>COUNTIFS('ENCUESTA CONDUCTORES'!$F$7:$F$459,"X",'ENCUESTA CONDUCTORES'!$BY$7:$BY$459,"2")</f>
        <v>19</v>
      </c>
      <c r="HA15" s="18">
        <f>COUNTIFS('ENCUESTA CONDUCTORES'!$G$7:$G$459,"X",'ENCUESTA CONDUCTORES'!$BY$7:$BY$459,"2")</f>
        <v>46</v>
      </c>
      <c r="HB15" s="18">
        <f>COUNTIFS('ENCUESTA CONDUCTORES'!$H$7:$H$459,"X",'ENCUESTA CONDUCTORES'!$BY$7:$BY$459,"2")</f>
        <v>30</v>
      </c>
      <c r="HC15" s="18">
        <f>SUM(GY15:HB15)</f>
        <v>115</v>
      </c>
      <c r="HE15" s="17" t="s">
        <v>1548</v>
      </c>
      <c r="HF15" s="74">
        <f t="shared" si="95"/>
        <v>9.0909090909090912E-2</v>
      </c>
    </row>
    <row r="16" spans="1:223" x14ac:dyDescent="0.25">
      <c r="C16" s="18" t="s">
        <v>4</v>
      </c>
      <c r="D16" s="18" t="s">
        <v>5</v>
      </c>
      <c r="E16" s="18" t="s">
        <v>6</v>
      </c>
      <c r="F16" s="18" t="s">
        <v>7</v>
      </c>
      <c r="N16" s="75" t="s">
        <v>1352</v>
      </c>
      <c r="O16" s="127">
        <f t="shared" si="96"/>
        <v>0.12121212121212122</v>
      </c>
      <c r="P16" s="90">
        <f>COUNTIFS('ENCUESTA CONDUCTORES'!E$7:E$459,"X",'ENCUESTA CONDUCTORES'!$W$7:$W$459,"X")+COUNTIFS('ENCUESTA CONDUCTORES'!E$7:E$459,"X",'ENCUESTA CONDUCTORES'!$AB$7:$AB$459,"X")+COUNTIFS('ENCUESTA CONDUCTORES'!E$7:E$459,"X",'ENCUESTA CONDUCTORES'!$AC$7:$AC$459,"X")</f>
        <v>8</v>
      </c>
      <c r="Q16" s="127"/>
      <c r="R16" s="127"/>
      <c r="S16" s="127"/>
      <c r="U16" s="90"/>
      <c r="V16" s="90"/>
      <c r="W16" s="90"/>
      <c r="X16" s="19"/>
      <c r="Z16" s="17" t="s">
        <v>22</v>
      </c>
      <c r="AA16" s="76">
        <f>+AB16/$AB$17</f>
        <v>2.8301886792452831E-2</v>
      </c>
      <c r="AB16" s="18">
        <f>COUNTIFS('ENCUESTA CONDUCTORES'!P$7:P$459,"X",'ENCUESTA CONDUCTORES'!$AK$7:$AK$459,"X")</f>
        <v>3</v>
      </c>
      <c r="AC16" s="76"/>
      <c r="AD16" s="76"/>
      <c r="AE16" s="76"/>
      <c r="AG16" s="18"/>
      <c r="AH16" s="18"/>
      <c r="AI16" s="18"/>
      <c r="AJ16" s="18"/>
      <c r="CL16" s="17" t="s">
        <v>1423</v>
      </c>
      <c r="CM16" s="74">
        <f>+CR16/$CV$23</f>
        <v>2.6490066225165563E-2</v>
      </c>
      <c r="CN16" s="74">
        <f t="shared" ref="CN16:CN22" si="101">+CS16/$CV$23</f>
        <v>2.8697571743929361E-2</v>
      </c>
      <c r="CO16" s="74">
        <f t="shared" ref="CO16:CO22" si="102">+CT16/$CV$23</f>
        <v>5.7395143487858721E-2</v>
      </c>
      <c r="CP16" s="74">
        <f t="shared" ref="CP16:CP22" si="103">+CU16/$CV$23</f>
        <v>1.9867549668874173E-2</v>
      </c>
      <c r="CQ16" s="74">
        <f t="shared" ref="CQ16:CQ22" si="104">+CV16/$CV$23</f>
        <v>0.13245033112582782</v>
      </c>
      <c r="CR16" s="18">
        <f>COUNTIFS('ENCUESTA CONDUCTORES'!E$7:E$459,"X",'ENCUESTA CONDUCTORES'!$DE$7:$DE$459,"&lt;1991")</f>
        <v>12</v>
      </c>
      <c r="CS16" s="18">
        <f>COUNTIFS('ENCUESTA CONDUCTORES'!F$7:F$459,"X",'ENCUESTA CONDUCTORES'!$DE$7:$DE$459,"&lt;1991")</f>
        <v>13</v>
      </c>
      <c r="CT16" s="18">
        <f>COUNTIFS('ENCUESTA CONDUCTORES'!G$7:G$459,"X",'ENCUESTA CONDUCTORES'!$DE$7:$DE$459,"&lt;1991")</f>
        <v>26</v>
      </c>
      <c r="CU16" s="18">
        <f>COUNTIFS('ENCUESTA CONDUCTORES'!H$7:H$459,"X",'ENCUESTA CONDUCTORES'!$DE$7:$DE$459,"&lt;1991")</f>
        <v>9</v>
      </c>
      <c r="CV16" s="18">
        <f>SUM(CR16:CU16)</f>
        <v>60</v>
      </c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>
        <f>SUM(DG13:DM13)</f>
        <v>427</v>
      </c>
      <c r="DQ16" s="17" t="s">
        <v>1423</v>
      </c>
      <c r="DR16" s="18"/>
      <c r="DS16" s="18"/>
      <c r="DU16" s="17" t="s">
        <v>1424</v>
      </c>
      <c r="DV16" s="18"/>
      <c r="DW16" s="18"/>
      <c r="DY16" s="17" t="s">
        <v>1425</v>
      </c>
      <c r="DZ16" s="18"/>
      <c r="EC16" s="17" t="s">
        <v>1426</v>
      </c>
      <c r="ED16" s="18"/>
      <c r="EE16" s="18"/>
      <c r="EF16" s="19"/>
      <c r="EH16" s="17" t="s">
        <v>1470</v>
      </c>
      <c r="EI16" s="74">
        <f t="shared" si="97"/>
        <v>0.33333333333333331</v>
      </c>
      <c r="EJ16" s="18">
        <f t="shared" si="87"/>
        <v>20</v>
      </c>
      <c r="EK16" s="18"/>
      <c r="EL16" s="18"/>
      <c r="EM16" s="18"/>
      <c r="EN16" s="18"/>
      <c r="EO16" s="18"/>
      <c r="EP16" s="18"/>
      <c r="EQ16" s="18"/>
      <c r="ER16" s="17" t="s">
        <v>1470</v>
      </c>
      <c r="ES16" s="74">
        <f t="shared" si="98"/>
        <v>8.3333333333333329E-2</v>
      </c>
      <c r="ET16" s="18">
        <f t="shared" si="99"/>
        <v>7</v>
      </c>
      <c r="EU16" s="18"/>
      <c r="EV16" s="18"/>
      <c r="EW16" s="18"/>
      <c r="EX16" s="18"/>
      <c r="FL16" s="75"/>
      <c r="FT16" s="17" t="s">
        <v>1471</v>
      </c>
      <c r="FU16" s="74">
        <f t="shared" si="90"/>
        <v>0.23809523809523808</v>
      </c>
      <c r="FV16" s="18">
        <f>COUNTIFS('ENCUESTA CONDUCTORES'!$Q$7:$Q$459,"X",'ENCUESTA CONDUCTORES'!$AU$7:$AU$459,"&lt;10001")-FV15-FV14-FV13</f>
        <v>20</v>
      </c>
      <c r="GA16" s="17" t="s">
        <v>1423</v>
      </c>
      <c r="GB16" s="74">
        <f>+GJ16/$GQ$23</f>
        <v>4.608294930875576E-3</v>
      </c>
      <c r="GC16" s="74">
        <f t="shared" ref="GC16:GC23" si="105">+GK16/$GQ$23</f>
        <v>4.1474654377880185E-2</v>
      </c>
      <c r="GD16" s="74">
        <f t="shared" ref="GD16:GD23" si="106">+GL16/$GQ$23</f>
        <v>9.2165898617511521E-3</v>
      </c>
      <c r="GE16" s="74">
        <f t="shared" ref="GE16:GE23" si="107">+GM16/$GQ$23</f>
        <v>1.1520737327188941E-2</v>
      </c>
      <c r="GF16" s="74">
        <f t="shared" ref="GF16:GF23" si="108">+GN16/$GQ$23</f>
        <v>2.0737327188940093E-2</v>
      </c>
      <c r="GG16" s="74">
        <f t="shared" ref="GG16:GG23" si="109">+GO16/$GQ$23</f>
        <v>2.3041474654377881E-2</v>
      </c>
      <c r="GH16" s="74">
        <f t="shared" ref="GH16:GH23" si="110">+GP16/$GQ$23</f>
        <v>1.8433179723502304E-2</v>
      </c>
      <c r="GI16" s="74">
        <f t="shared" ref="GI16:GI23" si="111">+GQ16/$GQ$23</f>
        <v>0.12903225806451613</v>
      </c>
      <c r="GJ16" s="18">
        <f>COUNTIFS('ENCUESTA CONDUCTORES'!$DE$7:$DE$459,"&lt;1991",'ENCUESTA CONDUCTORES'!$BG$7:$BG$459,"&lt;10000")</f>
        <v>2</v>
      </c>
      <c r="GK16" s="18">
        <f>COUNTIFS('ENCUESTA CONDUCTORES'!$DE$7:$DE$459,"&lt;1991",'ENCUESTA CONDUCTORES'!$BG$7:$BG$459,"&lt;15001")-GJ16</f>
        <v>18</v>
      </c>
      <c r="GL16" s="18">
        <f>COUNTIFS('ENCUESTA CONDUCTORES'!$DE$7:$DE$459,"&lt;1991",'ENCUESTA CONDUCTORES'!$BG$7:$BG$459,"&lt;20001")-GK16-GJ16</f>
        <v>4</v>
      </c>
      <c r="GM16" s="18">
        <f>COUNTIFS('ENCUESTA CONDUCTORES'!$DE$7:$DE$459,"&lt;1991",'ENCUESTA CONDUCTORES'!$BG$7:$BG$459,"&lt;25001")-GL16-GK16-GJ16</f>
        <v>5</v>
      </c>
      <c r="GN16" s="18">
        <f>COUNTIFS('ENCUESTA CONDUCTORES'!$DE$7:$DE$459,"&lt;1991",'ENCUESTA CONDUCTORES'!$BG$7:$BG$459,"&lt;30001")-GM16-GL16-GK16-GJ16</f>
        <v>9</v>
      </c>
      <c r="GO16" s="18">
        <f>COUNTIFS('ENCUESTA CONDUCTORES'!$DE$7:$DE$459,"&lt;1991",'ENCUESTA CONDUCTORES'!$BG$7:$BG$459,"&lt;40001")-GN16-GM16-GL16-GK16-GJ16</f>
        <v>10</v>
      </c>
      <c r="GP16" s="18">
        <f>COUNTIFS('ENCUESTA CONDUCTORES'!$DE$7:$DE$459,"&lt;1991",'ENCUESTA CONDUCTORES'!$BG$7:$BG$459,"&gt;40000")</f>
        <v>8</v>
      </c>
      <c r="GQ16" s="18">
        <f t="shared" ref="GQ16:GQ22" si="112">SUM(GJ16:GP16)</f>
        <v>56</v>
      </c>
      <c r="GS16" s="17" t="s">
        <v>505</v>
      </c>
      <c r="GT16" s="74">
        <f t="shared" si="100"/>
        <v>6.4732142857142863E-2</v>
      </c>
      <c r="GU16" s="74">
        <f t="shared" si="91"/>
        <v>9.1517857142857137E-2</v>
      </c>
      <c r="GV16" s="74">
        <f t="shared" si="92"/>
        <v>0.19642857142857142</v>
      </c>
      <c r="GW16" s="74">
        <f t="shared" si="93"/>
        <v>0.10714285714285714</v>
      </c>
      <c r="GX16" s="74">
        <f t="shared" si="94"/>
        <v>0.45982142857142855</v>
      </c>
      <c r="GY16" s="18">
        <f>COUNTIFS('ENCUESTA CONDUCTORES'!$E$7:$E$459,"X",'ENCUESTA CONDUCTORES'!$BZ$7:$BZ$459,"2")</f>
        <v>29</v>
      </c>
      <c r="GZ16" s="18">
        <f>COUNTIFS('ENCUESTA CONDUCTORES'!$F$7:$F$459,"X",'ENCUESTA CONDUCTORES'!$BZ$7:$BZ$459,"2")</f>
        <v>41</v>
      </c>
      <c r="HA16" s="18">
        <f>COUNTIFS('ENCUESTA CONDUCTORES'!$G$7:$G$459,"X",'ENCUESTA CONDUCTORES'!$BZ$7:$BZ$459,"2")</f>
        <v>88</v>
      </c>
      <c r="HB16" s="18">
        <f>COUNTIFS('ENCUESTA CONDUCTORES'!$H$7:$H$459,"X",'ENCUESTA CONDUCTORES'!$BZ$7:$BZ$459,"2")</f>
        <v>48</v>
      </c>
      <c r="HC16" s="18">
        <f>SUM(GY16:HB16)</f>
        <v>206</v>
      </c>
      <c r="HE16" s="17" t="s">
        <v>1549</v>
      </c>
      <c r="HF16" s="74">
        <f t="shared" si="95"/>
        <v>0.2878787878787879</v>
      </c>
    </row>
    <row r="17" spans="1:215" x14ac:dyDescent="0.25">
      <c r="C17" s="74">
        <f>H6/$L$6</f>
        <v>0.35802469135802467</v>
      </c>
      <c r="D17" s="74">
        <f t="shared" ref="D17:G17" si="113">I6/$L$6</f>
        <v>0.14814814814814814</v>
      </c>
      <c r="E17" s="74">
        <f t="shared" si="113"/>
        <v>2.4691358024691357E-2</v>
      </c>
      <c r="F17" s="74">
        <f t="shared" si="113"/>
        <v>0.46913580246913578</v>
      </c>
      <c r="G17" s="74">
        <f t="shared" si="113"/>
        <v>1</v>
      </c>
      <c r="H17" s="128">
        <f>SUM(C17:F17)</f>
        <v>1</v>
      </c>
      <c r="N17" s="75" t="s">
        <v>13</v>
      </c>
      <c r="O17" s="127">
        <f t="shared" si="96"/>
        <v>0.12121212121212122</v>
      </c>
      <c r="P17" s="90">
        <f>COUNTIFS('ENCUESTA CONDUCTORES'!E$7:E$459,"X",'ENCUESTA CONDUCTORES'!$V$7:$V$459,"X")+COUNTIFS('ENCUESTA CONDUCTORES'!E$7:E$459,"X",'ENCUESTA CONDUCTORES'!$X$7:$X$459,"X")</f>
        <v>8</v>
      </c>
      <c r="Q17" s="127"/>
      <c r="R17" s="127"/>
      <c r="S17" s="127"/>
      <c r="U17" s="90"/>
      <c r="V17" s="90"/>
      <c r="W17" s="90"/>
      <c r="X17" s="19"/>
      <c r="Z17" s="17" t="s">
        <v>429</v>
      </c>
      <c r="AA17" s="76">
        <f>+AB17/$AB$17</f>
        <v>1</v>
      </c>
      <c r="AB17" s="18">
        <f>SUM(AB13:AB16)</f>
        <v>106</v>
      </c>
      <c r="AC17" s="76"/>
      <c r="AD17" s="76"/>
      <c r="AE17" s="76"/>
      <c r="AG17" s="18"/>
      <c r="AH17" s="18"/>
      <c r="AI17" s="18"/>
      <c r="AJ17" s="18"/>
      <c r="AL17" s="57" t="s">
        <v>1387</v>
      </c>
      <c r="AM17" s="18"/>
      <c r="BZ17" s="57" t="s">
        <v>1416</v>
      </c>
      <c r="CL17" s="17" t="s">
        <v>1424</v>
      </c>
      <c r="CM17" s="74">
        <f t="shared" ref="CM17:CM22" si="114">+CR17/$CV$23</f>
        <v>0</v>
      </c>
      <c r="CN17" s="74">
        <f t="shared" si="101"/>
        <v>2.2075055187637969E-3</v>
      </c>
      <c r="CO17" s="74">
        <f t="shared" si="102"/>
        <v>4.4150110375275938E-3</v>
      </c>
      <c r="CP17" s="74">
        <f t="shared" si="103"/>
        <v>1.3245033112582781E-2</v>
      </c>
      <c r="CQ17" s="74">
        <f t="shared" si="104"/>
        <v>1.9867549668874173E-2</v>
      </c>
      <c r="CR17" s="18">
        <f>COUNTIFS('ENCUESTA CONDUCTORES'!E$7:E$459,"X",'ENCUESTA CONDUCTORES'!$DE$7:$DE$459,"&lt;1994")-CR16</f>
        <v>0</v>
      </c>
      <c r="CS17" s="18">
        <f>COUNTIFS('ENCUESTA CONDUCTORES'!F$7:F$459,"X",'ENCUESTA CONDUCTORES'!$DE$7:$DE$459,"&lt;1994")-CS16</f>
        <v>1</v>
      </c>
      <c r="CT17" s="18">
        <f>COUNTIFS('ENCUESTA CONDUCTORES'!G$7:G$459,"X",'ENCUESTA CONDUCTORES'!$DE$7:$DE$459,"&lt;1994")-CT16</f>
        <v>2</v>
      </c>
      <c r="CU17" s="18">
        <f>COUNTIFS('ENCUESTA CONDUCTORES'!H$7:H$459,"X",'ENCUESTA CONDUCTORES'!$DE$7:$DE$459,"&lt;1994")-CU16</f>
        <v>6</v>
      </c>
      <c r="CV17" s="18">
        <f t="shared" ref="CV17:CV23" si="115">SUM(CR17:CU17)</f>
        <v>9</v>
      </c>
      <c r="CX17" s="57" t="s">
        <v>1442</v>
      </c>
      <c r="CY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 t="s">
        <v>468</v>
      </c>
      <c r="DQ17" s="74">
        <f>+DR17/$DR$24</f>
        <v>0</v>
      </c>
      <c r="DR17" s="18">
        <f>+DY5</f>
        <v>0</v>
      </c>
      <c r="DS17" s="18"/>
      <c r="DT17" s="18" t="s">
        <v>468</v>
      </c>
      <c r="DU17" s="74">
        <f t="shared" ref="DU17:DU24" si="116">+DV17/$DV$24</f>
        <v>0</v>
      </c>
      <c r="DV17" s="19">
        <f t="shared" ref="DV17:DV24" si="117">+DZ5</f>
        <v>0</v>
      </c>
      <c r="DW17" s="18"/>
      <c r="DX17" s="18" t="s">
        <v>468</v>
      </c>
      <c r="DY17" s="74">
        <f>+DZ17/$DZ$24</f>
        <v>0.04</v>
      </c>
      <c r="DZ17" s="19">
        <f>+EA5</f>
        <v>1</v>
      </c>
      <c r="EB17" s="18" t="s">
        <v>468</v>
      </c>
      <c r="EC17" s="74">
        <f>+ED17/$ED$24</f>
        <v>0.58139534883720934</v>
      </c>
      <c r="ED17" s="19">
        <f>+EE5</f>
        <v>25</v>
      </c>
      <c r="EE17" s="18"/>
      <c r="EF17" s="18"/>
      <c r="EH17" s="17" t="s">
        <v>1471</v>
      </c>
      <c r="EI17" s="74">
        <f t="shared" si="97"/>
        <v>0.15</v>
      </c>
      <c r="EJ17" s="18">
        <f t="shared" si="87"/>
        <v>9</v>
      </c>
      <c r="EK17" s="18"/>
      <c r="EL17" s="18"/>
      <c r="EM17" s="18"/>
      <c r="EN17" s="18"/>
      <c r="EO17" s="18"/>
      <c r="EP17" s="18"/>
      <c r="EQ17" s="18"/>
      <c r="ER17" s="17" t="s">
        <v>1471</v>
      </c>
      <c r="ES17" s="74">
        <f t="shared" si="98"/>
        <v>0.58333333333333337</v>
      </c>
      <c r="ET17" s="18">
        <f t="shared" si="99"/>
        <v>49</v>
      </c>
      <c r="EU17" s="18"/>
      <c r="EV17" s="18"/>
      <c r="EW17" s="18"/>
      <c r="EX17" s="18"/>
      <c r="EZ17" s="21" t="s">
        <v>1493</v>
      </c>
      <c r="FL17" s="75"/>
      <c r="FT17" s="17" t="s">
        <v>1472</v>
      </c>
      <c r="FU17" s="74">
        <f t="shared" si="90"/>
        <v>3.5714285714285712E-2</v>
      </c>
      <c r="FV17" s="18">
        <f>COUNTIFS('ENCUESTA CONDUCTORES'!$Q$7:$Q$459,"X",'ENCUESTA CONDUCTORES'!$AU$7:$AU$459,"&lt;12501")-FV16-FV15-FV14-FV13</f>
        <v>3</v>
      </c>
      <c r="GA17" s="17" t="s">
        <v>1424</v>
      </c>
      <c r="GB17" s="74">
        <f t="shared" ref="GB17:GB23" si="118">+GJ17/$GQ$23</f>
        <v>0</v>
      </c>
      <c r="GC17" s="74">
        <f t="shared" si="105"/>
        <v>2.304147465437788E-3</v>
      </c>
      <c r="GD17" s="74">
        <f t="shared" si="106"/>
        <v>2.304147465437788E-3</v>
      </c>
      <c r="GE17" s="74">
        <f t="shared" si="107"/>
        <v>0</v>
      </c>
      <c r="GF17" s="74">
        <f t="shared" si="108"/>
        <v>4.608294930875576E-3</v>
      </c>
      <c r="GG17" s="74">
        <f t="shared" si="109"/>
        <v>4.608294930875576E-3</v>
      </c>
      <c r="GH17" s="74">
        <f t="shared" si="110"/>
        <v>2.304147465437788E-3</v>
      </c>
      <c r="GI17" s="74">
        <f t="shared" si="111"/>
        <v>1.6129032258064516E-2</v>
      </c>
      <c r="GJ17" s="18">
        <f>COUNTIFS('ENCUESTA CONDUCTORES'!$DE$7:$DE$459,"&lt;1994",'ENCUESTA CONDUCTORES'!$BG$7:$BG$459,"&lt;10000")-GJ16</f>
        <v>0</v>
      </c>
      <c r="GK17" s="18">
        <f>COUNTIFS('ENCUESTA CONDUCTORES'!$DE$7:$DE$459,"&lt;1994",'ENCUESTA CONDUCTORES'!$BG$7:$BG$459,"&lt;15001")-GJ17-GK16-GJ16</f>
        <v>1</v>
      </c>
      <c r="GL17" s="18">
        <f>COUNTIFS('ENCUESTA CONDUCTORES'!$DE$7:$DE$459,"&lt;1994",'ENCUESTA CONDUCTORES'!$BG$7:$BG$459,"&lt;20001")-GK17-GJ17-GL16-GK16-GJ16</f>
        <v>1</v>
      </c>
      <c r="GM17" s="18">
        <f>COUNTIFS('ENCUESTA CONDUCTORES'!$DE$7:$DE$459,"&lt;1994",'ENCUESTA CONDUCTORES'!$BG$7:$BG$459,"&lt;25001")-GL17-GK17-GJ17-GM16-GL16-GK16-GJ16</f>
        <v>0</v>
      </c>
      <c r="GN17" s="18">
        <f>COUNTIFS('ENCUESTA CONDUCTORES'!$DE$7:$DE$459,"&lt;1994",'ENCUESTA CONDUCTORES'!$BG$7:$BG$459,"&lt;30001")-GM17-GL17-GK17-GJ17-GN16-GM16-GL16-GK16-GJ16</f>
        <v>2</v>
      </c>
      <c r="GO17" s="18">
        <f>COUNTIFS('ENCUESTA CONDUCTORES'!$DE$7:$DE$459,"&lt;1994",'ENCUESTA CONDUCTORES'!$BG$7:$BG$459,"&lt;40001")-GN17-GM17-GL17-GK17-GJ17-GO16-GN16-GM16-GL16-GK16-GJ16</f>
        <v>2</v>
      </c>
      <c r="GP17" s="18">
        <f>COUNTIFS('ENCUESTA CONDUCTORES'!$DE$7:$DE$459,"&lt;1994",'ENCUESTA CONDUCTORES'!$BG$7:$BG$459,"&gt;40000")-GP16</f>
        <v>1</v>
      </c>
      <c r="GQ17" s="18">
        <f t="shared" si="112"/>
        <v>7</v>
      </c>
      <c r="GS17" s="17" t="s">
        <v>208</v>
      </c>
      <c r="GT17" s="74">
        <f t="shared" si="100"/>
        <v>0</v>
      </c>
      <c r="GU17" s="74">
        <f t="shared" si="91"/>
        <v>0</v>
      </c>
      <c r="GV17" s="74">
        <f t="shared" si="92"/>
        <v>0</v>
      </c>
      <c r="GW17" s="74">
        <f t="shared" si="93"/>
        <v>0</v>
      </c>
      <c r="GX17" s="74">
        <f t="shared" si="94"/>
        <v>0</v>
      </c>
      <c r="GY17" s="18">
        <v>0</v>
      </c>
      <c r="GZ17" s="18">
        <v>0</v>
      </c>
      <c r="HA17" s="18">
        <v>0</v>
      </c>
      <c r="HB17" s="18">
        <v>0</v>
      </c>
      <c r="HC17" s="18">
        <v>0</v>
      </c>
      <c r="HE17" s="17" t="s">
        <v>1550</v>
      </c>
      <c r="HF17" s="74">
        <f t="shared" si="95"/>
        <v>0.12121212121212122</v>
      </c>
    </row>
    <row r="18" spans="1:215" x14ac:dyDescent="0.25">
      <c r="N18" s="75" t="s">
        <v>14</v>
      </c>
      <c r="O18" s="127">
        <f t="shared" si="96"/>
        <v>4.5454545454545456E-2</v>
      </c>
      <c r="P18" s="90">
        <f>COUNTIFS('ENCUESTA CONDUCTORES'!E$7:E$459,"X",'ENCUESTA CONDUCTORES'!$Y$7:$Y$459,"X")</f>
        <v>3</v>
      </c>
      <c r="Q18" s="127"/>
      <c r="R18" s="127"/>
      <c r="S18" s="127"/>
      <c r="U18" s="90"/>
      <c r="V18" s="90"/>
      <c r="W18" s="90"/>
      <c r="X18" s="19"/>
      <c r="AJ18" s="18"/>
      <c r="AL18" s="11" t="s">
        <v>1306</v>
      </c>
      <c r="AM18" s="74">
        <f>+AN18/$AN$26</f>
        <v>4.9180327868852458E-2</v>
      </c>
      <c r="AN18" s="18">
        <f>COUNTIFS('ENCUESTA CONDUCTORES'!$AL$7:$AL$459,"X",'ENCUESTA CONDUCTORES'!$AW$7:$AW$459,"&lt;1.9")</f>
        <v>21</v>
      </c>
      <c r="CA18" s="18" t="s">
        <v>4</v>
      </c>
      <c r="CB18" s="18" t="s">
        <v>5</v>
      </c>
      <c r="CC18" s="18" t="s">
        <v>6</v>
      </c>
      <c r="CD18" s="18" t="s">
        <v>7</v>
      </c>
      <c r="CE18" s="18"/>
      <c r="CF18" s="18" t="s">
        <v>4</v>
      </c>
      <c r="CG18" s="18" t="s">
        <v>5</v>
      </c>
      <c r="CH18" s="18" t="s">
        <v>6</v>
      </c>
      <c r="CI18" s="18" t="s">
        <v>7</v>
      </c>
      <c r="CJ18" s="18"/>
      <c r="CL18" s="17" t="s">
        <v>1425</v>
      </c>
      <c r="CM18" s="74">
        <f t="shared" si="114"/>
        <v>1.5452538631346579E-2</v>
      </c>
      <c r="CN18" s="74">
        <f t="shared" si="101"/>
        <v>2.2075055187637971E-2</v>
      </c>
      <c r="CO18" s="74">
        <f t="shared" si="102"/>
        <v>3.5320088300220751E-2</v>
      </c>
      <c r="CP18" s="74">
        <f t="shared" si="103"/>
        <v>1.3245033112582781E-2</v>
      </c>
      <c r="CQ18" s="74">
        <f t="shared" si="104"/>
        <v>8.6092715231788075E-2</v>
      </c>
      <c r="CR18" s="18">
        <f>COUNTIFS('ENCUESTA CONDUCTORES'!E$7:E$459,"X",'ENCUESTA CONDUCTORES'!$DE$7:$DE$459,"&lt;1998")-CR17-CR16</f>
        <v>7</v>
      </c>
      <c r="CS18" s="18">
        <f>COUNTIFS('ENCUESTA CONDUCTORES'!F$7:F$459,"X",'ENCUESTA CONDUCTORES'!$DE$7:$DE$459,"&lt;1998")-CS17-CS16</f>
        <v>10</v>
      </c>
      <c r="CT18" s="18">
        <f>COUNTIFS('ENCUESTA CONDUCTORES'!G$7:G$459,"X",'ENCUESTA CONDUCTORES'!$DE$7:$DE$459,"&lt;1998")-CT17-CT16</f>
        <v>16</v>
      </c>
      <c r="CU18" s="18">
        <f>COUNTIFS('ENCUESTA CONDUCTORES'!H$7:H$459,"X",'ENCUESTA CONDUCTORES'!$DE$7:$DE$459,"&lt;1998")-CU17-CU16</f>
        <v>6</v>
      </c>
      <c r="CV18" s="18">
        <f t="shared" si="115"/>
        <v>39</v>
      </c>
      <c r="CY18" s="17" t="s">
        <v>1423</v>
      </c>
      <c r="CZ18" s="17" t="s">
        <v>1424</v>
      </c>
      <c r="DA18" s="17" t="s">
        <v>1425</v>
      </c>
      <c r="DB18" s="17" t="s">
        <v>1426</v>
      </c>
      <c r="DC18" s="17" t="s">
        <v>1427</v>
      </c>
      <c r="DD18" s="17" t="s">
        <v>1428</v>
      </c>
      <c r="DE18" s="17" t="s">
        <v>1429</v>
      </c>
      <c r="DG18" s="17" t="s">
        <v>1423</v>
      </c>
      <c r="DH18" s="17" t="s">
        <v>1424</v>
      </c>
      <c r="DI18" s="17" t="s">
        <v>1425</v>
      </c>
      <c r="DJ18" s="17" t="s">
        <v>1426</v>
      </c>
      <c r="DK18" s="17" t="s">
        <v>1427</v>
      </c>
      <c r="DL18" s="17" t="s">
        <v>1428</v>
      </c>
      <c r="DM18" s="17" t="s">
        <v>1429</v>
      </c>
      <c r="DO18" s="18"/>
      <c r="DP18" s="18" t="s">
        <v>1458</v>
      </c>
      <c r="DQ18" s="74">
        <f t="shared" ref="DQ18:DQ24" si="119">+DR18/$DR$24</f>
        <v>0.04</v>
      </c>
      <c r="DR18" s="18">
        <f t="shared" ref="DR18:DR24" si="120">+DY6</f>
        <v>2</v>
      </c>
      <c r="DS18" s="18"/>
      <c r="DT18" s="18" t="s">
        <v>1458</v>
      </c>
      <c r="DU18" s="74">
        <f t="shared" si="116"/>
        <v>0.1111111111111111</v>
      </c>
      <c r="DV18" s="19">
        <f t="shared" si="117"/>
        <v>1</v>
      </c>
      <c r="DW18" s="18"/>
      <c r="DX18" s="18" t="s">
        <v>1458</v>
      </c>
      <c r="DY18" s="74">
        <f t="shared" ref="DY18:DY24" si="121">+DZ18/$DZ$24</f>
        <v>0</v>
      </c>
      <c r="DZ18" s="19">
        <f t="shared" ref="DZ18:DZ24" si="122">+EA6</f>
        <v>0</v>
      </c>
      <c r="EB18" s="18" t="s">
        <v>1458</v>
      </c>
      <c r="EC18" s="74">
        <f t="shared" ref="EC18:EC24" si="123">+ED18/$ED$24</f>
        <v>0.39534883720930231</v>
      </c>
      <c r="ED18" s="19">
        <f t="shared" ref="ED18:ED24" si="124">+EE6</f>
        <v>17</v>
      </c>
      <c r="EE18" s="18"/>
      <c r="EF18" s="18"/>
      <c r="EH18" s="17" t="s">
        <v>1472</v>
      </c>
      <c r="EI18" s="74">
        <f t="shared" si="97"/>
        <v>0</v>
      </c>
      <c r="EJ18" s="18">
        <f t="shared" si="87"/>
        <v>0</v>
      </c>
      <c r="EK18" s="18"/>
      <c r="EL18" s="18"/>
      <c r="EM18" s="18"/>
      <c r="EN18" s="18"/>
      <c r="EO18" s="18"/>
      <c r="EP18" s="18"/>
      <c r="EQ18" s="18"/>
      <c r="ER18" s="17" t="s">
        <v>1472</v>
      </c>
      <c r="ES18" s="74">
        <f t="shared" si="98"/>
        <v>9.5238095238095233E-2</v>
      </c>
      <c r="ET18" s="18">
        <f t="shared" si="99"/>
        <v>8</v>
      </c>
      <c r="EU18" s="18"/>
      <c r="EV18" s="18"/>
      <c r="EW18" s="18"/>
      <c r="EX18" s="18"/>
      <c r="FB18" s="74" t="s">
        <v>425</v>
      </c>
      <c r="FL18" s="75"/>
      <c r="FT18" s="17" t="s">
        <v>1512</v>
      </c>
      <c r="FU18" s="74">
        <f t="shared" si="90"/>
        <v>9.5238095238095233E-2</v>
      </c>
      <c r="FV18" s="18">
        <f>COUNTIFS('ENCUESTA CONDUCTORES'!$Q$7:$Q$459,"X",'ENCUESTA CONDUCTORES'!$AU$7:$AU$459,"&gt;12500")</f>
        <v>8</v>
      </c>
      <c r="GA18" s="17" t="s">
        <v>1425</v>
      </c>
      <c r="GB18" s="74">
        <f t="shared" si="118"/>
        <v>6.9124423963133645E-3</v>
      </c>
      <c r="GC18" s="74">
        <f t="shared" si="105"/>
        <v>1.6129032258064516E-2</v>
      </c>
      <c r="GD18" s="74">
        <f t="shared" si="106"/>
        <v>1.1520737327188941E-2</v>
      </c>
      <c r="GE18" s="74">
        <f t="shared" si="107"/>
        <v>1.8433179723502304E-2</v>
      </c>
      <c r="GF18" s="74">
        <f t="shared" si="108"/>
        <v>1.6129032258064516E-2</v>
      </c>
      <c r="GG18" s="74">
        <f t="shared" si="109"/>
        <v>6.9124423963133645E-3</v>
      </c>
      <c r="GH18" s="74">
        <f t="shared" si="110"/>
        <v>6.9124423963133645E-3</v>
      </c>
      <c r="GI18" s="74">
        <f t="shared" si="111"/>
        <v>8.294930875576037E-2</v>
      </c>
      <c r="GJ18" s="18">
        <f>COUNTIFS('ENCUESTA CONDUCTORES'!$DE$7:$DE$459,"&lt;1998",'ENCUESTA CONDUCTORES'!$BG$7:$BG$459,"&lt;10000")-GJ17-GJ16</f>
        <v>3</v>
      </c>
      <c r="GK18" s="18">
        <f>COUNTIFS('ENCUESTA CONDUCTORES'!$DE$7:$DE$459,"&lt;1998",'ENCUESTA CONDUCTORES'!$BG$7:$BG$459,"&lt;15001")-GJ18-GK17-GJ17-GK16-GJ16</f>
        <v>7</v>
      </c>
      <c r="GL18" s="18">
        <f>COUNTIFS('ENCUESTA CONDUCTORES'!$DE$7:$DE$459,"&lt;1998",'ENCUESTA CONDUCTORES'!$BG$7:$BG$459,"&lt;20001")-GK18-GJ18-GL17-GK17-GJ17-GL16-GK16-GJ16</f>
        <v>5</v>
      </c>
      <c r="GM18" s="18">
        <f>COUNTIFS('ENCUESTA CONDUCTORES'!$DE$7:$DE$459,"&lt;1998",'ENCUESTA CONDUCTORES'!$BG$7:$BG$459,"&lt;25001")-GL18-GK18-GJ18-GM17-GL17-GK17-GJ17-GM16-GL16-GK16-GJ16</f>
        <v>8</v>
      </c>
      <c r="GN18" s="18">
        <f>COUNTIFS('ENCUESTA CONDUCTORES'!$DE$7:$DE$459,"&lt;1998",'ENCUESTA CONDUCTORES'!$BG$7:$BG$459,"&lt;30001")-GM18-GL18-GK18-GJ18-GN17-GM17-GL17-GK17-GJ17-GN16-GM16-GL16-GK16-GJ16</f>
        <v>7</v>
      </c>
      <c r="GO18" s="18">
        <f>COUNTIFS('ENCUESTA CONDUCTORES'!$DE$7:$DE$459,"&lt;1998",'ENCUESTA CONDUCTORES'!$BG$7:$BG$459,"&lt;40001")-GN18-GM18-GL18-GK18-GJ18-GO17-GN17-GM17-GL17-GK17-GJ17-GO16-GN16-GM16-GL16-GK16-GJ16</f>
        <v>3</v>
      </c>
      <c r="GP18" s="18">
        <f>COUNTIFS('ENCUESTA CONDUCTORES'!$DE$7:$DE$459,"&lt;1998",'ENCUESTA CONDUCTORES'!$BG$7:$BG$459,"&gt;40000")-GP17-GP16</f>
        <v>3</v>
      </c>
      <c r="GQ18" s="18">
        <f t="shared" si="112"/>
        <v>36</v>
      </c>
      <c r="GS18" s="17" t="s">
        <v>429</v>
      </c>
      <c r="GT18" s="74">
        <f t="shared" si="100"/>
        <v>0.14732142857142858</v>
      </c>
      <c r="GU18" s="74">
        <f t="shared" si="91"/>
        <v>0.17857142857142858</v>
      </c>
      <c r="GV18" s="74">
        <f t="shared" si="92"/>
        <v>0.39955357142857145</v>
      </c>
      <c r="GW18" s="74">
        <f t="shared" si="93"/>
        <v>0.27455357142857145</v>
      </c>
      <c r="GX18" s="74">
        <f t="shared" si="94"/>
        <v>1</v>
      </c>
      <c r="GY18" s="18">
        <f>SUM(GY14:GY17)</f>
        <v>66</v>
      </c>
      <c r="GZ18" s="18">
        <f t="shared" ref="GZ18" si="125">SUM(GZ14:GZ17)</f>
        <v>80</v>
      </c>
      <c r="HA18" s="18">
        <f t="shared" ref="HA18" si="126">SUM(HA14:HA17)</f>
        <v>179</v>
      </c>
      <c r="HB18" s="18">
        <f t="shared" ref="HB18" si="127">SUM(HB14:HB17)</f>
        <v>123</v>
      </c>
      <c r="HC18" s="18">
        <f t="shared" ref="HC18" si="128">SUM(HC14:HC17)</f>
        <v>448</v>
      </c>
      <c r="HE18" s="17" t="s">
        <v>1333</v>
      </c>
      <c r="HF18" s="74">
        <f t="shared" si="95"/>
        <v>1</v>
      </c>
      <c r="HG18" s="17">
        <f>+HK9</f>
        <v>66</v>
      </c>
    </row>
    <row r="19" spans="1:215" x14ac:dyDescent="0.25">
      <c r="A19" s="17" t="s">
        <v>1343</v>
      </c>
      <c r="N19" s="75" t="s">
        <v>1353</v>
      </c>
      <c r="O19" s="127">
        <f t="shared" si="96"/>
        <v>0</v>
      </c>
      <c r="P19" s="90">
        <f>COUNTIFS('ENCUESTA CONDUCTORES'!E$7:E$459,"X",'ENCUESTA CONDUCTORES'!$AA$7:$AA$459,"X")+COUNTIFS('ENCUESTA CONDUCTORES'!E$7:E$459,"X",'ENCUESTA CONDUCTORES'!$AE$7:$AE$459,"X")</f>
        <v>0</v>
      </c>
      <c r="Q19" s="127"/>
      <c r="R19" s="127"/>
      <c r="S19" s="127"/>
      <c r="U19" s="90"/>
      <c r="V19" s="90"/>
      <c r="W19" s="90"/>
      <c r="X19" s="19"/>
      <c r="Z19" s="17" t="s">
        <v>1382</v>
      </c>
      <c r="AL19" s="11" t="s">
        <v>1307</v>
      </c>
      <c r="AM19" s="74">
        <f t="shared" ref="AM19:AM25" si="129">+AN19/$AN$26</f>
        <v>0.14519906323185011</v>
      </c>
      <c r="AN19" s="18">
        <f>COUNTIFS('ENCUESTA CONDUCTORES'!$AL$7:$AL$459,"X",'ENCUESTA CONDUCTORES'!$AW$7:$AW$459,"&lt;2.21")-AN18</f>
        <v>62</v>
      </c>
      <c r="BZ19" s="17" t="s">
        <v>1417</v>
      </c>
      <c r="CA19" s="74">
        <f t="shared" ref="CA19:CE26" si="130">+CF19/$CJ$26</f>
        <v>4.5454545454545456E-2</v>
      </c>
      <c r="CB19" s="74">
        <f t="shared" si="130"/>
        <v>0</v>
      </c>
      <c r="CC19" s="74">
        <f t="shared" si="130"/>
        <v>0</v>
      </c>
      <c r="CD19" s="74">
        <f t="shared" si="130"/>
        <v>0</v>
      </c>
      <c r="CE19" s="74">
        <f t="shared" si="130"/>
        <v>4.5454545454545456E-2</v>
      </c>
      <c r="CF19" s="18">
        <f>COUNTIFS('ENCUESTA CONDUCTORES'!$AJ$7:$AJ$459,"X",'ENCUESTA CONDUCTORES'!P$7:P$459,"X",'ENCUESTA CONDUCTORES'!$AW$7:$AW$459,"&lt;2.0")</f>
        <v>1</v>
      </c>
      <c r="CG19" s="18">
        <f>COUNTIFS('ENCUESTA CONDUCTORES'!$AJ$7:$AJ$459,"X",'ENCUESTA CONDUCTORES'!Q$7:Q$459,"X",'ENCUESTA CONDUCTORES'!$AW$7:$AW$459,"&lt;2")</f>
        <v>0</v>
      </c>
      <c r="CH19" s="18">
        <f>COUNTIFS('ENCUESTA CONDUCTORES'!$AJ$7:$AJ$459,"X",'ENCUESTA CONDUCTORES'!R$7:R$459,"X",'ENCUESTA CONDUCTORES'!$AW$7:$AW$459,"&lt;2")</f>
        <v>0</v>
      </c>
      <c r="CI19" s="18">
        <f>COUNTIFS('ENCUESTA CONDUCTORES'!$AJ$7:$AJ$459,"X",'ENCUESTA CONDUCTORES'!S$7:S$459,"X",'ENCUESTA CONDUCTORES'!$AW$7:$AW$459,"&lt;2")</f>
        <v>0</v>
      </c>
      <c r="CJ19" s="18">
        <f>SUM(CF19:CI19)</f>
        <v>1</v>
      </c>
      <c r="CL19" s="17" t="s">
        <v>1426</v>
      </c>
      <c r="CM19" s="74">
        <f t="shared" si="114"/>
        <v>5.2980132450331126E-2</v>
      </c>
      <c r="CN19" s="74">
        <f t="shared" si="101"/>
        <v>4.194260485651214E-2</v>
      </c>
      <c r="CO19" s="74">
        <f t="shared" si="102"/>
        <v>0.10154525386313466</v>
      </c>
      <c r="CP19" s="74">
        <f t="shared" si="103"/>
        <v>4.194260485651214E-2</v>
      </c>
      <c r="CQ19" s="74">
        <f t="shared" si="104"/>
        <v>0.23841059602649006</v>
      </c>
      <c r="CR19" s="18">
        <f>COUNTIFS('ENCUESTA CONDUCTORES'!E$7:E$459,"X",'ENCUESTA CONDUCTORES'!$DE$7:$DE$459,"&lt;2004")-CR18-CR17-CR16</f>
        <v>24</v>
      </c>
      <c r="CS19" s="18">
        <f>COUNTIFS('ENCUESTA CONDUCTORES'!F$7:F$459,"X",'ENCUESTA CONDUCTORES'!$DE$7:$DE$459,"&lt;2004")-CS18-CS17-CS16</f>
        <v>19</v>
      </c>
      <c r="CT19" s="18">
        <f>COUNTIFS('ENCUESTA CONDUCTORES'!G$7:G$459,"X",'ENCUESTA CONDUCTORES'!$DE$7:$DE$459,"&lt;2004")-CT18-CT17-CT16</f>
        <v>46</v>
      </c>
      <c r="CU19" s="18">
        <f>COUNTIFS('ENCUESTA CONDUCTORES'!H$7:H$459,"X",'ENCUESTA CONDUCTORES'!$DE$7:$DE$459,"&lt;2004")-CU18-CU17-CU16</f>
        <v>19</v>
      </c>
      <c r="CV19" s="18">
        <f t="shared" si="115"/>
        <v>108</v>
      </c>
      <c r="CX19" s="11" t="s">
        <v>1306</v>
      </c>
      <c r="CY19" s="74">
        <f>+DG19/$DN$27</f>
        <v>0</v>
      </c>
      <c r="CZ19" s="74">
        <f t="shared" ref="CZ19:CZ27" si="131">+DH19/$DN$27</f>
        <v>0</v>
      </c>
      <c r="DA19" s="74">
        <f t="shared" ref="DA19:DA27" si="132">+DI19/$DN$27</f>
        <v>0</v>
      </c>
      <c r="DB19" s="74">
        <f t="shared" ref="DB19:DB27" si="133">+DJ19/$DN$27</f>
        <v>2.34192037470726E-3</v>
      </c>
      <c r="DC19" s="74">
        <f t="shared" ref="DC19:DC27" si="134">+DK19/$DN$27</f>
        <v>0</v>
      </c>
      <c r="DD19" s="74">
        <f t="shared" ref="DD19:DD27" si="135">+DL19/$DN$27</f>
        <v>0</v>
      </c>
      <c r="DE19" s="74">
        <f t="shared" ref="DE19:DE27" si="136">+DM19/$DN$27</f>
        <v>2.34192037470726E-3</v>
      </c>
      <c r="DF19" s="74">
        <f t="shared" ref="DF19:DF27" si="137">+DN19/$DN$27</f>
        <v>4.6838407494145199E-3</v>
      </c>
      <c r="DG19" s="18">
        <f>COUNTIFS('ENCUESTA CONDUCTORES'!$AL$7:$AL$459,"X",'ENCUESTA CONDUCTORES'!$DE$7:$DE$459,"&lt;1991",'ENCUESTA CONDUCTORES'!$AW$7:$AW$459,"&lt;1.6")</f>
        <v>0</v>
      </c>
      <c r="DH19" s="18">
        <f>COUNTIFS('ENCUESTA CONDUCTORES'!$AL$7:$AL$459,"X",'ENCUESTA CONDUCTORES'!$DE$7:$DE$459,"&lt;1994",'ENCUESTA CONDUCTORES'!$AW$7:$AW$459,"&lt;1.6")-DG19</f>
        <v>0</v>
      </c>
      <c r="DI19" s="18">
        <f>COUNTIFS('ENCUESTA CONDUCTORES'!$AL$7:$AL$459,"X",'ENCUESTA CONDUCTORES'!$DE$7:$DE$459,"&lt;1998",'ENCUESTA CONDUCTORES'!$AW$7:$AW$459,"&lt;1.6")-DH19-DG19</f>
        <v>0</v>
      </c>
      <c r="DJ19" s="18">
        <f>COUNTIFS('ENCUESTA CONDUCTORES'!$AL$7:$AL$459,"X",'ENCUESTA CONDUCTORES'!$DE$7:$DE$459,"&lt;2004",'ENCUESTA CONDUCTORES'!$AW$7:$AW$459,"&lt;1.6")-DI19-DH19-DG19</f>
        <v>1</v>
      </c>
      <c r="DK19" s="18">
        <f>COUNTIFS('ENCUESTA CONDUCTORES'!$AL$7:$AL$459,"X",'ENCUESTA CONDUCTORES'!$DE$7:$DE$459,"&lt;2007",'ENCUESTA CONDUCTORES'!$AW$7:$AW$459,"&lt;1.6")-DJ19-DI19-DH19-DG19</f>
        <v>0</v>
      </c>
      <c r="DL19" s="18">
        <f>COUNTIFS('ENCUESTA CONDUCTORES'!$AL$7:$AL$459,"X",'ENCUESTA CONDUCTORES'!$DE$7:$DE$459,"&lt;2011",'ENCUESTA CONDUCTORES'!$AW$7:$AW$459,"&lt;1.6")-DK19-DJ19-DI19-DH19-DG19</f>
        <v>0</v>
      </c>
      <c r="DM19" s="18">
        <f>COUNTIFS('ENCUESTA CONDUCTORES'!$AL$7:$AL$459,"X",'ENCUESTA CONDUCTORES'!$DE$7:$DE$459,"&gt;2010",'ENCUESTA CONDUCTORES'!$AW$7:$AW$459,"&lt;1.6")</f>
        <v>1</v>
      </c>
      <c r="DN19" s="18">
        <f>SUM(DG19:DM19)</f>
        <v>2</v>
      </c>
      <c r="DO19" s="18"/>
      <c r="DP19" s="18" t="s">
        <v>464</v>
      </c>
      <c r="DQ19" s="74">
        <f t="shared" si="119"/>
        <v>0.28000000000000003</v>
      </c>
      <c r="DR19" s="18">
        <f t="shared" si="120"/>
        <v>14</v>
      </c>
      <c r="DS19" s="18"/>
      <c r="DT19" s="18" t="s">
        <v>464</v>
      </c>
      <c r="DU19" s="74">
        <f t="shared" si="116"/>
        <v>0.22222222222222221</v>
      </c>
      <c r="DV19" s="19">
        <f t="shared" si="117"/>
        <v>2</v>
      </c>
      <c r="DW19" s="18"/>
      <c r="DX19" s="18" t="s">
        <v>464</v>
      </c>
      <c r="DY19" s="74">
        <f t="shared" si="121"/>
        <v>0.52</v>
      </c>
      <c r="DZ19" s="19">
        <f t="shared" si="122"/>
        <v>13</v>
      </c>
      <c r="EB19" s="18" t="s">
        <v>464</v>
      </c>
      <c r="EC19" s="74">
        <f t="shared" si="123"/>
        <v>2.3255813953488372E-2</v>
      </c>
      <c r="ED19" s="19">
        <f t="shared" si="124"/>
        <v>1</v>
      </c>
      <c r="EE19" s="18"/>
      <c r="EF19" s="18"/>
      <c r="EH19" s="17" t="s">
        <v>1473</v>
      </c>
      <c r="EI19" s="74">
        <f t="shared" si="97"/>
        <v>1.6666666666666666E-2</v>
      </c>
      <c r="EJ19" s="18">
        <f t="shared" si="87"/>
        <v>1</v>
      </c>
      <c r="EK19" s="18"/>
      <c r="EL19" s="18"/>
      <c r="EM19" s="18"/>
      <c r="EN19" s="18"/>
      <c r="EO19" s="18"/>
      <c r="EP19" s="18"/>
      <c r="EQ19" s="18"/>
      <c r="ER19" s="17" t="s">
        <v>1473</v>
      </c>
      <c r="ES19" s="74">
        <f t="shared" si="98"/>
        <v>7.1428571428571425E-2</v>
      </c>
      <c r="ET19" s="18">
        <f t="shared" si="99"/>
        <v>6</v>
      </c>
      <c r="EU19" s="18"/>
      <c r="EV19" s="18"/>
      <c r="EW19" s="18"/>
      <c r="EX19" s="18"/>
      <c r="EZ19" s="87" t="s">
        <v>1484</v>
      </c>
      <c r="FA19" s="74">
        <f>+FB19/$FB$28</f>
        <v>0.43939393939393939</v>
      </c>
      <c r="FB19" s="18">
        <f>+FF5</f>
        <v>29</v>
      </c>
      <c r="FL19" s="75"/>
      <c r="FT19" s="17" t="s">
        <v>1333</v>
      </c>
      <c r="FU19" s="74">
        <f t="shared" si="90"/>
        <v>1</v>
      </c>
      <c r="FV19" s="18">
        <f>SUM(FV13:FV18)</f>
        <v>84</v>
      </c>
      <c r="GA19" s="17" t="s">
        <v>1426</v>
      </c>
      <c r="GB19" s="74">
        <f t="shared" si="118"/>
        <v>9.2165898617511521E-3</v>
      </c>
      <c r="GC19" s="74">
        <f t="shared" si="105"/>
        <v>7.3732718894009217E-2</v>
      </c>
      <c r="GD19" s="74">
        <f t="shared" si="106"/>
        <v>3.6866359447004608E-2</v>
      </c>
      <c r="GE19" s="74">
        <f t="shared" si="107"/>
        <v>5.0691244239631339E-2</v>
      </c>
      <c r="GF19" s="74">
        <f t="shared" si="108"/>
        <v>2.7649769585253458E-2</v>
      </c>
      <c r="GG19" s="74">
        <f t="shared" si="109"/>
        <v>1.6129032258064516E-2</v>
      </c>
      <c r="GH19" s="74">
        <f t="shared" si="110"/>
        <v>2.0737327188940093E-2</v>
      </c>
      <c r="GI19" s="74">
        <f t="shared" si="111"/>
        <v>0.23502304147465439</v>
      </c>
      <c r="GJ19" s="18">
        <f>COUNTIFS('ENCUESTA CONDUCTORES'!$DE$7:$DE$459,"&lt;2004",'ENCUESTA CONDUCTORES'!$BG$7:$BG$459,"&lt;10000")-GJ18-GJ17-GJ16</f>
        <v>4</v>
      </c>
      <c r="GK19" s="18">
        <f>COUNTIFS('ENCUESTA CONDUCTORES'!$DE$7:$DE$459,"&lt;2004",'ENCUESTA CONDUCTORES'!$BG$7:$BG$459,"&lt;15001")-GJ19-GK18-GJ18-GK17-GJ17-GK16-GJ16</f>
        <v>32</v>
      </c>
      <c r="GL19" s="18">
        <f>COUNTIFS('ENCUESTA CONDUCTORES'!$DE$7:$DE$459,"&lt;2004",'ENCUESTA CONDUCTORES'!$BG$7:$BG$459,"&lt;20001")-GK19-GJ19-GL18-GK18-GJ18-GL17-GK17-GJ17-GL16-GK16-GJ16</f>
        <v>16</v>
      </c>
      <c r="GM19" s="18">
        <f>COUNTIFS('ENCUESTA CONDUCTORES'!$DE$7:$DE$459,"&lt;2004",'ENCUESTA CONDUCTORES'!$BG$7:$BG$459,"&lt;25001")-GL19-GK19-GJ19-GM18-GL18-GK18-GJ18-GM17-GL17-GK17-GJ17-GM16-GL16-GK16-GJ16</f>
        <v>22</v>
      </c>
      <c r="GN19" s="18">
        <f>COUNTIFS('ENCUESTA CONDUCTORES'!$DE$7:$DE$459,"&lt;2004",'ENCUESTA CONDUCTORES'!$BG$7:$BG$459,"&lt;30001")-GM19-GL19-GK19-GJ19-GN18-GM18-GL18-GK18-GJ18-GN17-GM17-GL17-GK17-GJ17-GN16-GM16-GL16-GK16-GJ16</f>
        <v>12</v>
      </c>
      <c r="GO19" s="18">
        <f>COUNTIFS('ENCUESTA CONDUCTORES'!$DE$7:$DE$459,"&lt;2004",'ENCUESTA CONDUCTORES'!$BG$7:$BG$459,"&lt;40001")-GN19-GM19-GL19-GK19-GJ19-GO18-GN18-GM18-GL18-GK18-GJ18-GO17-GN17-GM17-GL17-GK17-GJ17-GO16-GN16-GM16-GL16-GK16-GJ16</f>
        <v>7</v>
      </c>
      <c r="GP19" s="18">
        <f>COUNTIFS('ENCUESTA CONDUCTORES'!$DE$7:$DE$459,"&lt;2004",'ENCUESTA CONDUCTORES'!$BG$7:$BG$459,"&gt;40000")-GP18-GP17-GP16</f>
        <v>9</v>
      </c>
      <c r="GQ19" s="18">
        <f t="shared" si="112"/>
        <v>102</v>
      </c>
      <c r="HC19" s="18">
        <f>SUM(GY18:HB18)</f>
        <v>448</v>
      </c>
    </row>
    <row r="20" spans="1:215" x14ac:dyDescent="0.25">
      <c r="C20" s="18" t="s">
        <v>4</v>
      </c>
      <c r="D20" s="18" t="s">
        <v>5</v>
      </c>
      <c r="E20" s="18" t="s">
        <v>6</v>
      </c>
      <c r="F20" s="18" t="s">
        <v>7</v>
      </c>
      <c r="N20" s="75" t="s">
        <v>1354</v>
      </c>
      <c r="O20" s="127">
        <f t="shared" si="96"/>
        <v>0.30303030303030304</v>
      </c>
      <c r="P20" s="90">
        <f>COUNTIFS('ENCUESTA CONDUCTORES'!E$7:E$459,"X",'ENCUESTA CONDUCTORES'!$AD$7:$AD$459,"X")+COUNTIFS('ENCUESTA CONDUCTORES'!E$7:E$459,"X",'ENCUESTA CONDUCTORES'!$AF$7:$AF$459,"X")</f>
        <v>20</v>
      </c>
      <c r="Q20" s="127"/>
      <c r="R20" s="127"/>
      <c r="S20" s="127"/>
      <c r="U20" s="90"/>
      <c r="V20" s="90"/>
      <c r="W20" s="90"/>
      <c r="X20" s="19"/>
      <c r="AA20" s="18" t="s">
        <v>5</v>
      </c>
      <c r="AB20" s="18" t="s">
        <v>5</v>
      </c>
      <c r="AC20" s="18"/>
      <c r="AD20" s="18"/>
      <c r="AF20" s="18"/>
      <c r="AH20" s="18"/>
      <c r="AI20" s="18"/>
      <c r="AL20" s="17" t="s">
        <v>1308</v>
      </c>
      <c r="AM20" s="74">
        <f t="shared" si="129"/>
        <v>4.6838407494145202E-2</v>
      </c>
      <c r="AN20" s="18">
        <f>COUNTIFS('ENCUESTA CONDUCTORES'!$AL$7:$AL$459,"X",'ENCUESTA CONDUCTORES'!$AW$7:$AW$459,"&lt;2.41")-AN19-AN18</f>
        <v>20</v>
      </c>
      <c r="BZ20" s="17" t="s">
        <v>1418</v>
      </c>
      <c r="CA20" s="74">
        <f t="shared" si="130"/>
        <v>0</v>
      </c>
      <c r="CB20" s="74">
        <f t="shared" si="130"/>
        <v>0</v>
      </c>
      <c r="CC20" s="74">
        <f t="shared" si="130"/>
        <v>0</v>
      </c>
      <c r="CD20" s="74">
        <f t="shared" si="130"/>
        <v>0</v>
      </c>
      <c r="CE20" s="74">
        <f t="shared" si="130"/>
        <v>0</v>
      </c>
      <c r="CF20" s="18">
        <f>COUNTIFS('ENCUESTA CONDUCTORES'!$AJ$7:$AJ$459,"X",'ENCUESTA CONDUCTORES'!P$7:P$459,"X",'ENCUESTA CONDUCTORES'!$AW$7:$AW$459,"&lt;2.51")-CF19</f>
        <v>0</v>
      </c>
      <c r="CG20" s="18">
        <f>COUNTIFS('ENCUESTA CONDUCTORES'!$AJ$7:$AJ$459,"X",'ENCUESTA CONDUCTORES'!Q$7:Q$459,"X",'ENCUESTA CONDUCTORES'!$AW$7:$AW$459,"&lt;2.51")-CG19</f>
        <v>0</v>
      </c>
      <c r="CH20" s="18">
        <f>COUNTIFS('ENCUESTA CONDUCTORES'!$AJ$7:$AJ$459,"X",'ENCUESTA CONDUCTORES'!R$7:R$459,"X",'ENCUESTA CONDUCTORES'!$AW$7:$AW$459,"&lt;2.51")-CH19</f>
        <v>0</v>
      </c>
      <c r="CI20" s="18">
        <f>COUNTIFS('ENCUESTA CONDUCTORES'!$AJ$7:$AJ$459,"X",'ENCUESTA CONDUCTORES'!S$7:S$459,"X",'ENCUESTA CONDUCTORES'!$AW$7:$AW$459,"&lt;2.51")-CI19</f>
        <v>0</v>
      </c>
      <c r="CJ20" s="18">
        <f t="shared" ref="CJ20:CJ25" si="138">SUM(CF20:CI20)</f>
        <v>0</v>
      </c>
      <c r="CL20" s="17" t="s">
        <v>1427</v>
      </c>
      <c r="CM20" s="74">
        <f t="shared" si="114"/>
        <v>2.6490066225165563E-2</v>
      </c>
      <c r="CN20" s="74">
        <f t="shared" si="101"/>
        <v>3.5320088300220751E-2</v>
      </c>
      <c r="CO20" s="74">
        <f t="shared" si="102"/>
        <v>7.505518763796909E-2</v>
      </c>
      <c r="CP20" s="74">
        <f t="shared" si="103"/>
        <v>4.856512141280353E-2</v>
      </c>
      <c r="CQ20" s="74">
        <f t="shared" si="104"/>
        <v>0.18543046357615894</v>
      </c>
      <c r="CR20" s="18">
        <f>COUNTIFS('ENCUESTA CONDUCTORES'!E$7:E$459,"X",'ENCUESTA CONDUCTORES'!$DE$7:$DE$459,"&lt;2007")-CR19-CR18-CR17-CR16</f>
        <v>12</v>
      </c>
      <c r="CS20" s="18">
        <f>COUNTIFS('ENCUESTA CONDUCTORES'!F$7:F$459,"X",'ENCUESTA CONDUCTORES'!$DE$7:$DE$459,"&lt;2007")-CS19-CS18-CS17-CS16</f>
        <v>16</v>
      </c>
      <c r="CT20" s="18">
        <f>COUNTIFS('ENCUESTA CONDUCTORES'!G$7:G$459,"X",'ENCUESTA CONDUCTORES'!$DE$7:$DE$459,"&lt;2007")-CT19-CT18-CT17-CT16</f>
        <v>34</v>
      </c>
      <c r="CU20" s="18">
        <f>COUNTIFS('ENCUESTA CONDUCTORES'!H$7:H$459,"X",'ENCUESTA CONDUCTORES'!$DE$7:$DE$459,"&lt;2007")-CU19-CU18-CU17-CU16</f>
        <v>22</v>
      </c>
      <c r="CV20" s="18">
        <f t="shared" si="115"/>
        <v>84</v>
      </c>
      <c r="CX20" s="11" t="s">
        <v>1307</v>
      </c>
      <c r="CY20" s="74">
        <f t="shared" ref="CY20:CY27" si="139">+DG20/$DN$27</f>
        <v>1.6393442622950821E-2</v>
      </c>
      <c r="CZ20" s="74">
        <f t="shared" si="131"/>
        <v>0</v>
      </c>
      <c r="DA20" s="74">
        <f t="shared" si="132"/>
        <v>2.34192037470726E-3</v>
      </c>
      <c r="DB20" s="74">
        <f t="shared" si="133"/>
        <v>1.1709601873536301E-2</v>
      </c>
      <c r="DC20" s="74">
        <f t="shared" si="134"/>
        <v>1.1709601873536301E-2</v>
      </c>
      <c r="DD20" s="74">
        <f t="shared" si="135"/>
        <v>1.873536299765808E-2</v>
      </c>
      <c r="DE20" s="74">
        <f t="shared" si="136"/>
        <v>4.6838407494145199E-3</v>
      </c>
      <c r="DF20" s="74">
        <f t="shared" si="137"/>
        <v>6.5573770491803282E-2</v>
      </c>
      <c r="DG20" s="18">
        <f>COUNTIFS('ENCUESTA CONDUCTORES'!$AL$7:$AL$459,"X",'ENCUESTA CONDUCTORES'!$DE$7:$DE$459,"&lt;1991",'ENCUESTA CONDUCTORES'!$AW$7:$AW$459,"&lt;1.91")-DG19</f>
        <v>7</v>
      </c>
      <c r="DH20" s="18">
        <f>COUNTIFS('ENCUESTA CONDUCTORES'!$AL$7:$AL$459,"X",'ENCUESTA CONDUCTORES'!$DE$7:$DE$459,"&lt;1994",'ENCUESTA CONDUCTORES'!$AW$7:$AW$459,"&lt;1.91")-DG20-DH19-DG19</f>
        <v>0</v>
      </c>
      <c r="DI20" s="18">
        <f>COUNTIFS('ENCUESTA CONDUCTORES'!$AL$7:$AL$459,"X",'ENCUESTA CONDUCTORES'!$DE$7:$DE$459,"&lt;1998",'ENCUESTA CONDUCTORES'!$AW$7:$AW$459,"&lt;1.91")-DH20-DG20-DI19-DH19-DG19</f>
        <v>1</v>
      </c>
      <c r="DJ20" s="18">
        <f>COUNTIFS('ENCUESTA CONDUCTORES'!$AL$7:$AL$459,"X",'ENCUESTA CONDUCTORES'!$DE$7:$DE$459,"&lt;2004",'ENCUESTA CONDUCTORES'!$AW$7:$AW$459,"&lt;1.91")-DI20-DH20-DG20-DJ19-DI19-DH19-DG19</f>
        <v>5</v>
      </c>
      <c r="DK20" s="18">
        <f>COUNTIFS('ENCUESTA CONDUCTORES'!$AL$7:$AL$459,"X",'ENCUESTA CONDUCTORES'!$DE$7:$DE$459,"&lt;2007",'ENCUESTA CONDUCTORES'!$AW$7:$AW$459,"&lt;1.91")-DJ20-DI20-DH20-DG20-DK19-DJ19-DI19-DH19-DG19</f>
        <v>5</v>
      </c>
      <c r="DL20" s="18">
        <f>COUNTIFS('ENCUESTA CONDUCTORES'!$AL$7:$AL$459,"X",'ENCUESTA CONDUCTORES'!$DE$7:$DE$459,"&lt;2011",'ENCUESTA CONDUCTORES'!$AW$7:$AW$459,"&lt;1.91")-DK20-DJ20-DI20-DH20-DG20-DL19-DK19-DJ19-DI19-DH19-DG19</f>
        <v>8</v>
      </c>
      <c r="DM20" s="18">
        <f>COUNTIFS('ENCUESTA CONDUCTORES'!$AL$7:$AL$459,"X",'ENCUESTA CONDUCTORES'!$DE$7:$DE$459,"&gt;2010",'ENCUESTA CONDUCTORES'!$AW$7:$AW$459,"&lt;1.91")-DM19</f>
        <v>2</v>
      </c>
      <c r="DN20" s="18">
        <f t="shared" ref="DN20:DN28" si="140">SUM(DG20:DM20)</f>
        <v>28</v>
      </c>
      <c r="DO20" s="18"/>
      <c r="DP20" s="18" t="s">
        <v>465</v>
      </c>
      <c r="DQ20" s="74">
        <f t="shared" si="119"/>
        <v>0.28000000000000003</v>
      </c>
      <c r="DR20" s="18">
        <f t="shared" si="120"/>
        <v>14</v>
      </c>
      <c r="DS20" s="18"/>
      <c r="DT20" s="18" t="s">
        <v>465</v>
      </c>
      <c r="DU20" s="74">
        <f t="shared" si="116"/>
        <v>0.44444444444444442</v>
      </c>
      <c r="DV20" s="19">
        <f t="shared" si="117"/>
        <v>4</v>
      </c>
      <c r="DW20" s="18"/>
      <c r="DX20" s="18" t="s">
        <v>465</v>
      </c>
      <c r="DY20" s="74">
        <f t="shared" si="121"/>
        <v>0.16</v>
      </c>
      <c r="DZ20" s="19">
        <f t="shared" si="122"/>
        <v>4</v>
      </c>
      <c r="EB20" s="18" t="s">
        <v>465</v>
      </c>
      <c r="EC20" s="74">
        <f t="shared" si="123"/>
        <v>0</v>
      </c>
      <c r="ED20" s="19">
        <f t="shared" si="124"/>
        <v>0</v>
      </c>
      <c r="EE20" s="18"/>
      <c r="EF20" s="18"/>
      <c r="EH20" s="17" t="s">
        <v>1333</v>
      </c>
      <c r="EI20" s="74">
        <f t="shared" si="97"/>
        <v>1</v>
      </c>
      <c r="EJ20" s="18">
        <f t="shared" si="87"/>
        <v>60</v>
      </c>
      <c r="EK20" s="18"/>
      <c r="EL20" s="18"/>
      <c r="EM20" s="18"/>
      <c r="EN20" s="18"/>
      <c r="EO20" s="18"/>
      <c r="EP20" s="18"/>
      <c r="EQ20" s="18"/>
      <c r="ER20" s="17" t="s">
        <v>1333</v>
      </c>
      <c r="ES20" s="74">
        <f t="shared" si="98"/>
        <v>1</v>
      </c>
      <c r="ET20" s="18">
        <f t="shared" si="99"/>
        <v>84</v>
      </c>
      <c r="EU20" s="18"/>
      <c r="EV20" s="18"/>
      <c r="EW20" s="18"/>
      <c r="EX20" s="18"/>
      <c r="EZ20" s="87" t="s">
        <v>1485</v>
      </c>
      <c r="FA20" s="74">
        <f t="shared" ref="FA20:FA28" si="141">+FB20/$FB$28</f>
        <v>0</v>
      </c>
      <c r="FB20" s="18">
        <f t="shared" ref="FB20:FB28" si="142">+FF6</f>
        <v>0</v>
      </c>
      <c r="FL20" s="75"/>
      <c r="FT20" s="17" t="s">
        <v>632</v>
      </c>
      <c r="FU20" s="74">
        <f t="shared" si="90"/>
        <v>0</v>
      </c>
      <c r="FV20" s="18">
        <f>COUNTIFS('ENCUESTA CONDUCTORES'!$Q$7:$Q$459,"X",'ENCUESTA CONDUCTORES'!$AU$7:$AU$459,"NO SABE")+COUNTIFS('ENCUESTA CONDUCTORES'!$Q$7:$Q$459,"X",'ENCUESTA CONDUCTORES'!$AU$7:$AU$459,"NO CONTESTA")+COUNTIFS('ENCUESTA CONDUCTORES'!$Q$7:$Q$459,"X",'ENCUESTA CONDUCTORES'!$AU$7:$AU$459,"VARIABLE")</f>
        <v>0</v>
      </c>
      <c r="GA20" s="17" t="s">
        <v>1427</v>
      </c>
      <c r="GB20" s="74">
        <f t="shared" si="118"/>
        <v>9.2165898617511521E-3</v>
      </c>
      <c r="GC20" s="74">
        <f t="shared" si="105"/>
        <v>2.3041474654377881E-2</v>
      </c>
      <c r="GD20" s="74">
        <f t="shared" si="106"/>
        <v>2.0737327188940093E-2</v>
      </c>
      <c r="GE20" s="74">
        <f t="shared" si="107"/>
        <v>5.5299539170506916E-2</v>
      </c>
      <c r="GF20" s="74">
        <f t="shared" si="108"/>
        <v>2.7649769585253458E-2</v>
      </c>
      <c r="GG20" s="74">
        <f t="shared" si="109"/>
        <v>3.6866359447004608E-2</v>
      </c>
      <c r="GH20" s="74">
        <f t="shared" si="110"/>
        <v>1.8433179723502304E-2</v>
      </c>
      <c r="GI20" s="74">
        <f t="shared" si="111"/>
        <v>0.19124423963133641</v>
      </c>
      <c r="GJ20" s="18">
        <f>COUNTIFS('ENCUESTA CONDUCTORES'!$DE$7:$DE$459,"&lt;2007",'ENCUESTA CONDUCTORES'!$BG$7:$BG$459,"&lt;10000")-GJ19-GJ18-GJ17-GJ16</f>
        <v>4</v>
      </c>
      <c r="GK20" s="18">
        <f>COUNTIFS('ENCUESTA CONDUCTORES'!$DE$7:$DE$459,"&lt;2007",'ENCUESTA CONDUCTORES'!$BG$7:$BG$459,"&lt;15001")-GJ20-GK19-GJ19-GK18-GJ18-GK17-GJ17-GK16-GJ16</f>
        <v>10</v>
      </c>
      <c r="GL20" s="18">
        <f>COUNTIFS('ENCUESTA CONDUCTORES'!$DE$7:$DE$459,"&lt;2007",'ENCUESTA CONDUCTORES'!$BG$7:$BG$459,"&lt;20001")-GK20-GJ20-GL19-GK19-GJ19-GL18-GK18-GJ18-GL17-GK17-GJ17-GL16-GK16-GJ16</f>
        <v>9</v>
      </c>
      <c r="GM20" s="18">
        <f>COUNTIFS('ENCUESTA CONDUCTORES'!$DE$7:$DE$459,"&lt;2007",'ENCUESTA CONDUCTORES'!$BG$7:$BG$459,"&lt;25001")-GL20-GK20-GJ20-GM19-GL19-GK19-GJ19-GM18-GL18-GK18-GJ18-GM17-GL17-GK17-GJ17-GM16-GL16-GK16-GJ16</f>
        <v>24</v>
      </c>
      <c r="GN20" s="18">
        <f>COUNTIFS('ENCUESTA CONDUCTORES'!$DE$7:$DE$459,"&lt;2007",'ENCUESTA CONDUCTORES'!$BG$7:$BG$459,"&lt;30001")-GM20-GL20-GK20-GJ20-GN19-GM19-GL19-GK19-GJ19-GN18-GM18-GL18-GK18-GJ18-GN17-GM17-GL17-GK17-GJ17-GN16-GM16-GL16-GK16-GJ16</f>
        <v>12</v>
      </c>
      <c r="GO20" s="18">
        <f>COUNTIFS('ENCUESTA CONDUCTORES'!$DE$7:$DE$459,"&lt;2007",'ENCUESTA CONDUCTORES'!$BG$7:$BG$459,"&lt;40001")-GN20-GM20-GL20-GK20-GJ20-GO19-GN19-GM19-GL19-GK19-GJ19-GO18-GN18-GM18-GL18-GK18-GJ18-GO17-GN17-GM17-GL17-GK17-GJ17-GO16-GN16-GM16-GL16-GK16-GJ16</f>
        <v>16</v>
      </c>
      <c r="GP20" s="18">
        <f>COUNTIFS('ENCUESTA CONDUCTORES'!$DE$7:$DE$459,"&lt;2007",'ENCUESTA CONDUCTORES'!$BG$7:$BG$459,"&gt;40000")-GP19-GP18-GP17-GP16</f>
        <v>8</v>
      </c>
      <c r="GQ20" s="18">
        <f t="shared" si="112"/>
        <v>83</v>
      </c>
      <c r="HE20" s="17" t="s">
        <v>1553</v>
      </c>
    </row>
    <row r="21" spans="1:215" x14ac:dyDescent="0.25">
      <c r="C21" s="74">
        <f>+H7/$L$7</f>
        <v>0.25274725274725274</v>
      </c>
      <c r="D21" s="74">
        <f t="shared" ref="D21:G21" si="143">+I7/$L$7</f>
        <v>0.23076923076923078</v>
      </c>
      <c r="E21" s="74">
        <f t="shared" si="143"/>
        <v>2.7472527472527472E-2</v>
      </c>
      <c r="F21" s="74">
        <f t="shared" si="143"/>
        <v>0.48901098901098899</v>
      </c>
      <c r="G21" s="74">
        <f t="shared" si="143"/>
        <v>1</v>
      </c>
      <c r="H21" s="128">
        <f>SUM(C21:F21)</f>
        <v>1</v>
      </c>
      <c r="N21" s="75" t="s">
        <v>1355</v>
      </c>
      <c r="O21" s="127">
        <f t="shared" si="96"/>
        <v>0</v>
      </c>
      <c r="P21" s="90">
        <f>COUNTIFS('ENCUESTA CONDUCTORES'!E$7:E$459,"X",'ENCUESTA CONDUCTORES'!$AG$7:$AG$459,"FULL")</f>
        <v>0</v>
      </c>
      <c r="Q21" s="127"/>
      <c r="R21" s="127"/>
      <c r="S21" s="127"/>
      <c r="U21" s="90"/>
      <c r="V21" s="90"/>
      <c r="W21" s="90"/>
      <c r="X21" s="19"/>
      <c r="Z21" s="17" t="s">
        <v>23</v>
      </c>
      <c r="AA21" s="76">
        <f>+AB21/$AB$24</f>
        <v>0.97619047619047616</v>
      </c>
      <c r="AB21" s="18">
        <f>COUNTIFS('ENCUESTA CONDUCTORES'!Q$7:Q$459,"X",'ENCUESTA CONDUCTORES'!$AL$7:$AL$459,"X")</f>
        <v>82</v>
      </c>
      <c r="AC21" s="76"/>
      <c r="AD21" s="76"/>
      <c r="AE21" s="76"/>
      <c r="AF21" s="18"/>
      <c r="AH21" s="18"/>
      <c r="AI21" s="18"/>
      <c r="AJ21" s="18"/>
      <c r="AL21" s="11" t="s">
        <v>1334</v>
      </c>
      <c r="AM21" s="74">
        <f t="shared" si="129"/>
        <v>0.10070257611241218</v>
      </c>
      <c r="AN21" s="18">
        <f>COUNTIFS('ENCUESTA CONDUCTORES'!$AL$7:$AL$459,"X",'ENCUESTA CONDUCTORES'!$AW$7:$AW$459,"&lt;2.61")-AN20-AN19-AN18</f>
        <v>43</v>
      </c>
      <c r="BZ21" s="17" t="s">
        <v>1419</v>
      </c>
      <c r="CA21" s="74">
        <f t="shared" si="130"/>
        <v>0.18181818181818182</v>
      </c>
      <c r="CB21" s="74">
        <f t="shared" si="130"/>
        <v>4.5454545454545456E-2</v>
      </c>
      <c r="CC21" s="74">
        <f t="shared" si="130"/>
        <v>0</v>
      </c>
      <c r="CD21" s="74">
        <f t="shared" si="130"/>
        <v>0</v>
      </c>
      <c r="CE21" s="74">
        <f t="shared" si="130"/>
        <v>0.22727272727272727</v>
      </c>
      <c r="CF21" s="18">
        <f>COUNTIFS('ENCUESTA CONDUCTORES'!$AJ$7:$AJ$459,"X",'ENCUESTA CONDUCTORES'!P$7:P$459,"X",'ENCUESTA CONDUCTORES'!$AW$7:$AW$459,"&lt;3.51")-CF20-CF19</f>
        <v>4</v>
      </c>
      <c r="CG21" s="18">
        <f>COUNTIFS('ENCUESTA CONDUCTORES'!$AJ$7:$AJ$459,"X",'ENCUESTA CONDUCTORES'!Q$7:Q$459,"X",'ENCUESTA CONDUCTORES'!$AW$7:$AW$459,"&lt;3.51")-CG20-CG19</f>
        <v>1</v>
      </c>
      <c r="CH21" s="18">
        <f>COUNTIFS('ENCUESTA CONDUCTORES'!$AJ$7:$AJ$459,"X",'ENCUESTA CONDUCTORES'!R$7:R$459,"X",'ENCUESTA CONDUCTORES'!$AW$7:$AW$459,"&lt;3.51")-CH20-CH19</f>
        <v>0</v>
      </c>
      <c r="CI21" s="18">
        <f>COUNTIFS('ENCUESTA CONDUCTORES'!$AJ$7:$AJ$459,"X",'ENCUESTA CONDUCTORES'!S$7:S$459,"X",'ENCUESTA CONDUCTORES'!$AW$7:$AW$459,"&lt;3.51")-CI20-CI19</f>
        <v>0</v>
      </c>
      <c r="CJ21" s="18">
        <f t="shared" si="138"/>
        <v>5</v>
      </c>
      <c r="CL21" s="17" t="s">
        <v>1428</v>
      </c>
      <c r="CM21" s="74">
        <f t="shared" si="114"/>
        <v>1.7660044150110375E-2</v>
      </c>
      <c r="CN21" s="74">
        <f t="shared" si="101"/>
        <v>3.3112582781456956E-2</v>
      </c>
      <c r="CO21" s="74">
        <f t="shared" si="102"/>
        <v>8.8300220750551883E-2</v>
      </c>
      <c r="CP21" s="74">
        <f t="shared" si="103"/>
        <v>0.10154525386313466</v>
      </c>
      <c r="CQ21" s="74">
        <f t="shared" si="104"/>
        <v>0.24061810154525387</v>
      </c>
      <c r="CR21" s="18">
        <f>COUNTIFS('ENCUESTA CONDUCTORES'!E$7:E$459,"X",'ENCUESTA CONDUCTORES'!$DE$7:$DE$459,"&lt;2011")-CR20-CR19-CR18-CR17-CR16</f>
        <v>8</v>
      </c>
      <c r="CS21" s="18">
        <f>COUNTIFS('ENCUESTA CONDUCTORES'!F$7:F$459,"X",'ENCUESTA CONDUCTORES'!$DE$7:$DE$459,"&lt;2011")-CS20-CS19-CS18-CS17-CS16</f>
        <v>15</v>
      </c>
      <c r="CT21" s="18">
        <f>COUNTIFS('ENCUESTA CONDUCTORES'!G$7:G$459,"X",'ENCUESTA CONDUCTORES'!$DE$7:$DE$459,"&lt;2011")-CT20-CT19-CT18-CT17-CT16</f>
        <v>40</v>
      </c>
      <c r="CU21" s="18">
        <f>COUNTIFS('ENCUESTA CONDUCTORES'!H$7:H$459,"X",'ENCUESTA CONDUCTORES'!$DE$7:$DE$459,"&lt;2011")-CU20-CU19-CU18-CU17-CU16</f>
        <v>46</v>
      </c>
      <c r="CV21" s="18">
        <f t="shared" si="115"/>
        <v>109</v>
      </c>
      <c r="CX21" s="17" t="s">
        <v>1308</v>
      </c>
      <c r="CY21" s="74">
        <f t="shared" si="139"/>
        <v>1.1709601873536301E-2</v>
      </c>
      <c r="CZ21" s="74">
        <f t="shared" si="131"/>
        <v>2.34192037470726E-3</v>
      </c>
      <c r="DA21" s="74">
        <f t="shared" si="132"/>
        <v>4.6838407494145199E-3</v>
      </c>
      <c r="DB21" s="74">
        <f t="shared" si="133"/>
        <v>1.405152224824356E-2</v>
      </c>
      <c r="DC21" s="74">
        <f t="shared" si="134"/>
        <v>2.34192037470726E-3</v>
      </c>
      <c r="DD21" s="74">
        <f t="shared" si="135"/>
        <v>7.0257611241217799E-3</v>
      </c>
      <c r="DE21" s="74">
        <f t="shared" si="136"/>
        <v>2.34192037470726E-3</v>
      </c>
      <c r="DF21" s="74">
        <f t="shared" si="137"/>
        <v>4.449648711943794E-2</v>
      </c>
      <c r="DG21" s="18">
        <f>COUNTIFS('ENCUESTA CONDUCTORES'!$AL$7:$AL$459,"X",'ENCUESTA CONDUCTORES'!$DE$7:$DE$459,"&lt;1991",'ENCUESTA CONDUCTORES'!$AW$7:$AW$459,"&lt;2.01")-DG20-DG19</f>
        <v>5</v>
      </c>
      <c r="DH21" s="18">
        <f>COUNTIFS('ENCUESTA CONDUCTORES'!$AL$7:$AL$459,"X",'ENCUESTA CONDUCTORES'!$DE$7:$DE$459,"&lt;1994",'ENCUESTA CONDUCTORES'!$AW$7:$AW$459,"&lt;2.01")-DG21-DH20-DG20-DH19-DG19</f>
        <v>1</v>
      </c>
      <c r="DI21" s="18">
        <f>COUNTIFS('ENCUESTA CONDUCTORES'!$AL$7:$AL$459,"X",'ENCUESTA CONDUCTORES'!$DE$7:$DE$459,"&lt;1998",'ENCUESTA CONDUCTORES'!$AW$7:$AW$459,"&lt;2.01")-DH21-DG21-DI20-DH20-DG20-DI19-DH19-DG19</f>
        <v>2</v>
      </c>
      <c r="DJ21" s="18">
        <f>COUNTIFS('ENCUESTA CONDUCTORES'!$AL$7:$AL$459,"X",'ENCUESTA CONDUCTORES'!$DE$7:$DE$459,"&lt;2004",'ENCUESTA CONDUCTORES'!$AW$7:$AW$459,"&lt;2.01")-DI21-DH21-DG21-DJ20-DI20-DH20-DG20-DJ19-DI19-DH19-DG19</f>
        <v>6</v>
      </c>
      <c r="DK21" s="18">
        <f>COUNTIFS('ENCUESTA CONDUCTORES'!$AL$7:$AL$459,"X",'ENCUESTA CONDUCTORES'!$DE$7:$DE$459,"&lt;2007",'ENCUESTA CONDUCTORES'!$AW$7:$AW$459,"&lt;2.01")-DJ21-DI21-DH21-DG21-DK20-DJ20-DI20-DH20-DG20-DK19-DJ19-DI19-DH19-DG19</f>
        <v>1</v>
      </c>
      <c r="DL21" s="18">
        <f>COUNTIFS('ENCUESTA CONDUCTORES'!$AL$7:$AL$459,"X",'ENCUESTA CONDUCTORES'!$DE$7:$DE$459,"&lt;2011",'ENCUESTA CONDUCTORES'!$AW$7:$AW$459,"&lt;2.01")-DK21-DJ21-DI21-DH21-DG21-DL20-DK20-DJ20-DI20-DH20-DG20-DL19-DK19-DJ19-DI19-DH19-DG19</f>
        <v>3</v>
      </c>
      <c r="DM21" s="18">
        <f>COUNTIFS('ENCUESTA CONDUCTORES'!$AL$7:$AL$459,"X",'ENCUESTA CONDUCTORES'!$DE$7:$DE$459,"&gt;2010",'ENCUESTA CONDUCTORES'!$AW$7:$AW$459,"&lt;2.01")-DM20-DM19</f>
        <v>1</v>
      </c>
      <c r="DN21" s="18">
        <f t="shared" si="140"/>
        <v>19</v>
      </c>
      <c r="DO21" s="18"/>
      <c r="DP21" s="18" t="s">
        <v>466</v>
      </c>
      <c r="DQ21" s="74">
        <f t="shared" si="119"/>
        <v>0.22</v>
      </c>
      <c r="DR21" s="18">
        <f t="shared" si="120"/>
        <v>11</v>
      </c>
      <c r="DS21" s="18"/>
      <c r="DT21" s="18" t="s">
        <v>466</v>
      </c>
      <c r="DU21" s="74">
        <f t="shared" si="116"/>
        <v>0.1111111111111111</v>
      </c>
      <c r="DV21" s="19">
        <f t="shared" si="117"/>
        <v>1</v>
      </c>
      <c r="DW21" s="18"/>
      <c r="DX21" s="18" t="s">
        <v>466</v>
      </c>
      <c r="DY21" s="74">
        <f t="shared" si="121"/>
        <v>0.16</v>
      </c>
      <c r="DZ21" s="19">
        <f t="shared" si="122"/>
        <v>4</v>
      </c>
      <c r="EB21" s="18" t="s">
        <v>466</v>
      </c>
      <c r="EC21" s="74">
        <f t="shared" si="123"/>
        <v>0</v>
      </c>
      <c r="ED21" s="19">
        <f t="shared" si="124"/>
        <v>0</v>
      </c>
      <c r="EE21" s="18"/>
      <c r="EF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Z21" s="87" t="s">
        <v>1486</v>
      </c>
      <c r="FA21" s="74">
        <f t="shared" si="141"/>
        <v>6.0606060606060608E-2</v>
      </c>
      <c r="FB21" s="18">
        <f t="shared" si="142"/>
        <v>4</v>
      </c>
      <c r="GA21" s="17" t="s">
        <v>1428</v>
      </c>
      <c r="GB21" s="74">
        <f t="shared" si="118"/>
        <v>9.2165898617511521E-3</v>
      </c>
      <c r="GC21" s="74">
        <f t="shared" si="105"/>
        <v>5.7603686635944701E-2</v>
      </c>
      <c r="GD21" s="74">
        <f t="shared" si="106"/>
        <v>6.9124423963133647E-2</v>
      </c>
      <c r="GE21" s="74">
        <f t="shared" si="107"/>
        <v>5.5299539170506916E-2</v>
      </c>
      <c r="GF21" s="74">
        <f t="shared" si="108"/>
        <v>1.8433179723502304E-2</v>
      </c>
      <c r="GG21" s="74">
        <f t="shared" si="109"/>
        <v>2.7649769585253458E-2</v>
      </c>
      <c r="GH21" s="74">
        <f t="shared" si="110"/>
        <v>1.1520737327188941E-2</v>
      </c>
      <c r="GI21" s="74">
        <f t="shared" si="111"/>
        <v>0.24884792626728111</v>
      </c>
      <c r="GJ21" s="18">
        <f>COUNTIFS('ENCUESTA CONDUCTORES'!$DE$7:$DE$459,"&lt;2011",'ENCUESTA CONDUCTORES'!$BG$7:$BG$459,"&lt;10000")-GJ20-GJ19-GJ18-GJ17-GJ16</f>
        <v>4</v>
      </c>
      <c r="GK21" s="18">
        <f>COUNTIFS('ENCUESTA CONDUCTORES'!$DE$7:$DE$459,"&lt;2011",'ENCUESTA CONDUCTORES'!$BG$7:$BG$459,"&lt;15001")-GJ21-GK20-GJ20-GK19-GJ19-GK18-GJ18-GK17-GJ17-GK16-GJ16</f>
        <v>25</v>
      </c>
      <c r="GL21" s="18">
        <f>COUNTIFS('ENCUESTA CONDUCTORES'!$DE$7:$DE$459,"&lt;2011",'ENCUESTA CONDUCTORES'!$BG$7:$BG$459,"&lt;20001")-GK21-GJ21-GL20-GK20-GJ20-GL19-GK19-GJ19-GL18-GK18-GJ18-GL17-GK17-GJ17-GL16-GK16-GJ16</f>
        <v>30</v>
      </c>
      <c r="GM21" s="18">
        <f>COUNTIFS('ENCUESTA CONDUCTORES'!$DE$7:$DE$459,"&lt;2011",'ENCUESTA CONDUCTORES'!$BG$7:$BG$459,"&lt;25001")-GL21-GK21-GJ21-GM20-GL20-GK20-GJ20-GM19-GL19-GK19-GJ19-GM18-GL18-GK18-GJ18-GM17-GL17-GK17-GJ17-GM16-GL16-GK16-GJ16</f>
        <v>24</v>
      </c>
      <c r="GN21" s="18">
        <f>COUNTIFS('ENCUESTA CONDUCTORES'!$DE$7:$DE$459,"&lt;2011",'ENCUESTA CONDUCTORES'!$BG$7:$BG$459,"&lt;30001")-GM21-GL21-GK21-GJ21-GN20-GM20-GL20-GK20-GJ20-GN19-GM19-GL19-GK19-GJ19-GN18-GM18-GL18-GK18-GJ18-GN17-GM17-GL17-GK17-GJ17-GN16-GM16-GL16-GK16-GJ16</f>
        <v>8</v>
      </c>
      <c r="GO21" s="18">
        <f>COUNTIFS('ENCUESTA CONDUCTORES'!$DE$7:$DE$459,"&lt;2011",'ENCUESTA CONDUCTORES'!$BG$7:$BG$459,"&lt;40001")-GN21-GM21-GL21-GK21-GJ21-GO20-GN20-GM20-GL20-GK20-GJ20-GO19-GN19-GM19-GL19-GK19-GJ19-GO18-GN18-GM18-GL18-GK18-GJ18-GO17-GN17-GM17-GL17-GK17-GJ17-GO16-GN16-GM16-GL16-GK16-GJ16</f>
        <v>12</v>
      </c>
      <c r="GP21" s="18">
        <f>COUNTIFS('ENCUESTA CONDUCTORES'!$DE$7:$DE$459,"&lt;2011",'ENCUESTA CONDUCTORES'!$BG$7:$BG$459,"&gt;40000")-GP20-GP19-GP18-GP17-GP16</f>
        <v>5</v>
      </c>
      <c r="GQ21" s="18">
        <f t="shared" si="112"/>
        <v>108</v>
      </c>
      <c r="GS21" s="17" t="s">
        <v>1545</v>
      </c>
      <c r="HF21" s="17" t="s">
        <v>426</v>
      </c>
    </row>
    <row r="22" spans="1:215" x14ac:dyDescent="0.25">
      <c r="N22" s="17" t="s">
        <v>429</v>
      </c>
      <c r="O22" s="127">
        <f t="shared" si="96"/>
        <v>1</v>
      </c>
      <c r="P22" s="19">
        <f>SUM(P15:P21)</f>
        <v>66</v>
      </c>
      <c r="Q22" s="127"/>
      <c r="R22" s="127"/>
      <c r="S22" s="127"/>
      <c r="U22" s="90"/>
      <c r="V22" s="90"/>
      <c r="W22" s="90"/>
      <c r="X22" s="19"/>
      <c r="Z22" s="17" t="s">
        <v>21</v>
      </c>
      <c r="AA22" s="76">
        <f>+AB22/$AB$24</f>
        <v>2.3809523809523808E-2</v>
      </c>
      <c r="AB22" s="18">
        <f>COUNTIFS('ENCUESTA CONDUCTORES'!Q$7:Q$459,"X",'ENCUESTA CONDUCTORES'!$AJ$7:$AJ$459,"X")</f>
        <v>2</v>
      </c>
      <c r="AC22" s="76"/>
      <c r="AD22" s="76"/>
      <c r="AE22" s="76"/>
      <c r="AF22" s="18"/>
      <c r="AH22" s="18"/>
      <c r="AI22" s="18"/>
      <c r="AJ22" s="18"/>
      <c r="AL22" s="11" t="s">
        <v>1309</v>
      </c>
      <c r="AM22" s="74">
        <f t="shared" si="129"/>
        <v>0.31615925058548011</v>
      </c>
      <c r="AN22" s="18">
        <f>COUNTIFS('ENCUESTA CONDUCTORES'!$AL$7:$AL$459,"X",'ENCUESTA CONDUCTORES'!$AW$7:$AW$459,"&lt;2.81")-AN21-AN20-AN19-AN18</f>
        <v>135</v>
      </c>
      <c r="BZ22" s="17" t="s">
        <v>1420</v>
      </c>
      <c r="CA22" s="74">
        <f t="shared" si="130"/>
        <v>9.0909090909090912E-2</v>
      </c>
      <c r="CB22" s="74">
        <f t="shared" si="130"/>
        <v>4.5454545454545456E-2</v>
      </c>
      <c r="CC22" s="74">
        <f t="shared" si="130"/>
        <v>0</v>
      </c>
      <c r="CD22" s="74">
        <f t="shared" si="130"/>
        <v>0</v>
      </c>
      <c r="CE22" s="74">
        <f t="shared" si="130"/>
        <v>0.13636363636363635</v>
      </c>
      <c r="CF22" s="18">
        <f>COUNTIFS('ENCUESTA CONDUCTORES'!$AJ$7:$AJ$459,"X",'ENCUESTA CONDUCTORES'!P$7:P$459,"X",'ENCUESTA CONDUCTORES'!$AW$7:$AW$459,"&lt;4.01")-CF21-CF20-CF19</f>
        <v>2</v>
      </c>
      <c r="CG22" s="18">
        <f>COUNTIFS('ENCUESTA CONDUCTORES'!$AJ$7:$AJ$459,"X",'ENCUESTA CONDUCTORES'!Q$7:Q$459,"X",'ENCUESTA CONDUCTORES'!$AW$7:$AW$459,"&lt;4.01")-CG21-CG20-CG19</f>
        <v>1</v>
      </c>
      <c r="CH22" s="18">
        <f>COUNTIFS('ENCUESTA CONDUCTORES'!$AJ$7:$AJ$459,"X",'ENCUESTA CONDUCTORES'!R$7:R$459,"X",'ENCUESTA CONDUCTORES'!$AW$7:$AW$459,"&lt;4.01")-CH21-CH20-CH19</f>
        <v>0</v>
      </c>
      <c r="CI22" s="18">
        <f>COUNTIFS('ENCUESTA CONDUCTORES'!$AJ$7:$AJ$459,"X",'ENCUESTA CONDUCTORES'!S$7:S$459,"X",'ENCUESTA CONDUCTORES'!$AW$7:$AW$459,"&lt;4.01")-CI21-CI20-CI19</f>
        <v>0</v>
      </c>
      <c r="CJ22" s="18">
        <f t="shared" si="138"/>
        <v>3</v>
      </c>
      <c r="CL22" s="17" t="s">
        <v>1429</v>
      </c>
      <c r="CM22" s="74">
        <f t="shared" si="114"/>
        <v>6.6225165562913907E-3</v>
      </c>
      <c r="CN22" s="74">
        <f t="shared" si="101"/>
        <v>1.5452538631346579E-2</v>
      </c>
      <c r="CO22" s="74">
        <f t="shared" si="102"/>
        <v>3.9735099337748346E-2</v>
      </c>
      <c r="CP22" s="74">
        <f t="shared" si="103"/>
        <v>3.5320088300220751E-2</v>
      </c>
      <c r="CQ22" s="74">
        <f t="shared" si="104"/>
        <v>9.713024282560706E-2</v>
      </c>
      <c r="CR22" s="18">
        <f>COUNTIFS('ENCUESTA CONDUCTORES'!E$7:E$459,"X",'ENCUESTA CONDUCTORES'!$DE$7:$DE$459,"&gt;2010")</f>
        <v>3</v>
      </c>
      <c r="CS22" s="18">
        <f>COUNTIFS('ENCUESTA CONDUCTORES'!F$7:F$459,"X",'ENCUESTA CONDUCTORES'!$DE$7:$DE$459,"&gt;2010")</f>
        <v>7</v>
      </c>
      <c r="CT22" s="18">
        <f>COUNTIFS('ENCUESTA CONDUCTORES'!G$7:G$459,"X",'ENCUESTA CONDUCTORES'!$DE$7:$DE$459,"&gt;2010")</f>
        <v>18</v>
      </c>
      <c r="CU22" s="18">
        <f>COUNTIFS('ENCUESTA CONDUCTORES'!H$7:H$459,"X",'ENCUESTA CONDUCTORES'!$DE$7:$DE$459,"&gt;2010")</f>
        <v>16</v>
      </c>
      <c r="CV22" s="18">
        <f t="shared" si="115"/>
        <v>44</v>
      </c>
      <c r="CX22" s="11" t="s">
        <v>1334</v>
      </c>
      <c r="CY22" s="74">
        <f t="shared" si="139"/>
        <v>1.873536299765808E-2</v>
      </c>
      <c r="CZ22" s="74">
        <f t="shared" si="131"/>
        <v>4.6838407494145199E-3</v>
      </c>
      <c r="DA22" s="74">
        <f t="shared" si="132"/>
        <v>1.1709601873536301E-2</v>
      </c>
      <c r="DB22" s="74">
        <f t="shared" si="133"/>
        <v>1.6393442622950821E-2</v>
      </c>
      <c r="DC22" s="74">
        <f t="shared" si="134"/>
        <v>4.6838407494145199E-3</v>
      </c>
      <c r="DD22" s="74">
        <f t="shared" si="135"/>
        <v>1.405152224824356E-2</v>
      </c>
      <c r="DE22" s="74">
        <f t="shared" si="136"/>
        <v>9.3676814988290398E-3</v>
      </c>
      <c r="DF22" s="74">
        <f t="shared" si="137"/>
        <v>7.9625292740046844E-2</v>
      </c>
      <c r="DG22" s="18">
        <f>COUNTIFS('ENCUESTA CONDUCTORES'!$AL$7:$AL$459,"X",'ENCUESTA CONDUCTORES'!$DE$7:$DE$459,"&lt;1991",'ENCUESTA CONDUCTORES'!$AW$7:$AW$459,"&lt;2.21")-DG21-DG20-DG19</f>
        <v>8</v>
      </c>
      <c r="DH22" s="18">
        <f>COUNTIFS('ENCUESTA CONDUCTORES'!$AL$7:$AL$459,"X",'ENCUESTA CONDUCTORES'!$DE$7:$DE$459,"&lt;1994",'ENCUESTA CONDUCTORES'!$AW$7:$AW$459,"&lt;2.21")-DG22-DH21-DG21-DH20-DG20-DH19-DG19</f>
        <v>2</v>
      </c>
      <c r="DI22" s="18">
        <f>COUNTIFS('ENCUESTA CONDUCTORES'!$AL$7:$AL$459,"X",'ENCUESTA CONDUCTORES'!$DE$7:$DE$459,"&lt;1998",'ENCUESTA CONDUCTORES'!$AW$7:$AW$459,"&lt;2.21")-DH22-DG22-DI21-DH21-DG21-DI20-DH20-DG20-DI19-DH19-DG19</f>
        <v>5</v>
      </c>
      <c r="DJ22" s="18">
        <f>COUNTIFS('ENCUESTA CONDUCTORES'!$AL$7:$AL$459,"X",'ENCUESTA CONDUCTORES'!$DE$7:$DE$459,"&lt;2004",'ENCUESTA CONDUCTORES'!$AW$7:$AW$459,"&lt;2.21")-DI22-DH22-DG22-DJ21-DI21-DH21-DG21-DJ20-DI20-DH20-DG20-DJ19-DI19-DH19-DG19</f>
        <v>7</v>
      </c>
      <c r="DK22" s="18">
        <f>COUNTIFS('ENCUESTA CONDUCTORES'!$AL$7:$AL$459,"X",'ENCUESTA CONDUCTORES'!$DE$7:$DE$459,"&lt;2007",'ENCUESTA CONDUCTORES'!$AW$7:$AW$459,"&lt;2.21")-DJ22-DI22-DH22-DG22-DK21-DJ21-DI21-DH21-DG21-DK20-DJ20-DI20-DH20-DG20-DK19-DJ19-DI19-DH19-DG19</f>
        <v>2</v>
      </c>
      <c r="DL22" s="18">
        <f>COUNTIFS('ENCUESTA CONDUCTORES'!$AL$7:$AL$459,"X",'ENCUESTA CONDUCTORES'!$DE$7:$DE$459,"&lt;2011",'ENCUESTA CONDUCTORES'!$AW$7:$AW$459,"&lt;2.21")-DK22-DJ22-DI22-DH22-DG22-DL21-DK21-DJ21-DI21-DH21-DG21-DL20-DK20-DJ20-DI20-DH20-DG20-DL19-DK19-DJ19-DI19-DH19-DG19</f>
        <v>6</v>
      </c>
      <c r="DM22" s="18">
        <f>COUNTIFS('ENCUESTA CONDUCTORES'!$AL$7:$AL$459,"X",'ENCUESTA CONDUCTORES'!$DE$7:$DE$459,"&gt;2010",'ENCUESTA CONDUCTORES'!$AW$7:$AW$459,"&lt;2.21")-DM21-DM20-DM19</f>
        <v>4</v>
      </c>
      <c r="DN22" s="18">
        <f t="shared" si="140"/>
        <v>34</v>
      </c>
      <c r="DO22" s="18"/>
      <c r="DP22" s="18" t="s">
        <v>467</v>
      </c>
      <c r="DQ22" s="74">
        <f t="shared" si="119"/>
        <v>0.14000000000000001</v>
      </c>
      <c r="DR22" s="18">
        <f t="shared" si="120"/>
        <v>7</v>
      </c>
      <c r="DS22" s="18"/>
      <c r="DT22" s="18" t="s">
        <v>467</v>
      </c>
      <c r="DU22" s="74">
        <f t="shared" si="116"/>
        <v>0.1111111111111111</v>
      </c>
      <c r="DV22" s="19">
        <f t="shared" si="117"/>
        <v>1</v>
      </c>
      <c r="DW22" s="18"/>
      <c r="DX22" s="18" t="s">
        <v>467</v>
      </c>
      <c r="DY22" s="74">
        <f t="shared" si="121"/>
        <v>0.04</v>
      </c>
      <c r="DZ22" s="19">
        <f t="shared" si="122"/>
        <v>1</v>
      </c>
      <c r="EB22" s="18" t="s">
        <v>467</v>
      </c>
      <c r="EC22" s="74">
        <f t="shared" si="123"/>
        <v>0</v>
      </c>
      <c r="ED22" s="19">
        <f t="shared" si="124"/>
        <v>0</v>
      </c>
      <c r="EE22" s="18"/>
      <c r="EF22" s="18"/>
      <c r="EH22" s="17" t="s">
        <v>1475</v>
      </c>
      <c r="EI22" s="18"/>
      <c r="EJ22" s="18"/>
      <c r="EK22" s="18"/>
      <c r="EL22" s="18"/>
      <c r="EM22" s="18"/>
      <c r="EN22" s="18"/>
      <c r="EO22" s="18"/>
      <c r="EP22" s="18"/>
      <c r="EQ22" s="18"/>
      <c r="ER22" s="17" t="s">
        <v>1479</v>
      </c>
      <c r="ES22" s="18"/>
      <c r="ET22" s="18"/>
      <c r="EU22" s="18"/>
      <c r="EV22" s="18"/>
      <c r="EW22" s="18"/>
      <c r="EX22" s="18"/>
      <c r="EZ22" s="87" t="s">
        <v>1487</v>
      </c>
      <c r="FA22" s="74">
        <f t="shared" si="141"/>
        <v>1.5151515151515152E-2</v>
      </c>
      <c r="FB22" s="18">
        <f t="shared" si="142"/>
        <v>1</v>
      </c>
      <c r="FT22" s="17" t="s">
        <v>1509</v>
      </c>
      <c r="GA22" s="17" t="s">
        <v>1429</v>
      </c>
      <c r="GB22" s="74">
        <f t="shared" si="118"/>
        <v>6.9124423963133645E-3</v>
      </c>
      <c r="GC22" s="74">
        <f t="shared" si="105"/>
        <v>2.5345622119815669E-2</v>
      </c>
      <c r="GD22" s="74">
        <f t="shared" si="106"/>
        <v>2.0737327188940093E-2</v>
      </c>
      <c r="GE22" s="74">
        <f t="shared" si="107"/>
        <v>1.3824884792626729E-2</v>
      </c>
      <c r="GF22" s="74">
        <f t="shared" si="108"/>
        <v>1.3824884792626729E-2</v>
      </c>
      <c r="GG22" s="74">
        <f t="shared" si="109"/>
        <v>1.3824884792626729E-2</v>
      </c>
      <c r="GH22" s="74">
        <f t="shared" si="110"/>
        <v>2.304147465437788E-3</v>
      </c>
      <c r="GI22" s="74">
        <f t="shared" si="111"/>
        <v>9.6774193548387094E-2</v>
      </c>
      <c r="GJ22" s="18">
        <f>COUNTIFS('ENCUESTA CONDUCTORES'!$DE$7:$DE$459,"&gt;2010",'ENCUESTA CONDUCTORES'!$BG$7:$BG$459,"&lt;10000")</f>
        <v>3</v>
      </c>
      <c r="GK22" s="18">
        <f>COUNTIFS('ENCUESTA CONDUCTORES'!$DE$7:$DE$459,"&gt;2010",'ENCUESTA CONDUCTORES'!$BG$7:$BG$459,"&lt;15001")-GJ22</f>
        <v>11</v>
      </c>
      <c r="GL22" s="18">
        <f>COUNTIFS('ENCUESTA CONDUCTORES'!$DE$7:$DE$459,"&gt;2010",'ENCUESTA CONDUCTORES'!$BG$7:$BG$459,"&lt;20001")-GK22-GJ22</f>
        <v>9</v>
      </c>
      <c r="GM22" s="18">
        <f>COUNTIFS('ENCUESTA CONDUCTORES'!$DE$7:$DE$459,"&gt;2010",'ENCUESTA CONDUCTORES'!$BG$7:$BG$459,"&lt;25001")-GL22-GK22-GJ22</f>
        <v>6</v>
      </c>
      <c r="GN22" s="18">
        <f>COUNTIFS('ENCUESTA CONDUCTORES'!$DE$7:$DE$459,"&gt;2010",'ENCUESTA CONDUCTORES'!$BG$7:$BG$459,"&lt;30001")-GM22-GL22-GK22-GJ22</f>
        <v>6</v>
      </c>
      <c r="GO22" s="18">
        <f>COUNTIFS('ENCUESTA CONDUCTORES'!$DE$7:$DE$459,"&gt;2010",'ENCUESTA CONDUCTORES'!$BG$7:$BG$459,"&lt;40001")-GN22-GM22-GL22-GK22-GJ22</f>
        <v>6</v>
      </c>
      <c r="GP22" s="18">
        <f>COUNTIFS('ENCUESTA CONDUCTORES'!$DE$7:$DE$459,"&gt;2010",'ENCUESTA CONDUCTORES'!$BG$7:$BG$459,"&gt;40000")</f>
        <v>1</v>
      </c>
      <c r="GQ22" s="18">
        <f t="shared" si="112"/>
        <v>42</v>
      </c>
      <c r="GT22" s="17" t="s">
        <v>425</v>
      </c>
      <c r="GU22" s="17" t="s">
        <v>426</v>
      </c>
      <c r="GV22" s="17" t="s">
        <v>1336</v>
      </c>
      <c r="GW22" s="17" t="s">
        <v>1337</v>
      </c>
      <c r="GY22" s="17" t="s">
        <v>425</v>
      </c>
      <c r="GZ22" s="17" t="s">
        <v>426</v>
      </c>
      <c r="HA22" s="17" t="s">
        <v>1336</v>
      </c>
      <c r="HB22" s="17" t="s">
        <v>1337</v>
      </c>
      <c r="HE22" s="17" t="s">
        <v>1484</v>
      </c>
      <c r="HF22" s="74">
        <f>+HL4/$HL$9</f>
        <v>0.65432098765432101</v>
      </c>
    </row>
    <row r="23" spans="1:215" x14ac:dyDescent="0.25">
      <c r="A23" s="17" t="s">
        <v>1344</v>
      </c>
      <c r="Q23" s="127"/>
      <c r="R23" s="127"/>
      <c r="S23" s="127"/>
      <c r="U23" s="19"/>
      <c r="V23" s="19"/>
      <c r="W23" s="19"/>
      <c r="X23" s="19"/>
      <c r="Z23" s="17" t="s">
        <v>22</v>
      </c>
      <c r="AA23" s="76">
        <f>+AB23/$AB$24</f>
        <v>0</v>
      </c>
      <c r="AB23" s="18">
        <f>COUNTIFS('ENCUESTA CONDUCTORES'!Q$7:Q$459,"X",'ENCUESTA CONDUCTORES'!$AK$7:$AK$459,"X")</f>
        <v>0</v>
      </c>
      <c r="AC23" s="76"/>
      <c r="AD23" s="76"/>
      <c r="AE23" s="76"/>
      <c r="AF23" s="18"/>
      <c r="AH23" s="18"/>
      <c r="AI23" s="18"/>
      <c r="AJ23" s="18"/>
      <c r="AL23" s="11" t="s">
        <v>1310</v>
      </c>
      <c r="AM23" s="74">
        <f t="shared" si="129"/>
        <v>0.19437939110070257</v>
      </c>
      <c r="AN23" s="18">
        <f>COUNTIFS('ENCUESTA CONDUCTORES'!$AL$7:$AL$459,"X",'ENCUESTA CONDUCTORES'!$AW$7:$AW$459,"&lt;3.21")-AN22-AN21-AN20-AN19-AN18</f>
        <v>83</v>
      </c>
      <c r="BZ23" s="17" t="s">
        <v>1303</v>
      </c>
      <c r="CA23" s="74">
        <f t="shared" si="130"/>
        <v>0.27272727272727271</v>
      </c>
      <c r="CB23" s="74">
        <f t="shared" si="130"/>
        <v>0</v>
      </c>
      <c r="CC23" s="74">
        <f t="shared" si="130"/>
        <v>4.5454545454545456E-2</v>
      </c>
      <c r="CD23" s="74">
        <f t="shared" si="130"/>
        <v>0</v>
      </c>
      <c r="CE23" s="74">
        <f t="shared" si="130"/>
        <v>0.31818181818181818</v>
      </c>
      <c r="CF23" s="18">
        <f>COUNTIFS('ENCUESTA CONDUCTORES'!$AJ$7:$AJ$459,"X",'ENCUESTA CONDUCTORES'!P$7:P$459,"X",'ENCUESTA CONDUCTORES'!$AW$7:$AW$459,"&lt;5.01")-CF22-CF21-CF20-CF19</f>
        <v>6</v>
      </c>
      <c r="CG23" s="18">
        <f>COUNTIFS('ENCUESTA CONDUCTORES'!$AJ$7:$AJ$459,"X",'ENCUESTA CONDUCTORES'!Q$7:Q$459,"X",'ENCUESTA CONDUCTORES'!$AW$7:$AW$459,"&lt;5.01")-CG22-CG21-CG20-CG19</f>
        <v>0</v>
      </c>
      <c r="CH23" s="18">
        <f>COUNTIFS('ENCUESTA CONDUCTORES'!$AJ$7:$AJ$459,"X",'ENCUESTA CONDUCTORES'!R$7:R$459,"X",'ENCUESTA CONDUCTORES'!$AW$7:$AW$459,"&lt;5.01")-CH22-CH21-CH20-CH19</f>
        <v>1</v>
      </c>
      <c r="CI23" s="18">
        <f>COUNTIFS('ENCUESTA CONDUCTORES'!$AJ$7:$AJ$459,"X",'ENCUESTA CONDUCTORES'!S$7:S$459,"X",'ENCUESTA CONDUCTORES'!$AW$7:$AW$459,"&lt;5.01")-CI22-CI21-CI20-CI19</f>
        <v>0</v>
      </c>
      <c r="CJ23" s="18">
        <f t="shared" si="138"/>
        <v>7</v>
      </c>
      <c r="CL23" s="17" t="s">
        <v>429</v>
      </c>
      <c r="CM23" s="74">
        <f>SUM(CM16:CM22)</f>
        <v>0.14569536423841059</v>
      </c>
      <c r="CN23" s="74">
        <f t="shared" ref="CN23" si="144">SUM(CN16:CN22)</f>
        <v>0.17880794701986755</v>
      </c>
      <c r="CO23" s="74">
        <f t="shared" ref="CO23" si="145">SUM(CO16:CO22)</f>
        <v>0.40176600441501104</v>
      </c>
      <c r="CP23" s="74">
        <f t="shared" ref="CP23" si="146">SUM(CP16:CP22)</f>
        <v>0.27373068432671083</v>
      </c>
      <c r="CQ23" s="74">
        <f t="shared" ref="CQ23" si="147">SUM(CQ16:CQ22)</f>
        <v>1</v>
      </c>
      <c r="CR23" s="18">
        <f t="shared" ref="CR23" si="148">SUM(CR16:CR22)</f>
        <v>66</v>
      </c>
      <c r="CS23" s="18">
        <f t="shared" ref="CS23" si="149">SUM(CS16:CS22)</f>
        <v>81</v>
      </c>
      <c r="CT23" s="18">
        <f t="shared" ref="CT23" si="150">SUM(CT16:CT22)</f>
        <v>182</v>
      </c>
      <c r="CU23" s="18">
        <f t="shared" ref="CU23" si="151">SUM(CU16:CU22)</f>
        <v>124</v>
      </c>
      <c r="CV23" s="18">
        <f t="shared" si="115"/>
        <v>453</v>
      </c>
      <c r="CX23" s="11" t="s">
        <v>1309</v>
      </c>
      <c r="CY23" s="74">
        <f t="shared" si="139"/>
        <v>2.576112412177986E-2</v>
      </c>
      <c r="CZ23" s="74">
        <f t="shared" si="131"/>
        <v>4.6838407494145199E-3</v>
      </c>
      <c r="DA23" s="74">
        <f t="shared" si="132"/>
        <v>9.3676814988290398E-3</v>
      </c>
      <c r="DB23" s="74">
        <f t="shared" si="133"/>
        <v>2.8103044496487119E-2</v>
      </c>
      <c r="DC23" s="74">
        <f t="shared" si="134"/>
        <v>1.1709601873536301E-2</v>
      </c>
      <c r="DD23" s="74">
        <f t="shared" si="135"/>
        <v>1.405152224824356E-2</v>
      </c>
      <c r="DE23" s="74">
        <f t="shared" si="136"/>
        <v>1.6393442622950821E-2</v>
      </c>
      <c r="DF23" s="74">
        <f t="shared" si="137"/>
        <v>0.11007025761124122</v>
      </c>
      <c r="DG23" s="18">
        <f>COUNTIFS('ENCUESTA CONDUCTORES'!$AL$7:$AL$459,"X",'ENCUESTA CONDUCTORES'!$DE$7:$DE$459,"&lt;1991",'ENCUESTA CONDUCTORES'!$AW$7:$AW$459,"&lt;2.51")-DG22-DG21-DG20-DG19</f>
        <v>11</v>
      </c>
      <c r="DH23" s="18">
        <f>COUNTIFS('ENCUESTA CONDUCTORES'!$AL$7:$AL$459,"X",'ENCUESTA CONDUCTORES'!$DE$7:$DE$459,"&lt;1994",'ENCUESTA CONDUCTORES'!$AW$7:$AW$459,"&lt;2.51")-DG23-DH22-DG22-DH21-DG21-DH20-DG20-DH19-DG19</f>
        <v>2</v>
      </c>
      <c r="DI23" s="18">
        <f>COUNTIFS('ENCUESTA CONDUCTORES'!$AL$7:$AL$459,"X",'ENCUESTA CONDUCTORES'!$DE$7:$DE$459,"&lt;1998",'ENCUESTA CONDUCTORES'!$AW$7:$AW$459,"&lt;2.51")-DH23-DG23-DI22-DH22-DG22-DI21-DH21-DG21-DI20-DH20-DG20-DI19-DH19-DG19</f>
        <v>4</v>
      </c>
      <c r="DJ23" s="18">
        <f>COUNTIFS('ENCUESTA CONDUCTORES'!$AL$7:$AL$459,"X",'ENCUESTA CONDUCTORES'!$DE$7:$DE$459,"&lt;2004",'ENCUESTA CONDUCTORES'!$AW$7:$AW$459,"&lt;2.51")-DI23-DH23-DG23-DJ22-DI22-DH22-DG22-DJ21-DI21-DH21-DG21-DJ20-DI20-DH20-DG20-DJ19-DI19-DH19-DG19</f>
        <v>12</v>
      </c>
      <c r="DK23" s="18">
        <f>COUNTIFS('ENCUESTA CONDUCTORES'!$AL$7:$AL$459,"X",'ENCUESTA CONDUCTORES'!$DE$7:$DE$459,"&lt;2007",'ENCUESTA CONDUCTORES'!$AW$7:$AW$459,"&lt;2.51")-DJ23-DI23-DH23-DG23-DK22-DJ22-DI22-DH22-DG22-DK21-DJ21-DI21-DH21-DG21-DK20-DJ20-DI20-DH20-DG20-DK19-DJ19-DI19-DH19-DG19</f>
        <v>5</v>
      </c>
      <c r="DL23" s="18">
        <f>COUNTIFS('ENCUESTA CONDUCTORES'!$AL$7:$AL$459,"X",'ENCUESTA CONDUCTORES'!$DE$7:$DE$459,"&lt;2011",'ENCUESTA CONDUCTORES'!$AW$7:$AW$459,"&lt;2.51")-DK23-DJ23-DI23-DH23-DG23-DL22-DK22-DJ22-DI22-DH22-DG22-DL21-DK21-DJ21-DI21-DH21-DG21-DL20-DK20-DJ20-DI20-DH20-DG20-DL19-DK19-DJ19-DI19-DH19-DG19</f>
        <v>6</v>
      </c>
      <c r="DM23" s="18">
        <f>COUNTIFS('ENCUESTA CONDUCTORES'!$AL$7:$AL$459,"X",'ENCUESTA CONDUCTORES'!$DE$7:$DE$459,"&gt;2010",'ENCUESTA CONDUCTORES'!$AW$7:$AW$459,"&lt;2.51")-DM22-DM21-DM20-DM19</f>
        <v>7</v>
      </c>
      <c r="DN23" s="18">
        <f t="shared" si="140"/>
        <v>47</v>
      </c>
      <c r="DO23" s="18"/>
      <c r="DP23" s="18" t="s">
        <v>469</v>
      </c>
      <c r="DQ23" s="74">
        <f t="shared" si="119"/>
        <v>0.04</v>
      </c>
      <c r="DR23" s="18">
        <f t="shared" si="120"/>
        <v>2</v>
      </c>
      <c r="DS23" s="18"/>
      <c r="DT23" s="18" t="s">
        <v>469</v>
      </c>
      <c r="DU23" s="74">
        <f t="shared" si="116"/>
        <v>0</v>
      </c>
      <c r="DV23" s="19">
        <f t="shared" si="117"/>
        <v>0</v>
      </c>
      <c r="DW23" s="18"/>
      <c r="DX23" s="18" t="s">
        <v>469</v>
      </c>
      <c r="DY23" s="74">
        <f t="shared" si="121"/>
        <v>0.08</v>
      </c>
      <c r="DZ23" s="19">
        <f t="shared" si="122"/>
        <v>2</v>
      </c>
      <c r="EB23" s="18" t="s">
        <v>469</v>
      </c>
      <c r="EC23" s="74">
        <f t="shared" si="123"/>
        <v>0</v>
      </c>
      <c r="ED23" s="19">
        <f t="shared" si="124"/>
        <v>0</v>
      </c>
      <c r="EE23" s="18"/>
      <c r="EF23" s="18"/>
      <c r="EH23" s="17" t="s">
        <v>1468</v>
      </c>
      <c r="EI23" s="74">
        <f>+EJ23/$EJ$29</f>
        <v>0</v>
      </c>
      <c r="EJ23" s="18">
        <f>+ER5</f>
        <v>0</v>
      </c>
      <c r="EK23" s="18"/>
      <c r="EL23" s="18"/>
      <c r="EM23" s="18"/>
      <c r="EN23" s="18"/>
      <c r="EO23" s="18"/>
      <c r="EP23" s="18"/>
      <c r="EQ23" s="18"/>
      <c r="ER23" s="17" t="s">
        <v>1468</v>
      </c>
      <c r="ES23" s="74">
        <f>+ET23/$ET$29</f>
        <v>7.3394495412844041E-2</v>
      </c>
      <c r="ET23" s="18">
        <f>+EV5</f>
        <v>8</v>
      </c>
      <c r="EU23" s="18"/>
      <c r="EV23" s="18"/>
      <c r="EW23" s="18"/>
      <c r="EX23" s="18"/>
      <c r="EZ23" s="87" t="s">
        <v>1488</v>
      </c>
      <c r="FA23" s="74">
        <f t="shared" si="141"/>
        <v>7.575757575757576E-2</v>
      </c>
      <c r="FB23" s="18">
        <f t="shared" si="142"/>
        <v>5</v>
      </c>
      <c r="FT23" s="17" t="s">
        <v>1468</v>
      </c>
      <c r="FU23" s="74">
        <f>+FV23/$FV$29</f>
        <v>0.15384615384615385</v>
      </c>
      <c r="FV23" s="18">
        <f>COUNTIFS('ENCUESTA CONDUCTORES'!$R$7:$R$459,"X",'ENCUESTA CONDUCTORES'!$AU$7:$AU$459,"&lt;2500")</f>
        <v>2</v>
      </c>
      <c r="GA23" s="17" t="s">
        <v>429</v>
      </c>
      <c r="GB23" s="74">
        <f t="shared" si="118"/>
        <v>4.6082949308755762E-2</v>
      </c>
      <c r="GC23" s="74">
        <f t="shared" si="105"/>
        <v>0.23963133640552994</v>
      </c>
      <c r="GD23" s="74">
        <f t="shared" si="106"/>
        <v>0.17050691244239632</v>
      </c>
      <c r="GE23" s="74">
        <f t="shared" si="107"/>
        <v>0.20506912442396313</v>
      </c>
      <c r="GF23" s="74">
        <f t="shared" si="108"/>
        <v>0.12903225806451613</v>
      </c>
      <c r="GG23" s="74">
        <f t="shared" si="109"/>
        <v>0.12903225806451613</v>
      </c>
      <c r="GH23" s="74">
        <f t="shared" si="110"/>
        <v>8.0645161290322578E-2</v>
      </c>
      <c r="GI23" s="74">
        <f t="shared" si="111"/>
        <v>1</v>
      </c>
      <c r="GJ23" s="18">
        <f>SUM(GJ16:GJ22)</f>
        <v>20</v>
      </c>
      <c r="GK23" s="18">
        <f t="shared" ref="GK23" si="152">SUM(GK16:GK22)</f>
        <v>104</v>
      </c>
      <c r="GL23" s="18">
        <f t="shared" ref="GL23" si="153">SUM(GL16:GL22)</f>
        <v>74</v>
      </c>
      <c r="GM23" s="18">
        <f t="shared" ref="GM23" si="154">SUM(GM16:GM22)</f>
        <v>89</v>
      </c>
      <c r="GN23" s="18">
        <f t="shared" ref="GN23" si="155">SUM(GN16:GN22)</f>
        <v>56</v>
      </c>
      <c r="GO23" s="18">
        <f t="shared" ref="GO23" si="156">SUM(GO16:GO22)</f>
        <v>56</v>
      </c>
      <c r="GP23" s="18">
        <f t="shared" ref="GP23" si="157">SUM(GP16:GP22)</f>
        <v>35</v>
      </c>
      <c r="GQ23" s="18">
        <f t="shared" ref="GQ23" si="158">SUM(GQ16:GQ22)</f>
        <v>434</v>
      </c>
      <c r="GS23" s="17" t="s">
        <v>264</v>
      </c>
      <c r="GT23" s="74">
        <f>+GY23/$HC$27</f>
        <v>3.3482142857142856E-2</v>
      </c>
      <c r="GU23" s="74">
        <f t="shared" ref="GU23:GU27" si="159">+GZ23/$HC$27</f>
        <v>3.3482142857142856E-2</v>
      </c>
      <c r="GV23" s="74">
        <f t="shared" ref="GV23:GV27" si="160">+HA23/$HC$27</f>
        <v>5.3571428571428568E-2</v>
      </c>
      <c r="GW23" s="74">
        <f t="shared" ref="GW23:GW27" si="161">+HB23/$HC$27</f>
        <v>2.0089285714285716E-2</v>
      </c>
      <c r="GX23" s="74">
        <f t="shared" ref="GX23:GX27" si="162">+HC23/$HC$27</f>
        <v>0.140625</v>
      </c>
      <c r="GY23" s="18">
        <f>COUNTIFS('ENCUESTA CONDUCTORES'!$E$7:$E$459,"X",'ENCUESTA CONDUCTORES'!$BX$7:$BX$459,"3")</f>
        <v>15</v>
      </c>
      <c r="GZ23" s="18">
        <f>COUNTIFS('ENCUESTA CONDUCTORES'!$F$7:$F$459,"X",'ENCUESTA CONDUCTORES'!$BX$7:$BX$459,"3")</f>
        <v>15</v>
      </c>
      <c r="HA23" s="18">
        <f>COUNTIFS('ENCUESTA CONDUCTORES'!$G$7:$G$459,"X",'ENCUESTA CONDUCTORES'!$BX$7:$BX$459,"3")</f>
        <v>24</v>
      </c>
      <c r="HB23" s="18">
        <f>COUNTIFS('ENCUESTA CONDUCTORES'!$H$7:$H$459,"X",'ENCUESTA CONDUCTORES'!$BX$7:$BX$459,"3")</f>
        <v>9</v>
      </c>
      <c r="HC23" s="18">
        <f>SUM(GY23:HB23)</f>
        <v>63</v>
      </c>
      <c r="HE23" s="17" t="s">
        <v>1547</v>
      </c>
      <c r="HF23" s="74">
        <f t="shared" ref="HF23:HF27" si="163">+HL5/$HL$9</f>
        <v>8.6419753086419748E-2</v>
      </c>
    </row>
    <row r="24" spans="1:215" x14ac:dyDescent="0.25">
      <c r="C24" s="18" t="s">
        <v>4</v>
      </c>
      <c r="D24" s="18" t="s">
        <v>5</v>
      </c>
      <c r="E24" s="18" t="s">
        <v>6</v>
      </c>
      <c r="F24" s="18" t="s">
        <v>7</v>
      </c>
      <c r="N24" s="17" t="s">
        <v>1372</v>
      </c>
      <c r="X24" s="19"/>
      <c r="Z24" s="17" t="s">
        <v>429</v>
      </c>
      <c r="AA24" s="76">
        <f>+AB24/$AB$24</f>
        <v>1</v>
      </c>
      <c r="AB24" s="18">
        <f>SUM(AB21:AB23)</f>
        <v>84</v>
      </c>
      <c r="AC24" s="76"/>
      <c r="AD24" s="76"/>
      <c r="AE24" s="76"/>
      <c r="AF24" s="18"/>
      <c r="AH24" s="18"/>
      <c r="AI24" s="18"/>
      <c r="AJ24" s="18"/>
      <c r="AL24" s="11" t="s">
        <v>1311</v>
      </c>
      <c r="AM24" s="74">
        <f t="shared" si="129"/>
        <v>0.12177985948477751</v>
      </c>
      <c r="AN24" s="18">
        <f>COUNTIFS('ENCUESTA CONDUCTORES'!$AL$7:$AL$459,"X",'ENCUESTA CONDUCTORES'!$AW$7:$AW$459,"&lt;4.01")-AN23-AN22-AN21-AN20-AN19-AN18</f>
        <v>52</v>
      </c>
      <c r="BZ24" s="17" t="s">
        <v>1421</v>
      </c>
      <c r="CA24" s="74">
        <f t="shared" si="130"/>
        <v>0.18181818181818182</v>
      </c>
      <c r="CB24" s="74">
        <f t="shared" si="130"/>
        <v>0</v>
      </c>
      <c r="CC24" s="74">
        <f t="shared" si="130"/>
        <v>0</v>
      </c>
      <c r="CD24" s="74">
        <f t="shared" si="130"/>
        <v>0</v>
      </c>
      <c r="CE24" s="74">
        <f t="shared" si="130"/>
        <v>0.18181818181818182</v>
      </c>
      <c r="CF24" s="18">
        <f>COUNTIFS('ENCUESTA CONDUCTORES'!$AJ$7:$AJ$459,"X",'ENCUESTA CONDUCTORES'!P$7:P$459,"X",'ENCUESTA CONDUCTORES'!$AW$7:$AW$459,"&lt;7.01")-CF23-CF22-CF21-CF20-CF19</f>
        <v>4</v>
      </c>
      <c r="CG24" s="18">
        <f>COUNTIFS('ENCUESTA CONDUCTORES'!$AJ$7:$AJ$459,"X",'ENCUESTA CONDUCTORES'!Q$7:Q$459,"X",'ENCUESTA CONDUCTORES'!$AW$7:$AW$459,"&lt;7.01")-CG23-CG22-CG21-CG20-CG19</f>
        <v>0</v>
      </c>
      <c r="CH24" s="18">
        <f>COUNTIFS('ENCUESTA CONDUCTORES'!$AJ$7:$AJ$459,"X",'ENCUESTA CONDUCTORES'!R$7:R$459,"X",'ENCUESTA CONDUCTORES'!$AW$7:$AW$459,"&lt;7.01")-CH23-CH22-CH21-CH20-CH19</f>
        <v>0</v>
      </c>
      <c r="CI24" s="18">
        <f>COUNTIFS('ENCUESTA CONDUCTORES'!$AJ$7:$AJ$459,"X",'ENCUESTA CONDUCTORES'!S$7:S$459,"X",'ENCUESTA CONDUCTORES'!$AW$7:$AW$459,"&lt;7.01")-CI23-CI22-CI21-CI20-CI19</f>
        <v>0</v>
      </c>
      <c r="CJ24" s="18">
        <f t="shared" si="138"/>
        <v>4</v>
      </c>
      <c r="CM24" s="18"/>
      <c r="CN24" s="18"/>
      <c r="CO24" s="18"/>
      <c r="CP24" s="18"/>
      <c r="CQ24" s="18"/>
      <c r="CR24" s="18"/>
      <c r="CS24" s="18"/>
      <c r="CT24" s="18"/>
      <c r="CU24" s="18"/>
      <c r="CV24" s="18">
        <f>SUM(CR23:CU23)</f>
        <v>453</v>
      </c>
      <c r="CX24" s="11" t="s">
        <v>1310</v>
      </c>
      <c r="CY24" s="74">
        <f t="shared" si="139"/>
        <v>2.576112412177986E-2</v>
      </c>
      <c r="CZ24" s="74">
        <f t="shared" si="131"/>
        <v>7.0257611241217799E-3</v>
      </c>
      <c r="DA24" s="74">
        <f t="shared" si="132"/>
        <v>2.3419203747072601E-2</v>
      </c>
      <c r="DB24" s="74">
        <f t="shared" si="133"/>
        <v>0.11943793911007025</v>
      </c>
      <c r="DC24" s="74">
        <f t="shared" si="134"/>
        <v>0.12646370023419204</v>
      </c>
      <c r="DD24" s="74">
        <f t="shared" si="135"/>
        <v>0.15456674473067916</v>
      </c>
      <c r="DE24" s="74">
        <f t="shared" si="136"/>
        <v>4.449648711943794E-2</v>
      </c>
      <c r="DF24" s="74">
        <f t="shared" si="137"/>
        <v>0.50117096018735363</v>
      </c>
      <c r="DG24" s="18">
        <f>COUNTIFS('ENCUESTA CONDUCTORES'!$AL$7:$AL$459,"X",'ENCUESTA CONDUCTORES'!$DE$7:$DE$459,"&lt;1991",'ENCUESTA CONDUCTORES'!$AW$7:$AW$459,"&lt;3.01")-DG23-DG22-DG21-DG20-DG19</f>
        <v>11</v>
      </c>
      <c r="DH24" s="18">
        <f>COUNTIFS('ENCUESTA CONDUCTORES'!$AL$7:$AL$459,"X",'ENCUESTA CONDUCTORES'!$DE$7:$DE$459,"&lt;1994",'ENCUESTA CONDUCTORES'!$AW$7:$AW$459,"&lt;3.01")-DG24-DH23-DG23-DH22-DG22-DH21-DG21-DH20-DG20-DH19-DG19</f>
        <v>3</v>
      </c>
      <c r="DI24" s="18">
        <f>COUNTIFS('ENCUESTA CONDUCTORES'!$AL$7:$AL$459,"X",'ENCUESTA CONDUCTORES'!$DE$7:$DE$459,"&lt;1998",'ENCUESTA CONDUCTORES'!$AW$7:$AW$459,"&lt;3.01")-DH24-DG24-DI23-DH23-DG23-DI22-DH22-DG22-DI21-DH21-DG21-DI20-DH20-DG20-DI19-DH19-DG19</f>
        <v>10</v>
      </c>
      <c r="DJ24" s="18">
        <f>COUNTIFS('ENCUESTA CONDUCTORES'!$AL$7:$AL$459,"X",'ENCUESTA CONDUCTORES'!$DE$7:$DE$459,"&lt;2004",'ENCUESTA CONDUCTORES'!$AW$7:$AW$459,"&lt;3.01")-DI24-DH24-DG24-DJ23-DI23-DH23-DG23-DJ22-DI22-DH22-DG22-DJ21-DI21-DH21-DG21-DJ20-DI20-DH20-DG20-DJ19-DI19-DH19-DG19</f>
        <v>51</v>
      </c>
      <c r="DK24" s="18">
        <f>COUNTIFS('ENCUESTA CONDUCTORES'!$AL$7:$AL$459,"X",'ENCUESTA CONDUCTORES'!$DE$7:$DE$459,"&lt;2007",'ENCUESTA CONDUCTORES'!$AW$7:$AW$459,"&lt;3.01")-DJ24-DI24-DH24-DG24-DK23-DJ23-DI23-DH23-DG23-DK22-DJ22-DI22-DH22-DG22-DK21-DJ21-DI21-DH21-DG21-DK20-DJ20-DI20-DH20-DG20-DK19-DJ19-DI19-DH19-DG19</f>
        <v>54</v>
      </c>
      <c r="DL24" s="18">
        <f>COUNTIFS('ENCUESTA CONDUCTORES'!$AL$7:$AL$459,"X",'ENCUESTA CONDUCTORES'!$DE$7:$DE$459,"&lt;2011",'ENCUESTA CONDUCTORES'!$AW$7:$AW$459,"&lt;3.01")-DK24-DJ24-DI24-DH24-DG24-DL23-DK23-DJ23-DI23-DH23-DG23-DL22-DK22-DJ22-DI22-DH22-DG22-DL21-DK21-DJ21-DI21-DH21-DG21-DL20-DK20-DJ20-DI20-DH20-DG20-DL19-DK19-DJ19-DI19-DH19-DG19</f>
        <v>66</v>
      </c>
      <c r="DM24" s="18">
        <f>COUNTIFS('ENCUESTA CONDUCTORES'!$AL$7:$AL$459,"X",'ENCUESTA CONDUCTORES'!$DE$7:$DE$459,"&gt;2010",'ENCUESTA CONDUCTORES'!$AW$7:$AW$459,"&lt;3.01")-DM23-DM22-DM21-DM20-DM19</f>
        <v>19</v>
      </c>
      <c r="DN24" s="18">
        <f t="shared" si="140"/>
        <v>214</v>
      </c>
      <c r="DO24" s="18"/>
      <c r="DP24" s="17" t="s">
        <v>429</v>
      </c>
      <c r="DQ24" s="74">
        <f t="shared" si="119"/>
        <v>1</v>
      </c>
      <c r="DR24" s="18">
        <f t="shared" si="120"/>
        <v>50</v>
      </c>
      <c r="DS24" s="18"/>
      <c r="DT24" s="17" t="s">
        <v>429</v>
      </c>
      <c r="DU24" s="74">
        <f t="shared" si="116"/>
        <v>1</v>
      </c>
      <c r="DV24" s="19">
        <f t="shared" si="117"/>
        <v>9</v>
      </c>
      <c r="DW24" s="18"/>
      <c r="DX24" s="17" t="s">
        <v>429</v>
      </c>
      <c r="DY24" s="74">
        <f t="shared" si="121"/>
        <v>1</v>
      </c>
      <c r="DZ24" s="19">
        <f t="shared" si="122"/>
        <v>25</v>
      </c>
      <c r="EB24" s="17" t="s">
        <v>429</v>
      </c>
      <c r="EC24" s="74">
        <f t="shared" si="123"/>
        <v>1</v>
      </c>
      <c r="ED24" s="19">
        <f t="shared" si="124"/>
        <v>43</v>
      </c>
      <c r="EE24" s="18"/>
      <c r="EF24" s="18"/>
      <c r="EH24" s="17" t="s">
        <v>1469</v>
      </c>
      <c r="EI24" s="74">
        <f t="shared" ref="EI24:EI29" si="164">+EJ24/$EJ$29</f>
        <v>0.44444444444444442</v>
      </c>
      <c r="EJ24" s="18">
        <f t="shared" ref="EJ24:EJ29" si="165">+ER6</f>
        <v>4</v>
      </c>
      <c r="EK24" s="18"/>
      <c r="EL24" s="18"/>
      <c r="EM24" s="18"/>
      <c r="EN24" s="18"/>
      <c r="EO24" s="18"/>
      <c r="EP24" s="18"/>
      <c r="EQ24" s="18"/>
      <c r="ER24" s="17" t="s">
        <v>1469</v>
      </c>
      <c r="ES24" s="74">
        <f t="shared" ref="ES24:ES29" si="166">+ET24/$ET$29</f>
        <v>0.22935779816513763</v>
      </c>
      <c r="ET24" s="18">
        <f t="shared" ref="ET24:ET29" si="167">+EV6</f>
        <v>25</v>
      </c>
      <c r="EU24" s="18"/>
      <c r="EV24" s="18"/>
      <c r="EW24" s="18"/>
      <c r="EX24" s="18"/>
      <c r="EZ24" s="87" t="s">
        <v>1489</v>
      </c>
      <c r="FA24" s="74">
        <f t="shared" si="141"/>
        <v>0</v>
      </c>
      <c r="FB24" s="18">
        <f t="shared" si="142"/>
        <v>0</v>
      </c>
      <c r="FT24" s="17" t="s">
        <v>1469</v>
      </c>
      <c r="FU24" s="74">
        <f t="shared" ref="FU24:FU30" si="168">+FV24/$FV$29</f>
        <v>0.38461538461538464</v>
      </c>
      <c r="FV24" s="18">
        <f>COUNTIFS('ENCUESTA CONDUCTORES'!$R$7:$R$459,"X",'ENCUESTA CONDUCTORES'!$AU$7:$AU$459,"&lt;5001")-FV23</f>
        <v>5</v>
      </c>
      <c r="GQ24" s="18">
        <f>SUM(GJ23:GP23)</f>
        <v>434</v>
      </c>
      <c r="GS24" s="17" t="s">
        <v>504</v>
      </c>
      <c r="GT24" s="74">
        <f t="shared" ref="GT24:GT27" si="169">+GY24/$HC$27</f>
        <v>7.8125E-2</v>
      </c>
      <c r="GU24" s="74">
        <f t="shared" si="159"/>
        <v>0.10714285714285714</v>
      </c>
      <c r="GV24" s="74">
        <f t="shared" si="160"/>
        <v>0.22991071428571427</v>
      </c>
      <c r="GW24" s="74">
        <f t="shared" si="161"/>
        <v>0.14285714285714285</v>
      </c>
      <c r="GX24" s="74">
        <f t="shared" si="162"/>
        <v>0.5580357142857143</v>
      </c>
      <c r="GY24" s="18">
        <f>COUNTIFS('ENCUESTA CONDUCTORES'!$E$7:$E$459,"X",'ENCUESTA CONDUCTORES'!$BY$7:$BY$459,"3")</f>
        <v>35</v>
      </c>
      <c r="GZ24" s="18">
        <f>COUNTIFS('ENCUESTA CONDUCTORES'!$F$7:$F$459,"X",'ENCUESTA CONDUCTORES'!$BY$7:$BY$459,"3")</f>
        <v>48</v>
      </c>
      <c r="HA24" s="18">
        <f>COUNTIFS('ENCUESTA CONDUCTORES'!$G$7:$G$459,"X",'ENCUESTA CONDUCTORES'!$BY$7:$BY$459,"3")</f>
        <v>103</v>
      </c>
      <c r="HB24" s="18">
        <f>COUNTIFS('ENCUESTA CONDUCTORES'!$H$7:$H$459,"X",'ENCUESTA CONDUCTORES'!$BY$7:$BY$459,"3")</f>
        <v>64</v>
      </c>
      <c r="HC24" s="18">
        <f>SUM(GY24:HB24)</f>
        <v>250</v>
      </c>
      <c r="HE24" s="17" t="s">
        <v>1548</v>
      </c>
      <c r="HF24" s="74">
        <f t="shared" si="163"/>
        <v>9.8765432098765427E-2</v>
      </c>
    </row>
    <row r="25" spans="1:215" x14ac:dyDescent="0.25">
      <c r="C25" s="74">
        <f>H8/$L$8</f>
        <v>0.18548387096774194</v>
      </c>
      <c r="D25" s="74">
        <f t="shared" ref="D25:G25" si="170">I8/$L$8</f>
        <v>0.11290322580645161</v>
      </c>
      <c r="E25" s="74">
        <f t="shared" si="170"/>
        <v>2.4193548387096774E-2</v>
      </c>
      <c r="F25" s="74">
        <f t="shared" si="170"/>
        <v>0.67741935483870963</v>
      </c>
      <c r="G25" s="74">
        <f t="shared" si="170"/>
        <v>1</v>
      </c>
      <c r="H25" s="128">
        <f>SUM(C25:F25)</f>
        <v>1</v>
      </c>
      <c r="O25" s="17" t="s">
        <v>426</v>
      </c>
      <c r="P25" s="17" t="s">
        <v>426</v>
      </c>
      <c r="AJ25" s="18"/>
      <c r="AL25" s="11" t="s">
        <v>1385</v>
      </c>
      <c r="AM25" s="74">
        <f t="shared" si="129"/>
        <v>2.576112412177986E-2</v>
      </c>
      <c r="AN25" s="18">
        <f>COUNTIFS('ENCUESTA CONDUCTORES'!$AL$7:$AL$459,"X",'ENCUESTA CONDUCTORES'!$AW$7:$AW$459,"&gt;4")</f>
        <v>11</v>
      </c>
      <c r="BZ25" s="17" t="s">
        <v>1422</v>
      </c>
      <c r="CA25" s="74">
        <f t="shared" si="130"/>
        <v>9.0909090909090912E-2</v>
      </c>
      <c r="CB25" s="74">
        <f t="shared" si="130"/>
        <v>0</v>
      </c>
      <c r="CC25" s="74">
        <f t="shared" si="130"/>
        <v>0</v>
      </c>
      <c r="CD25" s="74">
        <f t="shared" si="130"/>
        <v>0</v>
      </c>
      <c r="CE25" s="74">
        <f t="shared" si="130"/>
        <v>9.0909090909090912E-2</v>
      </c>
      <c r="CF25" s="18">
        <f>COUNTIFS('ENCUESTA CONDUCTORES'!$AJ$7:$AJ$459,"X",'ENCUESTA CONDUCTORES'!P$7:P$459,"X",'ENCUESTA CONDUCTORES'!$AW$7:$AW$459,"&gt;7")</f>
        <v>2</v>
      </c>
      <c r="CG25" s="18">
        <f>COUNTIFS('ENCUESTA CONDUCTORES'!$AJ$7:$AJ$459,"X",'ENCUESTA CONDUCTORES'!Q$7:Q$459,"X",'ENCUESTA CONDUCTORES'!$AW$7:$AW$459,"&gt;7")</f>
        <v>0</v>
      </c>
      <c r="CH25" s="18">
        <f>COUNTIFS('ENCUESTA CONDUCTORES'!$AJ$7:$AJ$459,"X",'ENCUESTA CONDUCTORES'!R$7:R$459,"X",'ENCUESTA CONDUCTORES'!$AW$7:$AW$459,"&gt;7")</f>
        <v>0</v>
      </c>
      <c r="CI25" s="18">
        <f>COUNTIFS('ENCUESTA CONDUCTORES'!$AJ$7:$AJ$459,"X",'ENCUESTA CONDUCTORES'!S$7:S$459,"X",'ENCUESTA CONDUCTORES'!$AW$7:$AW$459,"&gt;7")</f>
        <v>0</v>
      </c>
      <c r="CJ25" s="18">
        <f t="shared" si="138"/>
        <v>2</v>
      </c>
      <c r="CX25" s="11" t="s">
        <v>1311</v>
      </c>
      <c r="CY25" s="74">
        <f t="shared" si="139"/>
        <v>2.1077283372365339E-2</v>
      </c>
      <c r="CZ25" s="74">
        <f t="shared" si="131"/>
        <v>2.34192037470726E-3</v>
      </c>
      <c r="DA25" s="74">
        <f t="shared" si="132"/>
        <v>2.8103044496487119E-2</v>
      </c>
      <c r="DB25" s="74">
        <f t="shared" si="133"/>
        <v>4.449648711943794E-2</v>
      </c>
      <c r="DC25" s="74">
        <f t="shared" si="134"/>
        <v>2.8103044496487119E-2</v>
      </c>
      <c r="DD25" s="74">
        <f t="shared" si="135"/>
        <v>3.0444964871194378E-2</v>
      </c>
      <c r="DE25" s="74">
        <f t="shared" si="136"/>
        <v>1.405152224824356E-2</v>
      </c>
      <c r="DF25" s="74">
        <f t="shared" si="137"/>
        <v>0.16861826697892271</v>
      </c>
      <c r="DG25" s="18">
        <f>COUNTIFS('ENCUESTA CONDUCTORES'!$AL$7:$AL$459,"X",'ENCUESTA CONDUCTORES'!$DE$7:$DE$459,"&lt;1991",'ENCUESTA CONDUCTORES'!$AW$7:$AW$459,"&lt;4.01")-DG24-DG23-DG22-DG21-DG20-DG19</f>
        <v>9</v>
      </c>
      <c r="DH25" s="18">
        <f>COUNTIFS('ENCUESTA CONDUCTORES'!$AL$7:$AL$459,"X",'ENCUESTA CONDUCTORES'!$DE$7:$DE$459,"&lt;1994",'ENCUESTA CONDUCTORES'!$AW$7:$AW$459,"&lt;4.01")-DG25-DH24-DG24-DH23-DG23-DH22-DG22-DH21-DG21-DH20-DG20-DH19-DG19</f>
        <v>1</v>
      </c>
      <c r="DI25" s="18">
        <f>COUNTIFS('ENCUESTA CONDUCTORES'!$AL$7:$AL$459,"X",'ENCUESTA CONDUCTORES'!$DE$7:$DE$459,"&lt;1998",'ENCUESTA CONDUCTORES'!$AW$7:$AW$459,"&lt;4.01")-DH25-DG25-DI24-DH24-DG24-DI23-DH23-DG23-DI22-DH22-DG22-DI21-DH21-DG21-DI20-DH20-DG20-DI19-DH19-DG19</f>
        <v>12</v>
      </c>
      <c r="DJ25" s="18">
        <f>COUNTIFS('ENCUESTA CONDUCTORES'!$AL$7:$AL$459,"X",'ENCUESTA CONDUCTORES'!$DE$7:$DE$459,"&lt;2004",'ENCUESTA CONDUCTORES'!$AW$7:$AW$459,"&lt;4.01")-DI25-DH25-DG25-DJ24-DI24-DH24-DG24-DJ23-DI23-DH23-DG23-DJ22-DI22-DH22-DG22-DJ21-DI21-DH21-DG21-DJ20-DI20-DH20-DG20-DJ19-DI19-DH19-DG19</f>
        <v>19</v>
      </c>
      <c r="DK25" s="18">
        <f>COUNTIFS('ENCUESTA CONDUCTORES'!$AL$7:$AL$459,"X",'ENCUESTA CONDUCTORES'!$DE$7:$DE$459,"&lt;2007",'ENCUESTA CONDUCTORES'!$AW$7:$AW$459,"&lt;4.01")-DJ25-DI25-DH25-DG25-DK24-DJ24-DI24-DH24-DG24-DK23-DJ23-DI23-DH23-DG23-DK22-DJ22-DI22-DH22-DG22-DK21-DJ21-DI21-DH21-DG21-DK20-DJ20-DI20-DH20-DG20-DK19-DJ19-DI19-DH19-DG19</f>
        <v>12</v>
      </c>
      <c r="DL25" s="18">
        <f>COUNTIFS('ENCUESTA CONDUCTORES'!$AL$7:$AL$459,"X",'ENCUESTA CONDUCTORES'!$DE$7:$DE$459,"&lt;2011",'ENCUESTA CONDUCTORES'!$AW$7:$AW$459,"&lt;4.01")-DK25-DJ25-DI25-DH25-DG25-DL24-DK24-DJ24-DI24-DH24-DG24-DL23-DK23-DJ23-DI23-DH23-DG23-DL22-DK22-DJ22-DI22-DH22-DG22-DL21-DK21-DJ21-DI21-DH21-DG21-DL20-DK20-DJ20-DI20-DH20-DG20-DL19-DK19-DJ19-DI19-DH19-DG19</f>
        <v>13</v>
      </c>
      <c r="DM25" s="18">
        <f>COUNTIFS('ENCUESTA CONDUCTORES'!$AL$7:$AL$459,"X",'ENCUESTA CONDUCTORES'!$DE$7:$DE$459,"&gt;2010",'ENCUESTA CONDUCTORES'!$AW$7:$AW$459,"&lt;4.01")-DM24-DM23-DM22-DM21-DM20-DM19</f>
        <v>6</v>
      </c>
      <c r="DN25" s="18">
        <f t="shared" si="140"/>
        <v>72</v>
      </c>
      <c r="DO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H25" s="17" t="s">
        <v>1470</v>
      </c>
      <c r="EI25" s="74">
        <f t="shared" si="164"/>
        <v>0.44444444444444442</v>
      </c>
      <c r="EJ25" s="18">
        <f t="shared" si="165"/>
        <v>4</v>
      </c>
      <c r="ER25" s="17" t="s">
        <v>1470</v>
      </c>
      <c r="ES25" s="74">
        <f t="shared" si="166"/>
        <v>8.2568807339449546E-2</v>
      </c>
      <c r="ET25" s="18">
        <f t="shared" si="167"/>
        <v>9</v>
      </c>
      <c r="EZ25" s="87" t="s">
        <v>1490</v>
      </c>
      <c r="FA25" s="74">
        <f t="shared" si="141"/>
        <v>0.2878787878787879</v>
      </c>
      <c r="FB25" s="18">
        <f t="shared" si="142"/>
        <v>19</v>
      </c>
      <c r="FT25" s="17" t="s">
        <v>1470</v>
      </c>
      <c r="FU25" s="74">
        <f t="shared" si="168"/>
        <v>0.15384615384615385</v>
      </c>
      <c r="FV25" s="18">
        <f>COUNTIFS('ENCUESTA CONDUCTORES'!$R$7:$R$459,"X",'ENCUESTA CONDUCTORES'!$AU$7:$AU$459,"&lt;7501")-FV24-FV23</f>
        <v>2</v>
      </c>
      <c r="GS25" s="17" t="s">
        <v>505</v>
      </c>
      <c r="GT25" s="74">
        <f t="shared" si="169"/>
        <v>3.5714285714285712E-2</v>
      </c>
      <c r="GU25" s="74">
        <f t="shared" si="159"/>
        <v>3.7946428571428568E-2</v>
      </c>
      <c r="GV25" s="74">
        <f t="shared" si="160"/>
        <v>0.11607142857142858</v>
      </c>
      <c r="GW25" s="74">
        <f t="shared" si="161"/>
        <v>0.11160714285714286</v>
      </c>
      <c r="GX25" s="74">
        <f t="shared" si="162"/>
        <v>0.3013392857142857</v>
      </c>
      <c r="GY25" s="18">
        <f>COUNTIFS('ENCUESTA CONDUCTORES'!$E$7:$E$459,"X",'ENCUESTA CONDUCTORES'!$BZ$7:$BZ$459,"3")</f>
        <v>16</v>
      </c>
      <c r="GZ25" s="18">
        <f>COUNTIFS('ENCUESTA CONDUCTORES'!$F$7:$F$459,"X",'ENCUESTA CONDUCTORES'!$BZ$7:$BZ$459,"3")</f>
        <v>17</v>
      </c>
      <c r="HA25" s="18">
        <f>COUNTIFS('ENCUESTA CONDUCTORES'!$G$7:$G$459,"X",'ENCUESTA CONDUCTORES'!$BZ$7:$BZ$459,"3")</f>
        <v>52</v>
      </c>
      <c r="HB25" s="18">
        <f>COUNTIFS('ENCUESTA CONDUCTORES'!$H$7:$H$459,"X",'ENCUESTA CONDUCTORES'!$BZ$7:$BZ$459,"3")</f>
        <v>50</v>
      </c>
      <c r="HC25" s="18">
        <f>SUM(GY25:HB25)</f>
        <v>135</v>
      </c>
      <c r="HE25" s="17" t="s">
        <v>1549</v>
      </c>
      <c r="HF25" s="74">
        <f t="shared" si="163"/>
        <v>0.12345679012345678</v>
      </c>
    </row>
    <row r="26" spans="1:215" x14ac:dyDescent="0.25">
      <c r="N26" s="75" t="s">
        <v>10</v>
      </c>
      <c r="O26" s="127">
        <f t="shared" ref="O26:O33" si="171">+P26/$P$33</f>
        <v>0.53086419753086422</v>
      </c>
      <c r="P26" s="90">
        <f>COUNTIFS('ENCUESTA CONDUCTORES'!F$7:F$459,"X",'ENCUESTA CONDUCTORES'!$U$7:$U$459,"X")</f>
        <v>43</v>
      </c>
      <c r="X26" s="18"/>
      <c r="Z26" s="17" t="s">
        <v>1383</v>
      </c>
      <c r="AL26" s="11" t="s">
        <v>429</v>
      </c>
      <c r="AM26" s="78">
        <f>SUM(AM18:AM25)</f>
        <v>1</v>
      </c>
      <c r="AN26" s="18">
        <f>SUM(AN18:AN25)</f>
        <v>427</v>
      </c>
      <c r="BZ26" s="11" t="s">
        <v>429</v>
      </c>
      <c r="CA26" s="74">
        <f t="shared" si="130"/>
        <v>0.86363636363636365</v>
      </c>
      <c r="CB26" s="74">
        <f t="shared" si="130"/>
        <v>9.0909090909090912E-2</v>
      </c>
      <c r="CC26" s="74">
        <f t="shared" si="130"/>
        <v>4.5454545454545456E-2</v>
      </c>
      <c r="CD26" s="74">
        <f t="shared" si="130"/>
        <v>0</v>
      </c>
      <c r="CE26" s="74">
        <f t="shared" si="130"/>
        <v>1</v>
      </c>
      <c r="CF26" s="18">
        <f>SUM(CF19:CF25)</f>
        <v>19</v>
      </c>
      <c r="CG26" s="18">
        <f>SUM(CG19:CG25)</f>
        <v>2</v>
      </c>
      <c r="CH26" s="18">
        <f>SUM(CH19:CH25)</f>
        <v>1</v>
      </c>
      <c r="CI26" s="18">
        <f>SUM(CI19:CI25)</f>
        <v>0</v>
      </c>
      <c r="CJ26" s="18">
        <f>SUM(CJ19:CJ25)</f>
        <v>22</v>
      </c>
      <c r="CL26" s="17" t="s">
        <v>1433</v>
      </c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X26" s="11" t="s">
        <v>1385</v>
      </c>
      <c r="CY26" s="74">
        <f t="shared" si="139"/>
        <v>4.6838407494145199E-3</v>
      </c>
      <c r="CZ26" s="74">
        <f t="shared" si="131"/>
        <v>0</v>
      </c>
      <c r="DA26" s="74">
        <f t="shared" si="132"/>
        <v>2.34192037470726E-3</v>
      </c>
      <c r="DB26" s="74">
        <f t="shared" si="133"/>
        <v>2.34192037470726E-3</v>
      </c>
      <c r="DC26" s="74">
        <f t="shared" si="134"/>
        <v>7.0257611241217799E-3</v>
      </c>
      <c r="DD26" s="74">
        <f t="shared" si="135"/>
        <v>7.0257611241217799E-3</v>
      </c>
      <c r="DE26" s="74">
        <f t="shared" si="136"/>
        <v>2.34192037470726E-3</v>
      </c>
      <c r="DF26" s="74">
        <f t="shared" si="137"/>
        <v>2.576112412177986E-2</v>
      </c>
      <c r="DG26" s="18">
        <f>COUNTIFS('ENCUESTA CONDUCTORES'!$AL$7:$AL$459,"X",'ENCUESTA CONDUCTORES'!$DE$7:$DE$459,"&lt;1991",'ENCUESTA CONDUCTORES'!$AW$7:$AW$459,"&gt;4.0")</f>
        <v>2</v>
      </c>
      <c r="DH26" s="18">
        <f>COUNTIFS('ENCUESTA CONDUCTORES'!$AL$7:$AL$459,"X",'ENCUESTA CONDUCTORES'!$DE$7:$DE$459,"&lt;1994",'ENCUESTA CONDUCTORES'!$AW$7:$AW$459,"&gt;4.0")-DG26</f>
        <v>0</v>
      </c>
      <c r="DI26" s="18">
        <f>COUNTIFS('ENCUESTA CONDUCTORES'!$AL$7:$AL$459,"X",'ENCUESTA CONDUCTORES'!$DE$7:$DE$459,"&lt;1998",'ENCUESTA CONDUCTORES'!$AW$7:$AW$459,"&gt;4.0")-DH26-DG26</f>
        <v>1</v>
      </c>
      <c r="DJ26" s="18">
        <f>COUNTIFS('ENCUESTA CONDUCTORES'!$AL$7:$AL$459,"X",'ENCUESTA CONDUCTORES'!$DE$7:$DE$459,"&lt;2004",'ENCUESTA CONDUCTORES'!$AW$7:$AW$459,"&gt;4.0")-DI26-DH26-DG26</f>
        <v>1</v>
      </c>
      <c r="DK26" s="18">
        <f>COUNTIFS('ENCUESTA CONDUCTORES'!$AL$7:$AL$459,"X",'ENCUESTA CONDUCTORES'!$DE$7:$DE$459,"&lt;2007",'ENCUESTA CONDUCTORES'!$AW$7:$AW$459,"&gt;4.0")-DJ26-DI26-DH26-DG26</f>
        <v>3</v>
      </c>
      <c r="DL26" s="18">
        <f>COUNTIFS('ENCUESTA CONDUCTORES'!$AL$7:$AL$459,"X",'ENCUESTA CONDUCTORES'!$DE$7:$DE$459,"&lt;2011",'ENCUESTA CONDUCTORES'!$AW$7:$AW$459,"&gt;4.0")-DK26-DJ26-DI26-DH26-DG26</f>
        <v>3</v>
      </c>
      <c r="DM26" s="18">
        <f>COUNTIFS('ENCUESTA CONDUCTORES'!$AL$7:$AL$459,"X",'ENCUESTA CONDUCTORES'!$DE$7:$DE$459,"&gt;2010",'ENCUESTA CONDUCTORES'!$AW$7:$AW$459,"&gt;4.0")</f>
        <v>1</v>
      </c>
      <c r="DN26" s="18">
        <f t="shared" si="140"/>
        <v>11</v>
      </c>
      <c r="DO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H26" s="17" t="s">
        <v>1471</v>
      </c>
      <c r="EI26" s="74">
        <f t="shared" si="164"/>
        <v>0.1111111111111111</v>
      </c>
      <c r="EJ26" s="18">
        <f t="shared" si="165"/>
        <v>1</v>
      </c>
      <c r="ER26" s="17" t="s">
        <v>1471</v>
      </c>
      <c r="ES26" s="74">
        <f t="shared" si="166"/>
        <v>0.41284403669724773</v>
      </c>
      <c r="ET26" s="18">
        <f t="shared" si="167"/>
        <v>45</v>
      </c>
      <c r="EZ26" s="87" t="s">
        <v>1491</v>
      </c>
      <c r="FA26" s="74">
        <f t="shared" si="141"/>
        <v>7.575757575757576E-2</v>
      </c>
      <c r="FB26" s="18">
        <f t="shared" si="142"/>
        <v>5</v>
      </c>
      <c r="FT26" s="17" t="s">
        <v>1471</v>
      </c>
      <c r="FU26" s="74">
        <f t="shared" si="168"/>
        <v>0.15384615384615385</v>
      </c>
      <c r="FV26" s="18">
        <f>COUNTIFS('ENCUESTA CONDUCTORES'!$R$7:$R$459,"X",'ENCUESTA CONDUCTORES'!$AU$7:$AU$459,"&lt;10001")-FV25-FV24-FV23</f>
        <v>2</v>
      </c>
      <c r="GA26" s="17" t="s">
        <v>1531</v>
      </c>
      <c r="GS26" s="17" t="s">
        <v>208</v>
      </c>
      <c r="GT26" s="74">
        <f t="shared" si="169"/>
        <v>0</v>
      </c>
      <c r="GU26" s="74">
        <f t="shared" si="159"/>
        <v>0</v>
      </c>
      <c r="GV26" s="74">
        <f t="shared" si="160"/>
        <v>0</v>
      </c>
      <c r="GW26" s="74">
        <f t="shared" si="161"/>
        <v>0</v>
      </c>
      <c r="GX26" s="74">
        <f t="shared" si="162"/>
        <v>0</v>
      </c>
      <c r="GY26" s="18">
        <v>0</v>
      </c>
      <c r="GZ26" s="18">
        <v>0</v>
      </c>
      <c r="HA26" s="18">
        <v>0</v>
      </c>
      <c r="HB26" s="18">
        <v>0</v>
      </c>
      <c r="HC26" s="18">
        <v>0</v>
      </c>
      <c r="HE26" s="17" t="s">
        <v>1550</v>
      </c>
      <c r="HF26" s="74">
        <f t="shared" si="163"/>
        <v>3.7037037037037035E-2</v>
      </c>
    </row>
    <row r="27" spans="1:215" ht="45" x14ac:dyDescent="0.25">
      <c r="N27" s="75" t="s">
        <v>1352</v>
      </c>
      <c r="O27" s="127">
        <f t="shared" si="171"/>
        <v>7.407407407407407E-2</v>
      </c>
      <c r="P27" s="90">
        <f>COUNTIFS('ENCUESTA CONDUCTORES'!F$7:F$459,"X",'ENCUESTA CONDUCTORES'!$W$7:$W$459,"X")+COUNTIFS('ENCUESTA CONDUCTORES'!F$7:F$459,"X",'ENCUESTA CONDUCTORES'!$AB$7:$AB$459,"X")+COUNTIFS('ENCUESTA CONDUCTORES'!F$7:F$459,"X",'ENCUESTA CONDUCTORES'!$AC$7:$AC$459,"X")</f>
        <v>6</v>
      </c>
      <c r="Q27" s="127"/>
      <c r="R27" s="127"/>
      <c r="S27" s="127"/>
      <c r="T27" s="90"/>
      <c r="V27" s="90"/>
      <c r="W27" s="90"/>
      <c r="X27" s="19"/>
      <c r="AA27" s="18" t="s">
        <v>6</v>
      </c>
      <c r="AB27" s="18" t="s">
        <v>6</v>
      </c>
      <c r="AD27" s="18"/>
      <c r="AF27" s="18"/>
      <c r="AG27" s="18"/>
      <c r="AI27" s="18"/>
      <c r="AL27" s="17" t="s">
        <v>193</v>
      </c>
      <c r="AN27" s="18">
        <f>COUNTIFS('ENCUESTA CONDUCTORES'!$AL$7:$AL$459,"X",'ENCUESTA CONDUCTORES'!$AW$7:$AW$459,"NO SABE")</f>
        <v>1</v>
      </c>
      <c r="BZ27" s="17" t="s">
        <v>193</v>
      </c>
      <c r="CB27" s="18"/>
      <c r="CC27" s="18"/>
      <c r="CD27" s="18"/>
      <c r="CE27" s="18"/>
      <c r="CF27" s="18">
        <f>COUNTIFS('ENCUESTA CONDUCTORES'!$AJ$7:$AJ$459,"X",'ENCUESTA CONDUCTORES'!P$7:P$459,"X",'ENCUESTA CONDUCTORES'!$AW$7:$AW$459,"NO SABE")</f>
        <v>0</v>
      </c>
      <c r="CG27" s="18">
        <f>COUNTIFS('ENCUESTA CONDUCTORES'!$AJ$7:$AJ$459,"X",'ENCUESTA CONDUCTORES'!Q$7:Q$459,"X",'ENCUESTA CONDUCTORES'!$AW$7:$AW$459,"NO SABE")</f>
        <v>0</v>
      </c>
      <c r="CH27" s="18">
        <f>COUNTIFS('ENCUESTA CONDUCTORES'!$AJ$7:$AJ$459,"X",'ENCUESTA CONDUCTORES'!R$7:R$459,"X",'ENCUESTA CONDUCTORES'!$AW$7:$AW$459,"NO SABE")</f>
        <v>0</v>
      </c>
      <c r="CI27" s="18">
        <f>COUNTIFS('ENCUESTA CONDUCTORES'!$AJ$7:$AJ$459,"X",'ENCUESTA CONDUCTORES'!S$7:S$459,"X",'ENCUESTA CONDUCTORES'!$AW$7:$AW$459,"NO SABE")</f>
        <v>0</v>
      </c>
      <c r="CJ27" s="18">
        <f t="shared" ref="CJ27" si="172">SUM(CF27:CI27)</f>
        <v>0</v>
      </c>
      <c r="CM27" s="17" t="s">
        <v>425</v>
      </c>
      <c r="CN27" s="17" t="s">
        <v>425</v>
      </c>
      <c r="CQ27" s="18"/>
      <c r="CV27" s="18"/>
      <c r="CX27" s="11" t="s">
        <v>429</v>
      </c>
      <c r="CY27" s="74">
        <f t="shared" si="139"/>
        <v>0.12412177985948478</v>
      </c>
      <c r="CZ27" s="74">
        <f t="shared" si="131"/>
        <v>2.1077283372365339E-2</v>
      </c>
      <c r="DA27" s="74">
        <f t="shared" si="132"/>
        <v>8.1967213114754092E-2</v>
      </c>
      <c r="DB27" s="74">
        <f t="shared" si="133"/>
        <v>0.2388758782201405</v>
      </c>
      <c r="DC27" s="74">
        <f t="shared" si="134"/>
        <v>0.19203747072599531</v>
      </c>
      <c r="DD27" s="74">
        <f t="shared" si="135"/>
        <v>0.24590163934426229</v>
      </c>
      <c r="DE27" s="74">
        <f t="shared" si="136"/>
        <v>9.6018735362997654E-2</v>
      </c>
      <c r="DF27" s="74">
        <f t="shared" si="137"/>
        <v>1</v>
      </c>
      <c r="DG27" s="18">
        <f>SUM(DG19:DG26)</f>
        <v>53</v>
      </c>
      <c r="DH27" s="18">
        <f t="shared" ref="DH27" si="173">SUM(DH19:DH26)</f>
        <v>9</v>
      </c>
      <c r="DI27" s="18">
        <f t="shared" ref="DI27" si="174">SUM(DI19:DI26)</f>
        <v>35</v>
      </c>
      <c r="DJ27" s="18">
        <f t="shared" ref="DJ27" si="175">SUM(DJ19:DJ26)</f>
        <v>102</v>
      </c>
      <c r="DK27" s="18">
        <f t="shared" ref="DK27" si="176">SUM(DK19:DK26)</f>
        <v>82</v>
      </c>
      <c r="DL27" s="18">
        <f t="shared" ref="DL27" si="177">SUM(DL19:DL26)</f>
        <v>105</v>
      </c>
      <c r="DM27" s="18">
        <f t="shared" ref="DM27" si="178">SUM(DM19:DM26)</f>
        <v>41</v>
      </c>
      <c r="DN27" s="18">
        <f t="shared" si="140"/>
        <v>427</v>
      </c>
      <c r="DO27" s="18"/>
      <c r="DP27" s="17" t="s">
        <v>1464</v>
      </c>
      <c r="DQ27" s="18"/>
      <c r="DR27" s="18"/>
      <c r="DS27" s="18"/>
      <c r="DT27" s="17" t="s">
        <v>1466</v>
      </c>
      <c r="DU27" s="18"/>
      <c r="DV27" s="18"/>
      <c r="DW27" s="18"/>
      <c r="DX27" s="17" t="s">
        <v>1465</v>
      </c>
      <c r="DY27" s="18"/>
      <c r="DZ27" s="18"/>
      <c r="EA27" s="18"/>
      <c r="EB27" s="18"/>
      <c r="EC27" s="18"/>
      <c r="ED27" s="18"/>
      <c r="EE27" s="18"/>
      <c r="EF27" s="18"/>
      <c r="EH27" s="17" t="s">
        <v>1472</v>
      </c>
      <c r="EI27" s="74">
        <f t="shared" si="164"/>
        <v>0</v>
      </c>
      <c r="EJ27" s="18">
        <f t="shared" si="165"/>
        <v>0</v>
      </c>
      <c r="ER27" s="17" t="s">
        <v>1472</v>
      </c>
      <c r="ES27" s="74">
        <f t="shared" si="166"/>
        <v>0.10091743119266056</v>
      </c>
      <c r="ET27" s="18">
        <f t="shared" si="167"/>
        <v>11</v>
      </c>
      <c r="EZ27" s="87" t="s">
        <v>1492</v>
      </c>
      <c r="FA27" s="74">
        <f t="shared" si="141"/>
        <v>4.5454545454545456E-2</v>
      </c>
      <c r="FB27" s="18">
        <f t="shared" si="142"/>
        <v>3</v>
      </c>
      <c r="FT27" s="17" t="s">
        <v>1472</v>
      </c>
      <c r="FU27" s="74">
        <f t="shared" si="168"/>
        <v>7.6923076923076927E-2</v>
      </c>
      <c r="FV27" s="18">
        <f>COUNTIFS('ENCUESTA CONDUCTORES'!$R$7:$R$459,"X",'ENCUESTA CONDUCTORES'!$AU$7:$AU$459,"&lt;12501")-FV26-FV25-FV24-FV23</f>
        <v>1</v>
      </c>
      <c r="GA27" s="126"/>
      <c r="GB27" s="126" t="s">
        <v>1515</v>
      </c>
      <c r="GC27" s="126" t="s">
        <v>1516</v>
      </c>
      <c r="GD27" s="126" t="s">
        <v>1518</v>
      </c>
      <c r="GE27" s="126" t="s">
        <v>1517</v>
      </c>
      <c r="GF27" s="126" t="s">
        <v>1519</v>
      </c>
      <c r="GG27" s="126" t="s">
        <v>1520</v>
      </c>
      <c r="GH27" s="126" t="s">
        <v>1521</v>
      </c>
      <c r="GI27" s="126"/>
      <c r="GJ27" s="126" t="s">
        <v>1515</v>
      </c>
      <c r="GK27" s="126" t="s">
        <v>1516</v>
      </c>
      <c r="GL27" s="126" t="s">
        <v>1518</v>
      </c>
      <c r="GM27" s="126" t="s">
        <v>1517</v>
      </c>
      <c r="GN27" s="126" t="s">
        <v>1519</v>
      </c>
      <c r="GO27" s="126" t="s">
        <v>1520</v>
      </c>
      <c r="GP27" s="126" t="s">
        <v>1521</v>
      </c>
      <c r="GS27" s="17" t="s">
        <v>429</v>
      </c>
      <c r="GT27" s="74">
        <f t="shared" si="169"/>
        <v>0.14732142857142858</v>
      </c>
      <c r="GU27" s="74">
        <f t="shared" si="159"/>
        <v>0.17857142857142858</v>
      </c>
      <c r="GV27" s="74">
        <f t="shared" si="160"/>
        <v>0.39955357142857145</v>
      </c>
      <c r="GW27" s="74">
        <f t="shared" si="161"/>
        <v>0.27455357142857145</v>
      </c>
      <c r="GX27" s="74">
        <f t="shared" si="162"/>
        <v>1</v>
      </c>
      <c r="GY27" s="18">
        <f>SUM(GY23:GY26)</f>
        <v>66</v>
      </c>
      <c r="GZ27" s="18">
        <f t="shared" ref="GZ27" si="179">SUM(GZ23:GZ26)</f>
        <v>80</v>
      </c>
      <c r="HA27" s="18">
        <f t="shared" ref="HA27" si="180">SUM(HA23:HA26)</f>
        <v>179</v>
      </c>
      <c r="HB27" s="18">
        <f t="shared" ref="HB27" si="181">SUM(HB23:HB26)</f>
        <v>123</v>
      </c>
      <c r="HC27" s="18">
        <f t="shared" ref="HC27" si="182">SUM(HC23:HC26)</f>
        <v>448</v>
      </c>
      <c r="HE27" s="17" t="s">
        <v>1333</v>
      </c>
      <c r="HF27" s="74">
        <f t="shared" si="163"/>
        <v>1</v>
      </c>
      <c r="HG27" s="17">
        <f>+HL9</f>
        <v>81</v>
      </c>
    </row>
    <row r="28" spans="1:215" x14ac:dyDescent="0.25">
      <c r="A28" s="17" t="s">
        <v>1360</v>
      </c>
      <c r="C28" s="187" t="s">
        <v>431</v>
      </c>
      <c r="D28" s="187"/>
      <c r="E28" s="187"/>
      <c r="F28" s="187"/>
      <c r="G28" s="187"/>
      <c r="H28" s="187" t="s">
        <v>1338</v>
      </c>
      <c r="I28" s="187"/>
      <c r="J28" s="187"/>
      <c r="K28" s="187"/>
      <c r="L28" s="187"/>
      <c r="N28" s="75" t="s">
        <v>13</v>
      </c>
      <c r="O28" s="127">
        <f t="shared" si="171"/>
        <v>8.6419753086419748E-2</v>
      </c>
      <c r="P28" s="90">
        <f>COUNTIFS('ENCUESTA CONDUCTORES'!F$7:F$459,"X",'ENCUESTA CONDUCTORES'!$V$7:$V$459,"X")+COUNTIFS('ENCUESTA CONDUCTORES'!F$7:F$459,"X",'ENCUESTA CONDUCTORES'!$X$7:$X$459,"X")</f>
        <v>7</v>
      </c>
      <c r="Q28" s="127"/>
      <c r="R28" s="127"/>
      <c r="S28" s="127"/>
      <c r="T28" s="90"/>
      <c r="V28" s="90"/>
      <c r="W28" s="90"/>
      <c r="X28" s="19"/>
      <c r="Z28" s="17" t="s">
        <v>23</v>
      </c>
      <c r="AA28" s="76">
        <f>+AB28/$AB$31</f>
        <v>0.92307692307692313</v>
      </c>
      <c r="AB28" s="18">
        <f>COUNTIFS('ENCUESTA CONDUCTORES'!R$7:R$459,"X",'ENCUESTA CONDUCTORES'!$AL$7:$AL$459,"X")</f>
        <v>12</v>
      </c>
      <c r="AD28" s="76"/>
      <c r="AE28" s="76"/>
      <c r="AF28" s="18"/>
      <c r="AG28" s="18"/>
      <c r="AI28" s="18"/>
      <c r="AJ28" s="18"/>
      <c r="AN28" s="18">
        <f>+AN27+AN26</f>
        <v>428</v>
      </c>
      <c r="CB28" s="18"/>
      <c r="CC28" s="18"/>
      <c r="CD28" s="18"/>
      <c r="CE28" s="18"/>
      <c r="CF28" s="18">
        <f>+CF27+CF26</f>
        <v>19</v>
      </c>
      <c r="CG28" s="18"/>
      <c r="CH28" s="18"/>
      <c r="CI28" s="18"/>
      <c r="CJ28" s="18">
        <f>+CJ27+CJ26</f>
        <v>22</v>
      </c>
      <c r="CL28" s="17" t="s">
        <v>1423</v>
      </c>
      <c r="CM28" s="74">
        <f>+CN28/$CN$35</f>
        <v>0.18181818181818182</v>
      </c>
      <c r="CN28" s="18">
        <f>+CR16</f>
        <v>12</v>
      </c>
      <c r="CO28" s="74"/>
      <c r="CP28" s="74"/>
      <c r="CQ28" s="74"/>
      <c r="CS28" s="18"/>
      <c r="CT28" s="18"/>
      <c r="CU28" s="18"/>
      <c r="CV28" s="18"/>
      <c r="CX28" s="17" t="s">
        <v>193</v>
      </c>
      <c r="CY28" s="18"/>
      <c r="CZ28" s="18"/>
      <c r="DA28" s="18"/>
      <c r="DB28" s="18"/>
      <c r="DC28" s="18"/>
      <c r="DD28" s="18"/>
      <c r="DE28" s="18"/>
      <c r="DF28" s="18"/>
      <c r="DG28" s="18">
        <f>COUNTIFS('ENCUESTA CONDUCTORES'!$AL$7:$AL$459,"X",'ENCUESTA CONDUCTORES'!$DE$7:$DE$459,"&lt;1991",'ENCUESTA CONDUCTORES'!$AW$7:$AW$459,"NO SABE")</f>
        <v>0</v>
      </c>
      <c r="DH28" s="18">
        <f>COUNTIFS('ENCUESTA CONDUCTORES'!$AL$7:$AL$459,"X",'ENCUESTA CONDUCTORES'!$DE$7:$DE$459,"&lt;1994",'ENCUESTA CONDUCTORES'!$AW$7:$AW$459,"NO SABE")-DG28</f>
        <v>0</v>
      </c>
      <c r="DI28" s="18">
        <f>COUNTIFS('ENCUESTA CONDUCTORES'!$AL$7:$AL$459,"X",'ENCUESTA CONDUCTORES'!$DE$7:$DE$459,"&lt;1998",'ENCUESTA CONDUCTORES'!$AW$7:$AW$459,"NO SABE")-DH28-DG28</f>
        <v>0</v>
      </c>
      <c r="DJ28" s="18">
        <f>COUNTIFS('ENCUESTA CONDUCTORES'!$AL$7:$AL$459,"X",'ENCUESTA CONDUCTORES'!$DE$7:$DE$459,"&lt;2004",'ENCUESTA CONDUCTORES'!$AW$7:$AW$459,"NO SABE")-DI28-DH28-DG28</f>
        <v>1</v>
      </c>
      <c r="DK28" s="18">
        <f>COUNTIFS('ENCUESTA CONDUCTORES'!$AL$7:$AL$459,"X",'ENCUESTA CONDUCTORES'!$DE$7:$DE$459,"&lt;2007",'ENCUESTA CONDUCTORES'!$AW$7:$AW$459,"NO SABE")-DJ28-DI28-DH28-DG28</f>
        <v>0</v>
      </c>
      <c r="DL28" s="18">
        <f>COUNTIFS('ENCUESTA CONDUCTORES'!$AL$7:$AL$459,"X",'ENCUESTA CONDUCTORES'!$DE$7:$DE$459,"&lt;2011",'ENCUESTA CONDUCTORES'!$AW$7:$AW$459,"NO SABE")-DK28-DJ28-DI28-DH28-DG28</f>
        <v>0</v>
      </c>
      <c r="DM28" s="18">
        <f>COUNTIFS('ENCUESTA CONDUCTORES'!$AL$7:$AL$459,"X",'ENCUESTA CONDUCTORES'!$DE$7:$DE$459,"&gt;2010",'ENCUESTA CONDUCTORES'!$AW$7:$AW$459,"NO SABE")</f>
        <v>0</v>
      </c>
      <c r="DN28" s="18">
        <f t="shared" si="140"/>
        <v>1</v>
      </c>
      <c r="DO28" s="18"/>
      <c r="DQ28" s="17" t="s">
        <v>1427</v>
      </c>
      <c r="DR28" s="18"/>
      <c r="DS28" s="18"/>
      <c r="DU28" s="17" t="s">
        <v>1428</v>
      </c>
      <c r="DV28" s="18"/>
      <c r="DW28" s="18"/>
      <c r="DY28" s="17" t="s">
        <v>1429</v>
      </c>
      <c r="DZ28" s="18"/>
      <c r="EA28" s="18"/>
      <c r="EB28" s="18"/>
      <c r="EC28" s="18"/>
      <c r="ED28" s="18"/>
      <c r="EE28" s="18"/>
      <c r="EF28" s="18"/>
      <c r="EH28" s="17" t="s">
        <v>1473</v>
      </c>
      <c r="EI28" s="74">
        <f t="shared" si="164"/>
        <v>0</v>
      </c>
      <c r="EJ28" s="18">
        <f t="shared" si="165"/>
        <v>0</v>
      </c>
      <c r="ER28" s="17" t="s">
        <v>1473</v>
      </c>
      <c r="ES28" s="74">
        <f t="shared" si="166"/>
        <v>0.10091743119266056</v>
      </c>
      <c r="ET28" s="18">
        <f t="shared" si="167"/>
        <v>11</v>
      </c>
      <c r="EZ28" s="87" t="s">
        <v>429</v>
      </c>
      <c r="FA28" s="74">
        <f t="shared" si="141"/>
        <v>1</v>
      </c>
      <c r="FB28" s="18">
        <f t="shared" si="142"/>
        <v>66</v>
      </c>
      <c r="FT28" s="17" t="s">
        <v>1512</v>
      </c>
      <c r="FU28" s="74">
        <f t="shared" si="168"/>
        <v>7.6923076923076927E-2</v>
      </c>
      <c r="FV28" s="18">
        <f>COUNTIFS('ENCUESTA CONDUCTORES'!$R$7:$R$459,"X",'ENCUESTA CONDUCTORES'!$AU$7:$AU$459,"&gt;12500")</f>
        <v>1</v>
      </c>
      <c r="GA28" s="17" t="s">
        <v>1423</v>
      </c>
      <c r="GB28" s="74">
        <f>+GJ28/$GQ$35</f>
        <v>4.5576407506702415E-2</v>
      </c>
      <c r="GC28" s="74">
        <f t="shared" ref="GC28:GC35" si="183">+GK28/$GQ$35</f>
        <v>3.4852546916890083E-2</v>
      </c>
      <c r="GD28" s="74">
        <f t="shared" ref="GD28:GD35" si="184">+GL28/$GQ$35</f>
        <v>0</v>
      </c>
      <c r="GE28" s="74">
        <f t="shared" ref="GE28:GE35" si="185">+GM28/$GQ$35</f>
        <v>8.0428954423592495E-3</v>
      </c>
      <c r="GF28" s="74">
        <f t="shared" ref="GF28:GF35" si="186">+GN28/$GQ$35</f>
        <v>8.0428954423592495E-3</v>
      </c>
      <c r="GG28" s="74">
        <f t="shared" ref="GG28:GG35" si="187">+GO28/$GQ$35</f>
        <v>5.3619302949061663E-3</v>
      </c>
      <c r="GH28" s="74">
        <f t="shared" ref="GH28:GH35" si="188">+GP28/$GQ$35</f>
        <v>2.1447721179624665E-2</v>
      </c>
      <c r="GI28" s="74">
        <f t="shared" ref="GI28:GI35" si="189">+GQ28/$GQ$35</f>
        <v>0.12332439678284182</v>
      </c>
      <c r="GJ28" s="18">
        <f>COUNTIFS('ENCUESTA CONDUCTORES'!$DE$7:$DE$459,"&lt;1991",'ENCUESTA CONDUCTORES'!$BF$7:$BF$459,"&lt;10000")</f>
        <v>17</v>
      </c>
      <c r="GK28" s="18">
        <f>COUNTIFS('ENCUESTA CONDUCTORES'!$DE$7:$DE$459,"&lt;1991",'ENCUESTA CONDUCTORES'!$BF$7:$BF$459,"&lt;15001")-GJ28</f>
        <v>13</v>
      </c>
      <c r="GL28" s="18">
        <f>COUNTIFS('ENCUESTA CONDUCTORES'!$DE$7:$DE$459,"&lt;1991",'ENCUESTA CONDUCTORES'!$BF$7:$BF$459,"&lt;20001")-GK28-GJ28</f>
        <v>0</v>
      </c>
      <c r="GM28" s="18">
        <f>COUNTIFS('ENCUESTA CONDUCTORES'!$DE$7:$DE$459,"&lt;1991",'ENCUESTA CONDUCTORES'!$BF$7:$BF$459,"&lt;25001")-GL28-GK28-GJ28</f>
        <v>3</v>
      </c>
      <c r="GN28" s="18">
        <f>COUNTIFS('ENCUESTA CONDUCTORES'!$DE$7:$DE$459,"&lt;1991",'ENCUESTA CONDUCTORES'!$BF$7:$BF$459,"&lt;30001")-GM28-GL28-GK28-GJ28</f>
        <v>3</v>
      </c>
      <c r="GO28" s="18">
        <f>COUNTIFS('ENCUESTA CONDUCTORES'!$DE$7:$DE$459,"&lt;1991",'ENCUESTA CONDUCTORES'!$BF$7:$BF$459,"&lt;40001")-GN28-GM28-GL28-GK28-GJ28</f>
        <v>2</v>
      </c>
      <c r="GP28" s="18">
        <f>COUNTIFS('ENCUESTA CONDUCTORES'!$DE$7:$DE$459,"&lt;1991",'ENCUESTA CONDUCTORES'!$BF$7:$BF$459,"&gt;40000")</f>
        <v>8</v>
      </c>
      <c r="GQ28" s="18">
        <f t="shared" ref="GQ28:GQ34" si="190">SUM(GJ28:GP28)</f>
        <v>46</v>
      </c>
      <c r="HC28" s="18">
        <f>SUM(GY27:HB27)</f>
        <v>448</v>
      </c>
    </row>
    <row r="29" spans="1:215" x14ac:dyDescent="0.25">
      <c r="B29" s="17" t="s">
        <v>1361</v>
      </c>
      <c r="C29" s="18" t="s">
        <v>4</v>
      </c>
      <c r="D29" s="18" t="s">
        <v>5</v>
      </c>
      <c r="E29" s="18" t="s">
        <v>6</v>
      </c>
      <c r="F29" s="18" t="s">
        <v>7</v>
      </c>
      <c r="H29" s="18" t="s">
        <v>4</v>
      </c>
      <c r="I29" s="18" t="s">
        <v>5</v>
      </c>
      <c r="J29" s="18" t="s">
        <v>6</v>
      </c>
      <c r="K29" s="18" t="s">
        <v>7</v>
      </c>
      <c r="N29" s="75" t="s">
        <v>14</v>
      </c>
      <c r="O29" s="127">
        <f t="shared" si="171"/>
        <v>0.1111111111111111</v>
      </c>
      <c r="P29" s="90">
        <f>COUNTIFS('ENCUESTA CONDUCTORES'!F$7:F$459,"X",'ENCUESTA CONDUCTORES'!$Y$7:$Y$459,"X")</f>
        <v>9</v>
      </c>
      <c r="Q29" s="127"/>
      <c r="R29" s="127"/>
      <c r="S29" s="127"/>
      <c r="T29" s="90"/>
      <c r="V29" s="90"/>
      <c r="W29" s="90"/>
      <c r="X29" s="19"/>
      <c r="Z29" s="17" t="s">
        <v>21</v>
      </c>
      <c r="AA29" s="76">
        <f>+AB29/$AB$31</f>
        <v>7.6923076923076927E-2</v>
      </c>
      <c r="AB29" s="18">
        <f>COUNTIFS('ENCUESTA CONDUCTORES'!R$7:R$459,"X",'ENCUESTA CONDUCTORES'!$AJ$7:$AJ$459,"X")</f>
        <v>1</v>
      </c>
      <c r="AD29" s="76"/>
      <c r="AE29" s="76"/>
      <c r="AF29" s="18"/>
      <c r="AG29" s="18"/>
      <c r="AI29" s="18"/>
      <c r="AJ29" s="18"/>
      <c r="CB29" s="18"/>
      <c r="CC29" s="18"/>
      <c r="CD29" s="18"/>
      <c r="CE29" s="18"/>
      <c r="CF29" s="18"/>
      <c r="CG29" s="18"/>
      <c r="CH29" s="18"/>
      <c r="CI29" s="18"/>
      <c r="CJ29" s="18">
        <f>SUM(CJ19:CJ25)</f>
        <v>22</v>
      </c>
      <c r="CL29" s="17" t="s">
        <v>1424</v>
      </c>
      <c r="CM29" s="74">
        <f t="shared" ref="CM29:CM35" si="191">+CN29/$CN$35</f>
        <v>0</v>
      </c>
      <c r="CN29" s="18">
        <f t="shared" ref="CN29:CN35" si="192">+CR17</f>
        <v>0</v>
      </c>
      <c r="CO29" s="74"/>
      <c r="CP29" s="74"/>
      <c r="CQ29" s="74"/>
      <c r="CS29" s="18"/>
      <c r="CT29" s="18"/>
      <c r="CU29" s="18"/>
      <c r="CV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>
        <f>+DN28+DN27</f>
        <v>428</v>
      </c>
      <c r="DO29" s="18"/>
      <c r="DP29" s="18" t="s">
        <v>468</v>
      </c>
      <c r="DQ29" s="74">
        <f>+DR29/$DR$36</f>
        <v>0</v>
      </c>
      <c r="DR29" s="19">
        <f>+EC5</f>
        <v>0</v>
      </c>
      <c r="DS29" s="18"/>
      <c r="DT29" s="18" t="s">
        <v>468</v>
      </c>
      <c r="DU29" s="74">
        <f>+DV29/$DV$36</f>
        <v>0.13207547169811321</v>
      </c>
      <c r="DV29" s="19">
        <f>+ED5</f>
        <v>14</v>
      </c>
      <c r="DW29" s="18"/>
      <c r="DX29" s="18" t="s">
        <v>468</v>
      </c>
      <c r="DY29" s="74">
        <f>+DZ29/$DZ$36</f>
        <v>0.58139534883720934</v>
      </c>
      <c r="DZ29" s="19">
        <f>+EE5</f>
        <v>25</v>
      </c>
      <c r="EA29" s="18"/>
      <c r="EB29" s="18"/>
      <c r="EC29" s="18"/>
      <c r="ED29" s="18"/>
      <c r="EE29" s="18"/>
      <c r="EF29" s="18"/>
      <c r="EH29" s="17" t="s">
        <v>1333</v>
      </c>
      <c r="EI29" s="74">
        <f t="shared" si="164"/>
        <v>1</v>
      </c>
      <c r="EJ29" s="18">
        <f t="shared" si="165"/>
        <v>9</v>
      </c>
      <c r="ER29" s="17" t="s">
        <v>1333</v>
      </c>
      <c r="ES29" s="74">
        <f t="shared" si="166"/>
        <v>1</v>
      </c>
      <c r="ET29" s="18">
        <f t="shared" si="167"/>
        <v>109</v>
      </c>
      <c r="FT29" s="17" t="s">
        <v>1333</v>
      </c>
      <c r="FU29" s="74">
        <f t="shared" si="168"/>
        <v>1</v>
      </c>
      <c r="FV29" s="18">
        <f>SUM(FV23:FV28)</f>
        <v>13</v>
      </c>
      <c r="GA29" s="17" t="s">
        <v>1424</v>
      </c>
      <c r="GB29" s="74">
        <f t="shared" ref="GB29:GB35" si="193">+GJ29/$GQ$35</f>
        <v>8.0428954423592495E-3</v>
      </c>
      <c r="GC29" s="74">
        <f t="shared" si="183"/>
        <v>8.0428954423592495E-3</v>
      </c>
      <c r="GD29" s="74">
        <f t="shared" si="184"/>
        <v>2.6809651474530832E-3</v>
      </c>
      <c r="GE29" s="74">
        <f t="shared" si="185"/>
        <v>0</v>
      </c>
      <c r="GF29" s="74">
        <f t="shared" si="186"/>
        <v>0</v>
      </c>
      <c r="GG29" s="74">
        <f t="shared" si="187"/>
        <v>0</v>
      </c>
      <c r="GH29" s="74">
        <f t="shared" si="188"/>
        <v>2.6809651474530832E-3</v>
      </c>
      <c r="GI29" s="74">
        <f t="shared" si="189"/>
        <v>2.1447721179624665E-2</v>
      </c>
      <c r="GJ29" s="18">
        <f>COUNTIFS('ENCUESTA CONDUCTORES'!$DE$7:$DE$459,"&lt;1994",'ENCUESTA CONDUCTORES'!$BF$7:$BF$459,"&lt;10000")-GJ28</f>
        <v>3</v>
      </c>
      <c r="GK29" s="18">
        <f>COUNTIFS('ENCUESTA CONDUCTORES'!$DE$7:$DE$459,"&lt;1994",'ENCUESTA CONDUCTORES'!$BF$7:$BF$459,"&lt;15001")-GJ29-GK28-GJ28</f>
        <v>3</v>
      </c>
      <c r="GL29" s="18">
        <f>COUNTIFS('ENCUESTA CONDUCTORES'!$DE$7:$DE$459,"&lt;1994",'ENCUESTA CONDUCTORES'!$BF$7:$BF$459,"&lt;20001")-GK29-GJ29-GL28-GK28-GJ28</f>
        <v>1</v>
      </c>
      <c r="GM29" s="18">
        <f>COUNTIFS('ENCUESTA CONDUCTORES'!$DE$7:$DE$459,"&lt;1994",'ENCUESTA CONDUCTORES'!$BF$7:$BF$459,"&lt;25001")-GL29-GK29-GJ29-GM28-GL28-GK28-GJ28</f>
        <v>0</v>
      </c>
      <c r="GN29" s="18">
        <f>COUNTIFS('ENCUESTA CONDUCTORES'!$DE$7:$DE$459,"&lt;1994",'ENCUESTA CONDUCTORES'!$BF$7:$BF$459,"&lt;30001")-GM29-GL29-GK29-GJ29-GN28-GM28-GL28-GK28-GJ28</f>
        <v>0</v>
      </c>
      <c r="GO29" s="18">
        <f>COUNTIFS('ENCUESTA CONDUCTORES'!$DE$7:$DE$459,"&lt;1994",'ENCUESTA CONDUCTORES'!$BF$7:$BF$459,"&lt;40001")-GN29-GM29-GL29-GK29-GJ29-GO28-GN28-GM28-GL28-GK28-GJ28</f>
        <v>0</v>
      </c>
      <c r="GP29" s="18">
        <f>COUNTIFS('ENCUESTA CONDUCTORES'!$DE$7:$DE$459,"&lt;1994",'ENCUESTA CONDUCTORES'!$BF$7:$BF$459,"&gt;40000")-GP28</f>
        <v>1</v>
      </c>
      <c r="GQ29" s="18">
        <f t="shared" si="190"/>
        <v>8</v>
      </c>
      <c r="HE29" s="17" t="s">
        <v>1554</v>
      </c>
    </row>
    <row r="30" spans="1:215" x14ac:dyDescent="0.25">
      <c r="B30" s="75" t="s">
        <v>48</v>
      </c>
      <c r="C30" s="74">
        <f>H30/$L$38</f>
        <v>2.7149321266968326E-2</v>
      </c>
      <c r="D30" s="74">
        <f t="shared" ref="D30:D38" si="194">I30/$L$38</f>
        <v>4.072398190045249E-2</v>
      </c>
      <c r="E30" s="74">
        <f t="shared" ref="E30:E38" si="195">J30/$L$38</f>
        <v>3.0165912518853697E-3</v>
      </c>
      <c r="F30" s="74">
        <f t="shared" ref="F30:F38" si="196">K30/$L$38</f>
        <v>4.9773755656108594E-2</v>
      </c>
      <c r="G30" s="74">
        <f t="shared" ref="G30:G38" si="197">L30/$L$38</f>
        <v>0.12066365007541478</v>
      </c>
      <c r="H30" s="90">
        <f>COUNTIFS('ENCUESTA CONDUCTORES'!P$7:P$459,"X",'ENCUESTA CONDUCTORES'!$BJ$7:$BJ$459,"X")</f>
        <v>18</v>
      </c>
      <c r="I30" s="90">
        <f>COUNTIFS('ENCUESTA CONDUCTORES'!Q$7:Q$459,"X",'ENCUESTA CONDUCTORES'!$BJ$7:$BJ$459,"X")</f>
        <v>27</v>
      </c>
      <c r="J30" s="90">
        <f>COUNTIFS('ENCUESTA CONDUCTORES'!R$7:R$459,"X",'ENCUESTA CONDUCTORES'!$BJ$7:$BJ$459,"X")</f>
        <v>2</v>
      </c>
      <c r="K30" s="90">
        <f>COUNTIFS('ENCUESTA CONDUCTORES'!S$7:S$459,"X",'ENCUESTA CONDUCTORES'!$BJ$7:$BJ$459,"X")</f>
        <v>33</v>
      </c>
      <c r="L30" s="19">
        <f>SUM(H30:K30)</f>
        <v>80</v>
      </c>
      <c r="N30" s="75" t="s">
        <v>1353</v>
      </c>
      <c r="O30" s="127">
        <f t="shared" si="171"/>
        <v>2.4691358024691357E-2</v>
      </c>
      <c r="P30" s="90">
        <f>COUNTIFS('ENCUESTA CONDUCTORES'!F$7:F$459,"X",'ENCUESTA CONDUCTORES'!$AA$7:$AA$459,"X")+COUNTIFS('ENCUESTA CONDUCTORES'!F$7:F$459,"X",'ENCUESTA CONDUCTORES'!$AE$7:$AE$459,"X")</f>
        <v>2</v>
      </c>
      <c r="Q30" s="127"/>
      <c r="R30" s="127"/>
      <c r="S30" s="127"/>
      <c r="T30" s="90"/>
      <c r="V30" s="90"/>
      <c r="W30" s="90"/>
      <c r="X30" s="19"/>
      <c r="Z30" s="17" t="s">
        <v>22</v>
      </c>
      <c r="AA30" s="76">
        <f>+AB30/$AB$31</f>
        <v>0</v>
      </c>
      <c r="AB30" s="18">
        <f>COUNTIFS('ENCUESTA CONDUCTORES'!R$7:R$459,"X",'ENCUESTA CONDUCTORES'!$AK$7:$AK$459,"X")</f>
        <v>0</v>
      </c>
      <c r="AD30" s="76"/>
      <c r="AE30" s="76"/>
      <c r="AF30" s="18"/>
      <c r="AG30" s="18"/>
      <c r="AI30" s="18"/>
      <c r="AJ30" s="18"/>
      <c r="AL30" s="57" t="s">
        <v>1388</v>
      </c>
      <c r="AS30" s="17" t="s">
        <v>1392</v>
      </c>
      <c r="CL30" s="17" t="s">
        <v>1425</v>
      </c>
      <c r="CM30" s="74">
        <f t="shared" si="191"/>
        <v>0.10606060606060606</v>
      </c>
      <c r="CN30" s="18">
        <f t="shared" si="192"/>
        <v>7</v>
      </c>
      <c r="CO30" s="74"/>
      <c r="CP30" s="74"/>
      <c r="CQ30" s="74"/>
      <c r="CS30" s="18"/>
      <c r="CT30" s="18"/>
      <c r="CU30" s="18"/>
      <c r="CV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>
        <f>SUM(DG27:DM27)</f>
        <v>427</v>
      </c>
      <c r="DO30" s="18"/>
      <c r="DP30" s="18" t="s">
        <v>1458</v>
      </c>
      <c r="DQ30" s="74">
        <f t="shared" ref="DQ30:DQ36" si="198">+DR30/$DR$36</f>
        <v>0.13580246913580246</v>
      </c>
      <c r="DR30" s="19">
        <f t="shared" ref="DR30:DR36" si="199">+EC6</f>
        <v>11</v>
      </c>
      <c r="DS30" s="18"/>
      <c r="DT30" s="18" t="s">
        <v>1458</v>
      </c>
      <c r="DU30" s="74">
        <f t="shared" ref="DU30:DU36" si="200">+DV30/$DV$36</f>
        <v>0.31132075471698112</v>
      </c>
      <c r="DV30" s="19">
        <f t="shared" ref="DV30:DV36" si="201">+ED6</f>
        <v>33</v>
      </c>
      <c r="DW30" s="18"/>
      <c r="DX30" s="18" t="s">
        <v>1458</v>
      </c>
      <c r="DY30" s="74">
        <f t="shared" ref="DY30:DY36" si="202">+DZ30/$DZ$36</f>
        <v>0.39534883720930231</v>
      </c>
      <c r="DZ30" s="19">
        <f t="shared" ref="DZ30:DZ36" si="203">+EE6</f>
        <v>17</v>
      </c>
      <c r="EA30" s="18"/>
      <c r="EB30" s="18"/>
      <c r="EC30" s="18"/>
      <c r="ED30" s="18"/>
      <c r="EE30" s="18"/>
      <c r="EF30" s="18"/>
      <c r="EZ30" s="21" t="s">
        <v>1494</v>
      </c>
      <c r="FT30" s="17" t="s">
        <v>632</v>
      </c>
      <c r="FU30" s="74">
        <f t="shared" si="168"/>
        <v>0</v>
      </c>
      <c r="FV30" s="18">
        <f>COUNTIFS('ENCUESTA CONDUCTORES'!$R$7:$R$459,"X",'ENCUESTA CONDUCTORES'!$AU$7:$AU$459,"NO SABE")+COUNTIFS('ENCUESTA CONDUCTORES'!$R$7:$R$459,"X",'ENCUESTA CONDUCTORES'!$AU$7:$AU$459,"NO CONTESTA")+COUNTIFS('ENCUESTA CONDUCTORES'!$R$7:$R$459,"X",'ENCUESTA CONDUCTORES'!$AU$7:$AU$459,"VARIABLE")</f>
        <v>0</v>
      </c>
      <c r="GA30" s="17" t="s">
        <v>1425</v>
      </c>
      <c r="GB30" s="74">
        <f t="shared" si="193"/>
        <v>1.876675603217158E-2</v>
      </c>
      <c r="GC30" s="74">
        <f t="shared" si="183"/>
        <v>1.6085790884718499E-2</v>
      </c>
      <c r="GD30" s="74">
        <f t="shared" si="184"/>
        <v>1.0723860589812333E-2</v>
      </c>
      <c r="GE30" s="74">
        <f t="shared" si="185"/>
        <v>5.3619302949061663E-3</v>
      </c>
      <c r="GF30" s="74">
        <f t="shared" si="186"/>
        <v>2.6809651474530832E-3</v>
      </c>
      <c r="GG30" s="74">
        <f t="shared" si="187"/>
        <v>0</v>
      </c>
      <c r="GH30" s="74">
        <f t="shared" si="188"/>
        <v>1.0723860589812333E-2</v>
      </c>
      <c r="GI30" s="74">
        <f t="shared" si="189"/>
        <v>6.4343163538873996E-2</v>
      </c>
      <c r="GJ30" s="18">
        <f>COUNTIFS('ENCUESTA CONDUCTORES'!$DE$7:$DE$459,"&lt;1998",'ENCUESTA CONDUCTORES'!$BF$7:$BF$459,"&lt;10000")-GJ29-GJ28</f>
        <v>7</v>
      </c>
      <c r="GK30" s="18">
        <f>COUNTIFS('ENCUESTA CONDUCTORES'!$DE$7:$DE$459,"&lt;1998",'ENCUESTA CONDUCTORES'!$BF$7:$BF$459,"&lt;15001")-GJ30-GK29-GJ29-GK28-GJ28</f>
        <v>6</v>
      </c>
      <c r="GL30" s="18">
        <f>COUNTIFS('ENCUESTA CONDUCTORES'!$DE$7:$DE$459,"&lt;1998",'ENCUESTA CONDUCTORES'!$BF$7:$BF$459,"&lt;20001")-GK30-GJ30-GL29-GK29-GJ29-GL28-GK28-GJ28</f>
        <v>4</v>
      </c>
      <c r="GM30" s="18">
        <f>COUNTIFS('ENCUESTA CONDUCTORES'!$DE$7:$DE$459,"&lt;1998",'ENCUESTA CONDUCTORES'!$BF$7:$BF$459,"&lt;25001")-GL30-GK30-GJ30-GM29-GL29-GK29-GJ29-GM28-GL28-GK28-GJ28</f>
        <v>2</v>
      </c>
      <c r="GN30" s="18">
        <f>COUNTIFS('ENCUESTA CONDUCTORES'!$DE$7:$DE$459,"&lt;1998",'ENCUESTA CONDUCTORES'!$BF$7:$BF$459,"&lt;30001")-GM30-GL30-GK30-GJ30-GN29-GM29-GL29-GK29-GJ29-GN28-GM28-GL28-GK28-GJ28</f>
        <v>1</v>
      </c>
      <c r="GO30" s="18">
        <f>COUNTIFS('ENCUESTA CONDUCTORES'!$DE$7:$DE$459,"&lt;1998",'ENCUESTA CONDUCTORES'!$BF$7:$BF$459,"&lt;40001")-GN30-GM30-GL30-GK30-GJ30-GO29-GN29-GM29-GL29-GK29-GJ29-GO28-GN28-GM28-GL28-GK28-GJ28</f>
        <v>0</v>
      </c>
      <c r="GP30" s="18">
        <f>COUNTIFS('ENCUESTA CONDUCTORES'!$DE$7:$DE$459,"&lt;1998",'ENCUESTA CONDUCTORES'!$BF$7:$BF$459,"&gt;40000")-GP29-GP28</f>
        <v>4</v>
      </c>
      <c r="GQ30" s="18">
        <f t="shared" si="190"/>
        <v>24</v>
      </c>
      <c r="GS30" s="17" t="s">
        <v>1546</v>
      </c>
      <c r="HF30" s="17" t="s">
        <v>1336</v>
      </c>
    </row>
    <row r="31" spans="1:215" x14ac:dyDescent="0.25">
      <c r="B31" s="75" t="s">
        <v>49</v>
      </c>
      <c r="C31" s="74">
        <f t="shared" ref="C31:C38" si="204">H31/$L$38</f>
        <v>1.6591251885369532E-2</v>
      </c>
      <c r="D31" s="74">
        <f t="shared" si="194"/>
        <v>2.8657616892911009E-2</v>
      </c>
      <c r="E31" s="74">
        <f t="shared" si="195"/>
        <v>1.5082956259426848E-3</v>
      </c>
      <c r="F31" s="74">
        <f t="shared" si="196"/>
        <v>6.1840120663650078E-2</v>
      </c>
      <c r="G31" s="74">
        <f t="shared" si="197"/>
        <v>0.10859728506787331</v>
      </c>
      <c r="H31" s="90">
        <f>COUNTIFS('ENCUESTA CONDUCTORES'!P$7:P$459,"X",'ENCUESTA CONDUCTORES'!$BK$7:$BK$459,"X")</f>
        <v>11</v>
      </c>
      <c r="I31" s="90">
        <f>COUNTIFS('ENCUESTA CONDUCTORES'!Q$7:Q$459,"X",'ENCUESTA CONDUCTORES'!$BK$7:$BK$459,"X")</f>
        <v>19</v>
      </c>
      <c r="J31" s="90">
        <f>COUNTIFS('ENCUESTA CONDUCTORES'!R$7:R$459,"X",'ENCUESTA CONDUCTORES'!$BK$7:$BK$459,"X")</f>
        <v>1</v>
      </c>
      <c r="K31" s="90">
        <f>COUNTIFS('ENCUESTA CONDUCTORES'!S$7:S$459,"X",'ENCUESTA CONDUCTORES'!$BK$7:$BK$459,"X")</f>
        <v>41</v>
      </c>
      <c r="L31" s="19">
        <f t="shared" ref="L31:L40" si="205">SUM(H31:K31)</f>
        <v>72</v>
      </c>
      <c r="N31" s="75" t="s">
        <v>1354</v>
      </c>
      <c r="O31" s="127">
        <f t="shared" si="171"/>
        <v>0.16049382716049382</v>
      </c>
      <c r="P31" s="90">
        <f>COUNTIFS('ENCUESTA CONDUCTORES'!F$7:F$459,"X",'ENCUESTA CONDUCTORES'!$AD$7:$AD$459,"X")+COUNTIFS('ENCUESTA CONDUCTORES'!F$7:F$459,"X",'ENCUESTA CONDUCTORES'!$AF$7:$AF$459,"X")</f>
        <v>13</v>
      </c>
      <c r="Q31" s="127"/>
      <c r="R31" s="127"/>
      <c r="S31" s="127"/>
      <c r="T31" s="90"/>
      <c r="V31" s="90"/>
      <c r="W31" s="90"/>
      <c r="X31" s="19"/>
      <c r="Z31" s="17" t="s">
        <v>429</v>
      </c>
      <c r="AA31" s="76">
        <f>+AB31/$AB$31</f>
        <v>1</v>
      </c>
      <c r="AB31" s="18">
        <f>SUM(AB28:AB30)</f>
        <v>13</v>
      </c>
      <c r="AD31" s="76"/>
      <c r="AE31" s="76"/>
      <c r="AF31" s="18"/>
      <c r="AG31" s="18"/>
      <c r="AI31" s="18"/>
      <c r="AJ31" s="18"/>
      <c r="AM31" s="18" t="s">
        <v>4</v>
      </c>
      <c r="AN31" s="18" t="s">
        <v>5</v>
      </c>
      <c r="AO31" s="18" t="s">
        <v>6</v>
      </c>
      <c r="AP31" s="18" t="s">
        <v>7</v>
      </c>
      <c r="AQ31" s="18"/>
      <c r="AR31" s="18" t="s">
        <v>4</v>
      </c>
      <c r="AS31" s="18" t="s">
        <v>5</v>
      </c>
      <c r="AT31" s="18" t="s">
        <v>6</v>
      </c>
      <c r="AU31" s="18" t="s">
        <v>7</v>
      </c>
      <c r="AV31" s="18"/>
      <c r="CL31" s="17" t="s">
        <v>1426</v>
      </c>
      <c r="CM31" s="74">
        <f t="shared" si="191"/>
        <v>0.36363636363636365</v>
      </c>
      <c r="CN31" s="18">
        <f t="shared" si="192"/>
        <v>24</v>
      </c>
      <c r="CO31" s="74"/>
      <c r="CP31" s="74"/>
      <c r="CQ31" s="74"/>
      <c r="CS31" s="18"/>
      <c r="CT31" s="18"/>
      <c r="CU31" s="18"/>
      <c r="CV31" s="18"/>
      <c r="CX31" s="57" t="s">
        <v>1443</v>
      </c>
      <c r="DO31" s="18"/>
      <c r="DP31" s="18" t="s">
        <v>464</v>
      </c>
      <c r="DQ31" s="74">
        <f t="shared" si="198"/>
        <v>0.76543209876543206</v>
      </c>
      <c r="DR31" s="19">
        <f t="shared" si="199"/>
        <v>62</v>
      </c>
      <c r="DS31" s="18"/>
      <c r="DT31" s="18" t="s">
        <v>464</v>
      </c>
      <c r="DU31" s="74">
        <f t="shared" si="200"/>
        <v>0.50943396226415094</v>
      </c>
      <c r="DV31" s="19">
        <f t="shared" si="201"/>
        <v>54</v>
      </c>
      <c r="DW31" s="18"/>
      <c r="DX31" s="18" t="s">
        <v>464</v>
      </c>
      <c r="DY31" s="74">
        <f t="shared" si="202"/>
        <v>2.3255813953488372E-2</v>
      </c>
      <c r="DZ31" s="19">
        <f t="shared" si="203"/>
        <v>1</v>
      </c>
      <c r="EA31" s="18"/>
      <c r="EB31" s="18"/>
      <c r="EC31" s="18"/>
      <c r="ED31" s="18"/>
      <c r="EE31" s="18"/>
      <c r="EF31" s="18"/>
      <c r="EH31" s="17" t="s">
        <v>1476</v>
      </c>
      <c r="EI31" s="18"/>
      <c r="EJ31" s="18"/>
      <c r="ER31" s="17" t="s">
        <v>1480</v>
      </c>
      <c r="ES31" s="18"/>
      <c r="ET31" s="18"/>
      <c r="FB31" s="90" t="str">
        <f>+FG4</f>
        <v>DOS UNIDADES</v>
      </c>
      <c r="GA31" s="17" t="s">
        <v>1426</v>
      </c>
      <c r="GB31" s="74">
        <f t="shared" si="193"/>
        <v>3.2171581769436998E-2</v>
      </c>
      <c r="GC31" s="74">
        <f t="shared" si="183"/>
        <v>6.1662198391420911E-2</v>
      </c>
      <c r="GD31" s="74">
        <f t="shared" si="184"/>
        <v>1.6085790884718499E-2</v>
      </c>
      <c r="GE31" s="74">
        <f t="shared" si="185"/>
        <v>1.3404825737265416E-2</v>
      </c>
      <c r="GF31" s="74">
        <f t="shared" si="186"/>
        <v>8.0428954423592495E-3</v>
      </c>
      <c r="GG31" s="74">
        <f t="shared" si="187"/>
        <v>1.0723860589812333E-2</v>
      </c>
      <c r="GH31" s="74">
        <f t="shared" si="188"/>
        <v>8.5790884718498661E-2</v>
      </c>
      <c r="GI31" s="74">
        <f t="shared" si="189"/>
        <v>0.22788203753351208</v>
      </c>
      <c r="GJ31" s="18">
        <f>COUNTIFS('ENCUESTA CONDUCTORES'!$DE$7:$DE$459,"&lt;2004",'ENCUESTA CONDUCTORES'!$BF$7:$BF$459,"&lt;10000")-GJ30-GJ29-GJ28</f>
        <v>12</v>
      </c>
      <c r="GK31" s="18">
        <f>COUNTIFS('ENCUESTA CONDUCTORES'!$DE$7:$DE$459,"&lt;2004",'ENCUESTA CONDUCTORES'!$BF$7:$BF$459,"&lt;15001")-GJ31-GK30-GJ30-GK29-GJ29-GK28-GJ28</f>
        <v>23</v>
      </c>
      <c r="GL31" s="18">
        <f>COUNTIFS('ENCUESTA CONDUCTORES'!$DE$7:$DE$459,"&lt;2004",'ENCUESTA CONDUCTORES'!$BF$7:$BF$459,"&lt;20001")-GK31-GJ31-GL30-GK30-GJ30-GL29-GK29-GJ29-GL28-GK28-GJ28</f>
        <v>6</v>
      </c>
      <c r="GM31" s="18">
        <f>COUNTIFS('ENCUESTA CONDUCTORES'!$DE$7:$DE$459,"&lt;2004",'ENCUESTA CONDUCTORES'!$BF$7:$BF$459,"&lt;25001")-GL31-GK31-GJ31-GM30-GL30-GK30-GJ30-GM29-GL29-GK29-GJ29-GM28-GL28-GK28-GJ28</f>
        <v>5</v>
      </c>
      <c r="GN31" s="18">
        <f>COUNTIFS('ENCUESTA CONDUCTORES'!$DE$7:$DE$459,"&lt;2004",'ENCUESTA CONDUCTORES'!$BF$7:$BF$459,"&lt;30001")-GM31-GL31-GK31-GJ31-GN30-GM30-GL30-GK30-GJ30-GN29-GM29-GL29-GK29-GJ29-GN28-GM28-GL28-GK28-GJ28</f>
        <v>3</v>
      </c>
      <c r="GO31" s="18">
        <f>COUNTIFS('ENCUESTA CONDUCTORES'!$DE$7:$DE$459,"&lt;2004",'ENCUESTA CONDUCTORES'!$BF$7:$BF$459,"&lt;40001")-GN31-GM31-GL31-GK31-GJ31-GO30-GN30-GM30-GL30-GK30-GJ30-GO29-GN29-GM29-GL29-GK29-GJ29-GO28-GN28-GM28-GL28-GK28-GJ28</f>
        <v>4</v>
      </c>
      <c r="GP31" s="18">
        <f>COUNTIFS('ENCUESTA CONDUCTORES'!$DE$7:$DE$459,"&lt;2004",'ENCUESTA CONDUCTORES'!$BF$7:$BF$459,"&gt;40000")-GP30-GP29-GP28</f>
        <v>32</v>
      </c>
      <c r="GQ31" s="18">
        <f t="shared" si="190"/>
        <v>85</v>
      </c>
      <c r="GT31" s="17" t="s">
        <v>425</v>
      </c>
      <c r="GU31" s="17" t="s">
        <v>426</v>
      </c>
      <c r="GV31" s="17" t="s">
        <v>1336</v>
      </c>
      <c r="GW31" s="17" t="s">
        <v>1337</v>
      </c>
      <c r="GY31" s="17" t="s">
        <v>425</v>
      </c>
      <c r="GZ31" s="17" t="s">
        <v>426</v>
      </c>
      <c r="HA31" s="17" t="s">
        <v>1336</v>
      </c>
      <c r="HB31" s="17" t="s">
        <v>1337</v>
      </c>
      <c r="HE31" s="17" t="s">
        <v>1484</v>
      </c>
      <c r="HF31" s="74">
        <f>+HM4/$HM$9</f>
        <v>0.67582417582417587</v>
      </c>
    </row>
    <row r="32" spans="1:215" x14ac:dyDescent="0.25">
      <c r="B32" s="75" t="s">
        <v>1356</v>
      </c>
      <c r="C32" s="74">
        <f t="shared" si="204"/>
        <v>3.1674208144796379E-2</v>
      </c>
      <c r="D32" s="74">
        <f t="shared" si="194"/>
        <v>1.9607843137254902E-2</v>
      </c>
      <c r="E32" s="74">
        <f t="shared" si="195"/>
        <v>0</v>
      </c>
      <c r="F32" s="74">
        <f t="shared" si="196"/>
        <v>6.7873303167420809E-2</v>
      </c>
      <c r="G32" s="74">
        <f t="shared" si="197"/>
        <v>0.1191553544494721</v>
      </c>
      <c r="H32" s="90">
        <f>COUNTIFS('ENCUESTA CONDUCTORES'!P$7:P$459,"X",'ENCUESTA CONDUCTORES'!$BL$7:$BL$459,"X")+COUNTIFS('ENCUESTA CONDUCTORES'!P$7:P$459,"X",'ENCUESTA CONDUCTORES'!$BR$7:$BR$459,"X")</f>
        <v>21</v>
      </c>
      <c r="I32" s="90">
        <f>COUNTIFS('ENCUESTA CONDUCTORES'!Q$7:Q$459,"X",'ENCUESTA CONDUCTORES'!$BL$7:$BL$459,"X")+COUNTIFS('ENCUESTA CONDUCTORES'!Q$7:Q$459,"X",'ENCUESTA CONDUCTORES'!$BR$7:$BR$459,"X")</f>
        <v>13</v>
      </c>
      <c r="J32" s="90">
        <f>COUNTIFS('ENCUESTA CONDUCTORES'!R$7:R$459,"X",'ENCUESTA CONDUCTORES'!$BL$7:$BL$459,"X")+COUNTIFS('ENCUESTA CONDUCTORES'!R$7:R$459,"X",'ENCUESTA CONDUCTORES'!$BR$7:$BR$459,"X")</f>
        <v>0</v>
      </c>
      <c r="K32" s="90">
        <f>COUNTIFS('ENCUESTA CONDUCTORES'!S$7:S$459,"X",'ENCUESTA CONDUCTORES'!$BL$7:$BL$459,"X")+COUNTIFS('ENCUESTA CONDUCTORES'!S$7:S$459,"X",'ENCUESTA CONDUCTORES'!$BR$7:$BR$459,"X")</f>
        <v>45</v>
      </c>
      <c r="L32" s="19">
        <f t="shared" si="205"/>
        <v>79</v>
      </c>
      <c r="N32" s="75" t="s">
        <v>1355</v>
      </c>
      <c r="O32" s="127">
        <f t="shared" si="171"/>
        <v>1.2345679012345678E-2</v>
      </c>
      <c r="P32" s="90">
        <f>COUNTIFS('ENCUESTA CONDUCTORES'!F$7:F$459,"X",'ENCUESTA CONDUCTORES'!$AG$7:$AG$459,"FULL")</f>
        <v>1</v>
      </c>
      <c r="Q32" s="127"/>
      <c r="R32" s="127"/>
      <c r="S32" s="127"/>
      <c r="T32" s="90"/>
      <c r="V32" s="90"/>
      <c r="W32" s="90"/>
      <c r="X32" s="19"/>
      <c r="AJ32" s="18"/>
      <c r="AL32" s="11" t="s">
        <v>1296</v>
      </c>
      <c r="AM32" s="74">
        <f>+AR32/$AV$40</f>
        <v>1.1709601873536301E-2</v>
      </c>
      <c r="AN32" s="74">
        <f t="shared" ref="AN32:AN39" si="206">+AS32/$AV$40</f>
        <v>1.1709601873536301E-2</v>
      </c>
      <c r="AO32" s="74">
        <f t="shared" ref="AO32:AO39" si="207">+AT32/$AV$40</f>
        <v>2.34192037470726E-3</v>
      </c>
      <c r="AP32" s="74">
        <f t="shared" ref="AP32:AP39" si="208">+AU32/$AV$40</f>
        <v>4.9180327868852458E-2</v>
      </c>
      <c r="AQ32" s="74">
        <f t="shared" ref="AQ32:AQ39" si="209">+AV32/$AV$40</f>
        <v>7.4941451990632318E-2</v>
      </c>
      <c r="AR32" s="18">
        <f>COUNTIFS('ENCUESTA CONDUCTORES'!$AL$7:$AL$459,"X",'ENCUESTA CONDUCTORES'!P$7:P$459,"X",'ENCUESTA CONDUCTORES'!$AX$7:$AX$459,"&lt;1.6")</f>
        <v>5</v>
      </c>
      <c r="AS32" s="18">
        <f>COUNTIFS('ENCUESTA CONDUCTORES'!$AL$7:$AL$459,"X",'ENCUESTA CONDUCTORES'!Q$7:Q$459,"X",'ENCUESTA CONDUCTORES'!$AX$7:$AX$459,"&lt;1.6")</f>
        <v>5</v>
      </c>
      <c r="AT32" s="18">
        <f>COUNTIFS('ENCUESTA CONDUCTORES'!$AL$7:$AL$459,"X",'ENCUESTA CONDUCTORES'!R$7:R$459,"X",'ENCUESTA CONDUCTORES'!$AX$7:$AX$459,"&lt;1.6")</f>
        <v>1</v>
      </c>
      <c r="AU32" s="18">
        <f>COUNTIFS('ENCUESTA CONDUCTORES'!$AL$7:$AL$459,"X",'ENCUESTA CONDUCTORES'!S$7:S$459,"X",'ENCUESTA CONDUCTORES'!$AX$7:$AX$459,"&lt;1.6")</f>
        <v>21</v>
      </c>
      <c r="AV32" s="18">
        <f>SUM(AR32:AU32)</f>
        <v>32</v>
      </c>
      <c r="AW32" s="18"/>
      <c r="CL32" s="17" t="s">
        <v>1427</v>
      </c>
      <c r="CM32" s="74">
        <f t="shared" si="191"/>
        <v>0.18181818181818182</v>
      </c>
      <c r="CN32" s="18">
        <f t="shared" si="192"/>
        <v>12</v>
      </c>
      <c r="CO32" s="74"/>
      <c r="CP32" s="74"/>
      <c r="CQ32" s="74"/>
      <c r="CS32" s="18"/>
      <c r="CT32" s="18"/>
      <c r="CU32" s="18"/>
      <c r="CV32" s="18"/>
      <c r="CY32" s="17" t="s">
        <v>1423</v>
      </c>
      <c r="CZ32" s="17" t="s">
        <v>1423</v>
      </c>
      <c r="DO32" s="18"/>
      <c r="DP32" s="18" t="s">
        <v>465</v>
      </c>
      <c r="DQ32" s="74">
        <f t="shared" si="198"/>
        <v>8.6419753086419748E-2</v>
      </c>
      <c r="DR32" s="19">
        <f t="shared" si="199"/>
        <v>7</v>
      </c>
      <c r="DS32" s="18"/>
      <c r="DT32" s="18" t="s">
        <v>465</v>
      </c>
      <c r="DU32" s="74">
        <f t="shared" si="200"/>
        <v>2.8301886792452831E-2</v>
      </c>
      <c r="DV32" s="19">
        <f t="shared" si="201"/>
        <v>3</v>
      </c>
      <c r="DW32" s="18"/>
      <c r="DX32" s="18" t="s">
        <v>465</v>
      </c>
      <c r="DY32" s="74">
        <f t="shared" si="202"/>
        <v>0</v>
      </c>
      <c r="DZ32" s="19">
        <f t="shared" si="203"/>
        <v>0</v>
      </c>
      <c r="EA32" s="18"/>
      <c r="EB32" s="18"/>
      <c r="EC32" s="18"/>
      <c r="ED32" s="18"/>
      <c r="EE32" s="18"/>
      <c r="EF32" s="18"/>
      <c r="EH32" s="17" t="s">
        <v>1468</v>
      </c>
      <c r="EI32" s="74">
        <f>+EJ32/$EJ$38</f>
        <v>7.6923076923076927E-2</v>
      </c>
      <c r="EJ32" s="18">
        <f>+ES5</f>
        <v>3</v>
      </c>
      <c r="ER32" s="17" t="s">
        <v>1468</v>
      </c>
      <c r="ES32" s="74">
        <f>+ET32/$ET$38</f>
        <v>0.18181818181818182</v>
      </c>
      <c r="ET32" s="18">
        <f>+EW5</f>
        <v>8</v>
      </c>
      <c r="EZ32" s="87" t="s">
        <v>1484</v>
      </c>
      <c r="FA32" s="74">
        <f>+FB32/$FB$41</f>
        <v>0.65432098765432101</v>
      </c>
      <c r="FB32" s="90">
        <f t="shared" ref="FB32:FB41" si="210">+FG5</f>
        <v>53</v>
      </c>
      <c r="FT32" s="17" t="s">
        <v>1510</v>
      </c>
      <c r="GA32" s="17" t="s">
        <v>1427</v>
      </c>
      <c r="GB32" s="74">
        <f t="shared" si="193"/>
        <v>1.6085790884718499E-2</v>
      </c>
      <c r="GC32" s="74">
        <f t="shared" si="183"/>
        <v>2.4128686327077747E-2</v>
      </c>
      <c r="GD32" s="74">
        <f t="shared" si="184"/>
        <v>5.3619302949061663E-3</v>
      </c>
      <c r="GE32" s="74">
        <f t="shared" si="185"/>
        <v>5.3619302949061663E-3</v>
      </c>
      <c r="GF32" s="74">
        <f t="shared" si="186"/>
        <v>1.0723860589812333E-2</v>
      </c>
      <c r="GG32" s="74">
        <f t="shared" si="187"/>
        <v>2.6809651474530832E-3</v>
      </c>
      <c r="GH32" s="74">
        <f t="shared" si="188"/>
        <v>0.10991957104557641</v>
      </c>
      <c r="GI32" s="74">
        <f t="shared" si="189"/>
        <v>0.17426273458445041</v>
      </c>
      <c r="GJ32" s="18">
        <f>COUNTIFS('ENCUESTA CONDUCTORES'!$DE$7:$DE$459,"&lt;2007",'ENCUESTA CONDUCTORES'!$BF$7:$BF$459,"&lt;10000")-GJ31-GJ30-GJ29-GJ28</f>
        <v>6</v>
      </c>
      <c r="GK32" s="18">
        <f>COUNTIFS('ENCUESTA CONDUCTORES'!$DE$7:$DE$459,"&lt;2007",'ENCUESTA CONDUCTORES'!$BF$7:$BF$459,"&lt;15001")-GJ32-GK31-GJ31-GK30-GJ30-GK29-GJ29-GK28-GJ28</f>
        <v>9</v>
      </c>
      <c r="GL32" s="18">
        <f>COUNTIFS('ENCUESTA CONDUCTORES'!$DE$7:$DE$459,"&lt;2007",'ENCUESTA CONDUCTORES'!$BF$7:$BF$459,"&lt;20001")-GK32-GJ32-GL31-GK31-GJ31-GL30-GK30-GJ30-GL29-GK29-GJ29-GL28-GK28-GJ28</f>
        <v>2</v>
      </c>
      <c r="GM32" s="18">
        <f>COUNTIFS('ENCUESTA CONDUCTORES'!$DE$7:$DE$459,"&lt;2007",'ENCUESTA CONDUCTORES'!$BF$7:$BF$459,"&lt;25001")-GL32-GK32-GJ32-GM31-GL31-GK31-GJ31-GM30-GL30-GK30-GJ30-GM29-GL29-GK29-GJ29-GM28-GL28-GK28-GJ28</f>
        <v>2</v>
      </c>
      <c r="GN32" s="18">
        <f>COUNTIFS('ENCUESTA CONDUCTORES'!$DE$7:$DE$459,"&lt;2007",'ENCUESTA CONDUCTORES'!$BF$7:$BF$459,"&lt;30001")-GM32-GL32-GK32-GJ32-GN31-GM31-GL31-GK31-GJ31-GN30-GM30-GL30-GK30-GJ30-GN29-GM29-GL29-GK29-GJ29-GN28-GM28-GL28-GK28-GJ28</f>
        <v>4</v>
      </c>
      <c r="GO32" s="18">
        <f>COUNTIFS('ENCUESTA CONDUCTORES'!$DE$7:$DE$459,"&lt;2007",'ENCUESTA CONDUCTORES'!$BF$7:$BF$459,"&lt;40001")-GN32-GM32-GL32-GK32-GJ32-GO31-GN31-GM31-GL31-GK31-GJ31-GO30-GN30-GM30-GL30-GK30-GJ30-GO29-GN29-GM29-GL29-GK29-GJ29-GO28-GN28-GM28-GL28-GK28-GJ28</f>
        <v>1</v>
      </c>
      <c r="GP32" s="18">
        <f>COUNTIFS('ENCUESTA CONDUCTORES'!$DE$7:$DE$459,"&lt;2007",'ENCUESTA CONDUCTORES'!$BF$7:$BF$459,"&gt;40000")-GP31-GP30-GP29-GP28</f>
        <v>41</v>
      </c>
      <c r="GQ32" s="18">
        <f t="shared" si="190"/>
        <v>65</v>
      </c>
      <c r="GS32" s="17" t="s">
        <v>264</v>
      </c>
      <c r="GT32" s="74">
        <f>+GY32/$HC$27</f>
        <v>0</v>
      </c>
      <c r="GU32" s="74">
        <f t="shared" ref="GU32:GU36" si="211">+GZ32/$HC$27</f>
        <v>0</v>
      </c>
      <c r="GV32" s="74">
        <f t="shared" ref="GV32:GV36" si="212">+HA32/$HC$27</f>
        <v>0</v>
      </c>
      <c r="GW32" s="74">
        <f t="shared" ref="GW32:GW36" si="213">+HB32/$HC$27</f>
        <v>0</v>
      </c>
      <c r="GX32" s="74">
        <f t="shared" ref="GX32:GX36" si="214">+HC32/$HC$27</f>
        <v>0</v>
      </c>
      <c r="GY32" s="18">
        <f>COUNTIFS('ENCUESTA CONDUCTORES'!$E$7:$E$459,"X",'ENCUESTA CONDUCTORES'!$BX$7:$BX$459,"4")</f>
        <v>0</v>
      </c>
      <c r="GZ32" s="18">
        <f>COUNTIFS('ENCUESTA CONDUCTORES'!$F$7:$F$459,"X",'ENCUESTA CONDUCTORES'!$BX$7:$BX$459,"4")</f>
        <v>0</v>
      </c>
      <c r="HA32" s="18">
        <f>COUNTIFS('ENCUESTA CONDUCTORES'!$G$7:$G$459,"X",'ENCUESTA CONDUCTORES'!$BX$7:$BX$459,"4")</f>
        <v>0</v>
      </c>
      <c r="HB32" s="18">
        <f>COUNTIFS('ENCUESTA CONDUCTORES'!$H$7:$H$459,"X",'ENCUESTA CONDUCTORES'!$BX$7:$BX$459,"4")</f>
        <v>0</v>
      </c>
      <c r="HC32" s="18">
        <f>SUM(GY32:HB32)</f>
        <v>0</v>
      </c>
      <c r="HE32" s="17" t="s">
        <v>1547</v>
      </c>
      <c r="HF32" s="74">
        <f t="shared" ref="HF32:HF36" si="215">+HM5/$HM$9</f>
        <v>6.5934065934065936E-2</v>
      </c>
    </row>
    <row r="33" spans="1:215" x14ac:dyDescent="0.25">
      <c r="B33" s="75" t="s">
        <v>51</v>
      </c>
      <c r="C33" s="74">
        <f t="shared" si="204"/>
        <v>2.1116138763197588E-2</v>
      </c>
      <c r="D33" s="74">
        <f t="shared" si="194"/>
        <v>7.5414781297134239E-3</v>
      </c>
      <c r="E33" s="74">
        <f t="shared" si="195"/>
        <v>4.5248868778280547E-3</v>
      </c>
      <c r="F33" s="74">
        <f t="shared" si="196"/>
        <v>6.1840120663650078E-2</v>
      </c>
      <c r="G33" s="74">
        <f t="shared" si="197"/>
        <v>9.5022624434389136E-2</v>
      </c>
      <c r="H33" s="90">
        <f>COUNTIFS('ENCUESTA CONDUCTORES'!P$7:P$459,"X",'ENCUESTA CONDUCTORES'!$BM$7:$BM$459,"X")</f>
        <v>14</v>
      </c>
      <c r="I33" s="90">
        <f>COUNTIFS('ENCUESTA CONDUCTORES'!Q$7:Q$459,"X",'ENCUESTA CONDUCTORES'!$BM$7:$BM$459,"X")</f>
        <v>5</v>
      </c>
      <c r="J33" s="90">
        <f>COUNTIFS('ENCUESTA CONDUCTORES'!R$7:R$459,"X",'ENCUESTA CONDUCTORES'!$BM$7:$BM$459,"X")</f>
        <v>3</v>
      </c>
      <c r="K33" s="90">
        <f>COUNTIFS('ENCUESTA CONDUCTORES'!S$7:S$459,"X",'ENCUESTA CONDUCTORES'!$BM$7:$BM$459,"X")</f>
        <v>41</v>
      </c>
      <c r="L33" s="19">
        <f t="shared" si="205"/>
        <v>63</v>
      </c>
      <c r="N33" s="17" t="s">
        <v>429</v>
      </c>
      <c r="O33" s="127">
        <f t="shared" si="171"/>
        <v>1</v>
      </c>
      <c r="P33" s="19">
        <f>SUM(P26:P32)</f>
        <v>81</v>
      </c>
      <c r="Q33" s="127"/>
      <c r="R33" s="127"/>
      <c r="S33" s="127"/>
      <c r="T33" s="90"/>
      <c r="V33" s="90"/>
      <c r="W33" s="90"/>
      <c r="X33" s="19"/>
      <c r="Z33" s="17" t="s">
        <v>1384</v>
      </c>
      <c r="AL33" s="11" t="s">
        <v>1297</v>
      </c>
      <c r="AM33" s="74">
        <f t="shared" ref="AM33:AM39" si="216">+AR33/$AV$40</f>
        <v>2.3419203747072601E-2</v>
      </c>
      <c r="AN33" s="74">
        <f t="shared" si="206"/>
        <v>2.3419203747072601E-2</v>
      </c>
      <c r="AO33" s="74">
        <f t="shared" si="207"/>
        <v>0</v>
      </c>
      <c r="AP33" s="74">
        <f t="shared" si="208"/>
        <v>8.6651053864168617E-2</v>
      </c>
      <c r="AQ33" s="74">
        <f t="shared" si="209"/>
        <v>0.13348946135831383</v>
      </c>
      <c r="AR33" s="18">
        <f>COUNTIFS('ENCUESTA CONDUCTORES'!$AL$7:$AL$459,"X",'ENCUESTA CONDUCTORES'!P$7:P$459,"X",'ENCUESTA CONDUCTORES'!$AX$7:$AX$459,"&lt;1.91")-AR32</f>
        <v>10</v>
      </c>
      <c r="AS33" s="18">
        <f>COUNTIFS('ENCUESTA CONDUCTORES'!$AL$7:$AL$459,"X",'ENCUESTA CONDUCTORES'!Q$7:Q$459,"X",'ENCUESTA CONDUCTORES'!$AX$7:$AX$459,"&lt;1.91")-AS32</f>
        <v>10</v>
      </c>
      <c r="AT33" s="18">
        <f>COUNTIFS('ENCUESTA CONDUCTORES'!$AL$7:$AL$459,"X",'ENCUESTA CONDUCTORES'!R$7:R$459,"X",'ENCUESTA CONDUCTORES'!$AX$7:$AX$459,"&lt;1.91")-AT32</f>
        <v>0</v>
      </c>
      <c r="AU33" s="18">
        <f>COUNTIFS('ENCUESTA CONDUCTORES'!$AL$7:$AL$459,"X",'ENCUESTA CONDUCTORES'!S$7:S$459,"X",'ENCUESTA CONDUCTORES'!$AX$7:$AX$459,"&lt;1.91")-AU32</f>
        <v>37</v>
      </c>
      <c r="AV33" s="18">
        <f t="shared" ref="AV33:AV41" si="217">SUM(AR33:AU33)</f>
        <v>57</v>
      </c>
      <c r="AW33" s="18"/>
      <c r="CL33" s="17" t="s">
        <v>1428</v>
      </c>
      <c r="CM33" s="74">
        <f t="shared" si="191"/>
        <v>0.12121212121212122</v>
      </c>
      <c r="CN33" s="18">
        <f t="shared" si="192"/>
        <v>8</v>
      </c>
      <c r="CO33" s="74"/>
      <c r="CP33" s="74"/>
      <c r="CQ33" s="74"/>
      <c r="CS33" s="18"/>
      <c r="CT33" s="18"/>
      <c r="CU33" s="18"/>
      <c r="CV33" s="18"/>
      <c r="CX33" s="11" t="s">
        <v>1296</v>
      </c>
      <c r="CY33" s="74">
        <f>+CZ33/$CZ$41</f>
        <v>0.11320754716981132</v>
      </c>
      <c r="CZ33" s="18">
        <f>+DG5</f>
        <v>6</v>
      </c>
      <c r="DA33" s="74"/>
      <c r="DB33" s="74"/>
      <c r="DC33" s="74"/>
      <c r="DD33" s="74"/>
      <c r="DE33" s="74"/>
      <c r="DF33" s="74"/>
      <c r="DH33" s="18"/>
      <c r="DI33" s="18"/>
      <c r="DJ33" s="18"/>
      <c r="DK33" s="18"/>
      <c r="DL33" s="18"/>
      <c r="DM33" s="18"/>
      <c r="DN33" s="18"/>
      <c r="DO33" s="18"/>
      <c r="DP33" s="18" t="s">
        <v>466</v>
      </c>
      <c r="DQ33" s="74">
        <f t="shared" si="198"/>
        <v>1.2345679012345678E-2</v>
      </c>
      <c r="DR33" s="19">
        <f t="shared" si="199"/>
        <v>1</v>
      </c>
      <c r="DS33" s="18"/>
      <c r="DT33" s="18" t="s">
        <v>466</v>
      </c>
      <c r="DU33" s="74">
        <f t="shared" si="200"/>
        <v>1.8867924528301886E-2</v>
      </c>
      <c r="DV33" s="19">
        <f t="shared" si="201"/>
        <v>2</v>
      </c>
      <c r="DW33" s="18"/>
      <c r="DX33" s="18" t="s">
        <v>466</v>
      </c>
      <c r="DY33" s="74">
        <f t="shared" si="202"/>
        <v>0</v>
      </c>
      <c r="DZ33" s="19">
        <f t="shared" si="203"/>
        <v>0</v>
      </c>
      <c r="EA33" s="18"/>
      <c r="EB33" s="18"/>
      <c r="EC33" s="18"/>
      <c r="ED33" s="18"/>
      <c r="EE33" s="18"/>
      <c r="EF33" s="18"/>
      <c r="EH33" s="17" t="s">
        <v>1469</v>
      </c>
      <c r="EI33" s="74">
        <f t="shared" ref="EI33:EI38" si="218">+EJ33/$EJ$38</f>
        <v>0.33333333333333331</v>
      </c>
      <c r="EJ33" s="18">
        <f t="shared" ref="EJ33:EJ38" si="219">+ES6</f>
        <v>13</v>
      </c>
      <c r="ER33" s="17" t="s">
        <v>1469</v>
      </c>
      <c r="ES33" s="74">
        <f t="shared" ref="ES33:ES38" si="220">+ET33/$ET$38</f>
        <v>0.13636363636363635</v>
      </c>
      <c r="ET33" s="18">
        <f t="shared" ref="ET33:ET38" si="221">+EW6</f>
        <v>6</v>
      </c>
      <c r="EZ33" s="87" t="s">
        <v>1485</v>
      </c>
      <c r="FA33" s="74">
        <f t="shared" ref="FA33:FA41" si="222">+FB33/$FB$41</f>
        <v>2.4691358024691357E-2</v>
      </c>
      <c r="FB33" s="90">
        <f t="shared" si="210"/>
        <v>2</v>
      </c>
      <c r="FT33" s="17" t="s">
        <v>1468</v>
      </c>
      <c r="FU33" s="74">
        <f>+FV33/$FV$39</f>
        <v>1.6E-2</v>
      </c>
      <c r="FV33" s="18">
        <f>COUNTIFS('ENCUESTA CONDUCTORES'!$S$7:$S$459,"X",'ENCUESTA CONDUCTORES'!$AU$7:$AU$459,"&lt;2500")</f>
        <v>4</v>
      </c>
      <c r="GA33" s="17" t="s">
        <v>1428</v>
      </c>
      <c r="GB33" s="74">
        <f t="shared" si="193"/>
        <v>5.0938337801608578E-2</v>
      </c>
      <c r="GC33" s="74">
        <f t="shared" si="183"/>
        <v>3.7533512064343161E-2</v>
      </c>
      <c r="GD33" s="74">
        <f t="shared" si="184"/>
        <v>1.876675603217158E-2</v>
      </c>
      <c r="GE33" s="74">
        <f t="shared" si="185"/>
        <v>1.0723860589812333E-2</v>
      </c>
      <c r="GF33" s="74">
        <f t="shared" si="186"/>
        <v>2.6809651474530832E-3</v>
      </c>
      <c r="GG33" s="74">
        <f t="shared" si="187"/>
        <v>1.0723860589812333E-2</v>
      </c>
      <c r="GH33" s="74">
        <f t="shared" si="188"/>
        <v>0.14745308310991956</v>
      </c>
      <c r="GI33" s="74">
        <f t="shared" si="189"/>
        <v>0.27882037533512066</v>
      </c>
      <c r="GJ33" s="18">
        <f>COUNTIFS('ENCUESTA CONDUCTORES'!$DE$7:$DE$459,"&lt;2011",'ENCUESTA CONDUCTORES'!$BF$7:$BF$459,"&lt;10000")-GJ32-GJ31-GJ30-GJ29-GJ28</f>
        <v>19</v>
      </c>
      <c r="GK33" s="18">
        <f>COUNTIFS('ENCUESTA CONDUCTORES'!$DE$7:$DE$459,"&lt;2011",'ENCUESTA CONDUCTORES'!$BF$7:$BF$459,"&lt;15001")-GJ33-GK32-GJ32-GK31-GJ31-GK30-GJ30-GK29-GJ29-GK28-GJ28</f>
        <v>14</v>
      </c>
      <c r="GL33" s="18">
        <f>COUNTIFS('ENCUESTA CONDUCTORES'!$DE$7:$DE$459,"&lt;2011",'ENCUESTA CONDUCTORES'!$BF$7:$BF$459,"&lt;20001")-GK33-GJ33-GL32-GK32-GJ32-GL31-GK31-GJ31-GL30-GK30-GJ30-GL29-GK29-GJ29-GL28-GK28-GJ28</f>
        <v>7</v>
      </c>
      <c r="GM33" s="18">
        <f>COUNTIFS('ENCUESTA CONDUCTORES'!$DE$7:$DE$459,"&lt;2011",'ENCUESTA CONDUCTORES'!$BF$7:$BF$459,"&lt;25001")-GL33-GK33-GJ33-GM32-GL32-GK32-GJ32-GM31-GL31-GK31-GJ31-GM30-GL30-GK30-GJ30-GM29-GL29-GK29-GJ29-GM28-GL28-GK28-GJ28</f>
        <v>4</v>
      </c>
      <c r="GN33" s="18">
        <f>COUNTIFS('ENCUESTA CONDUCTORES'!$DE$7:$DE$459,"&lt;2011",'ENCUESTA CONDUCTORES'!$BF$7:$BF$459,"&lt;30001")-GM33-GL33-GK33-GJ33-GN32-GM32-GL32-GK32-GJ32-GN31-GM31-GL31-GK31-GJ31-GN30-GM30-GL30-GK30-GJ30-GN29-GM29-GL29-GK29-GJ29-GN28-GM28-GL28-GK28-GJ28</f>
        <v>1</v>
      </c>
      <c r="GO33" s="18">
        <f>COUNTIFS('ENCUESTA CONDUCTORES'!$DE$7:$DE$459,"&lt;2011",'ENCUESTA CONDUCTORES'!$BF$7:$BF$459,"&lt;40001")-GN33-GM33-GL33-GK33-GJ33-GO32-GN32-GM32-GL32-GK32-GJ32-GO31-GN31-GM31-GL31-GK31-GJ31-GO30-GN30-GM30-GL30-GK30-GJ30-GO29-GN29-GM29-GL29-GK29-GJ29-GO28-GN28-GM28-GL28-GK28-GJ28</f>
        <v>4</v>
      </c>
      <c r="GP33" s="18">
        <f>COUNTIFS('ENCUESTA CONDUCTORES'!$DE$7:$DE$459,"&lt;2011",'ENCUESTA CONDUCTORES'!$BF$7:$BF$459,"&gt;40000")-GP32-GP31-GP30-GP29-GP28</f>
        <v>55</v>
      </c>
      <c r="GQ33" s="18">
        <f t="shared" si="190"/>
        <v>104</v>
      </c>
      <c r="GS33" s="17" t="s">
        <v>504</v>
      </c>
      <c r="GT33" s="74">
        <f t="shared" ref="GT33:GT36" si="223">+GY33/$HC$27</f>
        <v>4.464285714285714E-3</v>
      </c>
      <c r="GU33" s="74">
        <f t="shared" si="211"/>
        <v>1.1160714285714286E-2</v>
      </c>
      <c r="GV33" s="74">
        <f t="shared" si="212"/>
        <v>2.6785714285714284E-2</v>
      </c>
      <c r="GW33" s="74">
        <f t="shared" si="213"/>
        <v>3.3482142857142856E-2</v>
      </c>
      <c r="GX33" s="74">
        <f t="shared" si="214"/>
        <v>7.5892857142857137E-2</v>
      </c>
      <c r="GY33" s="18">
        <f>COUNTIFS('ENCUESTA CONDUCTORES'!$E$7:$E$459,"X",'ENCUESTA CONDUCTORES'!$BY$7:$BY$459,"4")</f>
        <v>2</v>
      </c>
      <c r="GZ33" s="18">
        <f>COUNTIFS('ENCUESTA CONDUCTORES'!$F$7:$F$459,"X",'ENCUESTA CONDUCTORES'!$BY$7:$BY$459,"4")</f>
        <v>5</v>
      </c>
      <c r="HA33" s="18">
        <f>COUNTIFS('ENCUESTA CONDUCTORES'!$G$7:$G$459,"X",'ENCUESTA CONDUCTORES'!$BY$7:$BY$459,"4")</f>
        <v>12</v>
      </c>
      <c r="HB33" s="18">
        <f>COUNTIFS('ENCUESTA CONDUCTORES'!$H$7:$H$459,"X",'ENCUESTA CONDUCTORES'!$BY$7:$BY$459,"4")</f>
        <v>15</v>
      </c>
      <c r="HC33" s="18">
        <f>SUM(GY33:HB33)</f>
        <v>34</v>
      </c>
      <c r="HE33" s="17" t="s">
        <v>1548</v>
      </c>
      <c r="HF33" s="74">
        <f t="shared" si="215"/>
        <v>8.7912087912087919E-2</v>
      </c>
    </row>
    <row r="34" spans="1:215" ht="25.5" x14ac:dyDescent="0.25">
      <c r="B34" s="75" t="s">
        <v>1357</v>
      </c>
      <c r="C34" s="74">
        <f t="shared" si="204"/>
        <v>1.8099547511312219E-2</v>
      </c>
      <c r="D34" s="74">
        <f t="shared" si="194"/>
        <v>1.9607843137254902E-2</v>
      </c>
      <c r="E34" s="74">
        <f t="shared" si="195"/>
        <v>1.5082956259426848E-3</v>
      </c>
      <c r="F34" s="74">
        <f t="shared" si="196"/>
        <v>0.22624434389140272</v>
      </c>
      <c r="G34" s="74">
        <f t="shared" si="197"/>
        <v>0.26546003016591252</v>
      </c>
      <c r="H34" s="90">
        <f>COUNTIFS('ENCUESTA CONDUCTORES'!P$7:P$459,"X",'ENCUESTA CONDUCTORES'!$BN$7:$BN$459,"X")+COUNTIFS('ENCUESTA CONDUCTORES'!P$7:P$459,"X",'ENCUESTA CONDUCTORES'!$BP$7:$BP$459,"X")</f>
        <v>12</v>
      </c>
      <c r="I34" s="90">
        <f>COUNTIFS('ENCUESTA CONDUCTORES'!Q$7:Q$459,"X",'ENCUESTA CONDUCTORES'!$BN$7:$BN$459,"X")+COUNTIFS('ENCUESTA CONDUCTORES'!Q$7:Q$459,"X",'ENCUESTA CONDUCTORES'!$BP$7:$BP$459,"X")</f>
        <v>13</v>
      </c>
      <c r="J34" s="90">
        <f>COUNTIFS('ENCUESTA CONDUCTORES'!R$7:R$459,"X",'ENCUESTA CONDUCTORES'!$BN$7:$BN$459,"X")+COUNTIFS('ENCUESTA CONDUCTORES'!R$7:R$459,"X",'ENCUESTA CONDUCTORES'!$BP$7:$BP$459,"X")</f>
        <v>1</v>
      </c>
      <c r="K34" s="90">
        <f>COUNTIFS('ENCUESTA CONDUCTORES'!S$7:S$459,"X",'ENCUESTA CONDUCTORES'!$BN$7:$BN$459,"X")+COUNTIFS('ENCUESTA CONDUCTORES'!S$7:S$459,"X",'ENCUESTA CONDUCTORES'!$BP$7:$BP$459,"X")</f>
        <v>150</v>
      </c>
      <c r="L34" s="19">
        <f t="shared" si="205"/>
        <v>176</v>
      </c>
      <c r="Q34" s="127"/>
      <c r="R34" s="127"/>
      <c r="S34" s="127"/>
      <c r="T34" s="19"/>
      <c r="V34" s="19"/>
      <c r="W34" s="19"/>
      <c r="X34" s="19"/>
      <c r="AA34" s="18" t="s">
        <v>7</v>
      </c>
      <c r="AB34" s="18" t="s">
        <v>7</v>
      </c>
      <c r="AC34" s="18"/>
      <c r="AF34" s="18"/>
      <c r="AG34" s="18"/>
      <c r="AH34" s="18"/>
      <c r="AL34" s="11" t="s">
        <v>1298</v>
      </c>
      <c r="AM34" s="74">
        <f t="shared" si="216"/>
        <v>1.6393442622950821E-2</v>
      </c>
      <c r="AN34" s="74">
        <f t="shared" si="206"/>
        <v>1.1709601873536301E-2</v>
      </c>
      <c r="AO34" s="74">
        <f t="shared" si="207"/>
        <v>7.0257611241217799E-3</v>
      </c>
      <c r="AP34" s="74">
        <f t="shared" si="208"/>
        <v>5.8548009367681501E-2</v>
      </c>
      <c r="AQ34" s="74">
        <f t="shared" si="209"/>
        <v>9.3676814988290405E-2</v>
      </c>
      <c r="AR34" s="18">
        <f>COUNTIFS('ENCUESTA CONDUCTORES'!$AL$7:$AL$459,"X",'ENCUESTA CONDUCTORES'!P$7:P$459,"X",'ENCUESTA CONDUCTORES'!$AX$7:$AX$459,"&lt;2.01")-AR33-AR32</f>
        <v>7</v>
      </c>
      <c r="AS34" s="18">
        <f>COUNTIFS('ENCUESTA CONDUCTORES'!$AL$7:$AL$459,"X",'ENCUESTA CONDUCTORES'!Q$7:Q$459,"X",'ENCUESTA CONDUCTORES'!$AX$7:$AX$459,"&lt;2.01")-AS33-AS32</f>
        <v>5</v>
      </c>
      <c r="AT34" s="18">
        <f>COUNTIFS('ENCUESTA CONDUCTORES'!$AL$7:$AL$459,"X",'ENCUESTA CONDUCTORES'!R$7:R$459,"X",'ENCUESTA CONDUCTORES'!$AX$7:$AX$459,"&lt;2.01")-AT33-AT32</f>
        <v>3</v>
      </c>
      <c r="AU34" s="18">
        <f>COUNTIFS('ENCUESTA CONDUCTORES'!$AL$7:$AL$459,"X",'ENCUESTA CONDUCTORES'!S$7:S$459,"X",'ENCUESTA CONDUCTORES'!$AX$7:$AX$459,"&lt;2.01")-AU33-AU32</f>
        <v>25</v>
      </c>
      <c r="AV34" s="18">
        <f t="shared" si="217"/>
        <v>40</v>
      </c>
      <c r="AW34" s="18"/>
      <c r="CL34" s="17" t="s">
        <v>1429</v>
      </c>
      <c r="CM34" s="74">
        <f t="shared" si="191"/>
        <v>4.5454545454545456E-2</v>
      </c>
      <c r="CN34" s="18">
        <f t="shared" si="192"/>
        <v>3</v>
      </c>
      <c r="CO34" s="74"/>
      <c r="CP34" s="74"/>
      <c r="CQ34" s="74"/>
      <c r="CS34" s="18"/>
      <c r="CT34" s="18"/>
      <c r="CU34" s="18"/>
      <c r="CV34" s="18"/>
      <c r="CX34" s="11" t="s">
        <v>1297</v>
      </c>
      <c r="CY34" s="74">
        <f t="shared" ref="CY34:CY41" si="224">+CZ34/$CZ$41</f>
        <v>0.30188679245283018</v>
      </c>
      <c r="CZ34" s="18">
        <f t="shared" ref="CZ34:CZ42" si="225">+DG6</f>
        <v>16</v>
      </c>
      <c r="DA34" s="74"/>
      <c r="DB34" s="74"/>
      <c r="DC34" s="74"/>
      <c r="DD34" s="74"/>
      <c r="DE34" s="74"/>
      <c r="DF34" s="74"/>
      <c r="DH34" s="18"/>
      <c r="DI34" s="18"/>
      <c r="DJ34" s="18"/>
      <c r="DK34" s="18"/>
      <c r="DL34" s="18"/>
      <c r="DM34" s="18"/>
      <c r="DN34" s="18"/>
      <c r="DO34" s="18"/>
      <c r="DP34" s="18" t="s">
        <v>467</v>
      </c>
      <c r="DQ34" s="74">
        <f t="shared" si="198"/>
        <v>0</v>
      </c>
      <c r="DR34" s="19">
        <f t="shared" si="199"/>
        <v>0</v>
      </c>
      <c r="DS34" s="18"/>
      <c r="DT34" s="18" t="s">
        <v>467</v>
      </c>
      <c r="DU34" s="74">
        <f t="shared" si="200"/>
        <v>0</v>
      </c>
      <c r="DV34" s="19">
        <f t="shared" si="201"/>
        <v>0</v>
      </c>
      <c r="DW34" s="18"/>
      <c r="DX34" s="18" t="s">
        <v>467</v>
      </c>
      <c r="DY34" s="74">
        <f t="shared" si="202"/>
        <v>0</v>
      </c>
      <c r="DZ34" s="19">
        <f t="shared" si="203"/>
        <v>0</v>
      </c>
      <c r="EA34" s="18"/>
      <c r="EB34" s="18"/>
      <c r="EC34" s="18"/>
      <c r="ED34" s="18"/>
      <c r="EE34" s="18"/>
      <c r="EF34" s="18"/>
      <c r="EH34" s="17" t="s">
        <v>1470</v>
      </c>
      <c r="EI34" s="74">
        <f t="shared" si="218"/>
        <v>0.25641025641025639</v>
      </c>
      <c r="EJ34" s="18">
        <f t="shared" si="219"/>
        <v>10</v>
      </c>
      <c r="ER34" s="17" t="s">
        <v>1470</v>
      </c>
      <c r="ES34" s="74">
        <f t="shared" si="220"/>
        <v>0.11363636363636363</v>
      </c>
      <c r="ET34" s="18">
        <f t="shared" si="221"/>
        <v>5</v>
      </c>
      <c r="EZ34" s="87" t="s">
        <v>1486</v>
      </c>
      <c r="FA34" s="74">
        <f t="shared" si="222"/>
        <v>6.1728395061728392E-2</v>
      </c>
      <c r="FB34" s="90">
        <f t="shared" si="210"/>
        <v>5</v>
      </c>
      <c r="FT34" s="17" t="s">
        <v>1469</v>
      </c>
      <c r="FU34" s="74">
        <f t="shared" ref="FU34:FU40" si="226">+FV34/$FV$39</f>
        <v>0.14000000000000001</v>
      </c>
      <c r="FV34" s="18">
        <f>COUNTIFS('ENCUESTA CONDUCTORES'!$S$7:$S$459,"X",'ENCUESTA CONDUCTORES'!$AU$7:$AU$459,"&lt;5001")-FV33</f>
        <v>35</v>
      </c>
      <c r="GA34" s="17" t="s">
        <v>1429</v>
      </c>
      <c r="GB34" s="74">
        <f t="shared" si="193"/>
        <v>1.3404825737265416E-2</v>
      </c>
      <c r="GC34" s="74">
        <f t="shared" si="183"/>
        <v>3.2171581769436998E-2</v>
      </c>
      <c r="GD34" s="74">
        <f t="shared" si="184"/>
        <v>2.1447721179624665E-2</v>
      </c>
      <c r="GE34" s="74">
        <f t="shared" si="185"/>
        <v>8.0428954423592495E-3</v>
      </c>
      <c r="GF34" s="74">
        <f t="shared" si="186"/>
        <v>1.0723860589812333E-2</v>
      </c>
      <c r="GG34" s="74">
        <f t="shared" si="187"/>
        <v>1.0723860589812333E-2</v>
      </c>
      <c r="GH34" s="74">
        <f t="shared" si="188"/>
        <v>1.3404825737265416E-2</v>
      </c>
      <c r="GI34" s="74">
        <f t="shared" si="189"/>
        <v>0.10991957104557641</v>
      </c>
      <c r="GJ34" s="18">
        <f>COUNTIFS('ENCUESTA CONDUCTORES'!$DE$7:$DE$459,"&gt;2010",'ENCUESTA CONDUCTORES'!$BF$7:$BF$459,"&lt;10000")</f>
        <v>5</v>
      </c>
      <c r="GK34" s="18">
        <f>COUNTIFS('ENCUESTA CONDUCTORES'!$DE$7:$DE$459,"&gt;2010",'ENCUESTA CONDUCTORES'!$BF$7:$BF$459,"&lt;15001")-GJ34</f>
        <v>12</v>
      </c>
      <c r="GL34" s="18">
        <f>COUNTIFS('ENCUESTA CONDUCTORES'!$DE$7:$DE$459,"&gt;2010",'ENCUESTA CONDUCTORES'!$BF$7:$BF$459,"&lt;20001")-GK34-GJ34</f>
        <v>8</v>
      </c>
      <c r="GM34" s="18">
        <f>COUNTIFS('ENCUESTA CONDUCTORES'!$DE$7:$DE$459,"&gt;2010",'ENCUESTA CONDUCTORES'!$BF$7:$BF$459,"&lt;25001")-GL34-GK34-GJ34</f>
        <v>3</v>
      </c>
      <c r="GN34" s="18">
        <f>COUNTIFS('ENCUESTA CONDUCTORES'!$DE$7:$DE$459,"&gt;2010",'ENCUESTA CONDUCTORES'!$BF$7:$BF$459,"&lt;30001")-GM34-GL34-GK34-GJ34</f>
        <v>4</v>
      </c>
      <c r="GO34" s="18">
        <f>COUNTIFS('ENCUESTA CONDUCTORES'!$DE$7:$DE$459,"&gt;2010",'ENCUESTA CONDUCTORES'!$BF$7:$BF$459,"&lt;40001")-GN34-GM34-GL34-GK34-GJ34</f>
        <v>4</v>
      </c>
      <c r="GP34" s="18">
        <f>COUNTIFS('ENCUESTA CONDUCTORES'!$DE$7:$DE$459,"&gt;2010",'ENCUESTA CONDUCTORES'!$BF$7:$BF$459,"&gt;40000")</f>
        <v>5</v>
      </c>
      <c r="GQ34" s="18">
        <f t="shared" si="190"/>
        <v>41</v>
      </c>
      <c r="GS34" s="17" t="s">
        <v>505</v>
      </c>
      <c r="GT34" s="74">
        <f t="shared" si="223"/>
        <v>4.464285714285714E-3</v>
      </c>
      <c r="GU34" s="74">
        <f t="shared" si="211"/>
        <v>2.232142857142857E-3</v>
      </c>
      <c r="GV34" s="74">
        <f t="shared" si="212"/>
        <v>6.6964285714285711E-3</v>
      </c>
      <c r="GW34" s="74">
        <f t="shared" si="213"/>
        <v>1.1160714285714286E-2</v>
      </c>
      <c r="GX34" s="74">
        <f t="shared" si="214"/>
        <v>2.4553571428571428E-2</v>
      </c>
      <c r="GY34" s="18">
        <f>COUNTIFS('ENCUESTA CONDUCTORES'!$E$7:$E$459,"X",'ENCUESTA CONDUCTORES'!$BZ$7:$BZ$459,"4")</f>
        <v>2</v>
      </c>
      <c r="GZ34" s="18">
        <f>COUNTIFS('ENCUESTA CONDUCTORES'!$F$7:$F$459,"X",'ENCUESTA CONDUCTORES'!$BZ$7:$BZ$459,"4")</f>
        <v>1</v>
      </c>
      <c r="HA34" s="18">
        <f>COUNTIFS('ENCUESTA CONDUCTORES'!$G$7:$G$459,"X",'ENCUESTA CONDUCTORES'!$BZ$7:$BZ$459,"4")</f>
        <v>3</v>
      </c>
      <c r="HB34" s="18">
        <f>COUNTIFS('ENCUESTA CONDUCTORES'!$H$7:$H$459,"X",'ENCUESTA CONDUCTORES'!$BZ$7:$BZ$459,"4")</f>
        <v>5</v>
      </c>
      <c r="HC34" s="18">
        <f>SUM(GY34:HB34)</f>
        <v>11</v>
      </c>
      <c r="HE34" s="17" t="s">
        <v>1549</v>
      </c>
      <c r="HF34" s="74">
        <f t="shared" si="215"/>
        <v>8.7912087912087919E-2</v>
      </c>
    </row>
    <row r="35" spans="1:215" x14ac:dyDescent="0.25">
      <c r="B35" s="75" t="s">
        <v>131</v>
      </c>
      <c r="C35" s="74">
        <f t="shared" si="204"/>
        <v>1.6591251885369532E-2</v>
      </c>
      <c r="D35" s="74">
        <f t="shared" si="194"/>
        <v>5.128205128205128E-2</v>
      </c>
      <c r="E35" s="74">
        <f t="shared" si="195"/>
        <v>6.0331825037707393E-3</v>
      </c>
      <c r="F35" s="74">
        <f t="shared" si="196"/>
        <v>2.4132730015082957E-2</v>
      </c>
      <c r="G35" s="74">
        <f t="shared" si="197"/>
        <v>9.8039215686274508E-2</v>
      </c>
      <c r="H35" s="90">
        <f>COUNTIFS('ENCUESTA CONDUCTORES'!P$7:P$459,"X",'ENCUESTA CONDUCTORES'!$BO$7:$BO$459,"X")</f>
        <v>11</v>
      </c>
      <c r="I35" s="90">
        <f>COUNTIFS('ENCUESTA CONDUCTORES'!Q$7:Q$459,"X",'ENCUESTA CONDUCTORES'!$BO$7:$BO$459,"X")</f>
        <v>34</v>
      </c>
      <c r="J35" s="90">
        <f>COUNTIFS('ENCUESTA CONDUCTORES'!R$7:R$459,"X",'ENCUESTA CONDUCTORES'!$BO$7:$BO$459,"X")</f>
        <v>4</v>
      </c>
      <c r="K35" s="90">
        <f>COUNTIFS('ENCUESTA CONDUCTORES'!S$7:S$459,"X",'ENCUESTA CONDUCTORES'!$BO$7:$BO$459,"X")</f>
        <v>16</v>
      </c>
      <c r="L35" s="19">
        <f t="shared" si="205"/>
        <v>65</v>
      </c>
      <c r="N35" s="17" t="s">
        <v>1373</v>
      </c>
      <c r="X35" s="19"/>
      <c r="Z35" s="17" t="s">
        <v>21</v>
      </c>
      <c r="AA35" s="76">
        <f>+AB35/$AB$38</f>
        <v>0</v>
      </c>
      <c r="AB35" s="18">
        <f>COUNTIFS('ENCUESTA CONDUCTORES'!S$7:S$459,"X",'ENCUESTA CONDUCTORES'!$AJ$7:$AJ$459,"X")</f>
        <v>0</v>
      </c>
      <c r="AC35" s="76"/>
      <c r="AE35" s="76"/>
      <c r="AF35" s="18"/>
      <c r="AG35" s="18"/>
      <c r="AH35" s="18"/>
      <c r="AJ35" s="18"/>
      <c r="AL35" s="11" t="s">
        <v>1299</v>
      </c>
      <c r="AM35" s="74">
        <f t="shared" si="216"/>
        <v>1.405152224824356E-2</v>
      </c>
      <c r="AN35" s="74">
        <f t="shared" si="206"/>
        <v>1.6393442622950821E-2</v>
      </c>
      <c r="AO35" s="74">
        <f t="shared" si="207"/>
        <v>2.34192037470726E-3</v>
      </c>
      <c r="AP35" s="74">
        <f t="shared" si="208"/>
        <v>3.9812646370023422E-2</v>
      </c>
      <c r="AQ35" s="74">
        <f t="shared" si="209"/>
        <v>7.2599531615925056E-2</v>
      </c>
      <c r="AR35" s="18">
        <f>COUNTIFS('ENCUESTA CONDUCTORES'!$AL$7:$AL$459,"X",'ENCUESTA CONDUCTORES'!P$7:P$459,"X",'ENCUESTA CONDUCTORES'!$AX$7:$AX$459,"&lt;2.21")-AR34-AR33-AR32</f>
        <v>6</v>
      </c>
      <c r="AS35" s="18">
        <f>COUNTIFS('ENCUESTA CONDUCTORES'!$AL$7:$AL$459,"X",'ENCUESTA CONDUCTORES'!Q$7:Q$459,"X",'ENCUESTA CONDUCTORES'!$AX$7:$AX$459,"&lt;2.21")-AS34-AS33-AS32</f>
        <v>7</v>
      </c>
      <c r="AT35" s="18">
        <f>COUNTIFS('ENCUESTA CONDUCTORES'!$AL$7:$AL$459,"X",'ENCUESTA CONDUCTORES'!R$7:R$459,"X",'ENCUESTA CONDUCTORES'!$AX$7:$AX$459,"&lt;2.21")-AT34-AT33-AT32</f>
        <v>1</v>
      </c>
      <c r="AU35" s="18">
        <f>COUNTIFS('ENCUESTA CONDUCTORES'!$AL$7:$AL$459,"X",'ENCUESTA CONDUCTORES'!S$7:S$459,"X",'ENCUESTA CONDUCTORES'!$AX$7:$AX$459,"&lt;2.21")-AU34-AU33-AU32</f>
        <v>17</v>
      </c>
      <c r="AV35" s="18">
        <f t="shared" si="217"/>
        <v>31</v>
      </c>
      <c r="AW35" s="18"/>
      <c r="CL35" s="17" t="s">
        <v>429</v>
      </c>
      <c r="CM35" s="74">
        <f t="shared" si="191"/>
        <v>1</v>
      </c>
      <c r="CN35" s="18">
        <f t="shared" si="192"/>
        <v>66</v>
      </c>
      <c r="CO35" s="74"/>
      <c r="CP35" s="74"/>
      <c r="CQ35" s="74"/>
      <c r="CS35" s="18"/>
      <c r="CT35" s="18"/>
      <c r="CU35" s="18"/>
      <c r="CV35" s="18"/>
      <c r="CX35" s="11" t="s">
        <v>1298</v>
      </c>
      <c r="CY35" s="74">
        <f t="shared" si="224"/>
        <v>0.13207547169811321</v>
      </c>
      <c r="CZ35" s="18">
        <f t="shared" si="225"/>
        <v>7</v>
      </c>
      <c r="DA35" s="74"/>
      <c r="DB35" s="74"/>
      <c r="DC35" s="74"/>
      <c r="DD35" s="74"/>
      <c r="DE35" s="74"/>
      <c r="DF35" s="74"/>
      <c r="DH35" s="18"/>
      <c r="DI35" s="18"/>
      <c r="DJ35" s="18"/>
      <c r="DK35" s="18"/>
      <c r="DL35" s="18"/>
      <c r="DM35" s="18"/>
      <c r="DN35" s="18"/>
      <c r="DO35" s="18"/>
      <c r="DP35" s="18" t="s">
        <v>469</v>
      </c>
      <c r="DQ35" s="74">
        <f t="shared" si="198"/>
        <v>0</v>
      </c>
      <c r="DR35" s="19">
        <f t="shared" si="199"/>
        <v>0</v>
      </c>
      <c r="DS35" s="18"/>
      <c r="DT35" s="18" t="s">
        <v>469</v>
      </c>
      <c r="DU35" s="74">
        <f t="shared" si="200"/>
        <v>0</v>
      </c>
      <c r="DV35" s="19">
        <f t="shared" si="201"/>
        <v>0</v>
      </c>
      <c r="DW35" s="18"/>
      <c r="DX35" s="18" t="s">
        <v>469</v>
      </c>
      <c r="DY35" s="74">
        <f t="shared" si="202"/>
        <v>0</v>
      </c>
      <c r="DZ35" s="19">
        <f t="shared" si="203"/>
        <v>0</v>
      </c>
      <c r="EA35" s="18"/>
      <c r="EB35" s="18"/>
      <c r="EC35" s="18"/>
      <c r="ED35" s="18"/>
      <c r="EE35" s="18"/>
      <c r="EF35" s="18"/>
      <c r="EH35" s="17" t="s">
        <v>1471</v>
      </c>
      <c r="EI35" s="74">
        <f t="shared" si="218"/>
        <v>0.25641025641025639</v>
      </c>
      <c r="EJ35" s="18">
        <f t="shared" si="219"/>
        <v>10</v>
      </c>
      <c r="ER35" s="17" t="s">
        <v>1471</v>
      </c>
      <c r="ES35" s="74">
        <f t="shared" si="220"/>
        <v>0.25</v>
      </c>
      <c r="ET35" s="18">
        <f t="shared" si="221"/>
        <v>11</v>
      </c>
      <c r="EZ35" s="87" t="s">
        <v>1487</v>
      </c>
      <c r="FA35" s="74">
        <f t="shared" si="222"/>
        <v>1.2345679012345678E-2</v>
      </c>
      <c r="FB35" s="90">
        <f t="shared" si="210"/>
        <v>1</v>
      </c>
      <c r="FT35" s="17" t="s">
        <v>1470</v>
      </c>
      <c r="FU35" s="74">
        <f t="shared" si="226"/>
        <v>0.14799999999999999</v>
      </c>
      <c r="FV35" s="18">
        <f>COUNTIFS('ENCUESTA CONDUCTORES'!$S$7:$S$459,"X",'ENCUESTA CONDUCTORES'!$AU$7:$AU$459,"&lt;7501")-FV34-FV33</f>
        <v>37</v>
      </c>
      <c r="GA35" s="17" t="s">
        <v>429</v>
      </c>
      <c r="GB35" s="74">
        <f t="shared" si="193"/>
        <v>0.18498659517426275</v>
      </c>
      <c r="GC35" s="74">
        <f t="shared" si="183"/>
        <v>0.21447721179624665</v>
      </c>
      <c r="GD35" s="74">
        <f t="shared" si="184"/>
        <v>7.5067024128686322E-2</v>
      </c>
      <c r="GE35" s="74">
        <f t="shared" si="185"/>
        <v>5.0938337801608578E-2</v>
      </c>
      <c r="GF35" s="74">
        <f t="shared" si="186"/>
        <v>4.2895442359249331E-2</v>
      </c>
      <c r="GG35" s="74">
        <f t="shared" si="187"/>
        <v>4.0214477211796246E-2</v>
      </c>
      <c r="GH35" s="74">
        <f t="shared" si="188"/>
        <v>0.39142091152815012</v>
      </c>
      <c r="GI35" s="74">
        <f t="shared" si="189"/>
        <v>1</v>
      </c>
      <c r="GJ35" s="18">
        <f>SUM(GJ28:GJ34)</f>
        <v>69</v>
      </c>
      <c r="GK35" s="18">
        <f t="shared" ref="GK35" si="227">SUM(GK28:GK34)</f>
        <v>80</v>
      </c>
      <c r="GL35" s="18">
        <f t="shared" ref="GL35" si="228">SUM(GL28:GL34)</f>
        <v>28</v>
      </c>
      <c r="GM35" s="18">
        <f t="shared" ref="GM35" si="229">SUM(GM28:GM34)</f>
        <v>19</v>
      </c>
      <c r="GN35" s="18">
        <f t="shared" ref="GN35" si="230">SUM(GN28:GN34)</f>
        <v>16</v>
      </c>
      <c r="GO35" s="18">
        <f t="shared" ref="GO35" si="231">SUM(GO28:GO34)</f>
        <v>15</v>
      </c>
      <c r="GP35" s="18">
        <f t="shared" ref="GP35" si="232">SUM(GP28:GP34)</f>
        <v>146</v>
      </c>
      <c r="GQ35" s="18">
        <f t="shared" ref="GQ35" si="233">SUM(GQ28:GQ34)</f>
        <v>373</v>
      </c>
      <c r="GS35" s="17" t="s">
        <v>208</v>
      </c>
      <c r="GT35" s="74">
        <f t="shared" si="223"/>
        <v>0</v>
      </c>
      <c r="GU35" s="74">
        <f t="shared" si="211"/>
        <v>0</v>
      </c>
      <c r="GV35" s="74">
        <f t="shared" si="212"/>
        <v>0</v>
      </c>
      <c r="GW35" s="74">
        <f t="shared" si="213"/>
        <v>0</v>
      </c>
      <c r="GX35" s="74">
        <f t="shared" si="214"/>
        <v>0</v>
      </c>
      <c r="GY35" s="18">
        <v>0</v>
      </c>
      <c r="GZ35" s="18">
        <v>0</v>
      </c>
      <c r="HA35" s="18">
        <v>0</v>
      </c>
      <c r="HB35" s="18">
        <v>0</v>
      </c>
      <c r="HC35" s="18">
        <v>0</v>
      </c>
      <c r="HE35" s="17" t="s">
        <v>1550</v>
      </c>
      <c r="HF35" s="74">
        <f t="shared" si="215"/>
        <v>8.2417582417582416E-2</v>
      </c>
    </row>
    <row r="36" spans="1:215" x14ac:dyDescent="0.25">
      <c r="B36" s="75" t="s">
        <v>55</v>
      </c>
      <c r="C36" s="74">
        <f t="shared" si="204"/>
        <v>1.0558069381598794E-2</v>
      </c>
      <c r="D36" s="74">
        <f t="shared" si="194"/>
        <v>3.0165912518853697E-3</v>
      </c>
      <c r="E36" s="74">
        <f t="shared" si="195"/>
        <v>1.5082956259426848E-3</v>
      </c>
      <c r="F36" s="74">
        <f t="shared" si="196"/>
        <v>2.2624434389140271E-2</v>
      </c>
      <c r="G36" s="74">
        <f t="shared" si="197"/>
        <v>3.7707390648567117E-2</v>
      </c>
      <c r="H36" s="90">
        <f>COUNTIFS('ENCUESTA CONDUCTORES'!P$7:P$459,"X",'ENCUESTA CONDUCTORES'!$BQ$7:$BQ$459,"X")</f>
        <v>7</v>
      </c>
      <c r="I36" s="90">
        <f>COUNTIFS('ENCUESTA CONDUCTORES'!Q$7:Q$459,"X",'ENCUESTA CONDUCTORES'!$BQ$7:$BQ$459,"X")</f>
        <v>2</v>
      </c>
      <c r="J36" s="90">
        <f>COUNTIFS('ENCUESTA CONDUCTORES'!R$7:R$459,"X",'ENCUESTA CONDUCTORES'!$BQ$7:$BQ$459,"X")</f>
        <v>1</v>
      </c>
      <c r="K36" s="90">
        <f>COUNTIFS('ENCUESTA CONDUCTORES'!S$7:S$459,"X",'ENCUESTA CONDUCTORES'!$BQ$7:$BQ$459,"X")</f>
        <v>15</v>
      </c>
      <c r="L36" s="19">
        <f t="shared" si="205"/>
        <v>25</v>
      </c>
      <c r="O36" s="17" t="s">
        <v>1336</v>
      </c>
      <c r="P36" s="17" t="s">
        <v>1336</v>
      </c>
      <c r="Z36" s="17" t="s">
        <v>22</v>
      </c>
      <c r="AA36" s="76">
        <f t="shared" ref="AA36:AA38" si="234">+AB36/$AB$38</f>
        <v>0</v>
      </c>
      <c r="AB36" s="18">
        <f>COUNTIFS('ENCUESTA CONDUCTORES'!S$7:S$459,"X",'ENCUESTA CONDUCTORES'!$AK$7:$AK$459,"X")</f>
        <v>0</v>
      </c>
      <c r="AC36" s="76"/>
      <c r="AE36" s="76"/>
      <c r="AF36" s="18"/>
      <c r="AG36" s="18"/>
      <c r="AH36" s="18"/>
      <c r="AJ36" s="18"/>
      <c r="AL36" s="11" t="s">
        <v>1300</v>
      </c>
      <c r="AM36" s="74">
        <f t="shared" si="216"/>
        <v>5.1522248243559721E-2</v>
      </c>
      <c r="AN36" s="74">
        <f t="shared" si="206"/>
        <v>1.6393442622950821E-2</v>
      </c>
      <c r="AO36" s="74">
        <f t="shared" si="207"/>
        <v>7.0257611241217799E-3</v>
      </c>
      <c r="AP36" s="74">
        <f t="shared" si="208"/>
        <v>0.30210772833723654</v>
      </c>
      <c r="AQ36" s="74">
        <f t="shared" si="209"/>
        <v>0.37704918032786883</v>
      </c>
      <c r="AR36" s="18">
        <f>COUNTIFS('ENCUESTA CONDUCTORES'!$AL$7:$AL$459,"X",'ENCUESTA CONDUCTORES'!P$7:P$459,"X",'ENCUESTA CONDUCTORES'!$AX$7:$AX$459,"&lt;2.51")-AR35-AR34-AR33-AR32</f>
        <v>22</v>
      </c>
      <c r="AS36" s="18">
        <f>COUNTIFS('ENCUESTA CONDUCTORES'!$AL$7:$AL$459,"X",'ENCUESTA CONDUCTORES'!Q$7:Q$459,"X",'ENCUESTA CONDUCTORES'!$AX$7:$AX$459,"&lt;2.51")-AS35-AS34-AS33-AS32</f>
        <v>7</v>
      </c>
      <c r="AT36" s="18">
        <f>COUNTIFS('ENCUESTA CONDUCTORES'!$AL$7:$AL$459,"X",'ENCUESTA CONDUCTORES'!R$7:R$459,"X",'ENCUESTA CONDUCTORES'!$AX$7:$AX$459,"&lt;2.51")-AT35-AT34-AT33-AT32</f>
        <v>3</v>
      </c>
      <c r="AU36" s="18">
        <f>COUNTIFS('ENCUESTA CONDUCTORES'!$AL$7:$AL$459,"X",'ENCUESTA CONDUCTORES'!S$7:S$459,"X",'ENCUESTA CONDUCTORES'!$AX$7:$AX$459,"&lt;2.51")-AU35-AU34-AU33-AU32</f>
        <v>129</v>
      </c>
      <c r="AV36" s="18">
        <f t="shared" si="217"/>
        <v>161</v>
      </c>
      <c r="AW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X36" s="11" t="s">
        <v>1299</v>
      </c>
      <c r="CY36" s="74">
        <f t="shared" si="224"/>
        <v>7.5471698113207544E-2</v>
      </c>
      <c r="CZ36" s="18">
        <f t="shared" si="225"/>
        <v>4</v>
      </c>
      <c r="DA36" s="74"/>
      <c r="DB36" s="74"/>
      <c r="DC36" s="74"/>
      <c r="DD36" s="74"/>
      <c r="DE36" s="74"/>
      <c r="DF36" s="74"/>
      <c r="DH36" s="18"/>
      <c r="DI36" s="18"/>
      <c r="DJ36" s="18"/>
      <c r="DK36" s="18"/>
      <c r="DL36" s="18"/>
      <c r="DM36" s="18"/>
      <c r="DN36" s="18"/>
      <c r="DO36" s="18"/>
      <c r="DP36" s="17" t="s">
        <v>429</v>
      </c>
      <c r="DQ36" s="74">
        <f t="shared" si="198"/>
        <v>1</v>
      </c>
      <c r="DR36" s="19">
        <f t="shared" si="199"/>
        <v>81</v>
      </c>
      <c r="DS36" s="18"/>
      <c r="DT36" s="17" t="s">
        <v>429</v>
      </c>
      <c r="DU36" s="74">
        <f t="shared" si="200"/>
        <v>1</v>
      </c>
      <c r="DV36" s="19">
        <f t="shared" si="201"/>
        <v>106</v>
      </c>
      <c r="DW36" s="18"/>
      <c r="DX36" s="17" t="s">
        <v>429</v>
      </c>
      <c r="DY36" s="74">
        <f t="shared" si="202"/>
        <v>1</v>
      </c>
      <c r="DZ36" s="19">
        <f t="shared" si="203"/>
        <v>43</v>
      </c>
      <c r="EA36" s="18"/>
      <c r="EB36" s="18"/>
      <c r="EC36" s="18"/>
      <c r="ED36" s="18"/>
      <c r="EE36" s="18"/>
      <c r="EF36" s="18"/>
      <c r="EH36" s="17" t="s">
        <v>1472</v>
      </c>
      <c r="EI36" s="74">
        <f t="shared" si="218"/>
        <v>2.564102564102564E-2</v>
      </c>
      <c r="EJ36" s="18">
        <f t="shared" si="219"/>
        <v>1</v>
      </c>
      <c r="ER36" s="17" t="s">
        <v>1472</v>
      </c>
      <c r="ES36" s="74">
        <f t="shared" si="220"/>
        <v>0</v>
      </c>
      <c r="ET36" s="18">
        <f t="shared" si="221"/>
        <v>0</v>
      </c>
      <c r="EZ36" s="87" t="s">
        <v>1488</v>
      </c>
      <c r="FA36" s="74">
        <f t="shared" si="222"/>
        <v>8.6419753086419748E-2</v>
      </c>
      <c r="FB36" s="90">
        <f t="shared" si="210"/>
        <v>7</v>
      </c>
      <c r="FT36" s="17" t="s">
        <v>1471</v>
      </c>
      <c r="FU36" s="74">
        <f t="shared" si="226"/>
        <v>0.51600000000000001</v>
      </c>
      <c r="FV36" s="18">
        <f>COUNTIFS('ENCUESTA CONDUCTORES'!$S$7:$S$459,"X",'ENCUESTA CONDUCTORES'!$AU$7:$AU$459,"&lt;10001")-FV35-FV34-FV33</f>
        <v>129</v>
      </c>
      <c r="GQ36" s="18">
        <f>SUM(GJ35:GP35)</f>
        <v>373</v>
      </c>
      <c r="GS36" s="17" t="s">
        <v>429</v>
      </c>
      <c r="GT36" s="74">
        <f t="shared" si="223"/>
        <v>8.9285714285714281E-3</v>
      </c>
      <c r="GU36" s="74">
        <f t="shared" si="211"/>
        <v>1.3392857142857142E-2</v>
      </c>
      <c r="GV36" s="74">
        <f t="shared" si="212"/>
        <v>3.3482142857142856E-2</v>
      </c>
      <c r="GW36" s="74">
        <f t="shared" si="213"/>
        <v>4.4642857142857144E-2</v>
      </c>
      <c r="GX36" s="74">
        <f t="shared" si="214"/>
        <v>0.10044642857142858</v>
      </c>
      <c r="GY36" s="18">
        <f>SUM(GY32:GY35)</f>
        <v>4</v>
      </c>
      <c r="GZ36" s="18">
        <f t="shared" ref="GZ36" si="235">SUM(GZ32:GZ35)</f>
        <v>6</v>
      </c>
      <c r="HA36" s="18">
        <f t="shared" ref="HA36" si="236">SUM(HA32:HA35)</f>
        <v>15</v>
      </c>
      <c r="HB36" s="18">
        <f t="shared" ref="HB36" si="237">SUM(HB32:HB35)</f>
        <v>20</v>
      </c>
      <c r="HC36" s="18">
        <f t="shared" ref="HC36" si="238">SUM(HC32:HC35)</f>
        <v>45</v>
      </c>
      <c r="HE36" s="17" t="s">
        <v>1333</v>
      </c>
      <c r="HF36" s="74">
        <f t="shared" si="215"/>
        <v>1</v>
      </c>
      <c r="HG36" s="17">
        <f>+HM9</f>
        <v>182</v>
      </c>
    </row>
    <row r="37" spans="1:215" x14ac:dyDescent="0.25">
      <c r="B37" s="75" t="s">
        <v>1358</v>
      </c>
      <c r="C37" s="74">
        <f t="shared" si="204"/>
        <v>4.2232277526395176E-2</v>
      </c>
      <c r="D37" s="74">
        <f t="shared" si="194"/>
        <v>2.8657616892911009E-2</v>
      </c>
      <c r="E37" s="74">
        <f t="shared" si="195"/>
        <v>6.0331825037707393E-3</v>
      </c>
      <c r="F37" s="74">
        <f t="shared" si="196"/>
        <v>7.8431372549019607E-2</v>
      </c>
      <c r="G37" s="74">
        <f t="shared" si="197"/>
        <v>0.15535444947209653</v>
      </c>
      <c r="H37" s="90">
        <f>COUNTIFS('ENCUESTA CONDUCTORES'!P$7:P$459,"X",'ENCUESTA CONDUCTORES'!$BS$7:$BS$459,"CARRITOS DE GOLF")+COUNTIFS('ENCUESTA CONDUCTORES'!P$7:P$459,"X",'ENCUESTA CONDUCTORES'!$BS$7:$BS$459,"MERCANCIA SECA")+COUNTIFS('ENCUESTA CONDUCTORES'!P$7:P$459,"X",'ENCUESTA CONDUCTORES'!$BS$7:$BS$459,"PAPELERIA")+COUNTIFS('ENCUESTA CONDUCTORES'!P$7:P$459,"X",'ENCUESTA CONDUCTORES'!$BS$7:$BS$459,"GENERAL")+COUNTIFS('ENCUESTA CONDUCTORES'!P$7:P$459,"X",'ENCUESTA CONDUCTORES'!$BS$7:$BS$459,"MAQUINARIA")+COUNTIFS('ENCUESTA CONDUCTORES'!P$7:P$459,"X",'ENCUESTA CONDUCTORES'!$BS$7:$BS$459,"CONTENEDOR")+COUNTIFS('ENCUESTA CONDUCTORES'!P$7:P$459,"X",'ENCUESTA CONDUCTORES'!$BS$7:$BS$459,"MEDICAMENTOS")+COUNTIFS('ENCUESTA CONDUCTORES'!P$7:P$459,"X",'ENCUESTA CONDUCTORES'!$BS$7:$BS$459,"AGUA POTABLE")+COUNTIFS('ENCUESTA CONDUCTORES'!P$7:P$459,"X",'ENCUESTA CONDUCTORES'!$BS$7:$BS$459,"MUDANZAS")+COUNTIFS('ENCUESTA CONDUCTORES'!P$7:P$459,"X",'ENCUESTA CONDUCTORES'!$BS$7:$BS$459,"JABON")+COUNTIFS('ENCUESTA CONDUCTORES'!P$7:P$459,"X",'ENCUESTA CONDUCTORES'!$BS$7:$BS$459,"ACEITE")+COUNTIFS('ENCUESTA CONDUCTORES'!P$7:P$459,"X",'ENCUESTA CONDUCTORES'!$BS$7:$BS$459,"POLIETILENO")+COUNTIFS('ENCUESTA CONDUCTORES'!P$7:P$459,"X",'ENCUESTA CONDUCTORES'!$BS$7:$BS$459,"ELECTRODOMÉSTICOS")+COUNTIFS('ENCUESTA CONDUCTORES'!P$7:P$459,"X",'ENCUESTA CONDUCTORES'!$BS$7:$BS$459,"MUEBLES")+COUNTIFS('ENCUESTA CONDUCTORES'!P$7:P$459,"X",'ENCUESTA CONDUCTORES'!$BS$7:$BS$459,"CHATARRA")+COUNTIFS('ENCUESTA CONDUCTORES'!P$7:P$459,"X",'ENCUESTA CONDUCTORES'!$BS$7:$BS$459,"LLANTAS")+COUNTIFS('ENCUESTA CONDUCTORES'!P$7:P$459,"X",'ENCUESTA CONDUCTORES'!$BS$7:$BS$459,"AGUA")+COUNTIFS('ENCUESTA CONDUCTORES'!P$7:P$459,"X",'ENCUESTA CONDUCTORES'!$BS$7:$BS$459,"ANIMALES")+COUNTIFS('ENCUESTA CONDUCTORES'!P$7:P$459,"X",'ENCUESTA CONDUCTORES'!$BS$7:$BS$459,"TV REFRIGERADORES")+COUNTIFS('ENCUESTA CONDUCTORES'!P$7:P$459,"X",'ENCUESTA CONDUCTORES'!$BS$7:$BS$459,"LÍNEA BLANCA")+COUNTIFS('ENCUESTA CONDUCTORES'!P$7:P$459,"X",'ENCUESTA CONDUCTORES'!$BS$7:$BS$459,"IMPORTACIÓN / EXPORTACIÓN")+COUNTIFS('ENCUESTA CONDUCTORES'!P$7:P$459,"X",'ENCUESTA CONDUCTORES'!$BS$7:$BS$459,"PLASTICO")+COUNTIFS('ENCUESTA CONDUCTORES'!P$7:P$459,"X",'ENCUESTA CONDUCTORES'!$BS$7:$BS$459,"ROPA")+COUNTIFS('ENCUESTA CONDUCTORES'!P$7:P$459,"X",'ENCUESTA CONDUCTORES'!$BS$7:$BS$459,"CHATARRA")+COUNTIFS('ENCUESTA CONDUCTORES'!P$7:P$459,"X",'ENCUESTA CONDUCTORES'!$BS$7:$BS$459,"MEDICAMENTO NUTRICIONAL")+COUNTIFS('ENCUESTA CONDUCTORES'!P$7:P$459,"X",'ENCUESTA CONDUCTORES'!$BS$7:$BS$459,"PRODUCTOS DE BELLEZA")+COUNTIFS('ENCUESTA CONDUCTORES'!P$7:P$459,"X",'ENCUESTA CONDUCTORES'!$BS$7:$BS$459,"FORRAJE")+COUNTIFS('ENCUESTA CONDUCTORES'!P$7:P$459,"X",'ENCUESTA CONDUCTORES'!$BS$7:$BS$459,"VALORES")+COUNTIFS('ENCUESTA CONDUCTORES'!P$7:P$459,"X",'ENCUESTA CONDUCTORES'!$BS$7:$BS$459,"PAQUETERIA")+COUNTIFS('ENCUESTA CONDUCTORES'!P$7:P$459,"X",'ENCUESTA CONDUCTORES'!$BS$7:$BS$459,"SECOS")+COUNTIFS('ENCUESTA CONDUCTORES'!P$7:P$459,"X",'ENCUESTA CONDUCTORES'!$BS$7:$BS$459,"PANTALLAS")+COUNTIFS('ENCUESTA CONDUCTORES'!P$7:P$459,"X",'ENCUESTA CONDUCTORES'!$BS$7:$BS$459,"BOTELLAS")+COUNTIFS('ENCUESTA CONDUCTORES'!P$7:P$459,"X",'ENCUESTA CONDUCTORES'!$BS$7:$BS$459,"PRODUCTOS DE HIGIENE PERSONAL")+COUNTIFS('ENCUESTA CONDUCTORES'!P$7:P$459,"X",'ENCUESTA CONDUCTORES'!$BS$7:$BS$459,"ELECTRONICA, LINEA BLANCA")+COUNTIFS('ENCUESTA CONDUCTORES'!P$7:P$459,"X",'ENCUESTA CONDUCTORES'!$BS$7:$BS$459,"CONTENEDORES")</f>
        <v>28</v>
      </c>
      <c r="I37" s="90">
        <f>COUNTIFS('ENCUESTA CONDUCTORES'!Q$7:Q$459,"X",'ENCUESTA CONDUCTORES'!$BS$7:$BS$459,"CARRITOS DE GOLF")+COUNTIFS('ENCUESTA CONDUCTORES'!Q$7:Q$459,"X",'ENCUESTA CONDUCTORES'!$BS$7:$BS$459,"MERCANCIA SECA")+COUNTIFS('ENCUESTA CONDUCTORES'!Q$7:Q$459,"X",'ENCUESTA CONDUCTORES'!$BS$7:$BS$459,"PAPELERIA")+COUNTIFS('ENCUESTA CONDUCTORES'!Q$7:Q$459,"X",'ENCUESTA CONDUCTORES'!$BS$7:$BS$459,"GENERAL")+COUNTIFS('ENCUESTA CONDUCTORES'!Q$7:Q$459,"X",'ENCUESTA CONDUCTORES'!$BS$7:$BS$459,"MAQUINARIA")+COUNTIFS('ENCUESTA CONDUCTORES'!Q$7:Q$459,"X",'ENCUESTA CONDUCTORES'!$BS$7:$BS$459,"CONTENEDOR")+COUNTIFS('ENCUESTA CONDUCTORES'!Q$7:Q$459,"X",'ENCUESTA CONDUCTORES'!$BS$7:$BS$459,"MEDICAMENTOS")+COUNTIFS('ENCUESTA CONDUCTORES'!Q$7:Q$459,"X",'ENCUESTA CONDUCTORES'!$BS$7:$BS$459,"AGUA POTABLE")+COUNTIFS('ENCUESTA CONDUCTORES'!Q$7:Q$459,"X",'ENCUESTA CONDUCTORES'!$BS$7:$BS$459,"MUDANZAS")+COUNTIFS('ENCUESTA CONDUCTORES'!Q$7:Q$459,"X",'ENCUESTA CONDUCTORES'!$BS$7:$BS$459,"JABON")+COUNTIFS('ENCUESTA CONDUCTORES'!Q$7:Q$459,"X",'ENCUESTA CONDUCTORES'!$BS$7:$BS$459,"ACEITE")+COUNTIFS('ENCUESTA CONDUCTORES'!Q$7:Q$459,"X",'ENCUESTA CONDUCTORES'!$BS$7:$BS$459,"POLIETILENO")+COUNTIFS('ENCUESTA CONDUCTORES'!Q$7:Q$459,"X",'ENCUESTA CONDUCTORES'!$BS$7:$BS$459,"ELECTRODOMÉSTICOS")+COUNTIFS('ENCUESTA CONDUCTORES'!Q$7:Q$459,"X",'ENCUESTA CONDUCTORES'!$BS$7:$BS$459,"MUEBLES")+COUNTIFS('ENCUESTA CONDUCTORES'!Q$7:Q$459,"X",'ENCUESTA CONDUCTORES'!$BS$7:$BS$459,"CHATARRA")+COUNTIFS('ENCUESTA CONDUCTORES'!Q$7:Q$459,"X",'ENCUESTA CONDUCTORES'!$BS$7:$BS$459,"LLANTAS")+COUNTIFS('ENCUESTA CONDUCTORES'!Q$7:Q$459,"X",'ENCUESTA CONDUCTORES'!$BS$7:$BS$459,"AGUA")+COUNTIFS('ENCUESTA CONDUCTORES'!Q$7:Q$459,"X",'ENCUESTA CONDUCTORES'!$BS$7:$BS$459,"ANIMALES")+COUNTIFS('ENCUESTA CONDUCTORES'!Q$7:Q$459,"X",'ENCUESTA CONDUCTORES'!$BS$7:$BS$459,"TV REFRIGERADORES")+COUNTIFS('ENCUESTA CONDUCTORES'!Q$7:Q$459,"X",'ENCUESTA CONDUCTORES'!$BS$7:$BS$459,"LÍNEA BLANCA")+COUNTIFS('ENCUESTA CONDUCTORES'!Q$7:Q$459,"X",'ENCUESTA CONDUCTORES'!$BS$7:$BS$459,"IMPORTACIÓN / EXPORTACIÓN")+COUNTIFS('ENCUESTA CONDUCTORES'!Q$7:Q$459,"X",'ENCUESTA CONDUCTORES'!$BS$7:$BS$459,"PLASTICO")+COUNTIFS('ENCUESTA CONDUCTORES'!Q$7:Q$459,"X",'ENCUESTA CONDUCTORES'!$BS$7:$BS$459,"ROPA")+COUNTIFS('ENCUESTA CONDUCTORES'!Q$7:Q$459,"X",'ENCUESTA CONDUCTORES'!$BS$7:$BS$459,"CHATARRA")+COUNTIFS('ENCUESTA CONDUCTORES'!Q$7:Q$459,"X",'ENCUESTA CONDUCTORES'!$BS$7:$BS$459,"MEDICAMENTO NUTRICIONAL")+COUNTIFS('ENCUESTA CONDUCTORES'!Q$7:Q$459,"X",'ENCUESTA CONDUCTORES'!$BS$7:$BS$459,"PRODUCTOS DE BELLEZA")+COUNTIFS('ENCUESTA CONDUCTORES'!Q$7:Q$459,"X",'ENCUESTA CONDUCTORES'!$BS$7:$BS$459,"FORRAJE")+COUNTIFS('ENCUESTA CONDUCTORES'!Q$7:Q$459,"X",'ENCUESTA CONDUCTORES'!$BS$7:$BS$459,"VALORES")+COUNTIFS('ENCUESTA CONDUCTORES'!Q$7:Q$459,"X",'ENCUESTA CONDUCTORES'!$BS$7:$BS$459,"PAQUETERIA")+COUNTIFS('ENCUESTA CONDUCTORES'!Q$7:Q$459,"X",'ENCUESTA CONDUCTORES'!$BS$7:$BS$459,"SECOS")+COUNTIFS('ENCUESTA CONDUCTORES'!Q$7:Q$459,"X",'ENCUESTA CONDUCTORES'!$BS$7:$BS$459,"PANTALLAS")+COUNTIFS('ENCUESTA CONDUCTORES'!Q$7:Q$459,"X",'ENCUESTA CONDUCTORES'!$BS$7:$BS$459,"BOTELLAS")+COUNTIFS('ENCUESTA CONDUCTORES'!Q$7:Q$459,"X",'ENCUESTA CONDUCTORES'!$BS$7:$BS$459,"PRODUCTOS DE HIGIENE PERSONAL")+COUNTIFS('ENCUESTA CONDUCTORES'!Q$7:Q$459,"X",'ENCUESTA CONDUCTORES'!$BS$7:$BS$459,"ELECTRONICA, LINEA BLANCA")+COUNTIFS('ENCUESTA CONDUCTORES'!Q$7:Q$459,"X",'ENCUESTA CONDUCTORES'!$BS$7:$BS$459,"CONTENEDORES")</f>
        <v>19</v>
      </c>
      <c r="J37" s="90">
        <f>COUNTIFS('ENCUESTA CONDUCTORES'!R$7:R$459,"X",'ENCUESTA CONDUCTORES'!$BS$7:$BS$459,"CARRITOS DE GOLF")+COUNTIFS('ENCUESTA CONDUCTORES'!R$7:R$459,"X",'ENCUESTA CONDUCTORES'!$BS$7:$BS$459,"MERCANCIA SECA")+COUNTIFS('ENCUESTA CONDUCTORES'!R$7:R$459,"X",'ENCUESTA CONDUCTORES'!$BS$7:$BS$459,"PAPELERIA")+COUNTIFS('ENCUESTA CONDUCTORES'!R$7:R$459,"X",'ENCUESTA CONDUCTORES'!$BS$7:$BS$459,"GENERAL")+COUNTIFS('ENCUESTA CONDUCTORES'!R$7:R$459,"X",'ENCUESTA CONDUCTORES'!$BS$7:$BS$459,"MAQUINARIA")+COUNTIFS('ENCUESTA CONDUCTORES'!R$7:R$459,"X",'ENCUESTA CONDUCTORES'!$BS$7:$BS$459,"CONTENEDOR")+COUNTIFS('ENCUESTA CONDUCTORES'!R$7:R$459,"X",'ENCUESTA CONDUCTORES'!$BS$7:$BS$459,"MEDICAMENTOS")+COUNTIFS('ENCUESTA CONDUCTORES'!R$7:R$459,"X",'ENCUESTA CONDUCTORES'!$BS$7:$BS$459,"AGUA POTABLE")+COUNTIFS('ENCUESTA CONDUCTORES'!R$7:R$459,"X",'ENCUESTA CONDUCTORES'!$BS$7:$BS$459,"MUDANZAS")+COUNTIFS('ENCUESTA CONDUCTORES'!R$7:R$459,"X",'ENCUESTA CONDUCTORES'!$BS$7:$BS$459,"JABON")+COUNTIFS('ENCUESTA CONDUCTORES'!R$7:R$459,"X",'ENCUESTA CONDUCTORES'!$BS$7:$BS$459,"ACEITE")+COUNTIFS('ENCUESTA CONDUCTORES'!R$7:R$459,"X",'ENCUESTA CONDUCTORES'!$BS$7:$BS$459,"POLIETILENO")+COUNTIFS('ENCUESTA CONDUCTORES'!R$7:R$459,"X",'ENCUESTA CONDUCTORES'!$BS$7:$BS$459,"ELECTRODOMÉSTICOS")+COUNTIFS('ENCUESTA CONDUCTORES'!R$7:R$459,"X",'ENCUESTA CONDUCTORES'!$BS$7:$BS$459,"MUEBLES")+COUNTIFS('ENCUESTA CONDUCTORES'!R$7:R$459,"X",'ENCUESTA CONDUCTORES'!$BS$7:$BS$459,"CHATARRA")+COUNTIFS('ENCUESTA CONDUCTORES'!R$7:R$459,"X",'ENCUESTA CONDUCTORES'!$BS$7:$BS$459,"LLANTAS")+COUNTIFS('ENCUESTA CONDUCTORES'!R$7:R$459,"X",'ENCUESTA CONDUCTORES'!$BS$7:$BS$459,"AGUA")+COUNTIFS('ENCUESTA CONDUCTORES'!R$7:R$459,"X",'ENCUESTA CONDUCTORES'!$BS$7:$BS$459,"ANIMALES")+COUNTIFS('ENCUESTA CONDUCTORES'!R$7:R$459,"X",'ENCUESTA CONDUCTORES'!$BS$7:$BS$459,"TV REFRIGERADORES")+COUNTIFS('ENCUESTA CONDUCTORES'!R$7:R$459,"X",'ENCUESTA CONDUCTORES'!$BS$7:$BS$459,"LÍNEA BLANCA")+COUNTIFS('ENCUESTA CONDUCTORES'!R$7:R$459,"X",'ENCUESTA CONDUCTORES'!$BS$7:$BS$459,"IMPORTACIÓN / EXPORTACIÓN")+COUNTIFS('ENCUESTA CONDUCTORES'!R$7:R$459,"X",'ENCUESTA CONDUCTORES'!$BS$7:$BS$459,"PLASTICO")+COUNTIFS('ENCUESTA CONDUCTORES'!R$7:R$459,"X",'ENCUESTA CONDUCTORES'!$BS$7:$BS$459,"ROPA")+COUNTIFS('ENCUESTA CONDUCTORES'!R$7:R$459,"X",'ENCUESTA CONDUCTORES'!$BS$7:$BS$459,"CHATARRA")+COUNTIFS('ENCUESTA CONDUCTORES'!R$7:R$459,"X",'ENCUESTA CONDUCTORES'!$BS$7:$BS$459,"MEDICAMENTO NUTRICIONAL")+COUNTIFS('ENCUESTA CONDUCTORES'!R$7:R$459,"X",'ENCUESTA CONDUCTORES'!$BS$7:$BS$459,"PRODUCTOS DE BELLEZA")+COUNTIFS('ENCUESTA CONDUCTORES'!R$7:R$459,"X",'ENCUESTA CONDUCTORES'!$BS$7:$BS$459,"FORRAJE")+COUNTIFS('ENCUESTA CONDUCTORES'!R$7:R$459,"X",'ENCUESTA CONDUCTORES'!$BS$7:$BS$459,"VALORES")+COUNTIFS('ENCUESTA CONDUCTORES'!R$7:R$459,"X",'ENCUESTA CONDUCTORES'!$BS$7:$BS$459,"PAQUETERIA")+COUNTIFS('ENCUESTA CONDUCTORES'!R$7:R$459,"X",'ENCUESTA CONDUCTORES'!$BS$7:$BS$459,"SECOS")+COUNTIFS('ENCUESTA CONDUCTORES'!R$7:R$459,"X",'ENCUESTA CONDUCTORES'!$BS$7:$BS$459,"PANTALLAS")+COUNTIFS('ENCUESTA CONDUCTORES'!R$7:R$459,"X",'ENCUESTA CONDUCTORES'!$BS$7:$BS$459,"BOTELLAS")+COUNTIFS('ENCUESTA CONDUCTORES'!R$7:R$459,"X",'ENCUESTA CONDUCTORES'!$BS$7:$BS$459,"PRODUCTOS DE HIGIENE PERSONAL")+COUNTIFS('ENCUESTA CONDUCTORES'!R$7:R$459,"X",'ENCUESTA CONDUCTORES'!$BS$7:$BS$459,"ELECTRONICA, LINEA BLANCA")+COUNTIFS('ENCUESTA CONDUCTORES'!R$7:R$459,"X",'ENCUESTA CONDUCTORES'!$BS$7:$BS$459,"CONTENEDORES")</f>
        <v>4</v>
      </c>
      <c r="K37" s="90">
        <f>COUNTIFS('ENCUESTA CONDUCTORES'!S$7:S$459,"X",'ENCUESTA CONDUCTORES'!$BS$7:$BS$459,"CARRITOS DE GOLF")+COUNTIFS('ENCUESTA CONDUCTORES'!S$7:S$459,"X",'ENCUESTA CONDUCTORES'!$BS$7:$BS$459,"MERCANCIA SECA")+COUNTIFS('ENCUESTA CONDUCTORES'!S$7:S$459,"X",'ENCUESTA CONDUCTORES'!$BS$7:$BS$459,"PAPELERIA")+COUNTIFS('ENCUESTA CONDUCTORES'!S$7:S$459,"X",'ENCUESTA CONDUCTORES'!$BS$7:$BS$459,"GENERAL")+COUNTIFS('ENCUESTA CONDUCTORES'!S$7:S$459,"X",'ENCUESTA CONDUCTORES'!$BS$7:$BS$459,"MAQUINARIA")+COUNTIFS('ENCUESTA CONDUCTORES'!S$7:S$459,"X",'ENCUESTA CONDUCTORES'!$BS$7:$BS$459,"CONTENEDOR")+COUNTIFS('ENCUESTA CONDUCTORES'!S$7:S$459,"X",'ENCUESTA CONDUCTORES'!$BS$7:$BS$459,"MEDICAMENTOS")+COUNTIFS('ENCUESTA CONDUCTORES'!S$7:S$459,"X",'ENCUESTA CONDUCTORES'!$BS$7:$BS$459,"AGUA POTABLE")+COUNTIFS('ENCUESTA CONDUCTORES'!S$7:S$459,"X",'ENCUESTA CONDUCTORES'!$BS$7:$BS$459,"MUDANZAS")+COUNTIFS('ENCUESTA CONDUCTORES'!S$7:S$459,"X",'ENCUESTA CONDUCTORES'!$BS$7:$BS$459,"JABON")+COUNTIFS('ENCUESTA CONDUCTORES'!S$7:S$459,"X",'ENCUESTA CONDUCTORES'!$BS$7:$BS$459,"ACEITE")+COUNTIFS('ENCUESTA CONDUCTORES'!S$7:S$459,"X",'ENCUESTA CONDUCTORES'!$BS$7:$BS$459,"POLIETILENO")+COUNTIFS('ENCUESTA CONDUCTORES'!S$7:S$459,"X",'ENCUESTA CONDUCTORES'!$BS$7:$BS$459,"ELECTRODOMÉSTICOS")+COUNTIFS('ENCUESTA CONDUCTORES'!S$7:S$459,"X",'ENCUESTA CONDUCTORES'!$BS$7:$BS$459,"MUEBLES")+COUNTIFS('ENCUESTA CONDUCTORES'!S$7:S$459,"X",'ENCUESTA CONDUCTORES'!$BS$7:$BS$459,"CHATARRA")+COUNTIFS('ENCUESTA CONDUCTORES'!S$7:S$459,"X",'ENCUESTA CONDUCTORES'!$BS$7:$BS$459,"LLANTAS")+COUNTIFS('ENCUESTA CONDUCTORES'!S$7:S$459,"X",'ENCUESTA CONDUCTORES'!$BS$7:$BS$459,"AGUA")+COUNTIFS('ENCUESTA CONDUCTORES'!S$7:S$459,"X",'ENCUESTA CONDUCTORES'!$BS$7:$BS$459,"ANIMALES")+COUNTIFS('ENCUESTA CONDUCTORES'!S$7:S$459,"X",'ENCUESTA CONDUCTORES'!$BS$7:$BS$459,"TV REFRIGERADORES")+COUNTIFS('ENCUESTA CONDUCTORES'!S$7:S$459,"X",'ENCUESTA CONDUCTORES'!$BS$7:$BS$459,"LÍNEA BLANCA")+COUNTIFS('ENCUESTA CONDUCTORES'!S$7:S$459,"X",'ENCUESTA CONDUCTORES'!$BS$7:$BS$459,"IMPORTACIÓN / EXPORTACIÓN")+COUNTIFS('ENCUESTA CONDUCTORES'!S$7:S$459,"X",'ENCUESTA CONDUCTORES'!$BS$7:$BS$459,"PLASTICO")+COUNTIFS('ENCUESTA CONDUCTORES'!S$7:S$459,"X",'ENCUESTA CONDUCTORES'!$BS$7:$BS$459,"ROPA")+COUNTIFS('ENCUESTA CONDUCTORES'!S$7:S$459,"X",'ENCUESTA CONDUCTORES'!$BS$7:$BS$459,"CHATARRA")+COUNTIFS('ENCUESTA CONDUCTORES'!S$7:S$459,"X",'ENCUESTA CONDUCTORES'!$BS$7:$BS$459,"MEDICAMENTO NUTRICIONAL")+COUNTIFS('ENCUESTA CONDUCTORES'!S$7:S$459,"X",'ENCUESTA CONDUCTORES'!$BS$7:$BS$459,"PRODUCTOS DE BELLEZA")+COUNTIFS('ENCUESTA CONDUCTORES'!S$7:S$459,"X",'ENCUESTA CONDUCTORES'!$BS$7:$BS$459,"FORRAJE")+COUNTIFS('ENCUESTA CONDUCTORES'!S$7:S$459,"X",'ENCUESTA CONDUCTORES'!$BS$7:$BS$459,"VALORES")+COUNTIFS('ENCUESTA CONDUCTORES'!S$7:S$459,"X",'ENCUESTA CONDUCTORES'!$BS$7:$BS$459,"PAQUETERIA")+COUNTIFS('ENCUESTA CONDUCTORES'!S$7:S$459,"X",'ENCUESTA CONDUCTORES'!$BS$7:$BS$459,"SECOS")+COUNTIFS('ENCUESTA CONDUCTORES'!S$7:S$459,"X",'ENCUESTA CONDUCTORES'!$BS$7:$BS$459,"PANTALLAS")+COUNTIFS('ENCUESTA CONDUCTORES'!S$7:S$459,"X",'ENCUESTA CONDUCTORES'!$BS$7:$BS$459,"BOTELLAS")+COUNTIFS('ENCUESTA CONDUCTORES'!S$7:S$459,"X",'ENCUESTA CONDUCTORES'!$BS$7:$BS$459,"PRODUCTOS DE HIGIENE PERSONAL")+COUNTIFS('ENCUESTA CONDUCTORES'!S$7:S$459,"X",'ENCUESTA CONDUCTORES'!$BS$7:$BS$459,"ELECTRONICA, LINEA BLANCA")+COUNTIFS('ENCUESTA CONDUCTORES'!S$7:S$459,"X",'ENCUESTA CONDUCTORES'!$BS$7:$BS$459,"CONTENEDORES")</f>
        <v>52</v>
      </c>
      <c r="L37" s="19">
        <f t="shared" si="205"/>
        <v>103</v>
      </c>
      <c r="N37" s="75" t="s">
        <v>10</v>
      </c>
      <c r="O37" s="127">
        <f t="shared" ref="O37:O44" si="239">+P37/$P$44</f>
        <v>0.5494505494505495</v>
      </c>
      <c r="P37" s="90">
        <f>COUNTIFS('ENCUESTA CONDUCTORES'!G$7:G$459,"X",'ENCUESTA CONDUCTORES'!$U$7:$U$459,"X")</f>
        <v>100</v>
      </c>
      <c r="X37" s="18"/>
      <c r="Z37" s="17" t="s">
        <v>23</v>
      </c>
      <c r="AA37" s="76">
        <f t="shared" si="234"/>
        <v>1</v>
      </c>
      <c r="AB37" s="18">
        <f>COUNTIFS('ENCUESTA CONDUCTORES'!S$7:S$459,"X",'ENCUESTA CONDUCTORES'!$AL$7:$AL$459,"X")</f>
        <v>250</v>
      </c>
      <c r="AC37" s="76"/>
      <c r="AE37" s="76"/>
      <c r="AF37" s="18"/>
      <c r="AG37" s="18"/>
      <c r="AH37" s="18"/>
      <c r="AJ37" s="18"/>
      <c r="AL37" s="11" t="s">
        <v>1301</v>
      </c>
      <c r="AM37" s="74">
        <f t="shared" si="216"/>
        <v>5.6206088992974239E-2</v>
      </c>
      <c r="AN37" s="74">
        <f t="shared" si="206"/>
        <v>4.9180327868852458E-2</v>
      </c>
      <c r="AO37" s="74">
        <f t="shared" si="207"/>
        <v>9.3676814988290398E-3</v>
      </c>
      <c r="AP37" s="74">
        <f t="shared" si="208"/>
        <v>4.2154566744730677E-2</v>
      </c>
      <c r="AQ37" s="74">
        <f t="shared" si="209"/>
        <v>0.15690866510538642</v>
      </c>
      <c r="AR37" s="18">
        <f>COUNTIFS('ENCUESTA CONDUCTORES'!$AL$7:$AL$459,"X",'ENCUESTA CONDUCTORES'!P$7:P$459,"X",'ENCUESTA CONDUCTORES'!$AX$7:$AX$459,"&lt;3.01")-AR36-AR35-AR34-AR33-AR32</f>
        <v>24</v>
      </c>
      <c r="AS37" s="18">
        <f>COUNTIFS('ENCUESTA CONDUCTORES'!$AL$7:$AL$459,"X",'ENCUESTA CONDUCTORES'!Q$7:Q$459,"X",'ENCUESTA CONDUCTORES'!$AX$7:$AX$459,"&lt;3.01")-AS36-AS35-AS34-AS33-AS32</f>
        <v>21</v>
      </c>
      <c r="AT37" s="18">
        <f>COUNTIFS('ENCUESTA CONDUCTORES'!$AL$7:$AL$459,"X",'ENCUESTA CONDUCTORES'!R$7:R$459,"X",'ENCUESTA CONDUCTORES'!$AX$7:$AX$459,"&lt;3.01")-AT36-AT35-AT34-AT33-AT32</f>
        <v>4</v>
      </c>
      <c r="AU37" s="18">
        <f>COUNTIFS('ENCUESTA CONDUCTORES'!$AL$7:$AL$459,"X",'ENCUESTA CONDUCTORES'!S$7:S$459,"X",'ENCUESTA CONDUCTORES'!$AX$7:$AX$459,"&lt;3.01")-AU36-AU35-AU34-AU33-AU32</f>
        <v>18</v>
      </c>
      <c r="AV37" s="18">
        <f t="shared" si="217"/>
        <v>67</v>
      </c>
      <c r="AW37" s="18"/>
      <c r="CL37" s="17" t="s">
        <v>1434</v>
      </c>
      <c r="CX37" s="11" t="s">
        <v>1300</v>
      </c>
      <c r="CY37" s="74">
        <f t="shared" si="224"/>
        <v>0.16981132075471697</v>
      </c>
      <c r="CZ37" s="18">
        <f t="shared" si="225"/>
        <v>9</v>
      </c>
      <c r="DA37" s="74"/>
      <c r="DB37" s="74"/>
      <c r="DC37" s="74"/>
      <c r="DD37" s="74"/>
      <c r="DE37" s="74"/>
      <c r="DF37" s="74"/>
      <c r="DH37" s="18"/>
      <c r="DI37" s="18"/>
      <c r="DJ37" s="18"/>
      <c r="DK37" s="18"/>
      <c r="DL37" s="18"/>
      <c r="DM37" s="18"/>
      <c r="DN37" s="18"/>
      <c r="DO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H37" s="17" t="s">
        <v>1473</v>
      </c>
      <c r="EI37" s="74">
        <f t="shared" si="218"/>
        <v>5.128205128205128E-2</v>
      </c>
      <c r="EJ37" s="18">
        <f t="shared" si="219"/>
        <v>2</v>
      </c>
      <c r="ER37" s="17" t="s">
        <v>1473</v>
      </c>
      <c r="ES37" s="74">
        <f t="shared" si="220"/>
        <v>0.31818181818181818</v>
      </c>
      <c r="ET37" s="18">
        <f t="shared" si="221"/>
        <v>14</v>
      </c>
      <c r="EZ37" s="87" t="s">
        <v>1489</v>
      </c>
      <c r="FA37" s="74">
        <f t="shared" si="222"/>
        <v>0</v>
      </c>
      <c r="FB37" s="90">
        <f t="shared" si="210"/>
        <v>0</v>
      </c>
      <c r="FT37" s="17" t="s">
        <v>1472</v>
      </c>
      <c r="FU37" s="74">
        <f t="shared" si="226"/>
        <v>9.1999999999999998E-2</v>
      </c>
      <c r="FV37" s="18">
        <f>COUNTIFS('ENCUESTA CONDUCTORES'!$S$7:$S$459,"X",'ENCUESTA CONDUCTORES'!$AU$7:$AU$459,"&lt;12501")-FV36-FV35-FV34-FV33</f>
        <v>23</v>
      </c>
      <c r="HC37" s="18">
        <f>SUM(GY36:HB36)</f>
        <v>45</v>
      </c>
    </row>
    <row r="38" spans="1:215" x14ac:dyDescent="0.25">
      <c r="B38" s="75" t="s">
        <v>1333</v>
      </c>
      <c r="C38" s="74">
        <f t="shared" si="204"/>
        <v>0.18401206636500755</v>
      </c>
      <c r="D38" s="74">
        <f t="shared" si="194"/>
        <v>0.19909502262443438</v>
      </c>
      <c r="E38" s="74">
        <f t="shared" si="195"/>
        <v>2.4132730015082957E-2</v>
      </c>
      <c r="F38" s="74">
        <f t="shared" si="196"/>
        <v>0.59276018099547512</v>
      </c>
      <c r="G38" s="74">
        <f t="shared" si="197"/>
        <v>1</v>
      </c>
      <c r="H38" s="19">
        <f>SUM(H30:H37)</f>
        <v>122</v>
      </c>
      <c r="I38" s="19">
        <f t="shared" ref="I38:K38" si="240">SUM(I30:I37)</f>
        <v>132</v>
      </c>
      <c r="J38" s="19">
        <f t="shared" si="240"/>
        <v>16</v>
      </c>
      <c r="K38" s="19">
        <f t="shared" si="240"/>
        <v>393</v>
      </c>
      <c r="L38" s="19">
        <f t="shared" si="205"/>
        <v>663</v>
      </c>
      <c r="N38" s="75" t="s">
        <v>1352</v>
      </c>
      <c r="O38" s="127">
        <f t="shared" si="239"/>
        <v>0.11538461538461539</v>
      </c>
      <c r="P38" s="90">
        <f>COUNTIFS('ENCUESTA CONDUCTORES'!G$7:G$459,"X",'ENCUESTA CONDUCTORES'!$W$7:$W$459,"X")+COUNTIFS('ENCUESTA CONDUCTORES'!G$7:G$459,"X",'ENCUESTA CONDUCTORES'!$AB$7:$AB$459,"X")+COUNTIFS('ENCUESTA CONDUCTORES'!G$7:G$459,"X",'ENCUESTA CONDUCTORES'!$AC$7:$AC$459,"X")</f>
        <v>21</v>
      </c>
      <c r="Q38" s="127"/>
      <c r="R38" s="127"/>
      <c r="S38" s="127"/>
      <c r="T38" s="90"/>
      <c r="U38" s="90"/>
      <c r="W38" s="90"/>
      <c r="X38" s="19"/>
      <c r="Z38" s="17" t="s">
        <v>429</v>
      </c>
      <c r="AA38" s="76">
        <f t="shared" si="234"/>
        <v>1</v>
      </c>
      <c r="AB38" s="18">
        <f t="shared" ref="AB38" si="241">SUM(AB35:AB37)</f>
        <v>250</v>
      </c>
      <c r="AC38" s="76"/>
      <c r="AE38" s="76"/>
      <c r="AF38" s="18"/>
      <c r="AG38" s="18"/>
      <c r="AH38" s="18"/>
      <c r="AJ38" s="18"/>
      <c r="AL38" s="11" t="s">
        <v>1302</v>
      </c>
      <c r="AM38" s="74">
        <f t="shared" si="216"/>
        <v>9.3676814988290398E-3</v>
      </c>
      <c r="AN38" s="74">
        <f t="shared" si="206"/>
        <v>6.323185011709602E-2</v>
      </c>
      <c r="AO38" s="74">
        <f t="shared" si="207"/>
        <v>0</v>
      </c>
      <c r="AP38" s="74">
        <f t="shared" si="208"/>
        <v>7.0257611241217799E-3</v>
      </c>
      <c r="AQ38" s="74">
        <f t="shared" si="209"/>
        <v>7.9625292740046844E-2</v>
      </c>
      <c r="AR38" s="18">
        <f>COUNTIFS('ENCUESTA CONDUCTORES'!$AL$7:$AL$459,"X",'ENCUESTA CONDUCTORES'!P$7:P$459,"X",'ENCUESTA CONDUCTORES'!$AX$7:$AX$459,"&lt;4.01")-AR37-AR36-AR35-AR34-AR33-AR32</f>
        <v>4</v>
      </c>
      <c r="AS38" s="18">
        <f>COUNTIFS('ENCUESTA CONDUCTORES'!$AL$7:$AL$459,"X",'ENCUESTA CONDUCTORES'!Q$7:Q$459,"X",'ENCUESTA CONDUCTORES'!$AX$7:$AX$459,"&lt;4.01")-AS37-AS36-AS35-AS34-AS33-AS32</f>
        <v>27</v>
      </c>
      <c r="AT38" s="18">
        <f>COUNTIFS('ENCUESTA CONDUCTORES'!$AL$7:$AL$459,"X",'ENCUESTA CONDUCTORES'!R$7:R$459,"X",'ENCUESTA CONDUCTORES'!$AX$7:$AX$459,"&lt;4.01")-AT37-AT36-AT35-AT34-AT33-AT32</f>
        <v>0</v>
      </c>
      <c r="AU38" s="18">
        <f>COUNTIFS('ENCUESTA CONDUCTORES'!$AL$7:$AL$459,"X",'ENCUESTA CONDUCTORES'!S$7:S$459,"X",'ENCUESTA CONDUCTORES'!$AX$7:$AX$459,"&lt;4.01")-AU37-AU36-AU35-AU34-AU33-AU32</f>
        <v>3</v>
      </c>
      <c r="AV38" s="18">
        <f t="shared" si="217"/>
        <v>34</v>
      </c>
      <c r="AW38" s="18"/>
      <c r="CM38" s="17" t="s">
        <v>426</v>
      </c>
      <c r="CN38" s="17" t="s">
        <v>426</v>
      </c>
      <c r="CQ38" s="18"/>
      <c r="CV38" s="18"/>
      <c r="CX38" s="11" t="s">
        <v>1301</v>
      </c>
      <c r="CY38" s="74">
        <f t="shared" si="224"/>
        <v>9.4339622641509441E-2</v>
      </c>
      <c r="CZ38" s="18">
        <f t="shared" si="225"/>
        <v>5</v>
      </c>
      <c r="DA38" s="74"/>
      <c r="DB38" s="74"/>
      <c r="DC38" s="74"/>
      <c r="DD38" s="74"/>
      <c r="DE38" s="74"/>
      <c r="DF38" s="74"/>
      <c r="DH38" s="18"/>
      <c r="DI38" s="18"/>
      <c r="DJ38" s="18"/>
      <c r="DK38" s="18"/>
      <c r="DL38" s="18"/>
      <c r="DM38" s="18"/>
      <c r="DN38" s="18"/>
      <c r="DP38" s="17" t="s">
        <v>1497</v>
      </c>
      <c r="EH38" s="17" t="s">
        <v>1333</v>
      </c>
      <c r="EI38" s="74">
        <f t="shared" si="218"/>
        <v>1</v>
      </c>
      <c r="EJ38" s="18">
        <f t="shared" si="219"/>
        <v>39</v>
      </c>
      <c r="ER38" s="17" t="s">
        <v>1333</v>
      </c>
      <c r="ES38" s="74">
        <f t="shared" si="220"/>
        <v>1</v>
      </c>
      <c r="ET38" s="18">
        <f t="shared" si="221"/>
        <v>44</v>
      </c>
      <c r="EZ38" s="87" t="s">
        <v>1490</v>
      </c>
      <c r="FA38" s="74">
        <f t="shared" si="222"/>
        <v>0.12345679012345678</v>
      </c>
      <c r="FB38" s="90">
        <f t="shared" si="210"/>
        <v>10</v>
      </c>
      <c r="FT38" s="17" t="s">
        <v>1512</v>
      </c>
      <c r="FU38" s="74">
        <f t="shared" si="226"/>
        <v>8.7999999999999995E-2</v>
      </c>
      <c r="FV38" s="18">
        <f>COUNTIFS('ENCUESTA CONDUCTORES'!$S$7:$S$459,"X",'ENCUESTA CONDUCTORES'!$AU$7:$AU$459,"&gt;12500")</f>
        <v>22</v>
      </c>
      <c r="GA38" s="17" t="s">
        <v>1532</v>
      </c>
      <c r="HE38" s="17" t="s">
        <v>1555</v>
      </c>
    </row>
    <row r="39" spans="1:215" ht="45" x14ac:dyDescent="0.25">
      <c r="L39" s="19">
        <f>SUM(L30:L37)</f>
        <v>663</v>
      </c>
      <c r="N39" s="75" t="s">
        <v>13</v>
      </c>
      <c r="O39" s="127">
        <f t="shared" si="239"/>
        <v>8.7912087912087919E-2</v>
      </c>
      <c r="P39" s="90">
        <f>COUNTIFS('ENCUESTA CONDUCTORES'!G$7:G$459,"X",'ENCUESTA CONDUCTORES'!$V$7:$V$459,"X")+COUNTIFS('ENCUESTA CONDUCTORES'!G$7:G$459,"X",'ENCUESTA CONDUCTORES'!$X$7:$X$459,"X")</f>
        <v>16</v>
      </c>
      <c r="Q39" s="127"/>
      <c r="R39" s="127"/>
      <c r="S39" s="127"/>
      <c r="T39" s="90"/>
      <c r="U39" s="90"/>
      <c r="W39" s="90"/>
      <c r="X39" s="19"/>
      <c r="AJ39" s="18"/>
      <c r="AL39" s="11" t="s">
        <v>1385</v>
      </c>
      <c r="AM39" s="74">
        <f t="shared" si="216"/>
        <v>1.1709601873536301E-2</v>
      </c>
      <c r="AN39" s="74">
        <f t="shared" si="206"/>
        <v>0</v>
      </c>
      <c r="AO39" s="74">
        <f t="shared" si="207"/>
        <v>0</v>
      </c>
      <c r="AP39" s="74">
        <f t="shared" si="208"/>
        <v>0</v>
      </c>
      <c r="AQ39" s="74">
        <f t="shared" si="209"/>
        <v>1.1709601873536301E-2</v>
      </c>
      <c r="AR39" s="18">
        <f>COUNTIFS('ENCUESTA CONDUCTORES'!$AL$7:$AL$459,"X",'ENCUESTA CONDUCTORES'!P$7:P$459,"X",'ENCUESTA CONDUCTORES'!$AX$7:$AX$459,"&gt;4")</f>
        <v>5</v>
      </c>
      <c r="AS39" s="18">
        <f>COUNTIFS('ENCUESTA CONDUCTORES'!$AL$7:$AL$459,"X",'ENCUESTA CONDUCTORES'!Q$7:Q$459,"X",'ENCUESTA CONDUCTORES'!$AX$7:$AX$459,"&gt;4")</f>
        <v>0</v>
      </c>
      <c r="AT39" s="18">
        <f>COUNTIFS('ENCUESTA CONDUCTORES'!$AL$7:$AL$459,"X",'ENCUESTA CONDUCTORES'!R$7:R$459,"X",'ENCUESTA CONDUCTORES'!$AX$7:$AX$459,"&gt;4")</f>
        <v>0</v>
      </c>
      <c r="AU39" s="18">
        <f>COUNTIFS('ENCUESTA CONDUCTORES'!$AL$7:$AL$459,"X",'ENCUESTA CONDUCTORES'!S$7:S$459,"X",'ENCUESTA CONDUCTORES'!$AX$7:$AX$459,"&gt;4")</f>
        <v>0</v>
      </c>
      <c r="AV39" s="18">
        <f t="shared" si="217"/>
        <v>5</v>
      </c>
      <c r="AW39" s="18"/>
      <c r="CL39" s="17" t="s">
        <v>1423</v>
      </c>
      <c r="CM39" s="74">
        <f>CN39/$CN$46</f>
        <v>0.16049382716049382</v>
      </c>
      <c r="CN39" s="18">
        <f>COUNTIFS('ENCUESTA CONDUCTORES'!F$7:F$459,"X",'ENCUESTA CONDUCTORES'!$DE$7:$DE$459,"&lt;1991")</f>
        <v>13</v>
      </c>
      <c r="CO39" s="74"/>
      <c r="CP39" s="74"/>
      <c r="CQ39" s="74"/>
      <c r="CR39" s="18"/>
      <c r="CT39" s="18"/>
      <c r="CU39" s="18"/>
      <c r="CV39" s="18"/>
      <c r="CX39" s="11" t="s">
        <v>1302</v>
      </c>
      <c r="CY39" s="74">
        <f t="shared" si="224"/>
        <v>9.4339622641509441E-2</v>
      </c>
      <c r="CZ39" s="18">
        <f t="shared" si="225"/>
        <v>5</v>
      </c>
      <c r="DA39" s="74"/>
      <c r="DB39" s="74"/>
      <c r="DC39" s="74"/>
      <c r="DD39" s="74"/>
      <c r="DE39" s="74"/>
      <c r="DF39" s="74"/>
      <c r="DH39" s="18"/>
      <c r="DI39" s="18"/>
      <c r="DJ39" s="18"/>
      <c r="DK39" s="18"/>
      <c r="DL39" s="18"/>
      <c r="DM39" s="18"/>
      <c r="DN39" s="18"/>
      <c r="DQ39" s="17" t="s">
        <v>425</v>
      </c>
      <c r="DR39" s="17" t="s">
        <v>426</v>
      </c>
      <c r="DS39" s="17" t="s">
        <v>1336</v>
      </c>
      <c r="DT39" s="17" t="s">
        <v>1337</v>
      </c>
      <c r="DV39" s="17" t="s">
        <v>425</v>
      </c>
      <c r="DW39" s="17" t="s">
        <v>426</v>
      </c>
      <c r="DX39" s="17" t="s">
        <v>1336</v>
      </c>
      <c r="DY39" s="17" t="s">
        <v>1337</v>
      </c>
      <c r="EZ39" s="87" t="s">
        <v>1491</v>
      </c>
      <c r="FA39" s="74">
        <f t="shared" si="222"/>
        <v>2.4691358024691357E-2</v>
      </c>
      <c r="FB39" s="90">
        <f t="shared" si="210"/>
        <v>2</v>
      </c>
      <c r="FT39" s="17" t="s">
        <v>1333</v>
      </c>
      <c r="FU39" s="74">
        <f t="shared" si="226"/>
        <v>1</v>
      </c>
      <c r="FV39" s="18">
        <f>SUM(FV33:FV38)</f>
        <v>250</v>
      </c>
      <c r="GA39" s="126"/>
      <c r="GB39" s="126" t="s">
        <v>1522</v>
      </c>
      <c r="GC39" s="126" t="s">
        <v>1523</v>
      </c>
      <c r="GD39" s="126" t="s">
        <v>1524</v>
      </c>
      <c r="GE39" s="126" t="s">
        <v>1525</v>
      </c>
      <c r="GF39" s="126" t="s">
        <v>1526</v>
      </c>
      <c r="GG39" s="126" t="s">
        <v>1527</v>
      </c>
      <c r="GH39" s="126" t="s">
        <v>1528</v>
      </c>
      <c r="GI39" s="126"/>
      <c r="GJ39" s="126" t="s">
        <v>1522</v>
      </c>
      <c r="GK39" s="126" t="s">
        <v>1523</v>
      </c>
      <c r="GL39" s="126" t="s">
        <v>1524</v>
      </c>
      <c r="GM39" s="126" t="s">
        <v>1525</v>
      </c>
      <c r="GN39" s="126" t="s">
        <v>1526</v>
      </c>
      <c r="GO39" s="126" t="s">
        <v>1527</v>
      </c>
      <c r="GP39" s="126" t="s">
        <v>1528</v>
      </c>
      <c r="GQ39" s="126"/>
      <c r="HF39" s="17" t="s">
        <v>1337</v>
      </c>
    </row>
    <row r="40" spans="1:215" x14ac:dyDescent="0.25">
      <c r="B40" s="17" t="s">
        <v>856</v>
      </c>
      <c r="H40" s="90">
        <f>COUNTIFS('ENCUESTA CONDUCTORES'!P$7:P$459,"X",'ENCUESTA CONDUCTORES'!$BS$7:$BS$459,$B$40)</f>
        <v>0</v>
      </c>
      <c r="I40" s="90">
        <f>COUNTIFS('ENCUESTA CONDUCTORES'!Q$7:Q$459,"X",'ENCUESTA CONDUCTORES'!$BS$7:$BS$459,$B$40)</f>
        <v>1</v>
      </c>
      <c r="J40" s="90">
        <f>COUNTIFS('ENCUESTA CONDUCTORES'!R$7:R$459,"X",'ENCUESTA CONDUCTORES'!$BS$7:$BS$459,$B$40)</f>
        <v>0</v>
      </c>
      <c r="K40" s="90">
        <f>COUNTIFS('ENCUESTA CONDUCTORES'!S$7:S$459,"X",'ENCUESTA CONDUCTORES'!$BS$7:$BS$459,$B$40)</f>
        <v>0</v>
      </c>
      <c r="L40" s="19">
        <f t="shared" si="205"/>
        <v>1</v>
      </c>
      <c r="N40" s="75" t="s">
        <v>14</v>
      </c>
      <c r="O40" s="127">
        <f t="shared" si="239"/>
        <v>8.7912087912087919E-2</v>
      </c>
      <c r="P40" s="90">
        <f>COUNTIFS('ENCUESTA CONDUCTORES'!G$7:G$459,"X",'ENCUESTA CONDUCTORES'!$Y$7:$Y$459,"X")</f>
        <v>16</v>
      </c>
      <c r="Q40" s="127"/>
      <c r="R40" s="127"/>
      <c r="S40" s="127"/>
      <c r="T40" s="90"/>
      <c r="U40" s="90"/>
      <c r="W40" s="90"/>
      <c r="X40" s="19"/>
      <c r="AL40" s="11" t="s">
        <v>429</v>
      </c>
      <c r="AM40" s="74">
        <f>SUM(AM32:AM39)</f>
        <v>0.1943793911007026</v>
      </c>
      <c r="AN40" s="74">
        <f t="shared" ref="AN40:AQ40" si="242">SUM(AN32:AN39)</f>
        <v>0.19203747072599531</v>
      </c>
      <c r="AO40" s="74">
        <f t="shared" si="242"/>
        <v>2.8103044496487119E-2</v>
      </c>
      <c r="AP40" s="74">
        <f t="shared" si="242"/>
        <v>0.58548009367681497</v>
      </c>
      <c r="AQ40" s="74">
        <f t="shared" si="242"/>
        <v>0.99999999999999989</v>
      </c>
      <c r="AR40" s="18">
        <f>SUM(AR32:AR39)</f>
        <v>83</v>
      </c>
      <c r="AS40" s="18">
        <f t="shared" ref="AS40:AV40" si="243">SUM(AS32:AS39)</f>
        <v>82</v>
      </c>
      <c r="AT40" s="18">
        <f t="shared" si="243"/>
        <v>12</v>
      </c>
      <c r="AU40" s="18">
        <f t="shared" si="243"/>
        <v>250</v>
      </c>
      <c r="AV40" s="18">
        <f t="shared" si="243"/>
        <v>427</v>
      </c>
      <c r="CL40" s="17" t="s">
        <v>1424</v>
      </c>
      <c r="CM40" s="74">
        <f t="shared" ref="CM40:CM46" si="244">CN40/$CN$46</f>
        <v>1.2345679012345678E-2</v>
      </c>
      <c r="CN40" s="18">
        <f>COUNTIFS('ENCUESTA CONDUCTORES'!F$7:F$459,"X",'ENCUESTA CONDUCTORES'!$DE$7:$DE$459,"&lt;1994")-CN39</f>
        <v>1</v>
      </c>
      <c r="CO40" s="74"/>
      <c r="CP40" s="74"/>
      <c r="CQ40" s="74"/>
      <c r="CR40" s="18"/>
      <c r="CT40" s="18"/>
      <c r="CU40" s="18"/>
      <c r="CV40" s="18"/>
      <c r="CX40" s="11" t="s">
        <v>1385</v>
      </c>
      <c r="CY40" s="74">
        <f t="shared" si="224"/>
        <v>1.8867924528301886E-2</v>
      </c>
      <c r="CZ40" s="18">
        <f t="shared" si="225"/>
        <v>1</v>
      </c>
      <c r="DA40" s="74"/>
      <c r="DB40" s="74"/>
      <c r="DC40" s="74"/>
      <c r="DD40" s="74"/>
      <c r="DE40" s="74"/>
      <c r="DF40" s="74"/>
      <c r="DH40" s="18"/>
      <c r="DI40" s="18"/>
      <c r="DJ40" s="18"/>
      <c r="DK40" s="18"/>
      <c r="DL40" s="18"/>
      <c r="DM40" s="18"/>
      <c r="DN40" s="18"/>
      <c r="DP40" s="18" t="s">
        <v>468</v>
      </c>
      <c r="DQ40" s="74">
        <f t="shared" ref="DQ40:DU47" si="245">DV40/$EF$12</f>
        <v>1.2658227848101266E-2</v>
      </c>
      <c r="DR40" s="74">
        <f t="shared" si="245"/>
        <v>2.2784810126582278E-2</v>
      </c>
      <c r="DS40" s="74">
        <f t="shared" si="245"/>
        <v>2.7848101265822784E-2</v>
      </c>
      <c r="DT40" s="74">
        <f t="shared" si="245"/>
        <v>3.7974683544303799E-2</v>
      </c>
      <c r="DU40" s="74">
        <f t="shared" si="245"/>
        <v>0.10126582278481013</v>
      </c>
      <c r="DV40" s="18">
        <f>COUNTIFS('ENCUESTA CONDUCTORES'!E$7:E$459,"X",'ENCUESTA CONDUCTORES'!$AI$7:$AI$459,"&lt;250000")</f>
        <v>5</v>
      </c>
      <c r="DW40" s="18">
        <f>COUNTIFS('ENCUESTA CONDUCTORES'!F$7:F$459,"X",'ENCUESTA CONDUCTORES'!$AI$7:$AI$459,"&lt;250000")</f>
        <v>9</v>
      </c>
      <c r="DX40" s="18">
        <f>COUNTIFS('ENCUESTA CONDUCTORES'!G$7:G$459,"X",'ENCUESTA CONDUCTORES'!$AI$7:$AI$459,"&lt;250000")</f>
        <v>11</v>
      </c>
      <c r="DY40" s="18">
        <f>COUNTIFS('ENCUESTA CONDUCTORES'!H$7:H$459,"X",'ENCUESTA CONDUCTORES'!$AI$7:$AI$459,"&lt;250000")</f>
        <v>15</v>
      </c>
      <c r="DZ40" s="18">
        <f>SUM(DV40:DY40)</f>
        <v>40</v>
      </c>
      <c r="ED40" s="19"/>
      <c r="EE40" s="19"/>
      <c r="EH40" s="17" t="s">
        <v>1477</v>
      </c>
      <c r="EI40" s="18"/>
      <c r="EJ40" s="18"/>
      <c r="EZ40" s="87" t="s">
        <v>1492</v>
      </c>
      <c r="FA40" s="74">
        <f t="shared" si="222"/>
        <v>1.2345679012345678E-2</v>
      </c>
      <c r="FB40" s="90">
        <f t="shared" si="210"/>
        <v>1</v>
      </c>
      <c r="FT40" s="17" t="s">
        <v>632</v>
      </c>
      <c r="FU40" s="74">
        <f t="shared" si="226"/>
        <v>0</v>
      </c>
      <c r="FV40" s="18">
        <f>COUNTIFS('ENCUESTA CONDUCTORES'!$S$7:$S$459,"X",'ENCUESTA CONDUCTORES'!$AU$7:$AU$459,"NO SABE")+COUNTIFS('ENCUESTA CONDUCTORES'!$S$7:$S$459,"X",'ENCUESTA CONDUCTORES'!$AU$7:$AU$459,"NO CONTESTA")+COUNTIFS('ENCUESTA CONDUCTORES'!$S$7:$S$459,"X",'ENCUESTA CONDUCTORES'!$AU$7:$AU$459,"VARIABLE")</f>
        <v>0</v>
      </c>
      <c r="GA40" s="17" t="s">
        <v>1423</v>
      </c>
      <c r="GB40" s="74">
        <f>+GJ40/$GQ$47</f>
        <v>5.3763440860215058E-3</v>
      </c>
      <c r="GC40" s="74">
        <f t="shared" ref="GC40:GC47" si="246">+GK40/$GQ$47</f>
        <v>2.1505376344086023E-2</v>
      </c>
      <c r="GD40" s="74">
        <f t="shared" ref="GD40:GD47" si="247">+GL40/$GQ$47</f>
        <v>4.5698924731182797E-2</v>
      </c>
      <c r="GE40" s="74">
        <f t="shared" ref="GE40:GE47" si="248">+GM40/$GQ$47</f>
        <v>5.3763440860215058E-3</v>
      </c>
      <c r="GF40" s="74">
        <f t="shared" ref="GF40:GF47" si="249">+GN40/$GQ$47</f>
        <v>1.3440860215053764E-2</v>
      </c>
      <c r="GG40" s="74">
        <f t="shared" ref="GG40:GG47" si="250">+GO40/$GQ$47</f>
        <v>8.0645161290322578E-3</v>
      </c>
      <c r="GH40" s="74">
        <f t="shared" ref="GH40:GH47" si="251">+GP40/$GQ$47</f>
        <v>1.3440860215053764E-2</v>
      </c>
      <c r="GI40" s="74">
        <f t="shared" ref="GI40:GI47" si="252">+GQ40/$GQ$47</f>
        <v>0.11290322580645161</v>
      </c>
      <c r="GJ40" s="18">
        <f>COUNTIFS('ENCUESTA CONDUCTORES'!$DE$7:$DE$459,"&lt;1991",'ENCUESTA CONDUCTORES'!$BH$7:$BH$459,"&lt;50000")</f>
        <v>2</v>
      </c>
      <c r="GK40" s="18">
        <f>COUNTIFS('ENCUESTA CONDUCTORES'!$DE$7:$DE$459,"&lt;1991",'ENCUESTA CONDUCTORES'!$BH$7:$BH$459,"&lt;75001")-GJ40</f>
        <v>8</v>
      </c>
      <c r="GL40" s="18">
        <f>COUNTIFS('ENCUESTA CONDUCTORES'!$DE$7:$DE$459,"&lt;1991",'ENCUESTA CONDUCTORES'!$BH$7:$BH$459,"&lt;100001")-GK40-GJ40</f>
        <v>17</v>
      </c>
      <c r="GM40" s="18">
        <f>COUNTIFS('ENCUESTA CONDUCTORES'!$DE$7:$DE$459,"&lt;1991",'ENCUESTA CONDUCTORES'!$BH$7:$BH$459,"&lt;115001")-GL40-GK40-GJ40</f>
        <v>2</v>
      </c>
      <c r="GN40" s="18">
        <f>COUNTIFS('ENCUESTA CONDUCTORES'!$DE$7:$DE$459,"&lt;1991",'ENCUESTA CONDUCTORES'!$BH$7:$BH$459,"&lt;125001")-GM40-GL40-GK40-GJ40</f>
        <v>5</v>
      </c>
      <c r="GO40" s="18">
        <f>COUNTIFS('ENCUESTA CONDUCTORES'!$DE$7:$DE$459,"&lt;1991",'ENCUESTA CONDUCTORES'!$BH$7:$BH$459,"&lt;150001")-GN40-GM40-GL40-GK40-GJ40</f>
        <v>3</v>
      </c>
      <c r="GP40" s="18">
        <f>COUNTIFS('ENCUESTA CONDUCTORES'!$DE$7:$DE$459,"&lt;1991",'ENCUESTA CONDUCTORES'!$BH$7:$BH$459,"&gt;150000")</f>
        <v>5</v>
      </c>
      <c r="GQ40" s="18">
        <f t="shared" ref="GQ40:GQ46" si="253">SUM(GJ40:GP40)</f>
        <v>42</v>
      </c>
      <c r="HE40" s="17" t="s">
        <v>1484</v>
      </c>
      <c r="HF40" s="74">
        <f>+HN4/$HN$9</f>
        <v>0.532258064516129</v>
      </c>
    </row>
    <row r="41" spans="1:215" x14ac:dyDescent="0.25">
      <c r="L41" s="19">
        <f>+L40+L39</f>
        <v>664</v>
      </c>
      <c r="N41" s="75" t="s">
        <v>1353</v>
      </c>
      <c r="O41" s="127">
        <f t="shared" si="239"/>
        <v>1.098901098901099E-2</v>
      </c>
      <c r="P41" s="90">
        <f>COUNTIFS('ENCUESTA CONDUCTORES'!G$7:G$459,"X",'ENCUESTA CONDUCTORES'!$AA$7:$AA$459,"X")+COUNTIFS('ENCUESTA CONDUCTORES'!G$7:G$459,"X",'ENCUESTA CONDUCTORES'!$AE$7:$AE$459,"X")</f>
        <v>2</v>
      </c>
      <c r="Q41" s="127"/>
      <c r="R41" s="127"/>
      <c r="S41" s="127"/>
      <c r="T41" s="90"/>
      <c r="U41" s="90"/>
      <c r="W41" s="90"/>
      <c r="X41" s="19"/>
      <c r="AL41" s="17" t="s">
        <v>193</v>
      </c>
      <c r="AN41" s="18"/>
      <c r="AO41" s="18"/>
      <c r="AP41" s="18"/>
      <c r="AQ41" s="18"/>
      <c r="AR41" s="18">
        <f>COUNTIFS('ENCUESTA CONDUCTORES'!$AL$7:$AL$459,"X",'ENCUESTA CONDUCTORES'!P$7:P$459,"X",'ENCUESTA CONDUCTORES'!$AX$7:$AX$459,"NO SABE")</f>
        <v>1</v>
      </c>
      <c r="AS41" s="18">
        <f>COUNTIFS('ENCUESTA CONDUCTORES'!$AL$7:$AL$459,"X",'ENCUESTA CONDUCTORES'!Q$7:Q$459,"X",'ENCUESTA CONDUCTORES'!$AX$7:$AX$459,"NO SABE")</f>
        <v>0</v>
      </c>
      <c r="AT41" s="18">
        <f>COUNTIFS('ENCUESTA CONDUCTORES'!$AL$7:$AL$459,"X",'ENCUESTA CONDUCTORES'!R$7:R$459,"X",'ENCUESTA CONDUCTORES'!$AX$7:$AX$459,"NO SABE")</f>
        <v>0</v>
      </c>
      <c r="AU41" s="18">
        <f>COUNTIFS('ENCUESTA CONDUCTORES'!$AL$7:$AL$459,"X",'ENCUESTA CONDUCTORES'!S$7:S$459,"X",'ENCUESTA CONDUCTORES'!$AX$7:$AX$459,"NO SABE")</f>
        <v>0</v>
      </c>
      <c r="AV41" s="18">
        <f t="shared" si="217"/>
        <v>1</v>
      </c>
      <c r="AW41" s="18"/>
      <c r="CL41" s="17" t="s">
        <v>1425</v>
      </c>
      <c r="CM41" s="74">
        <f t="shared" si="244"/>
        <v>0.12345679012345678</v>
      </c>
      <c r="CN41" s="18">
        <f>COUNTIFS('ENCUESTA CONDUCTORES'!F$7:F$459,"X",'ENCUESTA CONDUCTORES'!$DE$7:$DE$459,"&lt;1998")-CN40-CN39</f>
        <v>10</v>
      </c>
      <c r="CO41" s="74"/>
      <c r="CP41" s="74"/>
      <c r="CQ41" s="74"/>
      <c r="CR41" s="18"/>
      <c r="CT41" s="18"/>
      <c r="CU41" s="18"/>
      <c r="CV41" s="18"/>
      <c r="CX41" s="11" t="s">
        <v>429</v>
      </c>
      <c r="CY41" s="74">
        <f t="shared" si="224"/>
        <v>1</v>
      </c>
      <c r="CZ41" s="18">
        <f t="shared" si="225"/>
        <v>53</v>
      </c>
      <c r="DA41" s="74"/>
      <c r="DB41" s="74"/>
      <c r="DC41" s="74"/>
      <c r="DD41" s="74"/>
      <c r="DE41" s="74"/>
      <c r="DF41" s="74"/>
      <c r="DH41" s="18"/>
      <c r="DI41" s="18"/>
      <c r="DJ41" s="18"/>
      <c r="DK41" s="18"/>
      <c r="DL41" s="18"/>
      <c r="DM41" s="18"/>
      <c r="DN41" s="18"/>
      <c r="DP41" s="18" t="s">
        <v>1458</v>
      </c>
      <c r="DQ41" s="74">
        <f t="shared" si="245"/>
        <v>2.0253164556962026E-2</v>
      </c>
      <c r="DR41" s="74">
        <f t="shared" si="245"/>
        <v>2.0253164556962026E-2</v>
      </c>
      <c r="DS41" s="74">
        <f t="shared" si="245"/>
        <v>6.8354430379746839E-2</v>
      </c>
      <c r="DT41" s="74">
        <f t="shared" si="245"/>
        <v>6.0759493670886074E-2</v>
      </c>
      <c r="DU41" s="74">
        <f t="shared" si="245"/>
        <v>0.16962025316455695</v>
      </c>
      <c r="DV41" s="18">
        <f>COUNTIFS('ENCUESTA CONDUCTORES'!E$7:E$459,"X",'ENCUESTA CONDUCTORES'!$AI$7:$AI$459,"&lt;500001")-DV40</f>
        <v>8</v>
      </c>
      <c r="DW41" s="18">
        <f>COUNTIFS('ENCUESTA CONDUCTORES'!F$7:F$459,"X",'ENCUESTA CONDUCTORES'!$AI$7:$AI$459,"&lt;500001")-DW40</f>
        <v>8</v>
      </c>
      <c r="DX41" s="18">
        <f>COUNTIFS('ENCUESTA CONDUCTORES'!G$7:G$459,"X",'ENCUESTA CONDUCTORES'!$AI$7:$AI$459,"&lt;500001")-DX40</f>
        <v>27</v>
      </c>
      <c r="DY41" s="18">
        <f>COUNTIFS('ENCUESTA CONDUCTORES'!H$7:H$459,"X",'ENCUESTA CONDUCTORES'!$AI$7:$AI$459,"&lt;500001")-DY40</f>
        <v>24</v>
      </c>
      <c r="DZ41" s="18">
        <f t="shared" ref="DZ41:DZ46" si="254">SUM(DV41:DY41)</f>
        <v>67</v>
      </c>
      <c r="ED41" s="19"/>
      <c r="EE41" s="19"/>
      <c r="EH41" s="17" t="s">
        <v>1468</v>
      </c>
      <c r="EI41" s="74">
        <f>+EJ41/$EJ$47</f>
        <v>8.3333333333333329E-2</v>
      </c>
      <c r="EJ41" s="18">
        <f>+ET5</f>
        <v>9</v>
      </c>
      <c r="EZ41" s="87" t="s">
        <v>429</v>
      </c>
      <c r="FA41" s="74">
        <f t="shared" si="222"/>
        <v>1</v>
      </c>
      <c r="FB41" s="90">
        <f t="shared" si="210"/>
        <v>81</v>
      </c>
      <c r="GA41" s="17" t="s">
        <v>1424</v>
      </c>
      <c r="GB41" s="74">
        <f t="shared" ref="GB41:GB47" si="255">+GJ41/$GQ$47</f>
        <v>0</v>
      </c>
      <c r="GC41" s="74">
        <f t="shared" si="246"/>
        <v>2.6881720430107529E-3</v>
      </c>
      <c r="GD41" s="74">
        <f t="shared" si="247"/>
        <v>2.6881720430107529E-3</v>
      </c>
      <c r="GE41" s="74">
        <f t="shared" si="248"/>
        <v>0</v>
      </c>
      <c r="GF41" s="74">
        <f t="shared" si="249"/>
        <v>5.3763440860215058E-3</v>
      </c>
      <c r="GG41" s="74">
        <f t="shared" si="250"/>
        <v>8.0645161290322578E-3</v>
      </c>
      <c r="GH41" s="74">
        <f t="shared" si="251"/>
        <v>2.6881720430107529E-3</v>
      </c>
      <c r="GI41" s="74">
        <f t="shared" si="252"/>
        <v>2.1505376344086023E-2</v>
      </c>
      <c r="GJ41" s="18">
        <f>COUNTIFS('ENCUESTA CONDUCTORES'!$DE$7:$DE$459,"&lt;1994",'ENCUESTA CONDUCTORES'!$BH$7:$BH$459,"&lt;50000")-GJ40</f>
        <v>0</v>
      </c>
      <c r="GK41" s="18">
        <f>COUNTIFS('ENCUESTA CONDUCTORES'!$DE$7:$DE$459,"&lt;1994",'ENCUESTA CONDUCTORES'!$BH$7:$BH$459,"&lt;75001")-GJ41-GK40-GJ40</f>
        <v>1</v>
      </c>
      <c r="GL41" s="18">
        <f>COUNTIFS('ENCUESTA CONDUCTORES'!$DE$7:$DE$459,"&lt;1994",'ENCUESTA CONDUCTORES'!$BH$7:$BH$459,"&lt;100001")-GK41-GJ41-GL40-GK40-GJ40</f>
        <v>1</v>
      </c>
      <c r="GM41" s="18">
        <f>COUNTIFS('ENCUESTA CONDUCTORES'!$DE$7:$DE$459,"&lt;1994",'ENCUESTA CONDUCTORES'!$BH$7:$BH$459,"&lt;115001")-GL41-GK41-GJ41-GM40-GL40-GK40-GJ40</f>
        <v>0</v>
      </c>
      <c r="GN41" s="18">
        <f>COUNTIFS('ENCUESTA CONDUCTORES'!$DE$7:$DE$459,"&lt;1994",'ENCUESTA CONDUCTORES'!$BH$7:$BH$459,"&lt;125001")-GM41-GL41-GK41-GJ41-GN40-GM40-GL40-GK40-GJ40</f>
        <v>2</v>
      </c>
      <c r="GO41" s="18">
        <f>COUNTIFS('ENCUESTA CONDUCTORES'!$DE$7:$DE$459,"&lt;1994",'ENCUESTA CONDUCTORES'!$BH$7:$BH$459,"&lt;150001")-GN41-GM41-GL41-GK41-GJ41-GO40-GN40-GM40-GL40-GK40-GJ40</f>
        <v>3</v>
      </c>
      <c r="GP41" s="18">
        <f>COUNTIFS('ENCUESTA CONDUCTORES'!$DE$7:$DE$459,"&lt;1994",'ENCUESTA CONDUCTORES'!$BH$7:$BH$459,"&gt;150000")-GP40</f>
        <v>1</v>
      </c>
      <c r="GQ41" s="18">
        <f t="shared" si="253"/>
        <v>8</v>
      </c>
      <c r="HE41" s="17" t="s">
        <v>1547</v>
      </c>
      <c r="HF41" s="74">
        <f t="shared" ref="HF41:HF45" si="256">+HN5/$HN$9</f>
        <v>0.10483870967741936</v>
      </c>
    </row>
    <row r="42" spans="1:215" x14ac:dyDescent="0.25">
      <c r="N42" s="75" t="s">
        <v>1354</v>
      </c>
      <c r="O42" s="127">
        <f t="shared" si="239"/>
        <v>0.14835164835164835</v>
      </c>
      <c r="P42" s="90">
        <f>COUNTIFS('ENCUESTA CONDUCTORES'!G$7:G$459,"X",'ENCUESTA CONDUCTORES'!$AD$7:$AD$459,"X")+COUNTIFS('ENCUESTA CONDUCTORES'!G$7:G$459,"X",'ENCUESTA CONDUCTORES'!$AF$7:$AF$459,"X")</f>
        <v>27</v>
      </c>
      <c r="Q42" s="127"/>
      <c r="R42" s="127"/>
      <c r="S42" s="127"/>
      <c r="T42" s="90"/>
      <c r="U42" s="90"/>
      <c r="W42" s="90"/>
      <c r="X42" s="19"/>
      <c r="AN42" s="18"/>
      <c r="AO42" s="18"/>
      <c r="AP42" s="18"/>
      <c r="AQ42" s="18"/>
      <c r="AR42" s="18">
        <f>+AR41+AR40</f>
        <v>84</v>
      </c>
      <c r="AS42" s="18"/>
      <c r="AT42" s="18"/>
      <c r="AU42" s="18"/>
      <c r="AV42" s="18">
        <f>+AV41+AV40</f>
        <v>428</v>
      </c>
      <c r="AW42" s="18"/>
      <c r="CL42" s="17" t="s">
        <v>1426</v>
      </c>
      <c r="CM42" s="74">
        <f t="shared" si="244"/>
        <v>0.23456790123456789</v>
      </c>
      <c r="CN42" s="18">
        <f>COUNTIFS('ENCUESTA CONDUCTORES'!F$7:F$459,"X",'ENCUESTA CONDUCTORES'!$DE$7:$DE$459,"&lt;2004")-CN41-CN40-CN39</f>
        <v>19</v>
      </c>
      <c r="CO42" s="74"/>
      <c r="CP42" s="74"/>
      <c r="CQ42" s="74"/>
      <c r="CR42" s="18"/>
      <c r="CT42" s="18"/>
      <c r="CU42" s="18"/>
      <c r="CV42" s="18"/>
      <c r="CX42" s="17" t="s">
        <v>193</v>
      </c>
      <c r="CY42" s="18"/>
      <c r="CZ42" s="18">
        <f t="shared" si="225"/>
        <v>0</v>
      </c>
      <c r="DA42" s="18"/>
      <c r="DB42" s="18"/>
      <c r="DC42" s="18"/>
      <c r="DD42" s="18"/>
      <c r="DE42" s="18"/>
      <c r="DF42" s="18"/>
      <c r="DH42" s="18"/>
      <c r="DI42" s="18"/>
      <c r="DJ42" s="18"/>
      <c r="DK42" s="18"/>
      <c r="DL42" s="18"/>
      <c r="DM42" s="18"/>
      <c r="DN42" s="18"/>
      <c r="DP42" s="18" t="s">
        <v>464</v>
      </c>
      <c r="DQ42" s="74">
        <f t="shared" si="245"/>
        <v>6.0759493670886074E-2</v>
      </c>
      <c r="DR42" s="74">
        <f t="shared" si="245"/>
        <v>9.1139240506329114E-2</v>
      </c>
      <c r="DS42" s="74">
        <f t="shared" si="245"/>
        <v>0.22025316455696203</v>
      </c>
      <c r="DT42" s="74">
        <f t="shared" si="245"/>
        <v>0.12658227848101267</v>
      </c>
      <c r="DU42" s="74">
        <f t="shared" si="245"/>
        <v>0.49873417721518987</v>
      </c>
      <c r="DV42" s="18">
        <f>COUNTIFS('ENCUESTA CONDUCTORES'!E$7:E$459,"X",'ENCUESTA CONDUCTORES'!$AI$7:$AI$459,"&lt;1000001")-DV41-DV40</f>
        <v>24</v>
      </c>
      <c r="DW42" s="18">
        <f>COUNTIFS('ENCUESTA CONDUCTORES'!F$7:F$459,"X",'ENCUESTA CONDUCTORES'!$AI$7:$AI$459,"&lt;1000001")-DW41-DW40</f>
        <v>36</v>
      </c>
      <c r="DX42" s="18">
        <f>COUNTIFS('ENCUESTA CONDUCTORES'!G$7:G$459,"X",'ENCUESTA CONDUCTORES'!$AI$7:$AI$459,"&lt;1000001")-DX41-DX40</f>
        <v>87</v>
      </c>
      <c r="DY42" s="18">
        <f>COUNTIFS('ENCUESTA CONDUCTORES'!H$7:H$459,"X",'ENCUESTA CONDUCTORES'!$AI$7:$AI$459,"&lt;1000001")-DY41-DY40</f>
        <v>50</v>
      </c>
      <c r="DZ42" s="18">
        <f t="shared" si="254"/>
        <v>197</v>
      </c>
      <c r="ED42" s="19"/>
      <c r="EE42" s="19"/>
      <c r="EH42" s="17" t="s">
        <v>1469</v>
      </c>
      <c r="EI42" s="74">
        <f t="shared" ref="EI42:EI47" si="257">+EJ42/$EJ$47</f>
        <v>0.19444444444444445</v>
      </c>
      <c r="EJ42" s="18">
        <f t="shared" ref="EJ42:EJ47" si="258">+ET6</f>
        <v>21</v>
      </c>
      <c r="GA42" s="17" t="s">
        <v>1425</v>
      </c>
      <c r="GB42" s="74">
        <f t="shared" si="255"/>
        <v>0</v>
      </c>
      <c r="GC42" s="74">
        <f t="shared" si="246"/>
        <v>1.3440860215053764E-2</v>
      </c>
      <c r="GD42" s="74">
        <f t="shared" si="247"/>
        <v>2.6881720430107527E-2</v>
      </c>
      <c r="GE42" s="74">
        <f t="shared" si="248"/>
        <v>2.6881720430107529E-3</v>
      </c>
      <c r="GF42" s="74">
        <f t="shared" si="249"/>
        <v>8.0645161290322578E-3</v>
      </c>
      <c r="GG42" s="74">
        <f t="shared" si="250"/>
        <v>1.0752688172043012E-2</v>
      </c>
      <c r="GH42" s="74">
        <f t="shared" si="251"/>
        <v>8.0645161290322578E-3</v>
      </c>
      <c r="GI42" s="74">
        <f t="shared" si="252"/>
        <v>6.9892473118279563E-2</v>
      </c>
      <c r="GJ42" s="18">
        <f>COUNTIFS('ENCUESTA CONDUCTORES'!$DE$7:$DE$459,"&lt;1998",'ENCUESTA CONDUCTORES'!$BH$7:$BH$459,"&lt;50000")-GJ41-GJ40</f>
        <v>0</v>
      </c>
      <c r="GK42" s="18">
        <f>COUNTIFS('ENCUESTA CONDUCTORES'!$DE$7:$DE$459,"&lt;1998",'ENCUESTA CONDUCTORES'!$BH$7:$BH$459,"&lt;75001")-GJ42-GK41-GJ41-GK40-GJ40</f>
        <v>5</v>
      </c>
      <c r="GL42" s="18">
        <f>COUNTIFS('ENCUESTA CONDUCTORES'!$DE$7:$DE$459,"&lt;1998",'ENCUESTA CONDUCTORES'!$BH$7:$BH$459,"&lt;100001")-GK42-GJ42-GL41-GK41-GJ41-GL40-GK40-GJ40</f>
        <v>10</v>
      </c>
      <c r="GM42" s="18">
        <f>COUNTIFS('ENCUESTA CONDUCTORES'!$DE$7:$DE$459,"&lt;1998",'ENCUESTA CONDUCTORES'!$BH$7:$BH$459,"&lt;115001")-GL42-GK42-GJ42-GM41-GL41-GK41-GJ41-GM40-GL40-GK40-GJ40</f>
        <v>1</v>
      </c>
      <c r="GN42" s="18">
        <f>COUNTIFS('ENCUESTA CONDUCTORES'!$DE$7:$DE$459,"&lt;1998",'ENCUESTA CONDUCTORES'!$BH$7:$BH$459,"&lt;125001")-GM42-GL42-GK42-GJ42-GN41-GM41-GL41-GK41-GJ41-GN40-GM40-GL40-GK40-GJ40</f>
        <v>3</v>
      </c>
      <c r="GO42" s="18">
        <f>COUNTIFS('ENCUESTA CONDUCTORES'!$DE$7:$DE$459,"&lt;1998",'ENCUESTA CONDUCTORES'!$BH$7:$BH$459,"&lt;150001")-GN42-GM42-GL42-GK42-GJ42-GO41-GN41-GM41-GL41-GK41-GJ41-GO40-GN40-GM40-GL40-GK40-GJ40</f>
        <v>4</v>
      </c>
      <c r="GP42" s="18">
        <f>COUNTIFS('ENCUESTA CONDUCTORES'!$DE$7:$DE$459,"&lt;1998",'ENCUESTA CONDUCTORES'!$BH$7:$BH$459,"&gt;150000")-GP41-GP40</f>
        <v>3</v>
      </c>
      <c r="GQ42" s="18">
        <f t="shared" si="253"/>
        <v>26</v>
      </c>
      <c r="HE42" s="17" t="s">
        <v>1548</v>
      </c>
      <c r="HF42" s="74">
        <f t="shared" si="256"/>
        <v>7.2580645161290328E-2</v>
      </c>
    </row>
    <row r="43" spans="1:215" x14ac:dyDescent="0.25">
      <c r="A43" s="17" t="s">
        <v>1365</v>
      </c>
      <c r="C43" s="17" t="s">
        <v>431</v>
      </c>
      <c r="D43" s="17" t="s">
        <v>430</v>
      </c>
      <c r="E43" s="17"/>
      <c r="F43" s="17"/>
      <c r="N43" s="75" t="s">
        <v>1355</v>
      </c>
      <c r="O43" s="127">
        <f t="shared" si="239"/>
        <v>0</v>
      </c>
      <c r="P43" s="90">
        <f>COUNTIFS('ENCUESTA CONDUCTORES'!G$7:G$459,"X",'ENCUESTA CONDUCTORES'!$AG$7:$AG$459,"FULL")</f>
        <v>0</v>
      </c>
      <c r="Q43" s="127"/>
      <c r="R43" s="127"/>
      <c r="S43" s="127"/>
      <c r="T43" s="90"/>
      <c r="U43" s="90"/>
      <c r="W43" s="90"/>
      <c r="X43" s="19"/>
      <c r="AN43" s="18"/>
      <c r="AO43" s="18"/>
      <c r="AP43" s="18"/>
      <c r="AQ43" s="18"/>
      <c r="AR43" s="18"/>
      <c r="AS43" s="18"/>
      <c r="AT43" s="18"/>
      <c r="AU43" s="18"/>
      <c r="AV43" s="18">
        <f>SUM(AV32:AV39)</f>
        <v>427</v>
      </c>
      <c r="AW43" s="18"/>
      <c r="CL43" s="17" t="s">
        <v>1427</v>
      </c>
      <c r="CM43" s="74">
        <f t="shared" si="244"/>
        <v>0.19753086419753085</v>
      </c>
      <c r="CN43" s="18">
        <f>COUNTIFS('ENCUESTA CONDUCTORES'!F$7:F$459,"X",'ENCUESTA CONDUCTORES'!$DE$7:$DE$459,"&lt;2007")-CN42-CN41-CN40-CN39</f>
        <v>16</v>
      </c>
      <c r="CO43" s="74"/>
      <c r="CP43" s="74"/>
      <c r="CQ43" s="74"/>
      <c r="CR43" s="18"/>
      <c r="CT43" s="18"/>
      <c r="CU43" s="18"/>
      <c r="CV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P43" s="18" t="s">
        <v>465</v>
      </c>
      <c r="DQ43" s="74">
        <f t="shared" si="245"/>
        <v>1.2658227848101266E-2</v>
      </c>
      <c r="DR43" s="74">
        <f t="shared" si="245"/>
        <v>1.5189873417721518E-2</v>
      </c>
      <c r="DS43" s="74">
        <f t="shared" si="245"/>
        <v>4.3037974683544304E-2</v>
      </c>
      <c r="DT43" s="74">
        <f t="shared" si="245"/>
        <v>3.7974683544303799E-2</v>
      </c>
      <c r="DU43" s="74">
        <f t="shared" si="245"/>
        <v>0.10886075949367088</v>
      </c>
      <c r="DV43" s="18">
        <f>COUNTIFS('ENCUESTA CONDUCTORES'!E$7:E$459,"X",'ENCUESTA CONDUCTORES'!$AI$7:$AI$459,"&lt;1500001")-DV42-DV41-DV40</f>
        <v>5</v>
      </c>
      <c r="DW43" s="18">
        <f>COUNTIFS('ENCUESTA CONDUCTORES'!F$7:F$459,"X",'ENCUESTA CONDUCTORES'!$AI$7:$AI$459,"&lt;1500001")-DW42-DW41-DW40</f>
        <v>6</v>
      </c>
      <c r="DX43" s="18">
        <f>COUNTIFS('ENCUESTA CONDUCTORES'!G$7:G$459,"X",'ENCUESTA CONDUCTORES'!$AI$7:$AI$459,"&lt;1500001")-DX42-DX41-DX40</f>
        <v>17</v>
      </c>
      <c r="DY43" s="18">
        <f>COUNTIFS('ENCUESTA CONDUCTORES'!H$7:H$459,"X",'ENCUESTA CONDUCTORES'!$AI$7:$AI$459,"&lt;1500001")-DY42-DY41-DY40</f>
        <v>15</v>
      </c>
      <c r="DZ43" s="18">
        <f t="shared" si="254"/>
        <v>43</v>
      </c>
      <c r="ED43" s="19"/>
      <c r="EE43" s="19"/>
      <c r="EH43" s="17" t="s">
        <v>1470</v>
      </c>
      <c r="EI43" s="74">
        <f t="shared" si="257"/>
        <v>0.20370370370370369</v>
      </c>
      <c r="EJ43" s="18">
        <f t="shared" si="258"/>
        <v>22</v>
      </c>
      <c r="EZ43" s="21" t="s">
        <v>1495</v>
      </c>
      <c r="GA43" s="17" t="s">
        <v>1426</v>
      </c>
      <c r="GB43" s="74">
        <f t="shared" si="255"/>
        <v>1.3440860215053764E-2</v>
      </c>
      <c r="GC43" s="74">
        <f t="shared" si="246"/>
        <v>2.6881720430107527E-2</v>
      </c>
      <c r="GD43" s="74">
        <f t="shared" si="247"/>
        <v>9.1397849462365593E-2</v>
      </c>
      <c r="GE43" s="74">
        <f t="shared" si="248"/>
        <v>2.6881720430107529E-3</v>
      </c>
      <c r="GF43" s="74">
        <f t="shared" si="249"/>
        <v>3.4946236559139782E-2</v>
      </c>
      <c r="GG43" s="74">
        <f t="shared" si="250"/>
        <v>2.1505376344086023E-2</v>
      </c>
      <c r="GH43" s="74">
        <f t="shared" si="251"/>
        <v>4.5698924731182797E-2</v>
      </c>
      <c r="GI43" s="74">
        <f t="shared" si="252"/>
        <v>0.23655913978494625</v>
      </c>
      <c r="GJ43" s="18">
        <f>COUNTIFS('ENCUESTA CONDUCTORES'!$DE$7:$DE$459,"&lt;2004",'ENCUESTA CONDUCTORES'!$BH$7:$BH$459,"&lt;50000")-GJ42-GJ41-GJ40</f>
        <v>5</v>
      </c>
      <c r="GK43" s="18">
        <f>COUNTIFS('ENCUESTA CONDUCTORES'!$DE$7:$DE$459,"&lt;2004",'ENCUESTA CONDUCTORES'!$BH$7:$BH$459,"&lt;75001")-GJ43-GK42-GJ42-GK41-GJ41-GK40-GJ40</f>
        <v>10</v>
      </c>
      <c r="GL43" s="18">
        <f>COUNTIFS('ENCUESTA CONDUCTORES'!$DE$7:$DE$459,"&lt;2004",'ENCUESTA CONDUCTORES'!$BH$7:$BH$459,"&lt;100001")-GK43-GJ43-GL42-GK42-GJ42-GL41-GK41-GJ41-GL40-GK40-GJ40</f>
        <v>34</v>
      </c>
      <c r="GM43" s="18">
        <f>COUNTIFS('ENCUESTA CONDUCTORES'!$DE$7:$DE$459,"&lt;2004",'ENCUESTA CONDUCTORES'!$BH$7:$BH$459,"&lt;115001")-GL43-GK43-GJ43-GM42-GL42-GK42-GJ42-GM41-GL41-GK41-GJ41-GM40-GL40-GK40-GJ40</f>
        <v>1</v>
      </c>
      <c r="GN43" s="18">
        <f>COUNTIFS('ENCUESTA CONDUCTORES'!$DE$7:$DE$459,"&lt;2004",'ENCUESTA CONDUCTORES'!$BH$7:$BH$459,"&lt;125001")-GM43-GL43-GK43-GJ43-GN42-GM42-GL42-GK42-GJ42-GN41-GM41-GL41-GK41-GJ41-GN40-GM40-GL40-GK40-GJ40</f>
        <v>13</v>
      </c>
      <c r="GO43" s="18">
        <f>COUNTIFS('ENCUESTA CONDUCTORES'!$DE$7:$DE$459,"&lt;2004",'ENCUESTA CONDUCTORES'!$BH$7:$BH$459,"&lt;150001")-GN43-GM43-GL43-GK43-GJ43-GO42-GN42-GM42-GL42-GK42-GJ42-GO41-GN41-GM41-GL41-GK41-GJ41-GO40-GN40-GM40-GL40-GK40-GJ40</f>
        <v>8</v>
      </c>
      <c r="GP43" s="18">
        <f>COUNTIFS('ENCUESTA CONDUCTORES'!$DE$7:$DE$459,"&lt;2004",'ENCUESTA CONDUCTORES'!$BH$7:$BH$459,"&gt;150000")-GP42-GP41-GP40</f>
        <v>17</v>
      </c>
      <c r="GQ43" s="18">
        <f t="shared" si="253"/>
        <v>88</v>
      </c>
      <c r="HE43" s="17" t="s">
        <v>1549</v>
      </c>
      <c r="HF43" s="74">
        <f t="shared" si="256"/>
        <v>0.16129032258064516</v>
      </c>
    </row>
    <row r="44" spans="1:215" x14ac:dyDescent="0.25">
      <c r="C44" s="18" t="s">
        <v>4</v>
      </c>
      <c r="D44" s="18" t="s">
        <v>4</v>
      </c>
      <c r="I44" s="18"/>
      <c r="J44" s="18"/>
      <c r="K44" s="18"/>
      <c r="N44" s="17" t="s">
        <v>429</v>
      </c>
      <c r="O44" s="127">
        <f t="shared" si="239"/>
        <v>1</v>
      </c>
      <c r="P44" s="19">
        <f>SUM(P37:P43)</f>
        <v>182</v>
      </c>
      <c r="Q44" s="127"/>
      <c r="R44" s="127"/>
      <c r="S44" s="127"/>
      <c r="T44" s="90"/>
      <c r="U44" s="90"/>
      <c r="W44" s="90"/>
      <c r="X44" s="19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CL44" s="17" t="s">
        <v>1428</v>
      </c>
      <c r="CM44" s="74">
        <f t="shared" si="244"/>
        <v>0.18518518518518517</v>
      </c>
      <c r="CN44" s="18">
        <f>COUNTIFS('ENCUESTA CONDUCTORES'!F$7:F$459,"X",'ENCUESTA CONDUCTORES'!$DE$7:$DE$459,"&lt;2011")-CN43-CN42-CN41-CN40-CN39</f>
        <v>15</v>
      </c>
      <c r="CO44" s="74"/>
      <c r="CP44" s="74"/>
      <c r="CQ44" s="74"/>
      <c r="CR44" s="18"/>
      <c r="CT44" s="18"/>
      <c r="CU44" s="18"/>
      <c r="CV44" s="18"/>
      <c r="CX44" s="57" t="s">
        <v>1444</v>
      </c>
      <c r="DP44" s="18" t="s">
        <v>466</v>
      </c>
      <c r="DQ44" s="74">
        <f t="shared" si="245"/>
        <v>1.5189873417721518E-2</v>
      </c>
      <c r="DR44" s="74">
        <f t="shared" si="245"/>
        <v>1.0126582278481013E-2</v>
      </c>
      <c r="DS44" s="74">
        <f t="shared" si="245"/>
        <v>2.7848101265822784E-2</v>
      </c>
      <c r="DT44" s="74">
        <f t="shared" si="245"/>
        <v>2.2784810126582278E-2</v>
      </c>
      <c r="DU44" s="74">
        <f t="shared" si="245"/>
        <v>7.5949367088607597E-2</v>
      </c>
      <c r="DV44" s="18">
        <f>COUNTIFS('ENCUESTA CONDUCTORES'!E$7:E$459,"X",'ENCUESTA CONDUCTORES'!$AI$7:$AI$459,"&lt;2000001")-DV43-DV42-DV41-DV40</f>
        <v>6</v>
      </c>
      <c r="DW44" s="18">
        <f>COUNTIFS('ENCUESTA CONDUCTORES'!F$7:F$459,"X",'ENCUESTA CONDUCTORES'!$AI$7:$AI$459,"&lt;2000001")-DW43-DW42-DW41-DW40</f>
        <v>4</v>
      </c>
      <c r="DX44" s="18">
        <f>COUNTIFS('ENCUESTA CONDUCTORES'!G$7:G$459,"X",'ENCUESTA CONDUCTORES'!$AI$7:$AI$459,"&lt;2000001")-DX43-DX42-DX41-DX40</f>
        <v>11</v>
      </c>
      <c r="DY44" s="18">
        <f>COUNTIFS('ENCUESTA CONDUCTORES'!H$7:H$459,"X",'ENCUESTA CONDUCTORES'!$AI$7:$AI$459,"&lt;2000001")-DY43-DY42-DY41-DY40</f>
        <v>9</v>
      </c>
      <c r="DZ44" s="18">
        <f t="shared" si="254"/>
        <v>30</v>
      </c>
      <c r="ED44" s="19"/>
      <c r="EE44" s="19"/>
      <c r="EH44" s="17" t="s">
        <v>1471</v>
      </c>
      <c r="EI44" s="74">
        <f t="shared" si="257"/>
        <v>0.34259259259259262</v>
      </c>
      <c r="EJ44" s="18">
        <f t="shared" si="258"/>
        <v>37</v>
      </c>
      <c r="FB44" s="90" t="str">
        <f>+FH4</f>
        <v>TRES A CINCO UNIDADES</v>
      </c>
      <c r="GA44" s="17" t="s">
        <v>1427</v>
      </c>
      <c r="GB44" s="74">
        <f t="shared" si="255"/>
        <v>8.0645161290322578E-3</v>
      </c>
      <c r="GC44" s="74">
        <f t="shared" si="246"/>
        <v>2.1505376344086023E-2</v>
      </c>
      <c r="GD44" s="74">
        <f t="shared" si="247"/>
        <v>6.7204301075268813E-2</v>
      </c>
      <c r="GE44" s="74">
        <f t="shared" si="248"/>
        <v>0</v>
      </c>
      <c r="GF44" s="74">
        <f t="shared" si="249"/>
        <v>5.9139784946236562E-2</v>
      </c>
      <c r="GG44" s="74">
        <f t="shared" si="250"/>
        <v>2.4193548387096774E-2</v>
      </c>
      <c r="GH44" s="74">
        <f t="shared" si="251"/>
        <v>1.6129032258064516E-2</v>
      </c>
      <c r="GI44" s="74">
        <f t="shared" si="252"/>
        <v>0.19623655913978494</v>
      </c>
      <c r="GJ44" s="18">
        <f>COUNTIFS('ENCUESTA CONDUCTORES'!$DE$7:$DE$459,"&lt;2007",'ENCUESTA CONDUCTORES'!$BH$7:$BH$459,"&lt;50000")-GJ43-GJ42-GJ41-GJ40</f>
        <v>3</v>
      </c>
      <c r="GK44" s="18">
        <f>COUNTIFS('ENCUESTA CONDUCTORES'!$DE$7:$DE$459,"&lt;2007",'ENCUESTA CONDUCTORES'!$BH$7:$BH$459,"&lt;75001")-GJ44-GK43-GJ43-GK42-GJ42-GK41-GJ41-GK40-GJ40</f>
        <v>8</v>
      </c>
      <c r="GL44" s="18">
        <f>COUNTIFS('ENCUESTA CONDUCTORES'!$DE$7:$DE$459,"&lt;2007",'ENCUESTA CONDUCTORES'!$BH$7:$BH$459,"&lt;100001")-GK44-GJ44-GL43-GK43-GJ43-GL42-GK42-GJ42-GL41-GK41-GJ41-GL40-GK40-GJ40</f>
        <v>25</v>
      </c>
      <c r="GM44" s="18">
        <f>COUNTIFS('ENCUESTA CONDUCTORES'!$DE$7:$DE$459,"&lt;2007",'ENCUESTA CONDUCTORES'!$BH$7:$BH$459,"&lt;115001")-GL44-GK44-GJ44-GM43-GL43-GK43-GJ43-GM42-GL42-GK42-GJ42-GM41-GL41-GK41-GJ41-GM40-GL40-GK40-GJ40</f>
        <v>0</v>
      </c>
      <c r="GN44" s="18">
        <f>COUNTIFS('ENCUESTA CONDUCTORES'!$DE$7:$DE$459,"&lt;2007",'ENCUESTA CONDUCTORES'!$BH$7:$BH$459,"&lt;125001")-GM44-GL44-GK44-GJ44-GN43-GM43-GL43-GK43-GJ43-GN42-GM42-GL42-GK42-GJ42-GN41-GM41-GL41-GK41-GJ41-GN40-GM40-GL40-GK40-GJ40</f>
        <v>22</v>
      </c>
      <c r="GO44" s="18">
        <f>COUNTIFS('ENCUESTA CONDUCTORES'!$DE$7:$DE$459,"&lt;2007",'ENCUESTA CONDUCTORES'!$BH$7:$BH$459,"&lt;150001")-GN44-GM44-GL44-GK44-GJ44-GO43-GN43-GM43-GL43-GK43-GJ43-GO42-GN42-GM42-GL42-GK42-GJ42-GO41-GN41-GM41-GL41-GK41-GJ41-GO40-GN40-GM40-GL40-GK40-GJ40</f>
        <v>9</v>
      </c>
      <c r="GP44" s="18">
        <f>COUNTIFS('ENCUESTA CONDUCTORES'!$DE$7:$DE$459,"&lt;2007",'ENCUESTA CONDUCTORES'!$BH$7:$BH$459,"&gt;150000")-GP43-GP42-GP41-GP40</f>
        <v>6</v>
      </c>
      <c r="GQ44" s="18">
        <f t="shared" si="253"/>
        <v>73</v>
      </c>
      <c r="HE44" s="17" t="s">
        <v>1550</v>
      </c>
      <c r="HF44" s="74">
        <f t="shared" si="256"/>
        <v>0.12903225806451613</v>
      </c>
    </row>
    <row r="45" spans="1:215" x14ac:dyDescent="0.25">
      <c r="B45" s="75" t="s">
        <v>48</v>
      </c>
      <c r="C45" s="74">
        <f t="shared" ref="C45:C53" si="259">+D45/$D$53</f>
        <v>0.14754098360655737</v>
      </c>
      <c r="D45" s="90">
        <f>COUNTIFS('ENCUESTA CONDUCTORES'!P$7:P$459,"X",'ENCUESTA CONDUCTORES'!$BJ$7:$BJ$459,"X")</f>
        <v>18</v>
      </c>
      <c r="E45" s="74"/>
      <c r="F45" s="74"/>
      <c r="G45" s="74"/>
      <c r="I45" s="90"/>
      <c r="J45" s="90"/>
      <c r="K45" s="90"/>
      <c r="L45" s="19"/>
      <c r="Q45" s="127"/>
      <c r="R45" s="127"/>
      <c r="S45" s="127"/>
      <c r="T45" s="19"/>
      <c r="U45" s="19"/>
      <c r="W45" s="19"/>
      <c r="X45" s="19"/>
      <c r="AL45" s="57" t="s">
        <v>1389</v>
      </c>
      <c r="AS45" s="17" t="s">
        <v>1392</v>
      </c>
      <c r="CL45" s="17" t="s">
        <v>1429</v>
      </c>
      <c r="CM45" s="74">
        <f t="shared" si="244"/>
        <v>8.6419753086419748E-2</v>
      </c>
      <c r="CN45" s="18">
        <f>COUNTIFS('ENCUESTA CONDUCTORES'!F$7:F$459,"X",'ENCUESTA CONDUCTORES'!$DE$7:$DE$459,"&gt;2010")</f>
        <v>7</v>
      </c>
      <c r="CO45" s="74"/>
      <c r="CP45" s="74"/>
      <c r="CQ45" s="74"/>
      <c r="CR45" s="18"/>
      <c r="CT45" s="18"/>
      <c r="CU45" s="18"/>
      <c r="CV45" s="18"/>
      <c r="CY45" s="17" t="s">
        <v>1424</v>
      </c>
      <c r="CZ45" s="17" t="s">
        <v>1424</v>
      </c>
      <c r="DP45" s="18" t="s">
        <v>467</v>
      </c>
      <c r="DQ45" s="74">
        <f t="shared" si="245"/>
        <v>5.0632911392405064E-3</v>
      </c>
      <c r="DR45" s="74">
        <f t="shared" si="245"/>
        <v>1.2658227848101266E-2</v>
      </c>
      <c r="DS45" s="74">
        <f t="shared" si="245"/>
        <v>7.5949367088607592E-3</v>
      </c>
      <c r="DT45" s="74">
        <f t="shared" si="245"/>
        <v>5.0632911392405064E-3</v>
      </c>
      <c r="DU45" s="74">
        <f t="shared" si="245"/>
        <v>3.0379746835443037E-2</v>
      </c>
      <c r="DV45" s="18">
        <f>COUNTIFS('ENCUESTA CONDUCTORES'!E$7:E$459,"X",'ENCUESTA CONDUCTORES'!$AI$7:$AI$459,"&lt;2500001")-DV44-DV43-DV42-DV41-DV40</f>
        <v>2</v>
      </c>
      <c r="DW45" s="18">
        <f>COUNTIFS('ENCUESTA CONDUCTORES'!F$7:F$459,"X",'ENCUESTA CONDUCTORES'!$AI$7:$AI$459,"&lt;2500001")-DW44-DW43-DW42-DW41-DW40</f>
        <v>5</v>
      </c>
      <c r="DX45" s="18">
        <f>COUNTIFS('ENCUESTA CONDUCTORES'!G$7:G$459,"X",'ENCUESTA CONDUCTORES'!$AI$7:$AI$459,"&lt;2500001")-DX44-DX43-DX42-DX41-DX40</f>
        <v>3</v>
      </c>
      <c r="DY45" s="18">
        <f>COUNTIFS('ENCUESTA CONDUCTORES'!H$7:H$459,"X",'ENCUESTA CONDUCTORES'!$AI$7:$AI$459,"&lt;2500001")-DY44-DY43-DY42-DY41-DY40</f>
        <v>2</v>
      </c>
      <c r="DZ45" s="18">
        <f t="shared" si="254"/>
        <v>12</v>
      </c>
      <c r="ED45" s="19"/>
      <c r="EE45" s="19"/>
      <c r="EH45" s="17" t="s">
        <v>1472</v>
      </c>
      <c r="EI45" s="74">
        <f t="shared" si="257"/>
        <v>8.3333333333333329E-2</v>
      </c>
      <c r="EJ45" s="18">
        <f t="shared" si="258"/>
        <v>9</v>
      </c>
      <c r="EZ45" s="87" t="s">
        <v>1484</v>
      </c>
      <c r="FA45" s="74">
        <f>+FB45/$FB$54</f>
        <v>0.67582417582417587</v>
      </c>
      <c r="FB45" s="90">
        <f t="shared" ref="FB45:FB54" si="260">+FH5</f>
        <v>123</v>
      </c>
      <c r="GA45" s="17" t="s">
        <v>1428</v>
      </c>
      <c r="GB45" s="74">
        <f t="shared" si="255"/>
        <v>8.0645161290322578E-3</v>
      </c>
      <c r="GC45" s="74">
        <f t="shared" si="246"/>
        <v>3.2258064516129031E-2</v>
      </c>
      <c r="GD45" s="74">
        <f t="shared" si="247"/>
        <v>7.2580645161290328E-2</v>
      </c>
      <c r="GE45" s="74">
        <f t="shared" si="248"/>
        <v>5.3763440860215058E-3</v>
      </c>
      <c r="GF45" s="74">
        <f t="shared" si="249"/>
        <v>9.1397849462365593E-2</v>
      </c>
      <c r="GG45" s="74">
        <f t="shared" si="250"/>
        <v>3.4946236559139782E-2</v>
      </c>
      <c r="GH45" s="74">
        <f t="shared" si="251"/>
        <v>3.2258064516129031E-2</v>
      </c>
      <c r="GI45" s="74">
        <f t="shared" si="252"/>
        <v>0.2768817204301075</v>
      </c>
      <c r="GJ45" s="18">
        <f>COUNTIFS('ENCUESTA CONDUCTORES'!$DE$7:$DE$459,"&lt;2011",'ENCUESTA CONDUCTORES'!$BH$7:$BH$459,"&lt;50000")-GJ44-GJ43-GJ42-GJ41-GJ40</f>
        <v>3</v>
      </c>
      <c r="GK45" s="18">
        <f>COUNTIFS('ENCUESTA CONDUCTORES'!$DE$7:$DE$459,"&lt;2011",'ENCUESTA CONDUCTORES'!$BH$7:$BH$459,"&lt;75001")-GJ45-GK44-GJ44-GK43-GJ43-GK42-GJ42-GK41-GJ41-GK40-GJ40</f>
        <v>12</v>
      </c>
      <c r="GL45" s="18">
        <f>COUNTIFS('ENCUESTA CONDUCTORES'!$DE$7:$DE$459,"&lt;2011",'ENCUESTA CONDUCTORES'!$BH$7:$BH$459,"&lt;100001")-GK45-GJ45-GL44-GK44-GJ44-GL43-GK43-GJ43-GL42-GK42-GJ42-GL41-GK41-GJ41-GL40-GK40-GJ40</f>
        <v>27</v>
      </c>
      <c r="GM45" s="18">
        <f>COUNTIFS('ENCUESTA CONDUCTORES'!$DE$7:$DE$459,"&lt;2011",'ENCUESTA CONDUCTORES'!$BH$7:$BH$459,"&lt;115001")-GL45-GK45-GJ45-GM44-GL44-GK44-GJ44-GM43-GL43-GK43-GJ43-GM42-GL42-GK42-GJ42-GM41-GL41-GK41-GJ41-GM40-GL40-GK40-GJ40</f>
        <v>2</v>
      </c>
      <c r="GN45" s="18">
        <f>COUNTIFS('ENCUESTA CONDUCTORES'!$DE$7:$DE$459,"&lt;2011",'ENCUESTA CONDUCTORES'!$BH$7:$BH$459,"&lt;125001")-GM45-GL45-GK45-GJ45-GN44-GM44-GL44-GK44-GJ44-GN43-GM43-GL43-GK43-GJ43-GN42-GM42-GL42-GK42-GJ42-GN41-GM41-GL41-GK41-GJ41-GN40-GM40-GL40-GK40-GJ40</f>
        <v>34</v>
      </c>
      <c r="GO45" s="18">
        <f>COUNTIFS('ENCUESTA CONDUCTORES'!$DE$7:$DE$459,"&lt;2011",'ENCUESTA CONDUCTORES'!$BH$7:$BH$459,"&lt;150001")-GN45-GM45-GL45-GK45-GJ45-GO44-GN44-GM44-GL44-GK44-GJ44-GO43-GN43-GM43-GL43-GK43-GJ43-GO42-GN42-GM42-GL42-GK42-GJ42-GO41-GN41-GM41-GL41-GK41-GJ41-GO40-GN40-GM40-GL40-GK40-GJ40</f>
        <v>13</v>
      </c>
      <c r="GP45" s="18">
        <f>COUNTIFS('ENCUESTA CONDUCTORES'!$DE$7:$DE$459,"&lt;2011",'ENCUESTA CONDUCTORES'!$BH$7:$BH$459,"&gt;150000")-GP44-GP43-GP42-GP41-GP40</f>
        <v>12</v>
      </c>
      <c r="GQ45" s="18">
        <f t="shared" si="253"/>
        <v>103</v>
      </c>
      <c r="HE45" s="17" t="s">
        <v>1333</v>
      </c>
      <c r="HF45" s="74">
        <f t="shared" si="256"/>
        <v>1</v>
      </c>
      <c r="HG45" s="17">
        <f>+HN9</f>
        <v>124</v>
      </c>
    </row>
    <row r="46" spans="1:215" x14ac:dyDescent="0.25">
      <c r="B46" s="75" t="s">
        <v>49</v>
      </c>
      <c r="C46" s="74">
        <f t="shared" si="259"/>
        <v>9.0163934426229511E-2</v>
      </c>
      <c r="D46" s="90">
        <f>COUNTIFS('ENCUESTA CONDUCTORES'!P$7:P$459,"X",'ENCUESTA CONDUCTORES'!$BK$7:$BK$459,"X")</f>
        <v>11</v>
      </c>
      <c r="E46" s="74"/>
      <c r="F46" s="74"/>
      <c r="G46" s="74"/>
      <c r="I46" s="90"/>
      <c r="J46" s="90"/>
      <c r="K46" s="90"/>
      <c r="L46" s="19"/>
      <c r="N46" s="17" t="s">
        <v>1374</v>
      </c>
      <c r="X46" s="19"/>
      <c r="AM46" s="18" t="s">
        <v>4</v>
      </c>
      <c r="AN46" s="18" t="s">
        <v>4</v>
      </c>
      <c r="AO46" s="18"/>
      <c r="AP46" s="18"/>
      <c r="AQ46" s="18"/>
      <c r="AS46" s="18"/>
      <c r="AT46" s="18"/>
      <c r="AU46" s="18"/>
      <c r="AV46" s="18"/>
      <c r="CL46" s="17" t="s">
        <v>429</v>
      </c>
      <c r="CM46" s="74">
        <f t="shared" si="244"/>
        <v>1</v>
      </c>
      <c r="CN46" s="18">
        <f t="shared" ref="CN46" si="261">SUM(CN39:CN45)</f>
        <v>81</v>
      </c>
      <c r="CO46" s="74"/>
      <c r="CP46" s="74"/>
      <c r="CQ46" s="74"/>
      <c r="CR46" s="18"/>
      <c r="CT46" s="18"/>
      <c r="CU46" s="18"/>
      <c r="CV46" s="18"/>
      <c r="CX46" s="11" t="s">
        <v>1296</v>
      </c>
      <c r="CY46" s="74">
        <f>+CZ46/$CZ$54</f>
        <v>0</v>
      </c>
      <c r="CZ46" s="18">
        <f>+DH5</f>
        <v>0</v>
      </c>
      <c r="DA46" s="74"/>
      <c r="DB46" s="74"/>
      <c r="DC46" s="74"/>
      <c r="DD46" s="74"/>
      <c r="DE46" s="74"/>
      <c r="DF46" s="74"/>
      <c r="DG46" s="18"/>
      <c r="DI46" s="18"/>
      <c r="DJ46" s="18"/>
      <c r="DK46" s="18"/>
      <c r="DL46" s="18"/>
      <c r="DM46" s="18"/>
      <c r="DN46" s="18"/>
      <c r="DP46" s="18" t="s">
        <v>469</v>
      </c>
      <c r="DQ46" s="74">
        <f t="shared" si="245"/>
        <v>5.0632911392405064E-3</v>
      </c>
      <c r="DR46" s="74">
        <f t="shared" si="245"/>
        <v>0</v>
      </c>
      <c r="DS46" s="74">
        <f t="shared" si="245"/>
        <v>1.0126582278481013E-2</v>
      </c>
      <c r="DT46" s="74">
        <f t="shared" si="245"/>
        <v>0</v>
      </c>
      <c r="DU46" s="74">
        <f t="shared" si="245"/>
        <v>1.5189873417721518E-2</v>
      </c>
      <c r="DV46" s="18">
        <f>COUNTIFS('ENCUESTA CONDUCTORES'!E$7:E$459,"X",'ENCUESTA CONDUCTORES'!$AI$7:$AI$459,"&gt;2500000")</f>
        <v>2</v>
      </c>
      <c r="DW46" s="18">
        <f>COUNTIFS('ENCUESTA CONDUCTORES'!F$7:F$459,"X",'ENCUESTA CONDUCTORES'!$AI$7:$AI$459,"&gt;2500000")</f>
        <v>0</v>
      </c>
      <c r="DX46" s="18">
        <f>COUNTIFS('ENCUESTA CONDUCTORES'!G$7:G$459,"X",'ENCUESTA CONDUCTORES'!$AI$7:$AI$459,"&gt;2500000")</f>
        <v>4</v>
      </c>
      <c r="DY46" s="18">
        <f>COUNTIFS('ENCUESTA CONDUCTORES'!H$7:H$459,"X",'ENCUESTA CONDUCTORES'!$AI$7:$AI$459,"&gt;2500000")</f>
        <v>0</v>
      </c>
      <c r="DZ46" s="18">
        <f t="shared" si="254"/>
        <v>6</v>
      </c>
      <c r="ED46" s="19"/>
      <c r="EE46" s="19"/>
      <c r="EH46" s="17" t="s">
        <v>1473</v>
      </c>
      <c r="EI46" s="74">
        <f t="shared" si="257"/>
        <v>9.2592592592592587E-2</v>
      </c>
      <c r="EJ46" s="18">
        <f t="shared" si="258"/>
        <v>10</v>
      </c>
      <c r="EZ46" s="87" t="s">
        <v>1485</v>
      </c>
      <c r="FA46" s="74">
        <f t="shared" ref="FA46:FA54" si="262">+FB46/$FB$54</f>
        <v>5.4945054945054949E-3</v>
      </c>
      <c r="FB46" s="90">
        <f t="shared" si="260"/>
        <v>1</v>
      </c>
      <c r="GA46" s="17" t="s">
        <v>1429</v>
      </c>
      <c r="GB46" s="74">
        <f t="shared" si="255"/>
        <v>1.3440860215053764E-2</v>
      </c>
      <c r="GC46" s="74">
        <f t="shared" si="246"/>
        <v>1.3440860215053764E-2</v>
      </c>
      <c r="GD46" s="74">
        <f t="shared" si="247"/>
        <v>1.8817204301075269E-2</v>
      </c>
      <c r="GE46" s="74">
        <f t="shared" si="248"/>
        <v>0</v>
      </c>
      <c r="GF46" s="74">
        <f t="shared" si="249"/>
        <v>1.3440860215053764E-2</v>
      </c>
      <c r="GG46" s="74">
        <f t="shared" si="250"/>
        <v>2.6881720430107529E-3</v>
      </c>
      <c r="GH46" s="74">
        <f t="shared" si="251"/>
        <v>2.4193548387096774E-2</v>
      </c>
      <c r="GI46" s="74">
        <f t="shared" si="252"/>
        <v>8.6021505376344093E-2</v>
      </c>
      <c r="GJ46" s="18">
        <f>COUNTIFS('ENCUESTA CONDUCTORES'!$DE$7:$DE$459,"&gt;2010",'ENCUESTA CONDUCTORES'!$BH$7:$BH$459,"&lt;50000")</f>
        <v>5</v>
      </c>
      <c r="GK46" s="18">
        <f>COUNTIFS('ENCUESTA CONDUCTORES'!$DE$7:$DE$459,"&gt;2010",'ENCUESTA CONDUCTORES'!$BH$7:$BH$459,"&lt;75001")-GJ46</f>
        <v>5</v>
      </c>
      <c r="GL46" s="18">
        <f>COUNTIFS('ENCUESTA CONDUCTORES'!$DE$7:$DE$459,"&gt;2010",'ENCUESTA CONDUCTORES'!$BH$7:$BH$459,"&lt;100001")-GK46-GJ46</f>
        <v>7</v>
      </c>
      <c r="GM46" s="18">
        <f>COUNTIFS('ENCUESTA CONDUCTORES'!$DE$7:$DE$459,"&gt;2010",'ENCUESTA CONDUCTORES'!$BH$7:$BH$459,"&lt;115001")-GL46-GK46-GJ46</f>
        <v>0</v>
      </c>
      <c r="GN46" s="18">
        <f>COUNTIFS('ENCUESTA CONDUCTORES'!$DE$7:$DE$459,"&gt;2010",'ENCUESTA CONDUCTORES'!$BH$7:$BH$459,"&lt;125001")-GM46-GL46-GK46-GJ46</f>
        <v>5</v>
      </c>
      <c r="GO46" s="18">
        <f>COUNTIFS('ENCUESTA CONDUCTORES'!$DE$7:$DE$459,"&gt;2010",'ENCUESTA CONDUCTORES'!$BH$7:$BH$459,"&lt;150001")-GN46-GM46-GL46-GK46-GJ46</f>
        <v>1</v>
      </c>
      <c r="GP46" s="18">
        <f>COUNTIFS('ENCUESTA CONDUCTORES'!$DE$7:$DE$459,"&gt;2010",'ENCUESTA CONDUCTORES'!$BH$7:$BH$459,"&gt;150000")</f>
        <v>9</v>
      </c>
      <c r="GQ46" s="18">
        <f t="shared" si="253"/>
        <v>32</v>
      </c>
    </row>
    <row r="47" spans="1:215" x14ac:dyDescent="0.25">
      <c r="B47" s="75" t="s">
        <v>1356</v>
      </c>
      <c r="C47" s="74">
        <f t="shared" si="259"/>
        <v>0.1721311475409836</v>
      </c>
      <c r="D47" s="90">
        <f>COUNTIFS('ENCUESTA CONDUCTORES'!P$7:P$459,"X",'ENCUESTA CONDUCTORES'!$BL$7:$BL$459,"X")+COUNTIFS('ENCUESTA CONDUCTORES'!P$7:P$459,"X",'ENCUESTA CONDUCTORES'!$BR$7:$BR$459,"X")</f>
        <v>21</v>
      </c>
      <c r="E47" s="74"/>
      <c r="F47" s="74"/>
      <c r="G47" s="74"/>
      <c r="I47" s="90"/>
      <c r="J47" s="90"/>
      <c r="K47" s="90"/>
      <c r="L47" s="19"/>
      <c r="O47" s="17" t="s">
        <v>1337</v>
      </c>
      <c r="P47" s="17" t="s">
        <v>1337</v>
      </c>
      <c r="AL47" s="11" t="s">
        <v>1296</v>
      </c>
      <c r="AM47" s="74">
        <f>+AN47/$AN$55</f>
        <v>6.0240963855421686E-2</v>
      </c>
      <c r="AN47" s="18">
        <f>COUNTIFS('ENCUESTA CONDUCTORES'!$AL$7:$AL$459,"X",'ENCUESTA CONDUCTORES'!P$7:P$459,"X",'ENCUESTA CONDUCTORES'!$AX$7:$AX$459,"&lt;1.6")</f>
        <v>5</v>
      </c>
      <c r="AO47" s="74"/>
      <c r="AP47" s="74"/>
      <c r="AQ47" s="74"/>
      <c r="AS47" s="18"/>
      <c r="AT47" s="18"/>
      <c r="AU47" s="18"/>
      <c r="AV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X47" s="11" t="s">
        <v>1297</v>
      </c>
      <c r="CY47" s="74">
        <f t="shared" ref="CY47:CY54" si="263">+CZ47/$CZ$54</f>
        <v>0.33333333333333331</v>
      </c>
      <c r="CZ47" s="18">
        <f t="shared" ref="CZ47:CZ55" si="264">+DH6</f>
        <v>3</v>
      </c>
      <c r="DA47" s="74"/>
      <c r="DB47" s="74"/>
      <c r="DC47" s="74"/>
      <c r="DD47" s="74"/>
      <c r="DE47" s="74"/>
      <c r="DF47" s="74"/>
      <c r="DG47" s="18"/>
      <c r="DI47" s="18"/>
      <c r="DJ47" s="18"/>
      <c r="DK47" s="18"/>
      <c r="DL47" s="18"/>
      <c r="DM47" s="18"/>
      <c r="DN47" s="18"/>
      <c r="DP47" s="17" t="s">
        <v>429</v>
      </c>
      <c r="DQ47" s="74">
        <f t="shared" si="245"/>
        <v>0.13164556962025317</v>
      </c>
      <c r="DR47" s="74">
        <f t="shared" si="245"/>
        <v>0.17215189873417722</v>
      </c>
      <c r="DS47" s="74">
        <f t="shared" si="245"/>
        <v>0.4050632911392405</v>
      </c>
      <c r="DT47" s="74">
        <f t="shared" si="245"/>
        <v>0.29113924050632911</v>
      </c>
      <c r="DU47" s="74">
        <f t="shared" si="245"/>
        <v>1</v>
      </c>
      <c r="DV47" s="18">
        <f>SUM(DV40:DV46)</f>
        <v>52</v>
      </c>
      <c r="DW47" s="18">
        <f t="shared" ref="DW47:DY47" si="265">SUM(DW40:DW46)</f>
        <v>68</v>
      </c>
      <c r="DX47" s="18">
        <f t="shared" si="265"/>
        <v>160</v>
      </c>
      <c r="DY47" s="18">
        <f t="shared" si="265"/>
        <v>115</v>
      </c>
      <c r="DZ47" s="18">
        <f>SUM(DZ40:DZ46)</f>
        <v>395</v>
      </c>
      <c r="ED47" s="18"/>
      <c r="EE47" s="18"/>
      <c r="EH47" s="17" t="s">
        <v>1333</v>
      </c>
      <c r="EI47" s="74">
        <f t="shared" si="257"/>
        <v>1</v>
      </c>
      <c r="EJ47" s="18">
        <f t="shared" si="258"/>
        <v>108</v>
      </c>
      <c r="EZ47" s="87" t="s">
        <v>1486</v>
      </c>
      <c r="FA47" s="74">
        <f t="shared" si="262"/>
        <v>6.043956043956044E-2</v>
      </c>
      <c r="FB47" s="90">
        <f t="shared" si="260"/>
        <v>11</v>
      </c>
      <c r="GA47" s="17" t="s">
        <v>429</v>
      </c>
      <c r="GB47" s="74">
        <f t="shared" si="255"/>
        <v>4.8387096774193547E-2</v>
      </c>
      <c r="GC47" s="74">
        <f t="shared" si="246"/>
        <v>0.13172043010752688</v>
      </c>
      <c r="GD47" s="74">
        <f t="shared" si="247"/>
        <v>0.32526881720430106</v>
      </c>
      <c r="GE47" s="74">
        <f t="shared" si="248"/>
        <v>1.6129032258064516E-2</v>
      </c>
      <c r="GF47" s="74">
        <f t="shared" si="249"/>
        <v>0.22580645161290322</v>
      </c>
      <c r="GG47" s="74">
        <f t="shared" si="250"/>
        <v>0.11021505376344086</v>
      </c>
      <c r="GH47" s="74">
        <f t="shared" si="251"/>
        <v>0.1424731182795699</v>
      </c>
      <c r="GI47" s="74">
        <f t="shared" si="252"/>
        <v>1</v>
      </c>
      <c r="GJ47" s="18">
        <f>SUM(GJ40:GJ46)</f>
        <v>18</v>
      </c>
      <c r="GK47" s="18">
        <f t="shared" ref="GK47" si="266">SUM(GK40:GK46)</f>
        <v>49</v>
      </c>
      <c r="GL47" s="18">
        <f t="shared" ref="GL47" si="267">SUM(GL40:GL46)</f>
        <v>121</v>
      </c>
      <c r="GM47" s="18">
        <f t="shared" ref="GM47" si="268">SUM(GM40:GM46)</f>
        <v>6</v>
      </c>
      <c r="GN47" s="18">
        <f t="shared" ref="GN47" si="269">SUM(GN40:GN46)</f>
        <v>84</v>
      </c>
      <c r="GO47" s="18">
        <f t="shared" ref="GO47" si="270">SUM(GO40:GO46)</f>
        <v>41</v>
      </c>
      <c r="GP47" s="18">
        <f t="shared" ref="GP47" si="271">SUM(GP40:GP46)</f>
        <v>53</v>
      </c>
      <c r="GQ47" s="18">
        <f t="shared" ref="GQ47" si="272">SUM(GQ40:GQ46)</f>
        <v>372</v>
      </c>
    </row>
    <row r="48" spans="1:215" x14ac:dyDescent="0.25">
      <c r="B48" s="75" t="s">
        <v>51</v>
      </c>
      <c r="C48" s="74">
        <f t="shared" si="259"/>
        <v>0.11475409836065574</v>
      </c>
      <c r="D48" s="90">
        <f>COUNTIFS('ENCUESTA CONDUCTORES'!P$7:P$459,"X",'ENCUESTA CONDUCTORES'!$BM$7:$BM$459,"X")</f>
        <v>14</v>
      </c>
      <c r="E48" s="74"/>
      <c r="F48" s="74"/>
      <c r="G48" s="74"/>
      <c r="I48" s="90"/>
      <c r="J48" s="90"/>
      <c r="K48" s="90"/>
      <c r="L48" s="19"/>
      <c r="N48" s="75" t="s">
        <v>10</v>
      </c>
      <c r="O48" s="127">
        <f t="shared" ref="O48:O55" si="273">+P48/$P$55</f>
        <v>0.58870967741935487</v>
      </c>
      <c r="P48" s="90">
        <f>COUNTIFS('ENCUESTA CONDUCTORES'!H$7:H$459,"X",'ENCUESTA CONDUCTORES'!$U$7:$U$459,"X")</f>
        <v>73</v>
      </c>
      <c r="X48" s="18"/>
      <c r="AL48" s="11" t="s">
        <v>1297</v>
      </c>
      <c r="AM48" s="74">
        <f t="shared" ref="AM48:AM55" si="274">+AN48/$AN$55</f>
        <v>0.12048192771084337</v>
      </c>
      <c r="AN48" s="18">
        <f>COUNTIFS('ENCUESTA CONDUCTORES'!$AL$7:$AL$459,"X",'ENCUESTA CONDUCTORES'!P$7:P$459,"X",'ENCUESTA CONDUCTORES'!$AX$7:$AX$459,"&lt;1.91")-AN47</f>
        <v>10</v>
      </c>
      <c r="AO48" s="74"/>
      <c r="AP48" s="74"/>
      <c r="AQ48" s="74"/>
      <c r="AS48" s="18"/>
      <c r="AT48" s="18"/>
      <c r="AU48" s="18"/>
      <c r="AV48" s="18"/>
      <c r="CL48" s="17" t="s">
        <v>1435</v>
      </c>
      <c r="CX48" s="11" t="s">
        <v>1298</v>
      </c>
      <c r="CY48" s="74">
        <f t="shared" si="263"/>
        <v>0.1111111111111111</v>
      </c>
      <c r="CZ48" s="18">
        <f t="shared" si="264"/>
        <v>1</v>
      </c>
      <c r="DA48" s="74"/>
      <c r="DB48" s="74"/>
      <c r="DC48" s="74"/>
      <c r="DD48" s="74"/>
      <c r="DE48" s="74"/>
      <c r="DF48" s="74"/>
      <c r="DG48" s="18"/>
      <c r="DI48" s="18"/>
      <c r="DJ48" s="18"/>
      <c r="DK48" s="18"/>
      <c r="DL48" s="18"/>
      <c r="DM48" s="18"/>
      <c r="DN48" s="18"/>
      <c r="DP48" s="17" t="s">
        <v>1459</v>
      </c>
      <c r="DQ48" s="18"/>
      <c r="DR48" s="18"/>
      <c r="DS48" s="18"/>
      <c r="DT48" s="18"/>
      <c r="DU48" s="18"/>
      <c r="DV48" s="18">
        <f>COUNTIFS('ENCUESTA CONDUCTORES'!E$7:E$459,"X",'ENCUESTA CONDUCTORES'!$AI$7:$AI$459,"NO SABE")+COUNTIFS('ENCUESTA CONDUCTORES'!E$7:E$459,"X",'ENCUESTA CONDUCTORES'!$AI$7:$AI$459,"NO CONTESTA")+COUNTIFS('ENCUESTA CONDUCTORES'!E$7:E$459,"X",'ENCUESTA CONDUCTORES'!$AI$7:$AI$459,"DAÑADO")</f>
        <v>14</v>
      </c>
      <c r="DW48" s="18">
        <f>COUNTIFS('ENCUESTA CONDUCTORES'!F$7:F$459,"X",'ENCUESTA CONDUCTORES'!$AI$7:$AI$459,"NO SABE")+COUNTIFS('ENCUESTA CONDUCTORES'!F$7:F$459,"X",'ENCUESTA CONDUCTORES'!$AI$7:$AI$459,"NO CONTESTA")+COUNTIFS('ENCUESTA CONDUCTORES'!F$7:F$459,"X",'ENCUESTA CONDUCTORES'!$AI$7:$AI$459,"DAÑADO")</f>
        <v>13</v>
      </c>
      <c r="DX48" s="18">
        <f>COUNTIFS('ENCUESTA CONDUCTORES'!G$7:G$459,"X",'ENCUESTA CONDUCTORES'!$AI$7:$AI$459,"NO SABE")+COUNTIFS('ENCUESTA CONDUCTORES'!G$7:G$459,"X",'ENCUESTA CONDUCTORES'!$AI$7:$AI$459,"NO CONTESTA")+COUNTIFS('ENCUESTA CONDUCTORES'!G$7:G$459,"X",'ENCUESTA CONDUCTORES'!$AI$7:$AI$459,"DAÑADO")</f>
        <v>22</v>
      </c>
      <c r="DY48" s="18">
        <f>COUNTIFS('ENCUESTA CONDUCTORES'!H$7:H$459,"X",'ENCUESTA CONDUCTORES'!$AI$7:$AI$459,"NO SABE")+COUNTIFS('ENCUESTA CONDUCTORES'!H$7:H$459,"X",'ENCUESTA CONDUCTORES'!$AI$7:$AI$459,"NO CONTESTA")+COUNTIFS('ENCUESTA CONDUCTORES'!H$7:H$459,"X",'ENCUESTA CONDUCTORES'!$AI$7:$AI$459,"DAÑADO")</f>
        <v>9</v>
      </c>
      <c r="DZ48" s="18">
        <f>SUM(DV48:DY48)</f>
        <v>58</v>
      </c>
      <c r="ED48" s="19"/>
      <c r="EE48" s="19"/>
      <c r="EZ48" s="87" t="s">
        <v>1487</v>
      </c>
      <c r="FA48" s="74">
        <f t="shared" si="262"/>
        <v>1.098901098901099E-2</v>
      </c>
      <c r="FB48" s="90">
        <f t="shared" si="260"/>
        <v>2</v>
      </c>
      <c r="GQ48" s="18">
        <f>SUM(GJ47:GP47)</f>
        <v>372</v>
      </c>
    </row>
    <row r="49" spans="1:158" ht="25.5" x14ac:dyDescent="0.25">
      <c r="B49" s="75" t="s">
        <v>1357</v>
      </c>
      <c r="C49" s="74">
        <f t="shared" si="259"/>
        <v>9.8360655737704916E-2</v>
      </c>
      <c r="D49" s="90">
        <f>COUNTIFS('ENCUESTA CONDUCTORES'!P$7:P$459,"X",'ENCUESTA CONDUCTORES'!$BN$7:$BN$459,"X")+COUNTIFS('ENCUESTA CONDUCTORES'!P$7:P$459,"X",'ENCUESTA CONDUCTORES'!$BP$7:$BP$459,"X")</f>
        <v>12</v>
      </c>
      <c r="E49" s="74"/>
      <c r="F49" s="74"/>
      <c r="G49" s="74"/>
      <c r="I49" s="90"/>
      <c r="J49" s="90"/>
      <c r="K49" s="90"/>
      <c r="L49" s="19"/>
      <c r="N49" s="75" t="s">
        <v>1352</v>
      </c>
      <c r="O49" s="127">
        <f t="shared" si="273"/>
        <v>0.12096774193548387</v>
      </c>
      <c r="P49" s="90">
        <f>COUNTIFS('ENCUESTA CONDUCTORES'!H$7:H$459,"X",'ENCUESTA CONDUCTORES'!$W$7:$W$459,"X")+COUNTIFS('ENCUESTA CONDUCTORES'!H$7:H$459,"X",'ENCUESTA CONDUCTORES'!$AB$7:$AB$459,"X")+COUNTIFS('ENCUESTA CONDUCTORES'!H$7:H$459,"X",'ENCUESTA CONDUCTORES'!$AC$7:$AC$459,"X")</f>
        <v>15</v>
      </c>
      <c r="Q49" s="127"/>
      <c r="R49" s="127"/>
      <c r="S49" s="127"/>
      <c r="T49" s="90"/>
      <c r="U49" s="90"/>
      <c r="V49" s="90"/>
      <c r="X49" s="19"/>
      <c r="AL49" s="11" t="s">
        <v>1298</v>
      </c>
      <c r="AM49" s="74">
        <f t="shared" si="274"/>
        <v>8.4337349397590355E-2</v>
      </c>
      <c r="AN49" s="18">
        <f>COUNTIFS('ENCUESTA CONDUCTORES'!$AL$7:$AL$459,"X",'ENCUESTA CONDUCTORES'!P$7:P$459,"X",'ENCUESTA CONDUCTORES'!$AX$7:$AX$459,"&lt;2.01")-AN48-AN47</f>
        <v>7</v>
      </c>
      <c r="AO49" s="74"/>
      <c r="AP49" s="74"/>
      <c r="AQ49" s="74"/>
      <c r="AS49" s="18"/>
      <c r="AT49" s="18"/>
      <c r="AU49" s="18"/>
      <c r="AV49" s="18"/>
      <c r="CM49" s="17" t="s">
        <v>1336</v>
      </c>
      <c r="CN49" s="17" t="s">
        <v>1336</v>
      </c>
      <c r="CQ49" s="18"/>
      <c r="CV49" s="18"/>
      <c r="CX49" s="11" t="s">
        <v>1299</v>
      </c>
      <c r="CY49" s="74">
        <f t="shared" si="263"/>
        <v>0</v>
      </c>
      <c r="CZ49" s="18">
        <f t="shared" si="264"/>
        <v>0</v>
      </c>
      <c r="DA49" s="74"/>
      <c r="DB49" s="74"/>
      <c r="DC49" s="74"/>
      <c r="DD49" s="74"/>
      <c r="DE49" s="74"/>
      <c r="DF49" s="74"/>
      <c r="DG49" s="18"/>
      <c r="DI49" s="18"/>
      <c r="DJ49" s="18"/>
      <c r="DK49" s="18"/>
      <c r="DL49" s="18"/>
      <c r="DM49" s="18"/>
      <c r="DN49" s="18"/>
      <c r="DQ49" s="18"/>
      <c r="DR49" s="18"/>
      <c r="DS49" s="18"/>
      <c r="DT49" s="18"/>
      <c r="DU49" s="18"/>
      <c r="DV49" s="18"/>
      <c r="DW49" s="18"/>
      <c r="DX49" s="18"/>
      <c r="DY49" s="18"/>
      <c r="DZ49" s="19">
        <f>+DZ48+DZ47</f>
        <v>453</v>
      </c>
      <c r="ED49" s="18"/>
      <c r="EE49" s="18"/>
      <c r="EZ49" s="87" t="s">
        <v>1488</v>
      </c>
      <c r="FA49" s="74">
        <f t="shared" si="262"/>
        <v>7.6923076923076927E-2</v>
      </c>
      <c r="FB49" s="90">
        <f t="shared" si="260"/>
        <v>14</v>
      </c>
    </row>
    <row r="50" spans="1:158" x14ac:dyDescent="0.25">
      <c r="B50" s="75" t="s">
        <v>131</v>
      </c>
      <c r="C50" s="74">
        <f t="shared" si="259"/>
        <v>9.0163934426229511E-2</v>
      </c>
      <c r="D50" s="90">
        <f>COUNTIFS('ENCUESTA CONDUCTORES'!P$7:P$459,"X",'ENCUESTA CONDUCTORES'!$BO$7:$BO$459,"X")</f>
        <v>11</v>
      </c>
      <c r="E50" s="74"/>
      <c r="F50" s="74"/>
      <c r="G50" s="74"/>
      <c r="I50" s="90"/>
      <c r="J50" s="90"/>
      <c r="K50" s="90"/>
      <c r="L50" s="19"/>
      <c r="N50" s="75" t="s">
        <v>13</v>
      </c>
      <c r="O50" s="127">
        <f t="shared" si="273"/>
        <v>0.12096774193548387</v>
      </c>
      <c r="P50" s="90">
        <f>COUNTIFS('ENCUESTA CONDUCTORES'!H$7:H$459,"X",'ENCUESTA CONDUCTORES'!$V$7:$V$459,"X")+COUNTIFS('ENCUESTA CONDUCTORES'!H$7:H$459,"X",'ENCUESTA CONDUCTORES'!$X$7:$X$459,"X")</f>
        <v>15</v>
      </c>
      <c r="Q50" s="127"/>
      <c r="R50" s="127"/>
      <c r="S50" s="127"/>
      <c r="T50" s="90"/>
      <c r="U50" s="90"/>
      <c r="V50" s="90"/>
      <c r="X50" s="19"/>
      <c r="AL50" s="11" t="s">
        <v>1299</v>
      </c>
      <c r="AM50" s="74">
        <f t="shared" si="274"/>
        <v>7.2289156626506021E-2</v>
      </c>
      <c r="AN50" s="18">
        <f>COUNTIFS('ENCUESTA CONDUCTORES'!$AL$7:$AL$459,"X",'ENCUESTA CONDUCTORES'!P$7:P$459,"X",'ENCUESTA CONDUCTORES'!$AX$7:$AX$459,"&lt;2.21")-AN49-AN48-AN47</f>
        <v>6</v>
      </c>
      <c r="AO50" s="74"/>
      <c r="AP50" s="74"/>
      <c r="AQ50" s="74"/>
      <c r="AS50" s="18"/>
      <c r="AT50" s="18"/>
      <c r="AU50" s="18"/>
      <c r="AV50" s="18"/>
      <c r="CL50" s="17" t="s">
        <v>1423</v>
      </c>
      <c r="CM50" s="74">
        <f>+CN50/$CN$57</f>
        <v>0.14285714285714285</v>
      </c>
      <c r="CN50" s="18">
        <f>COUNTIFS('ENCUESTA CONDUCTORES'!G$7:G$459,"X",'ENCUESTA CONDUCTORES'!$DE$7:$DE$459,"&lt;1991")</f>
        <v>26</v>
      </c>
      <c r="CP50" s="74"/>
      <c r="CQ50" s="74"/>
      <c r="CR50" s="18"/>
      <c r="CS50" s="18"/>
      <c r="CU50" s="18"/>
      <c r="CV50" s="18"/>
      <c r="CX50" s="11" t="s">
        <v>1300</v>
      </c>
      <c r="CY50" s="74">
        <f t="shared" si="263"/>
        <v>0.33333333333333331</v>
      </c>
      <c r="CZ50" s="18">
        <f t="shared" si="264"/>
        <v>3</v>
      </c>
      <c r="DA50" s="74"/>
      <c r="DB50" s="74"/>
      <c r="DC50" s="74"/>
      <c r="DD50" s="74"/>
      <c r="DE50" s="74"/>
      <c r="DF50" s="74"/>
      <c r="DG50" s="18"/>
      <c r="DI50" s="18"/>
      <c r="DJ50" s="18"/>
      <c r="DK50" s="18"/>
      <c r="DL50" s="18"/>
      <c r="DM50" s="18"/>
      <c r="DN50" s="18"/>
      <c r="DP50" s="17" t="s">
        <v>1498</v>
      </c>
      <c r="EZ50" s="87" t="s">
        <v>1489</v>
      </c>
      <c r="FA50" s="74">
        <f t="shared" si="262"/>
        <v>5.4945054945054949E-3</v>
      </c>
      <c r="FB50" s="90">
        <f t="shared" si="260"/>
        <v>1</v>
      </c>
    </row>
    <row r="51" spans="1:158" x14ac:dyDescent="0.25">
      <c r="B51" s="75" t="s">
        <v>55</v>
      </c>
      <c r="C51" s="74">
        <f t="shared" si="259"/>
        <v>5.737704918032787E-2</v>
      </c>
      <c r="D51" s="90">
        <f>COUNTIFS('ENCUESTA CONDUCTORES'!P$7:P$459,"X",'ENCUESTA CONDUCTORES'!$BQ$7:$BQ$459,"X")</f>
        <v>7</v>
      </c>
      <c r="E51" s="74"/>
      <c r="F51" s="74"/>
      <c r="G51" s="74"/>
      <c r="I51" s="90"/>
      <c r="J51" s="90"/>
      <c r="K51" s="90"/>
      <c r="L51" s="19"/>
      <c r="N51" s="75" t="s">
        <v>14</v>
      </c>
      <c r="O51" s="127">
        <f t="shared" si="273"/>
        <v>0.10483870967741936</v>
      </c>
      <c r="P51" s="90">
        <f>COUNTIFS('ENCUESTA CONDUCTORES'!H$7:H$459,"X",'ENCUESTA CONDUCTORES'!$Y$7:$Y$459,"X")</f>
        <v>13</v>
      </c>
      <c r="Q51" s="127"/>
      <c r="R51" s="127"/>
      <c r="S51" s="127"/>
      <c r="T51" s="90"/>
      <c r="U51" s="90"/>
      <c r="V51" s="90"/>
      <c r="X51" s="19"/>
      <c r="AL51" s="11" t="s">
        <v>1300</v>
      </c>
      <c r="AM51" s="74">
        <f t="shared" si="274"/>
        <v>0.26506024096385544</v>
      </c>
      <c r="AN51" s="18">
        <f>COUNTIFS('ENCUESTA CONDUCTORES'!$AL$7:$AL$459,"X",'ENCUESTA CONDUCTORES'!P$7:P$459,"X",'ENCUESTA CONDUCTORES'!$AX$7:$AX$459,"&lt;2.51")-AN50-AN49-AN48-AN47</f>
        <v>22</v>
      </c>
      <c r="AO51" s="74"/>
      <c r="AP51" s="74"/>
      <c r="AQ51" s="74"/>
      <c r="AS51" s="18"/>
      <c r="AT51" s="18"/>
      <c r="AU51" s="18"/>
      <c r="AV51" s="18"/>
      <c r="CL51" s="17" t="s">
        <v>1424</v>
      </c>
      <c r="CM51" s="74">
        <f t="shared" ref="CM51:CM57" si="275">+CN51/$CN$57</f>
        <v>1.098901098901099E-2</v>
      </c>
      <c r="CN51" s="18">
        <f>COUNTIFS('ENCUESTA CONDUCTORES'!G$7:G$459,"X",'ENCUESTA CONDUCTORES'!$DE$7:$DE$459,"&lt;1994")-CN50</f>
        <v>2</v>
      </c>
      <c r="CP51" s="74"/>
      <c r="CQ51" s="74"/>
      <c r="CR51" s="18"/>
      <c r="CS51" s="18"/>
      <c r="CU51" s="18"/>
      <c r="CV51" s="18"/>
      <c r="CX51" s="11" t="s">
        <v>1301</v>
      </c>
      <c r="CY51" s="74">
        <f t="shared" si="263"/>
        <v>0.1111111111111111</v>
      </c>
      <c r="CZ51" s="18">
        <f t="shared" si="264"/>
        <v>1</v>
      </c>
      <c r="DA51" s="74"/>
      <c r="DB51" s="74"/>
      <c r="DC51" s="74"/>
      <c r="DD51" s="74"/>
      <c r="DE51" s="74"/>
      <c r="DF51" s="74"/>
      <c r="DG51" s="18"/>
      <c r="DI51" s="18"/>
      <c r="DJ51" s="18"/>
      <c r="DK51" s="18"/>
      <c r="DL51" s="18"/>
      <c r="DM51" s="18"/>
      <c r="DN51" s="18"/>
      <c r="DQ51" s="17" t="s">
        <v>425</v>
      </c>
      <c r="DR51" s="17" t="s">
        <v>425</v>
      </c>
      <c r="EZ51" s="87" t="s">
        <v>1490</v>
      </c>
      <c r="FA51" s="74">
        <f t="shared" si="262"/>
        <v>8.2417582417582416E-2</v>
      </c>
      <c r="FB51" s="90">
        <f t="shared" si="260"/>
        <v>15</v>
      </c>
    </row>
    <row r="52" spans="1:158" x14ac:dyDescent="0.25">
      <c r="B52" s="75" t="s">
        <v>1358</v>
      </c>
      <c r="C52" s="74">
        <f t="shared" si="259"/>
        <v>0.22950819672131148</v>
      </c>
      <c r="D52" s="90">
        <f>COUNTIFS('ENCUESTA CONDUCTORES'!P$7:P$459,"X",'ENCUESTA CONDUCTORES'!$BS$7:$BS$459,"CARRITOS DE GOLF")+COUNTIFS('ENCUESTA CONDUCTORES'!P$7:P$459,"X",'ENCUESTA CONDUCTORES'!$BS$7:$BS$459,"MERCANCIA SECA")+COUNTIFS('ENCUESTA CONDUCTORES'!P$7:P$459,"X",'ENCUESTA CONDUCTORES'!$BS$7:$BS$459,"PAPELERIA")+COUNTIFS('ENCUESTA CONDUCTORES'!P$7:P$459,"X",'ENCUESTA CONDUCTORES'!$BS$7:$BS$459,"GENERAL")+COUNTIFS('ENCUESTA CONDUCTORES'!P$7:P$459,"X",'ENCUESTA CONDUCTORES'!$BS$7:$BS$459,"MAQUINARIA")+COUNTIFS('ENCUESTA CONDUCTORES'!P$7:P$459,"X",'ENCUESTA CONDUCTORES'!$BS$7:$BS$459,"CONTENEDOR")+COUNTIFS('ENCUESTA CONDUCTORES'!P$7:P$459,"X",'ENCUESTA CONDUCTORES'!$BS$7:$BS$459,"MEDICAMENTOS")+COUNTIFS('ENCUESTA CONDUCTORES'!P$7:P$459,"X",'ENCUESTA CONDUCTORES'!$BS$7:$BS$459,"AGUA POTABLE")+COUNTIFS('ENCUESTA CONDUCTORES'!P$7:P$459,"X",'ENCUESTA CONDUCTORES'!$BS$7:$BS$459,"MUDANZAS")+COUNTIFS('ENCUESTA CONDUCTORES'!P$7:P$459,"X",'ENCUESTA CONDUCTORES'!$BS$7:$BS$459,"JABON")+COUNTIFS('ENCUESTA CONDUCTORES'!P$7:P$459,"X",'ENCUESTA CONDUCTORES'!$BS$7:$BS$459,"ACEITE")+COUNTIFS('ENCUESTA CONDUCTORES'!P$7:P$459,"X",'ENCUESTA CONDUCTORES'!$BS$7:$BS$459,"POLIETILENO")+COUNTIFS('ENCUESTA CONDUCTORES'!P$7:P$459,"X",'ENCUESTA CONDUCTORES'!$BS$7:$BS$459,"ELECTRODOMÉSTICOS")+COUNTIFS('ENCUESTA CONDUCTORES'!P$7:P$459,"X",'ENCUESTA CONDUCTORES'!$BS$7:$BS$459,"MUEBLES")+COUNTIFS('ENCUESTA CONDUCTORES'!P$7:P$459,"X",'ENCUESTA CONDUCTORES'!$BS$7:$BS$459,"CHATARRA")+COUNTIFS('ENCUESTA CONDUCTORES'!P$7:P$459,"X",'ENCUESTA CONDUCTORES'!$BS$7:$BS$459,"LLANTAS")+COUNTIFS('ENCUESTA CONDUCTORES'!P$7:P$459,"X",'ENCUESTA CONDUCTORES'!$BS$7:$BS$459,"AGUA")+COUNTIFS('ENCUESTA CONDUCTORES'!P$7:P$459,"X",'ENCUESTA CONDUCTORES'!$BS$7:$BS$459,"ANIMALES")+COUNTIFS('ENCUESTA CONDUCTORES'!P$7:P$459,"X",'ENCUESTA CONDUCTORES'!$BS$7:$BS$459,"TV REFRIGERADORES")+COUNTIFS('ENCUESTA CONDUCTORES'!P$7:P$459,"X",'ENCUESTA CONDUCTORES'!$BS$7:$BS$459,"LÍNEA BLANCA")+COUNTIFS('ENCUESTA CONDUCTORES'!P$7:P$459,"X",'ENCUESTA CONDUCTORES'!$BS$7:$BS$459,"IMPORTACIÓN / EXPORTACIÓN")+COUNTIFS('ENCUESTA CONDUCTORES'!P$7:P$459,"X",'ENCUESTA CONDUCTORES'!$BS$7:$BS$459,"PLASTICO")+COUNTIFS('ENCUESTA CONDUCTORES'!P$7:P$459,"X",'ENCUESTA CONDUCTORES'!$BS$7:$BS$459,"ROPA")+COUNTIFS('ENCUESTA CONDUCTORES'!P$7:P$459,"X",'ENCUESTA CONDUCTORES'!$BS$7:$BS$459,"CHATARRA")+COUNTIFS('ENCUESTA CONDUCTORES'!P$7:P$459,"X",'ENCUESTA CONDUCTORES'!$BS$7:$BS$459,"MEDICAMENTO NUTRICIONAL")+COUNTIFS('ENCUESTA CONDUCTORES'!P$7:P$459,"X",'ENCUESTA CONDUCTORES'!$BS$7:$BS$459,"PRODUCTOS DE BELLEZA")+COUNTIFS('ENCUESTA CONDUCTORES'!P$7:P$459,"X",'ENCUESTA CONDUCTORES'!$BS$7:$BS$459,"FORRAJE")+COUNTIFS('ENCUESTA CONDUCTORES'!P$7:P$459,"X",'ENCUESTA CONDUCTORES'!$BS$7:$BS$459,"VALORES")+COUNTIFS('ENCUESTA CONDUCTORES'!P$7:P$459,"X",'ENCUESTA CONDUCTORES'!$BS$7:$BS$459,"PAQUETERIA")+COUNTIFS('ENCUESTA CONDUCTORES'!P$7:P$459,"X",'ENCUESTA CONDUCTORES'!$BS$7:$BS$459,"SECOS")+COUNTIFS('ENCUESTA CONDUCTORES'!P$7:P$459,"X",'ENCUESTA CONDUCTORES'!$BS$7:$BS$459,"PANTALLAS")+COUNTIFS('ENCUESTA CONDUCTORES'!P$7:P$459,"X",'ENCUESTA CONDUCTORES'!$BS$7:$BS$459,"BOTELLAS")+COUNTIFS('ENCUESTA CONDUCTORES'!P$7:P$459,"X",'ENCUESTA CONDUCTORES'!$BS$7:$BS$459,"PRODUCTOS DE HIGIENE PERSONAL")+COUNTIFS('ENCUESTA CONDUCTORES'!P$7:P$459,"X",'ENCUESTA CONDUCTORES'!$BS$7:$BS$459,"ELECTRONICA, LINEA BLANCA")+COUNTIFS('ENCUESTA CONDUCTORES'!P$7:P$459,"X",'ENCUESTA CONDUCTORES'!$BS$7:$BS$459,"CONTENEDORES")</f>
        <v>28</v>
      </c>
      <c r="E52" s="74"/>
      <c r="F52" s="74"/>
      <c r="G52" s="74"/>
      <c r="I52" s="90"/>
      <c r="J52" s="90"/>
      <c r="K52" s="90"/>
      <c r="L52" s="19"/>
      <c r="N52" s="75" t="s">
        <v>1353</v>
      </c>
      <c r="O52" s="127">
        <f t="shared" si="273"/>
        <v>8.0645161290322578E-3</v>
      </c>
      <c r="P52" s="90">
        <f>COUNTIFS('ENCUESTA CONDUCTORES'!H$7:H$459,"X",'ENCUESTA CONDUCTORES'!$AA$7:$AA$459,"X")+COUNTIFS('ENCUESTA CONDUCTORES'!H$7:H$459,"X",'ENCUESTA CONDUCTORES'!$AE$7:$AE$459,"X")</f>
        <v>1</v>
      </c>
      <c r="Q52" s="127"/>
      <c r="R52" s="127"/>
      <c r="S52" s="127"/>
      <c r="T52" s="90"/>
      <c r="U52" s="90"/>
      <c r="V52" s="90"/>
      <c r="X52" s="19"/>
      <c r="AL52" s="11" t="s">
        <v>1301</v>
      </c>
      <c r="AM52" s="74">
        <f t="shared" si="274"/>
        <v>0.28915662650602408</v>
      </c>
      <c r="AN52" s="18">
        <f>COUNTIFS('ENCUESTA CONDUCTORES'!$AL$7:$AL$459,"X",'ENCUESTA CONDUCTORES'!P$7:P$459,"X",'ENCUESTA CONDUCTORES'!$AX$7:$AX$459,"&lt;3.01")-AN51-AN50-AN49-AN48-AN47</f>
        <v>24</v>
      </c>
      <c r="AO52" s="74"/>
      <c r="AP52" s="74"/>
      <c r="AQ52" s="74"/>
      <c r="AS52" s="18"/>
      <c r="AT52" s="18"/>
      <c r="AU52" s="18"/>
      <c r="AV52" s="18"/>
      <c r="CL52" s="17" t="s">
        <v>1425</v>
      </c>
      <c r="CM52" s="74">
        <f t="shared" si="275"/>
        <v>8.7912087912087919E-2</v>
      </c>
      <c r="CN52" s="18">
        <f>COUNTIFS('ENCUESTA CONDUCTORES'!G$7:G$459,"X",'ENCUESTA CONDUCTORES'!$DE$7:$DE$459,"&lt;1998")-CN51-CN50</f>
        <v>16</v>
      </c>
      <c r="CP52" s="74"/>
      <c r="CQ52" s="74"/>
      <c r="CR52" s="18"/>
      <c r="CS52" s="18"/>
      <c r="CU52" s="18"/>
      <c r="CV52" s="18"/>
      <c r="CX52" s="11" t="s">
        <v>1302</v>
      </c>
      <c r="CY52" s="74">
        <f t="shared" si="263"/>
        <v>0.1111111111111111</v>
      </c>
      <c r="CZ52" s="18">
        <f t="shared" si="264"/>
        <v>1</v>
      </c>
      <c r="DA52" s="74"/>
      <c r="DB52" s="74"/>
      <c r="DC52" s="74"/>
      <c r="DD52" s="74"/>
      <c r="DE52" s="74"/>
      <c r="DF52" s="74"/>
      <c r="DG52" s="18"/>
      <c r="DI52" s="18"/>
      <c r="DJ52" s="18"/>
      <c r="DK52" s="18"/>
      <c r="DL52" s="18"/>
      <c r="DM52" s="18"/>
      <c r="DN52" s="18"/>
      <c r="DP52" s="18" t="s">
        <v>468</v>
      </c>
      <c r="DQ52" s="74">
        <f>+DR52/$DR$59</f>
        <v>9.6153846153846159E-2</v>
      </c>
      <c r="DR52" s="18">
        <f>COUNTIFS('ENCUESTA CONDUCTORES'!E$7:E$459,"X",'ENCUESTA CONDUCTORES'!$AI$7:$AI$459,"&lt;250000")</f>
        <v>5</v>
      </c>
      <c r="DS52" s="74"/>
      <c r="DT52" s="74"/>
      <c r="DU52" s="74"/>
      <c r="DW52" s="18"/>
      <c r="DX52" s="18"/>
      <c r="DY52" s="18"/>
      <c r="DZ52" s="18"/>
      <c r="EZ52" s="87" t="s">
        <v>1491</v>
      </c>
      <c r="FA52" s="74">
        <f t="shared" si="262"/>
        <v>3.8461538461538464E-2</v>
      </c>
      <c r="FB52" s="90">
        <f t="shared" si="260"/>
        <v>7</v>
      </c>
    </row>
    <row r="53" spans="1:158" x14ac:dyDescent="0.25">
      <c r="B53" s="75" t="s">
        <v>1333</v>
      </c>
      <c r="C53" s="74">
        <f t="shared" si="259"/>
        <v>1</v>
      </c>
      <c r="D53" s="19">
        <f>SUM(D45:D52)</f>
        <v>122</v>
      </c>
      <c r="E53" s="74"/>
      <c r="F53" s="74"/>
      <c r="G53" s="74"/>
      <c r="I53" s="19"/>
      <c r="J53" s="19"/>
      <c r="K53" s="19"/>
      <c r="L53" s="19"/>
      <c r="N53" s="75" t="s">
        <v>1354</v>
      </c>
      <c r="O53" s="127">
        <f t="shared" si="273"/>
        <v>5.6451612903225805E-2</v>
      </c>
      <c r="P53" s="90">
        <f>COUNTIFS('ENCUESTA CONDUCTORES'!H$7:H$459,"X",'ENCUESTA CONDUCTORES'!$AD$7:$AD$459,"X")+COUNTIFS('ENCUESTA CONDUCTORES'!H$7:H$459,"X",'ENCUESTA CONDUCTORES'!$AF$7:$AF$459,"X")</f>
        <v>7</v>
      </c>
      <c r="Q53" s="127"/>
      <c r="R53" s="127"/>
      <c r="S53" s="127"/>
      <c r="T53" s="90"/>
      <c r="U53" s="90"/>
      <c r="V53" s="90"/>
      <c r="X53" s="19"/>
      <c r="AL53" s="11" t="s">
        <v>1302</v>
      </c>
      <c r="AM53" s="74">
        <f t="shared" si="274"/>
        <v>4.8192771084337352E-2</v>
      </c>
      <c r="AN53" s="18">
        <f>COUNTIFS('ENCUESTA CONDUCTORES'!$AL$7:$AL$459,"X",'ENCUESTA CONDUCTORES'!P$7:P$459,"X",'ENCUESTA CONDUCTORES'!$AX$7:$AX$459,"&lt;4.01")-AN52-AN51-AN50-AN49-AN48-AN47</f>
        <v>4</v>
      </c>
      <c r="AO53" s="74"/>
      <c r="AP53" s="74"/>
      <c r="AQ53" s="74"/>
      <c r="AS53" s="18"/>
      <c r="AT53" s="18"/>
      <c r="AU53" s="18"/>
      <c r="AV53" s="18"/>
      <c r="CL53" s="17" t="s">
        <v>1426</v>
      </c>
      <c r="CM53" s="74">
        <f t="shared" si="275"/>
        <v>0.25274725274725274</v>
      </c>
      <c r="CN53" s="18">
        <f>COUNTIFS('ENCUESTA CONDUCTORES'!G$7:G$459,"X",'ENCUESTA CONDUCTORES'!$DE$7:$DE$459,"&lt;2004")-CN52-CN51-CN50</f>
        <v>46</v>
      </c>
      <c r="CP53" s="74"/>
      <c r="CQ53" s="74"/>
      <c r="CR53" s="18"/>
      <c r="CS53" s="18"/>
      <c r="CU53" s="18"/>
      <c r="CV53" s="18"/>
      <c r="CX53" s="11" t="s">
        <v>1385</v>
      </c>
      <c r="CY53" s="74">
        <f t="shared" si="263"/>
        <v>0</v>
      </c>
      <c r="CZ53" s="18">
        <f t="shared" si="264"/>
        <v>0</v>
      </c>
      <c r="DA53" s="74"/>
      <c r="DB53" s="74"/>
      <c r="DC53" s="74"/>
      <c r="DD53" s="74"/>
      <c r="DE53" s="74"/>
      <c r="DF53" s="74"/>
      <c r="DG53" s="18"/>
      <c r="DI53" s="18"/>
      <c r="DJ53" s="18"/>
      <c r="DK53" s="18"/>
      <c r="DL53" s="18"/>
      <c r="DM53" s="18"/>
      <c r="DN53" s="18"/>
      <c r="DP53" s="18" t="s">
        <v>1458</v>
      </c>
      <c r="DQ53" s="74">
        <f t="shared" ref="DQ53:DQ60" si="276">+DR53/$DR$59</f>
        <v>0.15384615384615385</v>
      </c>
      <c r="DR53" s="18">
        <f>COUNTIFS('ENCUESTA CONDUCTORES'!E$7:E$459,"X",'ENCUESTA CONDUCTORES'!$AI$7:$AI$459,"&lt;500001")-DR52</f>
        <v>8</v>
      </c>
      <c r="DS53" s="74"/>
      <c r="DT53" s="74"/>
      <c r="DU53" s="74"/>
      <c r="DW53" s="18"/>
      <c r="DX53" s="18"/>
      <c r="DY53" s="18"/>
      <c r="DZ53" s="18"/>
      <c r="EZ53" s="87" t="s">
        <v>1492</v>
      </c>
      <c r="FA53" s="74">
        <f t="shared" si="262"/>
        <v>4.3956043956043959E-2</v>
      </c>
      <c r="FB53" s="90">
        <f t="shared" si="260"/>
        <v>8</v>
      </c>
    </row>
    <row r="54" spans="1:158" x14ac:dyDescent="0.25">
      <c r="D54" s="17"/>
      <c r="L54" s="19"/>
      <c r="N54" s="75" t="s">
        <v>1355</v>
      </c>
      <c r="O54" s="127">
        <f t="shared" si="273"/>
        <v>0</v>
      </c>
      <c r="P54" s="90">
        <f>COUNTIFS('ENCUESTA CONDUCTORES'!H$7:H$459,"X",'ENCUESTA CONDUCTORES'!$AG$7:$AG$459,"FULL")</f>
        <v>0</v>
      </c>
      <c r="Q54" s="127"/>
      <c r="R54" s="127"/>
      <c r="S54" s="127"/>
      <c r="T54" s="90"/>
      <c r="U54" s="90"/>
      <c r="V54" s="90"/>
      <c r="X54" s="19"/>
      <c r="AL54" s="11" t="s">
        <v>1385</v>
      </c>
      <c r="AM54" s="74">
        <f t="shared" si="274"/>
        <v>6.0240963855421686E-2</v>
      </c>
      <c r="AN54" s="18">
        <f>COUNTIFS('ENCUESTA CONDUCTORES'!$AL$7:$AL$459,"X",'ENCUESTA CONDUCTORES'!P$7:P$459,"X",'ENCUESTA CONDUCTORES'!$AX$7:$AX$459,"&gt;4")</f>
        <v>5</v>
      </c>
      <c r="AO54" s="74"/>
      <c r="AP54" s="74"/>
      <c r="AQ54" s="74"/>
      <c r="AS54" s="18"/>
      <c r="AT54" s="18"/>
      <c r="AU54" s="18"/>
      <c r="AV54" s="18"/>
      <c r="CL54" s="17" t="s">
        <v>1427</v>
      </c>
      <c r="CM54" s="74">
        <f t="shared" si="275"/>
        <v>0.18681318681318682</v>
      </c>
      <c r="CN54" s="18">
        <f>COUNTIFS('ENCUESTA CONDUCTORES'!G$7:G$459,"X",'ENCUESTA CONDUCTORES'!$DE$7:$DE$459,"&lt;2007")-CN53-CN52-CN51-CN50</f>
        <v>34</v>
      </c>
      <c r="CP54" s="74"/>
      <c r="CQ54" s="74"/>
      <c r="CR54" s="18"/>
      <c r="CS54" s="18"/>
      <c r="CU54" s="18"/>
      <c r="CV54" s="18"/>
      <c r="CX54" s="11" t="s">
        <v>429</v>
      </c>
      <c r="CY54" s="74">
        <f t="shared" si="263"/>
        <v>1</v>
      </c>
      <c r="CZ54" s="18">
        <f t="shared" si="264"/>
        <v>9</v>
      </c>
      <c r="DA54" s="74"/>
      <c r="DB54" s="74"/>
      <c r="DC54" s="74"/>
      <c r="DD54" s="74"/>
      <c r="DE54" s="74"/>
      <c r="DF54" s="74"/>
      <c r="DG54" s="18"/>
      <c r="DI54" s="18"/>
      <c r="DJ54" s="18"/>
      <c r="DK54" s="18"/>
      <c r="DL54" s="18"/>
      <c r="DM54" s="18"/>
      <c r="DN54" s="18"/>
      <c r="DP54" s="18" t="s">
        <v>464</v>
      </c>
      <c r="DQ54" s="74">
        <f t="shared" si="276"/>
        <v>0.46153846153846156</v>
      </c>
      <c r="DR54" s="18">
        <f>COUNTIFS('ENCUESTA CONDUCTORES'!E$7:E$459,"X",'ENCUESTA CONDUCTORES'!$AI$7:$AI$459,"&lt;1000001")-DR53-DR52</f>
        <v>24</v>
      </c>
      <c r="DS54" s="74"/>
      <c r="DT54" s="74"/>
      <c r="DU54" s="74"/>
      <c r="DW54" s="18"/>
      <c r="DX54" s="18"/>
      <c r="DY54" s="18"/>
      <c r="DZ54" s="18"/>
      <c r="EZ54" s="87" t="s">
        <v>429</v>
      </c>
      <c r="FA54" s="74">
        <f t="shared" si="262"/>
        <v>1</v>
      </c>
      <c r="FB54" s="90">
        <f t="shared" si="260"/>
        <v>182</v>
      </c>
    </row>
    <row r="55" spans="1:158" x14ac:dyDescent="0.25">
      <c r="B55" s="17" t="s">
        <v>856</v>
      </c>
      <c r="D55" s="90">
        <f>COUNTIFS('ENCUESTA CONDUCTORES'!P$7:P$459,"X",'ENCUESTA CONDUCTORES'!$BS$7:$BS$459,$B$40)</f>
        <v>0</v>
      </c>
      <c r="I55" s="90"/>
      <c r="J55" s="90"/>
      <c r="K55" s="90"/>
      <c r="L55" s="19"/>
      <c r="N55" s="17" t="s">
        <v>429</v>
      </c>
      <c r="O55" s="127">
        <f t="shared" si="273"/>
        <v>1</v>
      </c>
      <c r="P55" s="19">
        <f>SUM(P48:P54)</f>
        <v>124</v>
      </c>
      <c r="Q55" s="127"/>
      <c r="R55" s="127"/>
      <c r="S55" s="127"/>
      <c r="T55" s="90"/>
      <c r="U55" s="90"/>
      <c r="V55" s="90"/>
      <c r="X55" s="19"/>
      <c r="AL55" s="11" t="s">
        <v>429</v>
      </c>
      <c r="AM55" s="74">
        <f t="shared" si="274"/>
        <v>1</v>
      </c>
      <c r="AN55" s="18">
        <f>SUM(AN47:AN54)</f>
        <v>83</v>
      </c>
      <c r="AO55" s="74"/>
      <c r="AP55" s="74"/>
      <c r="AQ55" s="74"/>
      <c r="AS55" s="18"/>
      <c r="AT55" s="18"/>
      <c r="AU55" s="18"/>
      <c r="AV55" s="18"/>
      <c r="CL55" s="17" t="s">
        <v>1428</v>
      </c>
      <c r="CM55" s="74">
        <f t="shared" si="275"/>
        <v>0.21978021978021978</v>
      </c>
      <c r="CN55" s="18">
        <f>COUNTIFS('ENCUESTA CONDUCTORES'!G$7:G$459,"X",'ENCUESTA CONDUCTORES'!$DE$7:$DE$459,"&lt;2011")-CN54-CN53-CN52-CN51-CN50</f>
        <v>40</v>
      </c>
      <c r="CP55" s="74"/>
      <c r="CQ55" s="74"/>
      <c r="CR55" s="18"/>
      <c r="CS55" s="18"/>
      <c r="CU55" s="18"/>
      <c r="CV55" s="18"/>
      <c r="CX55" s="17" t="s">
        <v>193</v>
      </c>
      <c r="CY55" s="18"/>
      <c r="CZ55" s="18">
        <f t="shared" si="264"/>
        <v>0</v>
      </c>
      <c r="DA55" s="18"/>
      <c r="DB55" s="18"/>
      <c r="DC55" s="18"/>
      <c r="DD55" s="18"/>
      <c r="DE55" s="18"/>
      <c r="DF55" s="18"/>
      <c r="DG55" s="18"/>
      <c r="DI55" s="18"/>
      <c r="DJ55" s="18"/>
      <c r="DK55" s="18"/>
      <c r="DL55" s="18"/>
      <c r="DM55" s="18"/>
      <c r="DN55" s="18"/>
      <c r="DP55" s="18" t="s">
        <v>465</v>
      </c>
      <c r="DQ55" s="74">
        <f t="shared" si="276"/>
        <v>9.6153846153846159E-2</v>
      </c>
      <c r="DR55" s="18">
        <f>COUNTIFS('ENCUESTA CONDUCTORES'!E$7:E$459,"X",'ENCUESTA CONDUCTORES'!$AI$7:$AI$459,"&lt;1500001")-DR54-DR53-DR52</f>
        <v>5</v>
      </c>
      <c r="DS55" s="74"/>
      <c r="DT55" s="74"/>
      <c r="DU55" s="74"/>
      <c r="DW55" s="18"/>
      <c r="DX55" s="18"/>
      <c r="DY55" s="18"/>
      <c r="DZ55" s="18"/>
    </row>
    <row r="56" spans="1:158" x14ac:dyDescent="0.25">
      <c r="L56" s="19"/>
      <c r="Q56" s="127"/>
      <c r="R56" s="127"/>
      <c r="S56" s="127"/>
      <c r="T56" s="19"/>
      <c r="U56" s="19"/>
      <c r="V56" s="19"/>
      <c r="X56" s="19"/>
      <c r="AL56" s="17" t="s">
        <v>193</v>
      </c>
      <c r="AN56" s="18">
        <f>COUNTIFS('ENCUESTA CONDUCTORES'!$AL$7:$AL$459,"X",'ENCUESTA CONDUCTORES'!P$7:P$459,"X",'ENCUESTA CONDUCTORES'!$AX$7:$AX$459,"NO SABE")</f>
        <v>1</v>
      </c>
      <c r="AO56" s="18"/>
      <c r="AP56" s="18"/>
      <c r="AQ56" s="18"/>
      <c r="AS56" s="18"/>
      <c r="AT56" s="18"/>
      <c r="AU56" s="18"/>
      <c r="AV56" s="18"/>
      <c r="CL56" s="17" t="s">
        <v>1429</v>
      </c>
      <c r="CM56" s="74">
        <f t="shared" si="275"/>
        <v>9.8901098901098897E-2</v>
      </c>
      <c r="CN56" s="18">
        <f>COUNTIFS('ENCUESTA CONDUCTORES'!G$7:G$459,"X",'ENCUESTA CONDUCTORES'!$DE$7:$DE$459,"&gt;2010")</f>
        <v>18</v>
      </c>
      <c r="CP56" s="74"/>
      <c r="CQ56" s="74"/>
      <c r="CR56" s="18"/>
      <c r="CS56" s="18"/>
      <c r="CU56" s="18"/>
      <c r="CV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P56" s="18" t="s">
        <v>466</v>
      </c>
      <c r="DQ56" s="74">
        <f t="shared" si="276"/>
        <v>0.11538461538461539</v>
      </c>
      <c r="DR56" s="18">
        <f>COUNTIFS('ENCUESTA CONDUCTORES'!E$7:E$459,"X",'ENCUESTA CONDUCTORES'!$AI$7:$AI$459,"&lt;2000001")-DR55-DR54-DR53-DR52</f>
        <v>6</v>
      </c>
      <c r="DS56" s="74"/>
      <c r="DT56" s="74"/>
      <c r="DU56" s="74"/>
      <c r="DW56" s="18"/>
      <c r="DX56" s="18"/>
      <c r="DY56" s="18"/>
      <c r="DZ56" s="18"/>
      <c r="EZ56" s="21" t="s">
        <v>1496</v>
      </c>
    </row>
    <row r="57" spans="1:158" x14ac:dyDescent="0.25">
      <c r="N57" s="17" t="s">
        <v>1375</v>
      </c>
      <c r="O57" s="187" t="s">
        <v>431</v>
      </c>
      <c r="P57" s="187"/>
      <c r="Q57" s="187"/>
      <c r="R57" s="187"/>
      <c r="S57" s="187"/>
      <c r="T57" s="187" t="s">
        <v>1338</v>
      </c>
      <c r="U57" s="187"/>
      <c r="V57" s="187"/>
      <c r="W57" s="187"/>
      <c r="X57" s="187"/>
      <c r="AN57" s="18">
        <f>+AN56+AN55</f>
        <v>84</v>
      </c>
      <c r="AO57" s="18"/>
      <c r="AP57" s="18"/>
      <c r="AQ57" s="18"/>
      <c r="AS57" s="18"/>
      <c r="AT57" s="18"/>
      <c r="AU57" s="18"/>
      <c r="AV57" s="18"/>
      <c r="CL57" s="17" t="s">
        <v>429</v>
      </c>
      <c r="CM57" s="74">
        <f t="shared" si="275"/>
        <v>1</v>
      </c>
      <c r="CN57" s="18">
        <f t="shared" ref="CN57" si="277">SUM(CN50:CN56)</f>
        <v>182</v>
      </c>
      <c r="CP57" s="74"/>
      <c r="CQ57" s="74"/>
      <c r="CR57" s="18"/>
      <c r="CS57" s="18"/>
      <c r="CU57" s="18"/>
      <c r="CV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P57" s="18" t="s">
        <v>467</v>
      </c>
      <c r="DQ57" s="74">
        <f t="shared" si="276"/>
        <v>3.8461538461538464E-2</v>
      </c>
      <c r="DR57" s="18">
        <f>COUNTIFS('ENCUESTA CONDUCTORES'!E$7:E$459,"X",'ENCUESTA CONDUCTORES'!$AI$7:$AI$459,"&lt;2500001")-DR56-DR55-DR54-DR53-DR52</f>
        <v>2</v>
      </c>
      <c r="DS57" s="74"/>
      <c r="DT57" s="74"/>
      <c r="DU57" s="74"/>
      <c r="DW57" s="18"/>
      <c r="DX57" s="18"/>
      <c r="DY57" s="18"/>
      <c r="DZ57" s="18"/>
      <c r="FB57" s="90" t="str">
        <f>+FI4</f>
        <v>SEIS A TREINTA UNIDADES</v>
      </c>
    </row>
    <row r="58" spans="1:158" x14ac:dyDescent="0.25">
      <c r="A58" s="17" t="s">
        <v>1364</v>
      </c>
      <c r="C58" s="17" t="s">
        <v>431</v>
      </c>
      <c r="D58" s="17" t="s">
        <v>430</v>
      </c>
      <c r="E58" s="17"/>
      <c r="F58" s="17"/>
      <c r="O58" s="18" t="s">
        <v>4</v>
      </c>
      <c r="P58" s="18" t="s">
        <v>5</v>
      </c>
      <c r="Q58" s="18" t="s">
        <v>6</v>
      </c>
      <c r="R58" s="18" t="s">
        <v>7</v>
      </c>
      <c r="S58" s="17"/>
      <c r="T58" s="18" t="s">
        <v>4</v>
      </c>
      <c r="U58" s="18" t="s">
        <v>5</v>
      </c>
      <c r="V58" s="18" t="s">
        <v>6</v>
      </c>
      <c r="W58" s="18" t="s">
        <v>7</v>
      </c>
      <c r="AN58" s="18"/>
      <c r="AO58" s="18"/>
      <c r="AP58" s="18"/>
      <c r="AQ58" s="18"/>
      <c r="AR58" s="18"/>
      <c r="AS58" s="18"/>
      <c r="AT58" s="18"/>
      <c r="AU58" s="18"/>
      <c r="AV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X58" s="57" t="s">
        <v>1445</v>
      </c>
      <c r="DP58" s="18" t="s">
        <v>469</v>
      </c>
      <c r="DQ58" s="74">
        <f t="shared" si="276"/>
        <v>3.8461538461538464E-2</v>
      </c>
      <c r="DR58" s="18">
        <f>COUNTIFS('ENCUESTA CONDUCTORES'!E$7:E$459,"X",'ENCUESTA CONDUCTORES'!$AI$7:$AI$459,"&gt;2500000")</f>
        <v>2</v>
      </c>
      <c r="DS58" s="74"/>
      <c r="DT58" s="74"/>
      <c r="DU58" s="74"/>
      <c r="DW58" s="18"/>
      <c r="DX58" s="18"/>
      <c r="DY58" s="18"/>
      <c r="DZ58" s="18"/>
      <c r="EZ58" s="87" t="s">
        <v>1484</v>
      </c>
      <c r="FA58" s="74">
        <f>+FB58/$FB$67</f>
        <v>0.532258064516129</v>
      </c>
      <c r="FB58" s="90">
        <f t="shared" ref="FB58:FB67" si="278">+FI5</f>
        <v>66</v>
      </c>
    </row>
    <row r="59" spans="1:158" x14ac:dyDescent="0.25">
      <c r="C59" s="18" t="s">
        <v>5</v>
      </c>
      <c r="D59" s="18" t="s">
        <v>5</v>
      </c>
      <c r="H59" s="18"/>
      <c r="J59" s="18"/>
      <c r="K59" s="18"/>
      <c r="N59" s="75" t="s">
        <v>10</v>
      </c>
      <c r="O59" s="127">
        <f>T59/$X$11</f>
        <v>0.13024282560706402</v>
      </c>
      <c r="P59" s="127">
        <f t="shared" ref="P59:P66" si="279">U59/$X$11</f>
        <v>5.9602649006622516E-2</v>
      </c>
      <c r="Q59" s="127">
        <f t="shared" ref="Q59:Q66" si="280">V59/$X$11</f>
        <v>1.5452538631346579E-2</v>
      </c>
      <c r="R59" s="127">
        <f t="shared" ref="R59:R66" si="281">W59/$X$11</f>
        <v>0.33112582781456956</v>
      </c>
      <c r="S59" s="127">
        <f t="shared" ref="S59:S66" si="282">X59/$X$11</f>
        <v>0.53642384105960261</v>
      </c>
      <c r="T59" s="90">
        <f>COUNTIFS('ENCUESTA CONDUCTORES'!P$7:P$459,"X",'ENCUESTA CONDUCTORES'!$U$7:$U$459,"X")</f>
        <v>59</v>
      </c>
      <c r="U59" s="90">
        <f>COUNTIFS('ENCUESTA CONDUCTORES'!Q$7:Q$459,"X",'ENCUESTA CONDUCTORES'!$U$7:$U$459,"X")</f>
        <v>27</v>
      </c>
      <c r="V59" s="90">
        <f>COUNTIFS('ENCUESTA CONDUCTORES'!R$7:R$459,"X",'ENCUESTA CONDUCTORES'!$U$7:$U$459,"X")</f>
        <v>7</v>
      </c>
      <c r="W59" s="90">
        <f>COUNTIFS('ENCUESTA CONDUCTORES'!S$7:S$459,"X",'ENCUESTA CONDUCTORES'!$U$7:$U$459,"X")</f>
        <v>150</v>
      </c>
      <c r="X59" s="19">
        <f>SUM(T59:W59)</f>
        <v>243</v>
      </c>
      <c r="AL59" s="57" t="s">
        <v>1390</v>
      </c>
      <c r="AS59" s="17" t="s">
        <v>1392</v>
      </c>
      <c r="CL59" s="17" t="s">
        <v>1436</v>
      </c>
      <c r="CY59" s="17" t="s">
        <v>1425</v>
      </c>
      <c r="CZ59" s="17" t="s">
        <v>1425</v>
      </c>
      <c r="DP59" s="17" t="s">
        <v>429</v>
      </c>
      <c r="DQ59" s="74">
        <f t="shared" si="276"/>
        <v>1</v>
      </c>
      <c r="DR59" s="18">
        <f>SUM(DR52:DR58)</f>
        <v>52</v>
      </c>
      <c r="DS59" s="74"/>
      <c r="DT59" s="74"/>
      <c r="DU59" s="74"/>
      <c r="DW59" s="18"/>
      <c r="DX59" s="18"/>
      <c r="DY59" s="18"/>
      <c r="DZ59" s="18"/>
      <c r="EZ59" s="87" t="s">
        <v>1485</v>
      </c>
      <c r="FA59" s="74">
        <f t="shared" ref="FA59:FA67" si="283">+FB59/$FB$67</f>
        <v>1.6129032258064516E-2</v>
      </c>
      <c r="FB59" s="90">
        <f t="shared" si="278"/>
        <v>2</v>
      </c>
    </row>
    <row r="60" spans="1:158" x14ac:dyDescent="0.25">
      <c r="B60" s="75" t="s">
        <v>48</v>
      </c>
      <c r="C60" s="74">
        <f t="shared" ref="C60:C68" si="284">+D60/$D$68</f>
        <v>0.20454545454545456</v>
      </c>
      <c r="D60" s="90">
        <f>COUNTIFS('ENCUESTA CONDUCTORES'!Q$7:Q$459,"X",'ENCUESTA CONDUCTORES'!$BJ$7:$BJ$459,"X")</f>
        <v>27</v>
      </c>
      <c r="E60" s="74"/>
      <c r="F60" s="74"/>
      <c r="G60" s="74"/>
      <c r="H60" s="90"/>
      <c r="J60" s="90"/>
      <c r="K60" s="90"/>
      <c r="L60" s="19"/>
      <c r="N60" s="75" t="s">
        <v>1352</v>
      </c>
      <c r="O60" s="127">
        <f t="shared" ref="O60:O66" si="285">T60/$X$11</f>
        <v>4.4150110375275938E-3</v>
      </c>
      <c r="P60" s="127">
        <f t="shared" si="279"/>
        <v>8.8300220750551876E-3</v>
      </c>
      <c r="Q60" s="127">
        <f t="shared" si="280"/>
        <v>6.6225165562913907E-3</v>
      </c>
      <c r="R60" s="127">
        <f t="shared" si="281"/>
        <v>9.0507726269315678E-2</v>
      </c>
      <c r="S60" s="127">
        <f t="shared" si="282"/>
        <v>0.11037527593818984</v>
      </c>
      <c r="T60" s="90">
        <f>COUNTIFS('ENCUESTA CONDUCTORES'!P$7:P$459,"X",'ENCUESTA CONDUCTORES'!$W$7:$W$459,"X")+COUNTIFS('ENCUESTA CONDUCTORES'!P$7:P$459,"X",'ENCUESTA CONDUCTORES'!$AB$7:$AB$459,"X")+COUNTIFS('ENCUESTA CONDUCTORES'!P$7:P$459,"X",'ENCUESTA CONDUCTORES'!$AC$7:$AC$459,"X")</f>
        <v>2</v>
      </c>
      <c r="U60" s="90">
        <f>COUNTIFS('ENCUESTA CONDUCTORES'!Q$7:Q$459,"X",'ENCUESTA CONDUCTORES'!$W$7:$W$459,"X")+COUNTIFS('ENCUESTA CONDUCTORES'!Q$7:Q$459,"X",'ENCUESTA CONDUCTORES'!$AB$7:$AB$459,"X")+COUNTIFS('ENCUESTA CONDUCTORES'!Q$7:Q$459,"X",'ENCUESTA CONDUCTORES'!$AC$7:$AC$459,"X")</f>
        <v>4</v>
      </c>
      <c r="V60" s="90">
        <f>COUNTIFS('ENCUESTA CONDUCTORES'!R$7:R$459,"X",'ENCUESTA CONDUCTORES'!$W$7:$W$459,"X")+COUNTIFS('ENCUESTA CONDUCTORES'!R$7:R$459,"X",'ENCUESTA CONDUCTORES'!$AB$7:$AB$459,"X")+COUNTIFS('ENCUESTA CONDUCTORES'!R$7:R$459,"X",'ENCUESTA CONDUCTORES'!$AC$7:$AC$459,"X")</f>
        <v>3</v>
      </c>
      <c r="W60" s="90">
        <f>COUNTIFS('ENCUESTA CONDUCTORES'!S$7:S$459,"X",'ENCUESTA CONDUCTORES'!$W$7:$W$459,"X")+COUNTIFS('ENCUESTA CONDUCTORES'!S$7:S$459,"X",'ENCUESTA CONDUCTORES'!$AB$7:$AB$459,"X")+COUNTIFS('ENCUESTA CONDUCTORES'!S$7:S$459,"X",'ENCUESTA CONDUCTORES'!$AC$7:$AC$459,"X")</f>
        <v>41</v>
      </c>
      <c r="X60" s="19">
        <f t="shared" ref="X60:X65" si="286">SUM(T60:W60)</f>
        <v>50</v>
      </c>
      <c r="AM60" s="18" t="s">
        <v>5</v>
      </c>
      <c r="AN60" s="18" t="s">
        <v>5</v>
      </c>
      <c r="AO60" s="18"/>
      <c r="AP60" s="18"/>
      <c r="AQ60" s="18"/>
      <c r="AR60" s="18"/>
      <c r="AT60" s="18"/>
      <c r="AU60" s="18"/>
      <c r="AV60" s="18"/>
      <c r="CM60" s="17" t="s">
        <v>1337</v>
      </c>
      <c r="CN60" s="17" t="s">
        <v>1337</v>
      </c>
      <c r="CQ60" s="18"/>
      <c r="CV60" s="18"/>
      <c r="CX60" s="11" t="s">
        <v>1296</v>
      </c>
      <c r="CY60" s="74">
        <f>+CZ60/$CZ$68</f>
        <v>2.8571428571428571E-2</v>
      </c>
      <c r="CZ60" s="18">
        <f>+DI5</f>
        <v>1</v>
      </c>
      <c r="DB60" s="74"/>
      <c r="DC60" s="74"/>
      <c r="DD60" s="74"/>
      <c r="DE60" s="74"/>
      <c r="DF60" s="74"/>
      <c r="DG60" s="18"/>
      <c r="DH60" s="18"/>
      <c r="DJ60" s="18"/>
      <c r="DK60" s="18"/>
      <c r="DL60" s="18"/>
      <c r="DM60" s="18"/>
      <c r="DN60" s="18"/>
      <c r="DP60" s="17" t="s">
        <v>1459</v>
      </c>
      <c r="DQ60" s="74">
        <f t="shared" si="276"/>
        <v>0.26923076923076922</v>
      </c>
      <c r="DR60" s="18">
        <f>COUNTIFS('ENCUESTA CONDUCTORES'!E$7:E$459,"X",'ENCUESTA CONDUCTORES'!$AI$7:$AI$459,"NO SABE")+COUNTIFS('ENCUESTA CONDUCTORES'!E$7:E$459,"X",'ENCUESTA CONDUCTORES'!$AI$7:$AI$459,"NO CONTESTA")+COUNTIFS('ENCUESTA CONDUCTORES'!E$7:E$459,"X",'ENCUESTA CONDUCTORES'!$AI$7:$AI$459,"DAÑADO")</f>
        <v>14</v>
      </c>
      <c r="DS60" s="18"/>
      <c r="DT60" s="18"/>
      <c r="DU60" s="18"/>
      <c r="DW60" s="18"/>
      <c r="DX60" s="18"/>
      <c r="DY60" s="18"/>
      <c r="DZ60" s="18"/>
      <c r="EZ60" s="87" t="s">
        <v>1486</v>
      </c>
      <c r="FA60" s="74">
        <f t="shared" si="283"/>
        <v>8.8709677419354843E-2</v>
      </c>
      <c r="FB60" s="90">
        <f t="shared" si="278"/>
        <v>11</v>
      </c>
    </row>
    <row r="61" spans="1:158" x14ac:dyDescent="0.25">
      <c r="B61" s="75" t="s">
        <v>49</v>
      </c>
      <c r="C61" s="74">
        <f t="shared" si="284"/>
        <v>0.14393939393939395</v>
      </c>
      <c r="D61" s="90">
        <f>COUNTIFS('ENCUESTA CONDUCTORES'!Q$7:Q$459,"X",'ENCUESTA CONDUCTORES'!$BK$7:$BK$459,"X")</f>
        <v>19</v>
      </c>
      <c r="E61" s="74"/>
      <c r="F61" s="74"/>
      <c r="G61" s="74"/>
      <c r="H61" s="90"/>
      <c r="J61" s="90"/>
      <c r="K61" s="90"/>
      <c r="L61" s="19"/>
      <c r="N61" s="75" t="s">
        <v>13</v>
      </c>
      <c r="O61" s="127">
        <f t="shared" si="285"/>
        <v>3.0905077262693158E-2</v>
      </c>
      <c r="P61" s="127">
        <f t="shared" si="279"/>
        <v>8.8300220750551876E-3</v>
      </c>
      <c r="Q61" s="127">
        <f t="shared" si="280"/>
        <v>4.4150110375275938E-3</v>
      </c>
      <c r="R61" s="127">
        <f t="shared" si="281"/>
        <v>5.7395143487858721E-2</v>
      </c>
      <c r="S61" s="127">
        <f t="shared" si="282"/>
        <v>0.10154525386313466</v>
      </c>
      <c r="T61" s="90">
        <f>COUNTIFS('ENCUESTA CONDUCTORES'!P$7:P$459,"X",'ENCUESTA CONDUCTORES'!$V$7:$V$459,"X")+COUNTIFS('ENCUESTA CONDUCTORES'!P$7:P$459,"X",'ENCUESTA CONDUCTORES'!$X$7:$X$459,"X")</f>
        <v>14</v>
      </c>
      <c r="U61" s="90">
        <f>COUNTIFS('ENCUESTA CONDUCTORES'!Q$7:Q$459,"X",'ENCUESTA CONDUCTORES'!$V$7:$V$459,"X")+COUNTIFS('ENCUESTA CONDUCTORES'!Q$7:Q$459,"X",'ENCUESTA CONDUCTORES'!$X$7:$X$459,"X")</f>
        <v>4</v>
      </c>
      <c r="V61" s="90">
        <f>COUNTIFS('ENCUESTA CONDUCTORES'!R$7:R$459,"X",'ENCUESTA CONDUCTORES'!$V$7:$V$459,"X")+COUNTIFS('ENCUESTA CONDUCTORES'!R$7:R$459,"X",'ENCUESTA CONDUCTORES'!$X$7:$X$459,"X")</f>
        <v>2</v>
      </c>
      <c r="W61" s="90">
        <f>COUNTIFS('ENCUESTA CONDUCTORES'!S$7:S$459,"X",'ENCUESTA CONDUCTORES'!$V$7:$V$459,"X")+COUNTIFS('ENCUESTA CONDUCTORES'!S$7:S$459,"X",'ENCUESTA CONDUCTORES'!$X$7:$X$459,"X")</f>
        <v>26</v>
      </c>
      <c r="X61" s="19">
        <f t="shared" si="286"/>
        <v>46</v>
      </c>
      <c r="AL61" s="11" t="s">
        <v>1296</v>
      </c>
      <c r="AM61" s="74">
        <f>+AN61/$AN$69</f>
        <v>6.097560975609756E-2</v>
      </c>
      <c r="AN61" s="18">
        <f>COUNTIFS('ENCUESTA CONDUCTORES'!$AL$7:$AL$459,"X",'ENCUESTA CONDUCTORES'!Q$7:Q$459,"X",'ENCUESTA CONDUCTORES'!$AX$7:$AX$459,"&lt;1.6")</f>
        <v>5</v>
      </c>
      <c r="AO61" s="74"/>
      <c r="AP61" s="74"/>
      <c r="AQ61" s="74"/>
      <c r="AR61" s="18"/>
      <c r="AT61" s="18"/>
      <c r="AU61" s="18"/>
      <c r="AV61" s="18"/>
      <c r="CL61" s="17" t="s">
        <v>1423</v>
      </c>
      <c r="CM61" s="74">
        <f>+CN61/$CN$68</f>
        <v>7.2580645161290328E-2</v>
      </c>
      <c r="CN61" s="18">
        <f>COUNTIFS('ENCUESTA CONDUCTORES'!H$7:H$459,"X",'ENCUESTA CONDUCTORES'!$DE$7:$DE$459,"&lt;1991")</f>
        <v>9</v>
      </c>
      <c r="CO61" s="74"/>
      <c r="CQ61" s="74"/>
      <c r="CR61" s="18"/>
      <c r="CS61" s="18"/>
      <c r="CT61" s="18"/>
      <c r="CV61" s="18"/>
      <c r="CX61" s="11" t="s">
        <v>1297</v>
      </c>
      <c r="CY61" s="74">
        <f t="shared" ref="CY61:CY68" si="287">+CZ61/$CZ$68</f>
        <v>0.17142857142857143</v>
      </c>
      <c r="CZ61" s="18">
        <f t="shared" ref="CZ61:CZ69" si="288">+DI6</f>
        <v>6</v>
      </c>
      <c r="DB61" s="74"/>
      <c r="DC61" s="74"/>
      <c r="DD61" s="74"/>
      <c r="DE61" s="74"/>
      <c r="DF61" s="74"/>
      <c r="DG61" s="18"/>
      <c r="DH61" s="18"/>
      <c r="DJ61" s="18"/>
      <c r="DK61" s="18"/>
      <c r="DL61" s="18"/>
      <c r="DM61" s="18"/>
      <c r="DN61" s="18"/>
      <c r="DQ61" s="18"/>
      <c r="DR61" s="18">
        <f>+DR60+DR59</f>
        <v>66</v>
      </c>
      <c r="DS61" s="18"/>
      <c r="DT61" s="18"/>
      <c r="DU61" s="18"/>
      <c r="DV61" s="18"/>
      <c r="DW61" s="18"/>
      <c r="DX61" s="18"/>
      <c r="DY61" s="18"/>
      <c r="DZ61" s="19"/>
      <c r="EZ61" s="87" t="s">
        <v>1487</v>
      </c>
      <c r="FA61" s="74">
        <f t="shared" si="283"/>
        <v>0</v>
      </c>
      <c r="FB61" s="90">
        <f t="shared" si="278"/>
        <v>0</v>
      </c>
    </row>
    <row r="62" spans="1:158" x14ac:dyDescent="0.25">
      <c r="B62" s="75" t="s">
        <v>1356</v>
      </c>
      <c r="C62" s="74">
        <f t="shared" si="284"/>
        <v>9.8484848484848481E-2</v>
      </c>
      <c r="D62" s="90">
        <f>COUNTIFS('ENCUESTA CONDUCTORES'!Q$7:Q$459,"X",'ENCUESTA CONDUCTORES'!$BL$7:$BL$459,"X")+COUNTIFS('ENCUESTA CONDUCTORES'!Q$7:Q$459,"X",'ENCUESTA CONDUCTORES'!$BR$7:$BR$459,"X")</f>
        <v>13</v>
      </c>
      <c r="E62" s="74"/>
      <c r="F62" s="74"/>
      <c r="G62" s="74"/>
      <c r="H62" s="90"/>
      <c r="J62" s="90"/>
      <c r="K62" s="90"/>
      <c r="L62" s="19"/>
      <c r="N62" s="75" t="s">
        <v>14</v>
      </c>
      <c r="O62" s="127">
        <f t="shared" si="285"/>
        <v>2.6490066225165563E-2</v>
      </c>
      <c r="P62" s="127">
        <f t="shared" si="279"/>
        <v>2.2075055187637971E-2</v>
      </c>
      <c r="Q62" s="127">
        <f t="shared" si="280"/>
        <v>0</v>
      </c>
      <c r="R62" s="127">
        <f t="shared" si="281"/>
        <v>4.194260485651214E-2</v>
      </c>
      <c r="S62" s="127">
        <f t="shared" si="282"/>
        <v>9.0507726269315678E-2</v>
      </c>
      <c r="T62" s="90">
        <f>COUNTIFS('ENCUESTA CONDUCTORES'!P$7:P$459,"X",'ENCUESTA CONDUCTORES'!$Y$7:$Y$459,"X")</f>
        <v>12</v>
      </c>
      <c r="U62" s="90">
        <f>COUNTIFS('ENCUESTA CONDUCTORES'!Q$7:Q$459,"X",'ENCUESTA CONDUCTORES'!$Y$7:$Y$459,"X")</f>
        <v>10</v>
      </c>
      <c r="V62" s="90">
        <f>COUNTIFS('ENCUESTA CONDUCTORES'!R$7:R$459,"X",'ENCUESTA CONDUCTORES'!$Y$7:$Y$459,"X")</f>
        <v>0</v>
      </c>
      <c r="W62" s="90">
        <f>COUNTIFS('ENCUESTA CONDUCTORES'!S$7:S$459,"X",'ENCUESTA CONDUCTORES'!$Y$7:$Y$459,"X")</f>
        <v>19</v>
      </c>
      <c r="X62" s="19">
        <f t="shared" si="286"/>
        <v>41</v>
      </c>
      <c r="AL62" s="11" t="s">
        <v>1297</v>
      </c>
      <c r="AM62" s="74">
        <f t="shared" ref="AM62:AM69" si="289">+AN62/$AN$69</f>
        <v>0.12195121951219512</v>
      </c>
      <c r="AN62" s="18">
        <f>COUNTIFS('ENCUESTA CONDUCTORES'!$AL$7:$AL$459,"X",'ENCUESTA CONDUCTORES'!Q$7:Q$459,"X",'ENCUESTA CONDUCTORES'!$AX$7:$AX$459,"&lt;1.91")-AN61</f>
        <v>10</v>
      </c>
      <c r="AO62" s="74"/>
      <c r="AP62" s="74"/>
      <c r="AQ62" s="74"/>
      <c r="AR62" s="18"/>
      <c r="AT62" s="18"/>
      <c r="AU62" s="18"/>
      <c r="AV62" s="18"/>
      <c r="CL62" s="17" t="s">
        <v>1424</v>
      </c>
      <c r="CM62" s="74">
        <f t="shared" ref="CM62:CM68" si="290">+CN62/$CN$68</f>
        <v>4.8387096774193547E-2</v>
      </c>
      <c r="CN62" s="18">
        <f>COUNTIFS('ENCUESTA CONDUCTORES'!H$7:H$459,"X",'ENCUESTA CONDUCTORES'!$DE$7:$DE$459,"&lt;1994")-CN61</f>
        <v>6</v>
      </c>
      <c r="CO62" s="74"/>
      <c r="CQ62" s="74"/>
      <c r="CR62" s="18"/>
      <c r="CS62" s="18"/>
      <c r="CT62" s="18"/>
      <c r="CV62" s="18"/>
      <c r="CX62" s="11" t="s">
        <v>1298</v>
      </c>
      <c r="CY62" s="74">
        <f t="shared" si="287"/>
        <v>8.5714285714285715E-2</v>
      </c>
      <c r="CZ62" s="18">
        <f t="shared" si="288"/>
        <v>3</v>
      </c>
      <c r="DB62" s="74"/>
      <c r="DC62" s="74"/>
      <c r="DD62" s="74"/>
      <c r="DE62" s="74"/>
      <c r="DF62" s="74"/>
      <c r="DG62" s="18"/>
      <c r="DH62" s="18"/>
      <c r="DJ62" s="18"/>
      <c r="DK62" s="18"/>
      <c r="DL62" s="18"/>
      <c r="DM62" s="18"/>
      <c r="DN62" s="18"/>
      <c r="DP62" s="17" t="s">
        <v>1499</v>
      </c>
      <c r="EZ62" s="87" t="s">
        <v>1488</v>
      </c>
      <c r="FA62" s="74">
        <f t="shared" si="283"/>
        <v>7.2580645161290328E-2</v>
      </c>
      <c r="FB62" s="90">
        <f t="shared" si="278"/>
        <v>9</v>
      </c>
    </row>
    <row r="63" spans="1:158" x14ac:dyDescent="0.25">
      <c r="B63" s="75" t="s">
        <v>51</v>
      </c>
      <c r="C63" s="74">
        <f t="shared" si="284"/>
        <v>3.787878787878788E-2</v>
      </c>
      <c r="D63" s="90">
        <f>COUNTIFS('ENCUESTA CONDUCTORES'!Q$7:Q$459,"X",'ENCUESTA CONDUCTORES'!$BM$7:$BM$459,"X")</f>
        <v>5</v>
      </c>
      <c r="E63" s="74"/>
      <c r="F63" s="74"/>
      <c r="G63" s="74"/>
      <c r="H63" s="90"/>
      <c r="J63" s="90"/>
      <c r="K63" s="90"/>
      <c r="L63" s="19"/>
      <c r="N63" s="75" t="s">
        <v>1353</v>
      </c>
      <c r="O63" s="127">
        <f t="shared" si="285"/>
        <v>6.6225165562913907E-3</v>
      </c>
      <c r="P63" s="127">
        <f t="shared" si="279"/>
        <v>2.2075055187637969E-3</v>
      </c>
      <c r="Q63" s="127">
        <f t="shared" si="280"/>
        <v>0</v>
      </c>
      <c r="R63" s="127">
        <f t="shared" si="281"/>
        <v>2.2075055187637969E-3</v>
      </c>
      <c r="S63" s="127">
        <f t="shared" si="282"/>
        <v>1.1037527593818985E-2</v>
      </c>
      <c r="T63" s="90">
        <f>COUNTIFS('ENCUESTA CONDUCTORES'!P$7:P$459,"X",'ENCUESTA CONDUCTORES'!$AA$7:$AA$459,"X")+COUNTIFS('ENCUESTA CONDUCTORES'!P$7:P$459,"X",'ENCUESTA CONDUCTORES'!$AE$7:$AE$459,"X")</f>
        <v>3</v>
      </c>
      <c r="U63" s="90">
        <f>COUNTIFS('ENCUESTA CONDUCTORES'!Q$7:Q$459,"X",'ENCUESTA CONDUCTORES'!$AA$7:$AA$459,"X")+COUNTIFS('ENCUESTA CONDUCTORES'!Q$7:Q$459,"X",'ENCUESTA CONDUCTORES'!$AE$7:$AE$459,"X")</f>
        <v>1</v>
      </c>
      <c r="V63" s="90">
        <f>COUNTIFS('ENCUESTA CONDUCTORES'!R$7:R$459,"X",'ENCUESTA CONDUCTORES'!$AA$7:$AA$459,"X")+COUNTIFS('ENCUESTA CONDUCTORES'!R$7:R$459,"X",'ENCUESTA CONDUCTORES'!$AE$7:$AE$459,"X")</f>
        <v>0</v>
      </c>
      <c r="W63" s="90">
        <f>COUNTIFS('ENCUESTA CONDUCTORES'!S$7:S$459,"X",'ENCUESTA CONDUCTORES'!$AA$7:$AA$459,"X")+COUNTIFS('ENCUESTA CONDUCTORES'!S$7:S$459,"X",'ENCUESTA CONDUCTORES'!$AE$7:$AE$459,"X")</f>
        <v>1</v>
      </c>
      <c r="X63" s="19">
        <f t="shared" si="286"/>
        <v>5</v>
      </c>
      <c r="AL63" s="11" t="s">
        <v>1298</v>
      </c>
      <c r="AM63" s="74">
        <f t="shared" si="289"/>
        <v>6.097560975609756E-2</v>
      </c>
      <c r="AN63" s="18">
        <f>COUNTIFS('ENCUESTA CONDUCTORES'!$AL$7:$AL$459,"X",'ENCUESTA CONDUCTORES'!Q$7:Q$459,"X",'ENCUESTA CONDUCTORES'!$AX$7:$AX$459,"&lt;2.01")-AN62-AN61</f>
        <v>5</v>
      </c>
      <c r="AO63" s="74"/>
      <c r="AP63" s="74"/>
      <c r="AQ63" s="74"/>
      <c r="AR63" s="18"/>
      <c r="AT63" s="18"/>
      <c r="AU63" s="18"/>
      <c r="AV63" s="18"/>
      <c r="CL63" s="17" t="s">
        <v>1425</v>
      </c>
      <c r="CM63" s="74">
        <f t="shared" si="290"/>
        <v>4.8387096774193547E-2</v>
      </c>
      <c r="CN63" s="18">
        <f>COUNTIFS('ENCUESTA CONDUCTORES'!H$7:H$459,"X",'ENCUESTA CONDUCTORES'!$DE$7:$DE$459,"&lt;1998")-CN62-CN61</f>
        <v>6</v>
      </c>
      <c r="CO63" s="74"/>
      <c r="CQ63" s="74"/>
      <c r="CR63" s="18"/>
      <c r="CS63" s="18"/>
      <c r="CT63" s="18"/>
      <c r="CV63" s="18"/>
      <c r="CX63" s="11" t="s">
        <v>1299</v>
      </c>
      <c r="CY63" s="74">
        <f t="shared" si="287"/>
        <v>5.7142857142857141E-2</v>
      </c>
      <c r="CZ63" s="18">
        <f t="shared" si="288"/>
        <v>2</v>
      </c>
      <c r="DB63" s="74"/>
      <c r="DC63" s="74"/>
      <c r="DD63" s="74"/>
      <c r="DE63" s="74"/>
      <c r="DF63" s="74"/>
      <c r="DG63" s="18"/>
      <c r="DH63" s="18"/>
      <c r="DJ63" s="18"/>
      <c r="DK63" s="18"/>
      <c r="DL63" s="18"/>
      <c r="DM63" s="18"/>
      <c r="DN63" s="18"/>
      <c r="DQ63" s="17" t="s">
        <v>426</v>
      </c>
      <c r="DR63" s="17" t="s">
        <v>426</v>
      </c>
      <c r="EZ63" s="87" t="s">
        <v>1489</v>
      </c>
      <c r="FA63" s="74">
        <f t="shared" si="283"/>
        <v>8.0645161290322578E-3</v>
      </c>
      <c r="FB63" s="90">
        <f t="shared" si="278"/>
        <v>1</v>
      </c>
    </row>
    <row r="64" spans="1:158" ht="25.5" x14ac:dyDescent="0.25">
      <c r="B64" s="75" t="s">
        <v>1357</v>
      </c>
      <c r="C64" s="74">
        <f t="shared" si="284"/>
        <v>9.8484848484848481E-2</v>
      </c>
      <c r="D64" s="90">
        <f>COUNTIFS('ENCUESTA CONDUCTORES'!Q$7:Q$459,"X",'ENCUESTA CONDUCTORES'!$BN$7:$BN$459,"X")+COUNTIFS('ENCUESTA CONDUCTORES'!Q$7:Q$459,"X",'ENCUESTA CONDUCTORES'!$BP$7:$BP$459,"X")</f>
        <v>13</v>
      </c>
      <c r="E64" s="74"/>
      <c r="F64" s="74"/>
      <c r="G64" s="74"/>
      <c r="H64" s="90"/>
      <c r="J64" s="90"/>
      <c r="K64" s="90"/>
      <c r="L64" s="19"/>
      <c r="N64" s="75" t="s">
        <v>1354</v>
      </c>
      <c r="O64" s="127">
        <f t="shared" si="285"/>
        <v>3.5320088300220751E-2</v>
      </c>
      <c r="P64" s="127">
        <f t="shared" si="279"/>
        <v>8.3885209713024281E-2</v>
      </c>
      <c r="Q64" s="127">
        <f t="shared" si="280"/>
        <v>2.2075055187637969E-3</v>
      </c>
      <c r="R64" s="127">
        <f t="shared" si="281"/>
        <v>2.6490066225165563E-2</v>
      </c>
      <c r="S64" s="127">
        <f t="shared" si="282"/>
        <v>0.1479028697571744</v>
      </c>
      <c r="T64" s="90">
        <f>COUNTIFS('ENCUESTA CONDUCTORES'!P$7:P$459,"X",'ENCUESTA CONDUCTORES'!$AD$7:$AD$459,"X")+COUNTIFS('ENCUESTA CONDUCTORES'!P$7:P$459,"X",'ENCUESTA CONDUCTORES'!$AF$7:$AF$459,"X")</f>
        <v>16</v>
      </c>
      <c r="U64" s="90">
        <f>COUNTIFS('ENCUESTA CONDUCTORES'!Q$7:Q$459,"X",'ENCUESTA CONDUCTORES'!$AD$7:$AD$459,"X")+COUNTIFS('ENCUESTA CONDUCTORES'!Q$7:Q$459,"X",'ENCUESTA CONDUCTORES'!$AF$7:$AF$459,"X")</f>
        <v>38</v>
      </c>
      <c r="V64" s="90">
        <f>COUNTIFS('ENCUESTA CONDUCTORES'!R$7:R$459,"X",'ENCUESTA CONDUCTORES'!$AD$7:$AD$459,"X")+COUNTIFS('ENCUESTA CONDUCTORES'!R$7:R$459,"X",'ENCUESTA CONDUCTORES'!$AF$7:$AF$459,"X")</f>
        <v>1</v>
      </c>
      <c r="W64" s="90">
        <f>COUNTIFS('ENCUESTA CONDUCTORES'!S$7:S$459,"X",'ENCUESTA CONDUCTORES'!$AD$7:$AD$459,"X")+COUNTIFS('ENCUESTA CONDUCTORES'!S$7:S$459,"X",'ENCUESTA CONDUCTORES'!$AF$7:$AF$459,"X")</f>
        <v>12</v>
      </c>
      <c r="X64" s="19">
        <f t="shared" si="286"/>
        <v>67</v>
      </c>
      <c r="AL64" s="11" t="s">
        <v>1299</v>
      </c>
      <c r="AM64" s="74">
        <f t="shared" si="289"/>
        <v>8.5365853658536592E-2</v>
      </c>
      <c r="AN64" s="18">
        <f>COUNTIFS('ENCUESTA CONDUCTORES'!$AL$7:$AL$459,"X",'ENCUESTA CONDUCTORES'!Q$7:Q$459,"X",'ENCUESTA CONDUCTORES'!$AX$7:$AX$459,"&lt;2.21")-AN63-AN62-AN61</f>
        <v>7</v>
      </c>
      <c r="AO64" s="74"/>
      <c r="AP64" s="74"/>
      <c r="AQ64" s="74"/>
      <c r="AR64" s="18"/>
      <c r="AT64" s="18"/>
      <c r="AU64" s="18"/>
      <c r="AV64" s="18"/>
      <c r="CL64" s="17" t="s">
        <v>1426</v>
      </c>
      <c r="CM64" s="74">
        <f t="shared" si="290"/>
        <v>0.15322580645161291</v>
      </c>
      <c r="CN64" s="18">
        <f>COUNTIFS('ENCUESTA CONDUCTORES'!H$7:H$459,"X",'ENCUESTA CONDUCTORES'!$DE$7:$DE$459,"&lt;2004")-CN63-CN62-CN61</f>
        <v>19</v>
      </c>
      <c r="CO64" s="74"/>
      <c r="CQ64" s="74"/>
      <c r="CR64" s="18"/>
      <c r="CS64" s="18"/>
      <c r="CT64" s="18"/>
      <c r="CV64" s="18"/>
      <c r="CX64" s="11" t="s">
        <v>1300</v>
      </c>
      <c r="CY64" s="74">
        <f t="shared" si="287"/>
        <v>0.14285714285714285</v>
      </c>
      <c r="CZ64" s="18">
        <f t="shared" si="288"/>
        <v>5</v>
      </c>
      <c r="DB64" s="74"/>
      <c r="DC64" s="74"/>
      <c r="DD64" s="74"/>
      <c r="DE64" s="74"/>
      <c r="DF64" s="74"/>
      <c r="DG64" s="18"/>
      <c r="DH64" s="18"/>
      <c r="DJ64" s="18"/>
      <c r="DK64" s="18"/>
      <c r="DL64" s="18"/>
      <c r="DM64" s="18"/>
      <c r="DN64" s="18"/>
      <c r="DP64" s="18" t="s">
        <v>468</v>
      </c>
      <c r="DQ64" s="74">
        <f>+DR64/$DR$71</f>
        <v>0.13235294117647059</v>
      </c>
      <c r="DR64" s="18">
        <f>COUNTIFS('ENCUESTA CONDUCTORES'!F$7:F$459,"X",'ENCUESTA CONDUCTORES'!$AI$7:$AI$459,"&lt;250000")</f>
        <v>9</v>
      </c>
      <c r="DS64" s="74"/>
      <c r="DT64" s="74"/>
      <c r="DU64" s="74"/>
      <c r="DV64" s="18"/>
      <c r="DX64" s="18"/>
      <c r="DY64" s="18"/>
      <c r="DZ64" s="18"/>
      <c r="EZ64" s="87" t="s">
        <v>1490</v>
      </c>
      <c r="FA64" s="74">
        <f t="shared" si="283"/>
        <v>0.15322580645161291</v>
      </c>
      <c r="FB64" s="90">
        <f t="shared" si="278"/>
        <v>19</v>
      </c>
    </row>
    <row r="65" spans="1:158" x14ac:dyDescent="0.25">
      <c r="B65" s="75" t="s">
        <v>131</v>
      </c>
      <c r="C65" s="74">
        <f t="shared" si="284"/>
        <v>0.25757575757575757</v>
      </c>
      <c r="D65" s="90">
        <f>COUNTIFS('ENCUESTA CONDUCTORES'!Q$7:Q$459,"X",'ENCUESTA CONDUCTORES'!$BO$7:$BO$459,"X")</f>
        <v>34</v>
      </c>
      <c r="E65" s="74"/>
      <c r="F65" s="74"/>
      <c r="G65" s="74"/>
      <c r="H65" s="90"/>
      <c r="J65" s="90"/>
      <c r="K65" s="90"/>
      <c r="L65" s="19"/>
      <c r="N65" s="75" t="s">
        <v>1355</v>
      </c>
      <c r="O65" s="127">
        <f t="shared" si="285"/>
        <v>0</v>
      </c>
      <c r="P65" s="127">
        <f t="shared" si="279"/>
        <v>0</v>
      </c>
      <c r="Q65" s="127">
        <f t="shared" si="280"/>
        <v>0</v>
      </c>
      <c r="R65" s="127">
        <f t="shared" si="281"/>
        <v>2.2075055187637969E-3</v>
      </c>
      <c r="S65" s="127">
        <f t="shared" si="282"/>
        <v>2.2075055187637969E-3</v>
      </c>
      <c r="T65" s="90">
        <f>COUNTIFS('ENCUESTA CONDUCTORES'!P$7:P$459,"X",'ENCUESTA CONDUCTORES'!$AG$7:$AG$459,"FULL")</f>
        <v>0</v>
      </c>
      <c r="U65" s="90">
        <f>COUNTIFS('ENCUESTA CONDUCTORES'!Q$7:Q$459,"X",'ENCUESTA CONDUCTORES'!$AG$7:$AG$459,"FULL")</f>
        <v>0</v>
      </c>
      <c r="V65" s="90">
        <f>COUNTIFS('ENCUESTA CONDUCTORES'!R$7:R$459,"X",'ENCUESTA CONDUCTORES'!$AG$7:$AG$459,"FULL")</f>
        <v>0</v>
      </c>
      <c r="W65" s="90">
        <f>COUNTIFS('ENCUESTA CONDUCTORES'!S$7:S$459,"X",'ENCUESTA CONDUCTORES'!$AG$7:$AG$459,"FULL")</f>
        <v>1</v>
      </c>
      <c r="X65" s="19">
        <f t="shared" si="286"/>
        <v>1</v>
      </c>
      <c r="AL65" s="11" t="s">
        <v>1300</v>
      </c>
      <c r="AM65" s="74">
        <f t="shared" si="289"/>
        <v>8.5365853658536592E-2</v>
      </c>
      <c r="AN65" s="18">
        <f>COUNTIFS('ENCUESTA CONDUCTORES'!$AL$7:$AL$459,"X",'ENCUESTA CONDUCTORES'!Q$7:Q$459,"X",'ENCUESTA CONDUCTORES'!$AX$7:$AX$459,"&lt;2.51")-AN64-AN63-AN62-AN61</f>
        <v>7</v>
      </c>
      <c r="AO65" s="74"/>
      <c r="AP65" s="74"/>
      <c r="AQ65" s="74"/>
      <c r="AR65" s="18"/>
      <c r="AT65" s="18"/>
      <c r="AU65" s="18"/>
      <c r="AV65" s="18"/>
      <c r="CL65" s="17" t="s">
        <v>1427</v>
      </c>
      <c r="CM65" s="74">
        <f t="shared" si="290"/>
        <v>0.17741935483870969</v>
      </c>
      <c r="CN65" s="18">
        <f>COUNTIFS('ENCUESTA CONDUCTORES'!H$7:H$459,"X",'ENCUESTA CONDUCTORES'!$DE$7:$DE$459,"&lt;2007")-CN64-CN63-CN62-CN61</f>
        <v>22</v>
      </c>
      <c r="CO65" s="74"/>
      <c r="CQ65" s="74"/>
      <c r="CR65" s="18"/>
      <c r="CS65" s="18"/>
      <c r="CT65" s="18"/>
      <c r="CV65" s="18"/>
      <c r="CX65" s="11" t="s">
        <v>1301</v>
      </c>
      <c r="CY65" s="74">
        <f t="shared" si="287"/>
        <v>0.37142857142857144</v>
      </c>
      <c r="CZ65" s="18">
        <f t="shared" si="288"/>
        <v>13</v>
      </c>
      <c r="DB65" s="74"/>
      <c r="DC65" s="74"/>
      <c r="DD65" s="74"/>
      <c r="DE65" s="74"/>
      <c r="DF65" s="74"/>
      <c r="DG65" s="18"/>
      <c r="DH65" s="18"/>
      <c r="DJ65" s="18"/>
      <c r="DK65" s="18"/>
      <c r="DL65" s="18"/>
      <c r="DM65" s="18"/>
      <c r="DN65" s="18"/>
      <c r="DP65" s="18" t="s">
        <v>1458</v>
      </c>
      <c r="DQ65" s="74">
        <f t="shared" ref="DQ65:DQ71" si="291">+DR65/$DR$71</f>
        <v>0.11764705882352941</v>
      </c>
      <c r="DR65" s="18">
        <f>COUNTIFS('ENCUESTA CONDUCTORES'!F$7:F$459,"X",'ENCUESTA CONDUCTORES'!$AI$7:$AI$459,"&lt;500001")-DR64</f>
        <v>8</v>
      </c>
      <c r="DS65" s="74"/>
      <c r="DT65" s="74"/>
      <c r="DU65" s="74"/>
      <c r="DV65" s="18"/>
      <c r="DX65" s="18"/>
      <c r="DY65" s="18"/>
      <c r="DZ65" s="18"/>
      <c r="EZ65" s="87" t="s">
        <v>1491</v>
      </c>
      <c r="FA65" s="74">
        <f t="shared" si="283"/>
        <v>4.8387096774193547E-2</v>
      </c>
      <c r="FB65" s="90">
        <f t="shared" si="278"/>
        <v>6</v>
      </c>
    </row>
    <row r="66" spans="1:158" x14ac:dyDescent="0.25">
      <c r="B66" s="75" t="s">
        <v>55</v>
      </c>
      <c r="C66" s="74">
        <f t="shared" si="284"/>
        <v>1.5151515151515152E-2</v>
      </c>
      <c r="D66" s="90">
        <f>COUNTIFS('ENCUESTA CONDUCTORES'!Q$7:Q$459,"X",'ENCUESTA CONDUCTORES'!$BQ$7:$BQ$459,"X")</f>
        <v>2</v>
      </c>
      <c r="E66" s="74"/>
      <c r="F66" s="74"/>
      <c r="G66" s="74"/>
      <c r="H66" s="90"/>
      <c r="J66" s="90"/>
      <c r="K66" s="90"/>
      <c r="L66" s="19"/>
      <c r="N66" s="17" t="s">
        <v>429</v>
      </c>
      <c r="O66" s="127">
        <f t="shared" si="285"/>
        <v>0.23399558498896247</v>
      </c>
      <c r="P66" s="127">
        <f t="shared" si="279"/>
        <v>0.18543046357615894</v>
      </c>
      <c r="Q66" s="127">
        <f t="shared" si="280"/>
        <v>2.8697571743929361E-2</v>
      </c>
      <c r="R66" s="127">
        <f t="shared" si="281"/>
        <v>0.55187637969094927</v>
      </c>
      <c r="S66" s="127">
        <f t="shared" si="282"/>
        <v>1</v>
      </c>
      <c r="T66" s="19">
        <f>SUM(T59:T65)</f>
        <v>106</v>
      </c>
      <c r="U66" s="19">
        <f t="shared" ref="U66:X66" si="292">SUM(U59:U65)</f>
        <v>84</v>
      </c>
      <c r="V66" s="19">
        <f t="shared" si="292"/>
        <v>13</v>
      </c>
      <c r="W66" s="19">
        <f t="shared" si="292"/>
        <v>250</v>
      </c>
      <c r="X66" s="19">
        <f t="shared" si="292"/>
        <v>453</v>
      </c>
      <c r="AL66" s="11" t="s">
        <v>1301</v>
      </c>
      <c r="AM66" s="74">
        <f t="shared" si="289"/>
        <v>0.25609756097560976</v>
      </c>
      <c r="AN66" s="18">
        <f>COUNTIFS('ENCUESTA CONDUCTORES'!$AL$7:$AL$459,"X",'ENCUESTA CONDUCTORES'!Q$7:Q$459,"X",'ENCUESTA CONDUCTORES'!$AX$7:$AX$459,"&lt;3.01")-AN65-AN64-AN63-AN62-AN61</f>
        <v>21</v>
      </c>
      <c r="AO66" s="74"/>
      <c r="AP66" s="74"/>
      <c r="AQ66" s="74"/>
      <c r="AR66" s="18"/>
      <c r="AT66" s="18"/>
      <c r="AU66" s="18"/>
      <c r="AV66" s="18"/>
      <c r="CL66" s="17" t="s">
        <v>1428</v>
      </c>
      <c r="CM66" s="74">
        <f t="shared" si="290"/>
        <v>0.37096774193548387</v>
      </c>
      <c r="CN66" s="18">
        <f>COUNTIFS('ENCUESTA CONDUCTORES'!H$7:H$459,"X",'ENCUESTA CONDUCTORES'!$DE$7:$DE$459,"&lt;2011")-CN65-CN64-CN63-CN62-CN61</f>
        <v>46</v>
      </c>
      <c r="CO66" s="74"/>
      <c r="CQ66" s="74"/>
      <c r="CR66" s="18"/>
      <c r="CS66" s="18"/>
      <c r="CT66" s="18"/>
      <c r="CV66" s="18"/>
      <c r="CX66" s="11" t="s">
        <v>1302</v>
      </c>
      <c r="CY66" s="74">
        <f t="shared" si="287"/>
        <v>0.11428571428571428</v>
      </c>
      <c r="CZ66" s="18">
        <f t="shared" si="288"/>
        <v>4</v>
      </c>
      <c r="DB66" s="74"/>
      <c r="DC66" s="74"/>
      <c r="DD66" s="74"/>
      <c r="DE66" s="74"/>
      <c r="DF66" s="74"/>
      <c r="DG66" s="18"/>
      <c r="DH66" s="18"/>
      <c r="DJ66" s="18"/>
      <c r="DK66" s="18"/>
      <c r="DL66" s="18"/>
      <c r="DM66" s="18"/>
      <c r="DN66" s="18"/>
      <c r="DP66" s="18" t="s">
        <v>464</v>
      </c>
      <c r="DQ66" s="74">
        <f t="shared" si="291"/>
        <v>0.52941176470588236</v>
      </c>
      <c r="DR66" s="18">
        <f>COUNTIFS('ENCUESTA CONDUCTORES'!F$7:F$459,"X",'ENCUESTA CONDUCTORES'!$AI$7:$AI$459,"&lt;1000001")-DR65-DR64</f>
        <v>36</v>
      </c>
      <c r="DS66" s="74"/>
      <c r="DT66" s="74"/>
      <c r="DU66" s="74"/>
      <c r="DV66" s="18"/>
      <c r="DX66" s="18"/>
      <c r="DY66" s="18"/>
      <c r="DZ66" s="18"/>
      <c r="EZ66" s="87" t="s">
        <v>1492</v>
      </c>
      <c r="FA66" s="74">
        <f t="shared" si="283"/>
        <v>8.0645161290322578E-2</v>
      </c>
      <c r="FB66" s="90">
        <f t="shared" si="278"/>
        <v>10</v>
      </c>
    </row>
    <row r="67" spans="1:158" x14ac:dyDescent="0.25">
      <c r="B67" s="75" t="s">
        <v>1358</v>
      </c>
      <c r="C67" s="74">
        <f t="shared" si="284"/>
        <v>0.14393939393939395</v>
      </c>
      <c r="D67" s="90">
        <f>COUNTIFS('ENCUESTA CONDUCTORES'!Q$7:Q$459,"X",'ENCUESTA CONDUCTORES'!$BS$7:$BS$459,"CARRITOS DE GOLF")+COUNTIFS('ENCUESTA CONDUCTORES'!Q$7:Q$459,"X",'ENCUESTA CONDUCTORES'!$BS$7:$BS$459,"MERCANCIA SECA")+COUNTIFS('ENCUESTA CONDUCTORES'!Q$7:Q$459,"X",'ENCUESTA CONDUCTORES'!$BS$7:$BS$459,"PAPELERIA")+COUNTIFS('ENCUESTA CONDUCTORES'!Q$7:Q$459,"X",'ENCUESTA CONDUCTORES'!$BS$7:$BS$459,"GENERAL")+COUNTIFS('ENCUESTA CONDUCTORES'!Q$7:Q$459,"X",'ENCUESTA CONDUCTORES'!$BS$7:$BS$459,"MAQUINARIA")+COUNTIFS('ENCUESTA CONDUCTORES'!Q$7:Q$459,"X",'ENCUESTA CONDUCTORES'!$BS$7:$BS$459,"CONTENEDOR")+COUNTIFS('ENCUESTA CONDUCTORES'!Q$7:Q$459,"X",'ENCUESTA CONDUCTORES'!$BS$7:$BS$459,"MEDICAMENTOS")+COUNTIFS('ENCUESTA CONDUCTORES'!Q$7:Q$459,"X",'ENCUESTA CONDUCTORES'!$BS$7:$BS$459,"AGUA POTABLE")+COUNTIFS('ENCUESTA CONDUCTORES'!Q$7:Q$459,"X",'ENCUESTA CONDUCTORES'!$BS$7:$BS$459,"MUDANZAS")+COUNTIFS('ENCUESTA CONDUCTORES'!Q$7:Q$459,"X",'ENCUESTA CONDUCTORES'!$BS$7:$BS$459,"JABON")+COUNTIFS('ENCUESTA CONDUCTORES'!Q$7:Q$459,"X",'ENCUESTA CONDUCTORES'!$BS$7:$BS$459,"ACEITE")+COUNTIFS('ENCUESTA CONDUCTORES'!Q$7:Q$459,"X",'ENCUESTA CONDUCTORES'!$BS$7:$BS$459,"POLIETILENO")+COUNTIFS('ENCUESTA CONDUCTORES'!Q$7:Q$459,"X",'ENCUESTA CONDUCTORES'!$BS$7:$BS$459,"ELECTRODOMÉSTICOS")+COUNTIFS('ENCUESTA CONDUCTORES'!Q$7:Q$459,"X",'ENCUESTA CONDUCTORES'!$BS$7:$BS$459,"MUEBLES")+COUNTIFS('ENCUESTA CONDUCTORES'!Q$7:Q$459,"X",'ENCUESTA CONDUCTORES'!$BS$7:$BS$459,"CHATARRA")+COUNTIFS('ENCUESTA CONDUCTORES'!Q$7:Q$459,"X",'ENCUESTA CONDUCTORES'!$BS$7:$BS$459,"LLANTAS")+COUNTIFS('ENCUESTA CONDUCTORES'!Q$7:Q$459,"X",'ENCUESTA CONDUCTORES'!$BS$7:$BS$459,"AGUA")+COUNTIFS('ENCUESTA CONDUCTORES'!Q$7:Q$459,"X",'ENCUESTA CONDUCTORES'!$BS$7:$BS$459,"ANIMALES")+COUNTIFS('ENCUESTA CONDUCTORES'!Q$7:Q$459,"X",'ENCUESTA CONDUCTORES'!$BS$7:$BS$459,"TV REFRIGERADORES")+COUNTIFS('ENCUESTA CONDUCTORES'!Q$7:Q$459,"X",'ENCUESTA CONDUCTORES'!$BS$7:$BS$459,"LÍNEA BLANCA")+COUNTIFS('ENCUESTA CONDUCTORES'!Q$7:Q$459,"X",'ENCUESTA CONDUCTORES'!$BS$7:$BS$459,"IMPORTACIÓN / EXPORTACIÓN")+COUNTIFS('ENCUESTA CONDUCTORES'!Q$7:Q$459,"X",'ENCUESTA CONDUCTORES'!$BS$7:$BS$459,"PLASTICO")+COUNTIFS('ENCUESTA CONDUCTORES'!Q$7:Q$459,"X",'ENCUESTA CONDUCTORES'!$BS$7:$BS$459,"ROPA")+COUNTIFS('ENCUESTA CONDUCTORES'!Q$7:Q$459,"X",'ENCUESTA CONDUCTORES'!$BS$7:$BS$459,"CHATARRA")+COUNTIFS('ENCUESTA CONDUCTORES'!Q$7:Q$459,"X",'ENCUESTA CONDUCTORES'!$BS$7:$BS$459,"MEDICAMENTO NUTRICIONAL")+COUNTIFS('ENCUESTA CONDUCTORES'!Q$7:Q$459,"X",'ENCUESTA CONDUCTORES'!$BS$7:$BS$459,"PRODUCTOS DE BELLEZA")+COUNTIFS('ENCUESTA CONDUCTORES'!Q$7:Q$459,"X",'ENCUESTA CONDUCTORES'!$BS$7:$BS$459,"FORRAJE")+COUNTIFS('ENCUESTA CONDUCTORES'!Q$7:Q$459,"X",'ENCUESTA CONDUCTORES'!$BS$7:$BS$459,"VALORES")+COUNTIFS('ENCUESTA CONDUCTORES'!Q$7:Q$459,"X",'ENCUESTA CONDUCTORES'!$BS$7:$BS$459,"PAQUETERIA")+COUNTIFS('ENCUESTA CONDUCTORES'!Q$7:Q$459,"X",'ENCUESTA CONDUCTORES'!$BS$7:$BS$459,"SECOS")+COUNTIFS('ENCUESTA CONDUCTORES'!Q$7:Q$459,"X",'ENCUESTA CONDUCTORES'!$BS$7:$BS$459,"PANTALLAS")+COUNTIFS('ENCUESTA CONDUCTORES'!Q$7:Q$459,"X",'ENCUESTA CONDUCTORES'!$BS$7:$BS$459,"BOTELLAS")+COUNTIFS('ENCUESTA CONDUCTORES'!Q$7:Q$459,"X",'ENCUESTA CONDUCTORES'!$BS$7:$BS$459,"PRODUCTOS DE HIGIENE PERSONAL")+COUNTIFS('ENCUESTA CONDUCTORES'!Q$7:Q$459,"X",'ENCUESTA CONDUCTORES'!$BS$7:$BS$459,"ELECTRONICA, LINEA BLANCA")+COUNTIFS('ENCUESTA CONDUCTORES'!Q$7:Q$459,"X",'ENCUESTA CONDUCTORES'!$BS$7:$BS$459,"CONTENEDORES")</f>
        <v>19</v>
      </c>
      <c r="E67" s="74"/>
      <c r="F67" s="74"/>
      <c r="G67" s="74"/>
      <c r="H67" s="90"/>
      <c r="J67" s="90"/>
      <c r="K67" s="90"/>
      <c r="L67" s="19"/>
      <c r="X67" s="19">
        <f>SUM(T66:W66)</f>
        <v>453</v>
      </c>
      <c r="AL67" s="11" t="s">
        <v>1302</v>
      </c>
      <c r="AM67" s="74">
        <f t="shared" si="289"/>
        <v>0.32926829268292684</v>
      </c>
      <c r="AN67" s="18">
        <f>COUNTIFS('ENCUESTA CONDUCTORES'!$AL$7:$AL$459,"X",'ENCUESTA CONDUCTORES'!Q$7:Q$459,"X",'ENCUESTA CONDUCTORES'!$AX$7:$AX$459,"&lt;4.01")-AN66-AN65-AN64-AN63-AN62-AN61</f>
        <v>27</v>
      </c>
      <c r="AO67" s="74"/>
      <c r="AP67" s="74"/>
      <c r="AQ67" s="74"/>
      <c r="AR67" s="18"/>
      <c r="AT67" s="18"/>
      <c r="AU67" s="18"/>
      <c r="AV67" s="18"/>
      <c r="CL67" s="17" t="s">
        <v>1429</v>
      </c>
      <c r="CM67" s="74">
        <f t="shared" si="290"/>
        <v>0.12903225806451613</v>
      </c>
      <c r="CN67" s="18">
        <f>COUNTIFS('ENCUESTA CONDUCTORES'!H$7:H$459,"X",'ENCUESTA CONDUCTORES'!$DE$7:$DE$459,"&gt;2010")</f>
        <v>16</v>
      </c>
      <c r="CO67" s="74"/>
      <c r="CQ67" s="74"/>
      <c r="CR67" s="18"/>
      <c r="CS67" s="18"/>
      <c r="CT67" s="18"/>
      <c r="CV67" s="18"/>
      <c r="CX67" s="11" t="s">
        <v>1385</v>
      </c>
      <c r="CY67" s="74">
        <f t="shared" si="287"/>
        <v>2.8571428571428571E-2</v>
      </c>
      <c r="CZ67" s="18">
        <f t="shared" si="288"/>
        <v>1</v>
      </c>
      <c r="DB67" s="74"/>
      <c r="DC67" s="74"/>
      <c r="DD67" s="74"/>
      <c r="DE67" s="74"/>
      <c r="DF67" s="74"/>
      <c r="DG67" s="18"/>
      <c r="DH67" s="18"/>
      <c r="DJ67" s="18"/>
      <c r="DK67" s="18"/>
      <c r="DL67" s="18"/>
      <c r="DM67" s="18"/>
      <c r="DN67" s="18"/>
      <c r="DP67" s="18" t="s">
        <v>465</v>
      </c>
      <c r="DQ67" s="74">
        <f t="shared" si="291"/>
        <v>8.8235294117647065E-2</v>
      </c>
      <c r="DR67" s="18">
        <f>COUNTIFS('ENCUESTA CONDUCTORES'!F$7:F$459,"X",'ENCUESTA CONDUCTORES'!$AI$7:$AI$459,"&lt;1500001")-DR66-DR65-DR64</f>
        <v>6</v>
      </c>
      <c r="DS67" s="74"/>
      <c r="DT67" s="74"/>
      <c r="DU67" s="74"/>
      <c r="DV67" s="18"/>
      <c r="DX67" s="18"/>
      <c r="DY67" s="18"/>
      <c r="DZ67" s="18"/>
      <c r="EZ67" s="87" t="s">
        <v>429</v>
      </c>
      <c r="FA67" s="74">
        <f t="shared" si="283"/>
        <v>1</v>
      </c>
      <c r="FB67" s="90">
        <f t="shared" si="278"/>
        <v>124</v>
      </c>
    </row>
    <row r="68" spans="1:158" x14ac:dyDescent="0.25">
      <c r="B68" s="75" t="s">
        <v>1333</v>
      </c>
      <c r="C68" s="74">
        <f t="shared" si="284"/>
        <v>1</v>
      </c>
      <c r="D68" s="19">
        <f t="shared" ref="D68" si="293">SUM(D60:D67)</f>
        <v>132</v>
      </c>
      <c r="E68" s="74"/>
      <c r="F68" s="74"/>
      <c r="G68" s="74"/>
      <c r="H68" s="19"/>
      <c r="J68" s="19"/>
      <c r="K68" s="19"/>
      <c r="L68" s="19"/>
      <c r="N68" s="17" t="s">
        <v>1376</v>
      </c>
      <c r="O68" s="17" t="s">
        <v>431</v>
      </c>
      <c r="P68" s="17" t="s">
        <v>1338</v>
      </c>
      <c r="S68" s="17"/>
      <c r="AL68" s="11" t="s">
        <v>1385</v>
      </c>
      <c r="AM68" s="74">
        <f t="shared" si="289"/>
        <v>0</v>
      </c>
      <c r="AN68" s="18">
        <f>COUNTIFS('ENCUESTA CONDUCTORES'!$AL$7:$AL$459,"X",'ENCUESTA CONDUCTORES'!Q$7:Q$459,"X",'ENCUESTA CONDUCTORES'!$AX$7:$AX$459,"&gt;4")</f>
        <v>0</v>
      </c>
      <c r="AO68" s="74"/>
      <c r="AP68" s="74"/>
      <c r="AQ68" s="74"/>
      <c r="AR68" s="18"/>
      <c r="AT68" s="18"/>
      <c r="AU68" s="18"/>
      <c r="AV68" s="18"/>
      <c r="CL68" s="17" t="s">
        <v>429</v>
      </c>
      <c r="CM68" s="74">
        <f t="shared" si="290"/>
        <v>1</v>
      </c>
      <c r="CN68" s="18">
        <f t="shared" ref="CN68" si="294">SUM(CN61:CN67)</f>
        <v>124</v>
      </c>
      <c r="CO68" s="74"/>
      <c r="CQ68" s="74"/>
      <c r="CR68" s="18"/>
      <c r="CS68" s="18"/>
      <c r="CT68" s="18"/>
      <c r="CV68" s="18"/>
      <c r="CX68" s="11" t="s">
        <v>429</v>
      </c>
      <c r="CY68" s="74">
        <f t="shared" si="287"/>
        <v>1</v>
      </c>
      <c r="CZ68" s="18">
        <f t="shared" si="288"/>
        <v>35</v>
      </c>
      <c r="DB68" s="74"/>
      <c r="DC68" s="74"/>
      <c r="DD68" s="74"/>
      <c r="DE68" s="74"/>
      <c r="DF68" s="74"/>
      <c r="DG68" s="18"/>
      <c r="DH68" s="18"/>
      <c r="DJ68" s="18"/>
      <c r="DK68" s="18"/>
      <c r="DL68" s="18"/>
      <c r="DM68" s="18"/>
      <c r="DN68" s="18"/>
      <c r="DP68" s="18" t="s">
        <v>466</v>
      </c>
      <c r="DQ68" s="74">
        <f t="shared" si="291"/>
        <v>5.8823529411764705E-2</v>
      </c>
      <c r="DR68" s="18">
        <f>COUNTIFS('ENCUESTA CONDUCTORES'!F$7:F$459,"X",'ENCUESTA CONDUCTORES'!$AI$7:$AI$459,"&lt;2000001")-DR67-DR66-DR65-DR64</f>
        <v>4</v>
      </c>
      <c r="DS68" s="74"/>
      <c r="DT68" s="74"/>
      <c r="DU68" s="74"/>
      <c r="DV68" s="18"/>
      <c r="DX68" s="18"/>
      <c r="DY68" s="18"/>
      <c r="DZ68" s="18"/>
    </row>
    <row r="69" spans="1:158" x14ac:dyDescent="0.25">
      <c r="D69" s="17"/>
      <c r="L69" s="19"/>
      <c r="O69" s="18" t="s">
        <v>4</v>
      </c>
      <c r="P69" s="18" t="s">
        <v>4</v>
      </c>
      <c r="Q69" s="18"/>
      <c r="R69" s="18"/>
      <c r="S69" s="17"/>
      <c r="U69" s="18"/>
      <c r="V69" s="18"/>
      <c r="W69" s="18"/>
      <c r="AL69" s="11" t="s">
        <v>429</v>
      </c>
      <c r="AM69" s="74">
        <f t="shared" si="289"/>
        <v>1</v>
      </c>
      <c r="AN69" s="18">
        <f t="shared" ref="AN69" si="295">SUM(AN61:AN68)</f>
        <v>82</v>
      </c>
      <c r="AO69" s="74"/>
      <c r="AP69" s="74"/>
      <c r="AQ69" s="74"/>
      <c r="AR69" s="18"/>
      <c r="AT69" s="18"/>
      <c r="AU69" s="18"/>
      <c r="AV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X69" s="17" t="s">
        <v>193</v>
      </c>
      <c r="CY69" s="18"/>
      <c r="CZ69" s="18">
        <f t="shared" si="288"/>
        <v>0</v>
      </c>
      <c r="DA69" s="18"/>
      <c r="DB69" s="18"/>
      <c r="DC69" s="18"/>
      <c r="DD69" s="18"/>
      <c r="DE69" s="18"/>
      <c r="DF69" s="18"/>
      <c r="DG69" s="18"/>
      <c r="DH69" s="18"/>
      <c r="DJ69" s="18"/>
      <c r="DK69" s="18"/>
      <c r="DL69" s="18"/>
      <c r="DM69" s="18"/>
      <c r="DN69" s="18"/>
      <c r="DP69" s="18" t="s">
        <v>467</v>
      </c>
      <c r="DQ69" s="74">
        <f t="shared" si="291"/>
        <v>7.3529411764705885E-2</v>
      </c>
      <c r="DR69" s="18">
        <f>COUNTIFS('ENCUESTA CONDUCTORES'!F$7:F$459,"X",'ENCUESTA CONDUCTORES'!$AI$7:$AI$459,"&lt;2500001")-DR68-DR67-DR66-DR65-DR64</f>
        <v>5</v>
      </c>
      <c r="DS69" s="74"/>
      <c r="DT69" s="74"/>
      <c r="DU69" s="74"/>
      <c r="DV69" s="18"/>
      <c r="DX69" s="18"/>
      <c r="DY69" s="18"/>
      <c r="DZ69" s="18"/>
    </row>
    <row r="70" spans="1:158" x14ac:dyDescent="0.25">
      <c r="B70" s="17" t="s">
        <v>856</v>
      </c>
      <c r="D70" s="90">
        <f>COUNTIFS('ENCUESTA CONDUCTORES'!Q$7:Q$459,"X",'ENCUESTA CONDUCTORES'!$BS$7:$BS$459,$B$40)</f>
        <v>1</v>
      </c>
      <c r="H70" s="90"/>
      <c r="J70" s="90"/>
      <c r="K70" s="90"/>
      <c r="L70" s="19"/>
      <c r="N70" s="75" t="s">
        <v>10</v>
      </c>
      <c r="O70" s="127">
        <f>+P70/$P$77</f>
        <v>0.55660377358490565</v>
      </c>
      <c r="P70" s="90">
        <f>COUNTIFS('ENCUESTA CONDUCTORES'!P$7:P$459,"X",'ENCUESTA CONDUCTORES'!$U$7:$U$459,"X")</f>
        <v>59</v>
      </c>
      <c r="Q70" s="127"/>
      <c r="R70" s="127"/>
      <c r="S70" s="127"/>
      <c r="U70" s="90"/>
      <c r="V70" s="90"/>
      <c r="W70" s="90"/>
      <c r="X70" s="19"/>
      <c r="AL70" s="17" t="s">
        <v>193</v>
      </c>
      <c r="AN70" s="18">
        <f>COUNTIFS('ENCUESTA CONDUCTORES'!$AL$7:$AL$459,"X",'ENCUESTA CONDUCTORES'!Q$7:Q$459,"X",'ENCUESTA CONDUCTORES'!$AX$7:$AX$459,"NO SABE")</f>
        <v>0</v>
      </c>
      <c r="AO70" s="18"/>
      <c r="AP70" s="18"/>
      <c r="AQ70" s="18"/>
      <c r="AR70" s="18"/>
      <c r="AT70" s="18"/>
      <c r="AU70" s="18"/>
      <c r="AV70" s="18"/>
      <c r="CL70" s="17" t="s">
        <v>1437</v>
      </c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P70" s="18" t="s">
        <v>469</v>
      </c>
      <c r="DQ70" s="74">
        <f t="shared" si="291"/>
        <v>0</v>
      </c>
      <c r="DR70" s="18">
        <f>COUNTIFS('ENCUESTA CONDUCTORES'!F$7:F$459,"X",'ENCUESTA CONDUCTORES'!$AI$7:$AI$459,"&gt;2500000")</f>
        <v>0</v>
      </c>
      <c r="DS70" s="74"/>
      <c r="DT70" s="74"/>
      <c r="DU70" s="74"/>
      <c r="DV70" s="18"/>
      <c r="DX70" s="18"/>
      <c r="DY70" s="18"/>
      <c r="DZ70" s="18"/>
    </row>
    <row r="71" spans="1:158" x14ac:dyDescent="0.25">
      <c r="L71" s="19"/>
      <c r="N71" s="75" t="s">
        <v>1352</v>
      </c>
      <c r="O71" s="127">
        <f t="shared" ref="O71:O77" si="296">+P71/$P$77</f>
        <v>1.8867924528301886E-2</v>
      </c>
      <c r="P71" s="90">
        <f>COUNTIFS('ENCUESTA CONDUCTORES'!P$7:P$459,"X",'ENCUESTA CONDUCTORES'!$W$7:$W$459,"X")+COUNTIFS('ENCUESTA CONDUCTORES'!P$7:P$459,"X",'ENCUESTA CONDUCTORES'!$AB$7:$AB$459,"X")+COUNTIFS('ENCUESTA CONDUCTORES'!P$7:P$459,"X",'ENCUESTA CONDUCTORES'!$AC$7:$AC$459,"X")</f>
        <v>2</v>
      </c>
      <c r="Q71" s="127"/>
      <c r="R71" s="127"/>
      <c r="S71" s="127"/>
      <c r="U71" s="90"/>
      <c r="V71" s="90"/>
      <c r="W71" s="90"/>
      <c r="X71" s="19"/>
      <c r="AN71" s="18"/>
      <c r="AO71" s="18"/>
      <c r="AP71" s="18"/>
      <c r="AQ71" s="18"/>
      <c r="AR71" s="18"/>
      <c r="AS71" s="18"/>
      <c r="AT71" s="18"/>
      <c r="AU71" s="18"/>
      <c r="AV71" s="18"/>
      <c r="CM71" s="18" t="s">
        <v>4</v>
      </c>
      <c r="CN71" s="18" t="s">
        <v>4</v>
      </c>
      <c r="CO71" s="18"/>
      <c r="CP71" s="18"/>
      <c r="CQ71" s="18"/>
      <c r="CS71" s="18"/>
      <c r="CT71" s="18"/>
      <c r="CU71" s="18"/>
      <c r="CV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P71" s="17" t="s">
        <v>429</v>
      </c>
      <c r="DQ71" s="74">
        <f t="shared" si="291"/>
        <v>1</v>
      </c>
      <c r="DR71" s="18">
        <f t="shared" ref="DR71" si="297">SUM(DR64:DR70)</f>
        <v>68</v>
      </c>
      <c r="DS71" s="74"/>
      <c r="DT71" s="74"/>
      <c r="DU71" s="74"/>
      <c r="DV71" s="18"/>
      <c r="DX71" s="18"/>
      <c r="DY71" s="18"/>
      <c r="DZ71" s="18"/>
    </row>
    <row r="72" spans="1:158" x14ac:dyDescent="0.25">
      <c r="N72" s="75" t="s">
        <v>13</v>
      </c>
      <c r="O72" s="127">
        <f t="shared" si="296"/>
        <v>0.13207547169811321</v>
      </c>
      <c r="P72" s="90">
        <f>COUNTIFS('ENCUESTA CONDUCTORES'!P$7:P$459,"X",'ENCUESTA CONDUCTORES'!$V$7:$V$459,"X")+COUNTIFS('ENCUESTA CONDUCTORES'!P$7:P$459,"X",'ENCUESTA CONDUCTORES'!$X$7:$X$459,"X")</f>
        <v>14</v>
      </c>
      <c r="Q72" s="127"/>
      <c r="R72" s="127"/>
      <c r="S72" s="127"/>
      <c r="U72" s="90"/>
      <c r="V72" s="90"/>
      <c r="W72" s="90"/>
      <c r="X72" s="19"/>
      <c r="AN72" s="18"/>
      <c r="AO72" s="18"/>
      <c r="AP72" s="18"/>
      <c r="AQ72" s="18"/>
      <c r="AR72" s="18"/>
      <c r="AS72" s="18"/>
      <c r="AT72" s="18"/>
      <c r="AU72" s="18"/>
      <c r="AV72" s="18"/>
      <c r="CL72" s="17" t="s">
        <v>1423</v>
      </c>
      <c r="CM72" s="74">
        <f>+CN72/$CN$79</f>
        <v>0.15094339622641509</v>
      </c>
      <c r="CN72" s="18">
        <f>COUNTIFS('ENCUESTA CONDUCTORES'!P$7:P$459,"X",'ENCUESTA CONDUCTORES'!$DE$7:$DE$459,"&lt;1991")</f>
        <v>16</v>
      </c>
      <c r="CO72" s="74"/>
      <c r="CP72" s="74"/>
      <c r="CQ72" s="74"/>
      <c r="CS72" s="18"/>
      <c r="CT72" s="18"/>
      <c r="CU72" s="18"/>
      <c r="CV72" s="18"/>
      <c r="CX72" s="57" t="s">
        <v>1446</v>
      </c>
      <c r="DP72" s="17" t="s">
        <v>1459</v>
      </c>
      <c r="DQ72" s="74">
        <f>+DR72/$DR$71</f>
        <v>0.19117647058823528</v>
      </c>
      <c r="DR72" s="18">
        <f>COUNTIFS('ENCUESTA CONDUCTORES'!F$7:F$459,"X",'ENCUESTA CONDUCTORES'!$AI$7:$AI$459,"NO SABE")+COUNTIFS('ENCUESTA CONDUCTORES'!F$7:F$459,"X",'ENCUESTA CONDUCTORES'!$AI$7:$AI$459,"NO CONTESTA")+COUNTIFS('ENCUESTA CONDUCTORES'!F$7:F$459,"X",'ENCUESTA CONDUCTORES'!$AI$7:$AI$459,"DAÑADO")</f>
        <v>13</v>
      </c>
      <c r="DS72" s="18"/>
      <c r="DT72" s="18"/>
      <c r="DU72" s="18"/>
      <c r="DV72" s="18"/>
      <c r="DX72" s="18"/>
      <c r="DY72" s="18"/>
      <c r="DZ72" s="18"/>
    </row>
    <row r="73" spans="1:158" x14ac:dyDescent="0.25">
      <c r="A73" s="17" t="s">
        <v>1363</v>
      </c>
      <c r="C73" s="17" t="s">
        <v>431</v>
      </c>
      <c r="D73" s="17" t="s">
        <v>430</v>
      </c>
      <c r="E73" s="17"/>
      <c r="F73" s="17"/>
      <c r="N73" s="75" t="s">
        <v>14</v>
      </c>
      <c r="O73" s="127">
        <f t="shared" si="296"/>
        <v>0.11320754716981132</v>
      </c>
      <c r="P73" s="90">
        <f>COUNTIFS('ENCUESTA CONDUCTORES'!P$7:P$459,"X",'ENCUESTA CONDUCTORES'!$Y$7:$Y$459,"X")</f>
        <v>12</v>
      </c>
      <c r="Q73" s="127"/>
      <c r="R73" s="127"/>
      <c r="S73" s="127"/>
      <c r="U73" s="90"/>
      <c r="V73" s="90"/>
      <c r="W73" s="90"/>
      <c r="X73" s="19"/>
      <c r="AL73" s="57" t="s">
        <v>1391</v>
      </c>
      <c r="AS73" s="17" t="s">
        <v>1392</v>
      </c>
      <c r="CL73" s="17" t="s">
        <v>1424</v>
      </c>
      <c r="CM73" s="74">
        <f t="shared" ref="CM73:CM79" si="298">+CN73/$CN$79</f>
        <v>1.8867924528301886E-2</v>
      </c>
      <c r="CN73" s="18">
        <f>COUNTIFS('ENCUESTA CONDUCTORES'!P$7:P$459,"X",'ENCUESTA CONDUCTORES'!$DE$7:$DE$459,"&lt;1994")-CN72</f>
        <v>2</v>
      </c>
      <c r="CO73" s="74"/>
      <c r="CP73" s="74"/>
      <c r="CQ73" s="74"/>
      <c r="CS73" s="18"/>
      <c r="CT73" s="18"/>
      <c r="CU73" s="18"/>
      <c r="CV73" s="18"/>
      <c r="CY73" s="17" t="s">
        <v>1426</v>
      </c>
      <c r="CZ73" s="17" t="s">
        <v>1426</v>
      </c>
      <c r="DQ73" s="18"/>
      <c r="DR73" s="18">
        <f>+DR72+DR71</f>
        <v>81</v>
      </c>
      <c r="DS73" s="18"/>
      <c r="DT73" s="18"/>
      <c r="DU73" s="18"/>
      <c r="DV73" s="18"/>
      <c r="DW73" s="18"/>
      <c r="DX73" s="18"/>
      <c r="DY73" s="18"/>
      <c r="DZ73" s="19"/>
    </row>
    <row r="74" spans="1:158" x14ac:dyDescent="0.25">
      <c r="C74" s="18" t="s">
        <v>6</v>
      </c>
      <c r="D74" s="18" t="s">
        <v>6</v>
      </c>
      <c r="H74" s="18"/>
      <c r="I74" s="18"/>
      <c r="K74" s="18"/>
      <c r="N74" s="75" t="s">
        <v>1353</v>
      </c>
      <c r="O74" s="127">
        <f t="shared" si="296"/>
        <v>2.8301886792452831E-2</v>
      </c>
      <c r="P74" s="90">
        <f>COUNTIFS('ENCUESTA CONDUCTORES'!P$7:P$459,"X",'ENCUESTA CONDUCTORES'!$AA$7:$AA$459,"X")+COUNTIFS('ENCUESTA CONDUCTORES'!P$7:P$459,"X",'ENCUESTA CONDUCTORES'!$AE$7:$AE$459,"X")</f>
        <v>3</v>
      </c>
      <c r="Q74" s="127"/>
      <c r="R74" s="127"/>
      <c r="S74" s="127"/>
      <c r="U74" s="90"/>
      <c r="V74" s="90"/>
      <c r="W74" s="90"/>
      <c r="X74" s="19"/>
      <c r="AM74" s="18" t="s">
        <v>6</v>
      </c>
      <c r="AN74" s="18" t="s">
        <v>6</v>
      </c>
      <c r="AP74" s="18"/>
      <c r="AQ74" s="18"/>
      <c r="AR74" s="18"/>
      <c r="AS74" s="18"/>
      <c r="AU74" s="18"/>
      <c r="AV74" s="18"/>
      <c r="CL74" s="17" t="s">
        <v>1425</v>
      </c>
      <c r="CM74" s="74">
        <f t="shared" si="298"/>
        <v>0.10377358490566038</v>
      </c>
      <c r="CN74" s="18">
        <f>COUNTIFS('ENCUESTA CONDUCTORES'!P$7:P$459,"X",'ENCUESTA CONDUCTORES'!$DE$7:$DE$459,"&lt;1998")-CN73-CN72</f>
        <v>11</v>
      </c>
      <c r="CO74" s="74"/>
      <c r="CP74" s="74"/>
      <c r="CQ74" s="74"/>
      <c r="CS74" s="18"/>
      <c r="CT74" s="18"/>
      <c r="CU74" s="18"/>
      <c r="CV74" s="18"/>
      <c r="CX74" s="11" t="s">
        <v>1296</v>
      </c>
      <c r="CY74" s="74">
        <f>+CZ74/$CZ$82</f>
        <v>6.8627450980392163E-2</v>
      </c>
      <c r="CZ74" s="18">
        <f>+DJ5</f>
        <v>7</v>
      </c>
      <c r="DA74" s="74"/>
      <c r="DC74" s="74"/>
      <c r="DD74" s="74"/>
      <c r="DE74" s="74"/>
      <c r="DF74" s="74"/>
      <c r="DG74" s="18"/>
      <c r="DH74" s="18"/>
      <c r="DI74" s="18"/>
      <c r="DK74" s="18"/>
      <c r="DL74" s="18"/>
      <c r="DM74" s="18"/>
      <c r="DN74" s="18"/>
      <c r="DP74" s="17" t="s">
        <v>1500</v>
      </c>
    </row>
    <row r="75" spans="1:158" x14ac:dyDescent="0.25">
      <c r="B75" s="75" t="s">
        <v>48</v>
      </c>
      <c r="C75" s="74">
        <f t="shared" ref="C75:C83" si="299">+D75/$D$83</f>
        <v>0.125</v>
      </c>
      <c r="D75" s="90">
        <f>COUNTIFS('ENCUESTA CONDUCTORES'!R$7:R$459,"X",'ENCUESTA CONDUCTORES'!$BJ$7:$BJ$459,"X")</f>
        <v>2</v>
      </c>
      <c r="F75" s="74"/>
      <c r="G75" s="74"/>
      <c r="H75" s="90"/>
      <c r="I75" s="90"/>
      <c r="K75" s="90"/>
      <c r="L75" s="19"/>
      <c r="N75" s="75" t="s">
        <v>1354</v>
      </c>
      <c r="O75" s="127">
        <f t="shared" si="296"/>
        <v>0.15094339622641509</v>
      </c>
      <c r="P75" s="90">
        <f>COUNTIFS('ENCUESTA CONDUCTORES'!P$7:P$459,"X",'ENCUESTA CONDUCTORES'!$AD$7:$AD$459,"X")+COUNTIFS('ENCUESTA CONDUCTORES'!P$7:P$459,"X",'ENCUESTA CONDUCTORES'!$AF$7:$AF$459,"X")</f>
        <v>16</v>
      </c>
      <c r="Q75" s="127"/>
      <c r="R75" s="127"/>
      <c r="S75" s="127"/>
      <c r="U75" s="90"/>
      <c r="V75" s="90"/>
      <c r="W75" s="90"/>
      <c r="X75" s="19"/>
      <c r="AL75" s="11" t="s">
        <v>1296</v>
      </c>
      <c r="AM75" s="74">
        <f>+AN75/$AN$83</f>
        <v>8.3333333333333329E-2</v>
      </c>
      <c r="AN75" s="18">
        <f>COUNTIFS('ENCUESTA CONDUCTORES'!$AL$7:$AL$459,"X",'ENCUESTA CONDUCTORES'!R$7:R$459,"X",'ENCUESTA CONDUCTORES'!$AX$7:$AX$459,"&lt;1.6")</f>
        <v>1</v>
      </c>
      <c r="AP75" s="74"/>
      <c r="AQ75" s="74"/>
      <c r="AR75" s="18"/>
      <c r="AS75" s="18"/>
      <c r="AU75" s="18"/>
      <c r="AV75" s="18"/>
      <c r="CL75" s="17" t="s">
        <v>1426</v>
      </c>
      <c r="CM75" s="74">
        <f t="shared" si="298"/>
        <v>0.22641509433962265</v>
      </c>
      <c r="CN75" s="18">
        <f>COUNTIFS('ENCUESTA CONDUCTORES'!P$7:P$459,"X",'ENCUESTA CONDUCTORES'!$DE$7:$DE$459,"&lt;2004")-CN74-CN73-CN72</f>
        <v>24</v>
      </c>
      <c r="CO75" s="74"/>
      <c r="CP75" s="74"/>
      <c r="CQ75" s="74"/>
      <c r="CS75" s="18"/>
      <c r="CT75" s="18"/>
      <c r="CU75" s="18"/>
      <c r="CV75" s="18"/>
      <c r="CX75" s="11" t="s">
        <v>1297</v>
      </c>
      <c r="CY75" s="74">
        <f t="shared" ref="CY75:CY82" si="300">+CZ75/$CZ$82</f>
        <v>0.17647058823529413</v>
      </c>
      <c r="CZ75" s="18">
        <f t="shared" ref="CZ75:CZ83" si="301">+DJ6</f>
        <v>18</v>
      </c>
      <c r="DA75" s="74"/>
      <c r="DC75" s="74"/>
      <c r="DD75" s="74"/>
      <c r="DE75" s="74"/>
      <c r="DF75" s="74"/>
      <c r="DG75" s="18"/>
      <c r="DH75" s="18"/>
      <c r="DI75" s="18"/>
      <c r="DK75" s="18"/>
      <c r="DL75" s="18"/>
      <c r="DM75" s="18"/>
      <c r="DN75" s="18"/>
      <c r="DQ75" s="17" t="s">
        <v>1336</v>
      </c>
      <c r="DR75" s="17" t="s">
        <v>1336</v>
      </c>
    </row>
    <row r="76" spans="1:158" x14ac:dyDescent="0.25">
      <c r="B76" s="75" t="s">
        <v>49</v>
      </c>
      <c r="C76" s="74">
        <f t="shared" si="299"/>
        <v>6.25E-2</v>
      </c>
      <c r="D76" s="90">
        <f>COUNTIFS('ENCUESTA CONDUCTORES'!R$7:R$459,"X",'ENCUESTA CONDUCTORES'!$BK$7:$BK$459,"X")</f>
        <v>1</v>
      </c>
      <c r="F76" s="74"/>
      <c r="G76" s="74"/>
      <c r="H76" s="90"/>
      <c r="I76" s="90"/>
      <c r="K76" s="90"/>
      <c r="L76" s="19"/>
      <c r="N76" s="75" t="s">
        <v>1355</v>
      </c>
      <c r="O76" s="127">
        <f t="shared" si="296"/>
        <v>0</v>
      </c>
      <c r="P76" s="90">
        <f>COUNTIFS('ENCUESTA CONDUCTORES'!P$7:P$459,"X",'ENCUESTA CONDUCTORES'!$AG$7:$AG$459,"FULL")</f>
        <v>0</v>
      </c>
      <c r="Q76" s="127"/>
      <c r="R76" s="127"/>
      <c r="S76" s="127"/>
      <c r="U76" s="90"/>
      <c r="V76" s="90"/>
      <c r="W76" s="90"/>
      <c r="X76" s="19"/>
      <c r="AL76" s="11" t="s">
        <v>1297</v>
      </c>
      <c r="AM76" s="74">
        <f t="shared" ref="AM76:AM83" si="302">+AN76/$AN$83</f>
        <v>0</v>
      </c>
      <c r="AN76" s="18">
        <f>COUNTIFS('ENCUESTA CONDUCTORES'!$AL$7:$AL$459,"X",'ENCUESTA CONDUCTORES'!R$7:R$459,"X",'ENCUESTA CONDUCTORES'!$AX$7:$AX$459,"&lt;1.91")-AN75</f>
        <v>0</v>
      </c>
      <c r="AP76" s="74"/>
      <c r="AQ76" s="74"/>
      <c r="AR76" s="18"/>
      <c r="AS76" s="18"/>
      <c r="AU76" s="18"/>
      <c r="AV76" s="18"/>
      <c r="CL76" s="17" t="s">
        <v>1427</v>
      </c>
      <c r="CM76" s="74">
        <f t="shared" si="298"/>
        <v>0.13207547169811321</v>
      </c>
      <c r="CN76" s="18">
        <f>COUNTIFS('ENCUESTA CONDUCTORES'!P$7:P$459,"X",'ENCUESTA CONDUCTORES'!$DE$7:$DE$459,"&lt;2007")-CN75-CN74-CN73-CN72</f>
        <v>14</v>
      </c>
      <c r="CO76" s="74"/>
      <c r="CP76" s="74"/>
      <c r="CQ76" s="74"/>
      <c r="CS76" s="18"/>
      <c r="CT76" s="18"/>
      <c r="CU76" s="18"/>
      <c r="CV76" s="18"/>
      <c r="CX76" s="11" t="s">
        <v>1298</v>
      </c>
      <c r="CY76" s="74">
        <f t="shared" si="300"/>
        <v>0.10784313725490197</v>
      </c>
      <c r="CZ76" s="18">
        <f t="shared" si="301"/>
        <v>11</v>
      </c>
      <c r="DA76" s="74"/>
      <c r="DC76" s="74"/>
      <c r="DD76" s="74"/>
      <c r="DE76" s="74"/>
      <c r="DF76" s="74"/>
      <c r="DG76" s="18"/>
      <c r="DH76" s="18"/>
      <c r="DI76" s="18"/>
      <c r="DK76" s="18"/>
      <c r="DL76" s="18"/>
      <c r="DM76" s="18"/>
      <c r="DN76" s="18"/>
      <c r="DP76" s="18" t="s">
        <v>468</v>
      </c>
      <c r="DQ76" s="74">
        <f>DR76/$DR$83</f>
        <v>6.8750000000000006E-2</v>
      </c>
      <c r="DR76" s="18">
        <f>COUNTIFS('ENCUESTA CONDUCTORES'!G$7:G$459,"X",'ENCUESTA CONDUCTORES'!$AI$7:$AI$459,"&lt;250000")</f>
        <v>11</v>
      </c>
      <c r="DT76" s="74"/>
      <c r="DU76" s="74"/>
      <c r="DV76" s="18"/>
      <c r="DW76" s="18"/>
      <c r="DY76" s="18"/>
      <c r="DZ76" s="18"/>
    </row>
    <row r="77" spans="1:158" x14ac:dyDescent="0.25">
      <c r="B77" s="75" t="s">
        <v>1356</v>
      </c>
      <c r="C77" s="74">
        <f t="shared" si="299"/>
        <v>0</v>
      </c>
      <c r="D77" s="90">
        <f>COUNTIFS('ENCUESTA CONDUCTORES'!R$7:R$459,"X",'ENCUESTA CONDUCTORES'!$BL$7:$BL$459,"X")+COUNTIFS('ENCUESTA CONDUCTORES'!R$7:R$459,"X",'ENCUESTA CONDUCTORES'!$BR$7:$BR$459,"X")</f>
        <v>0</v>
      </c>
      <c r="F77" s="74"/>
      <c r="G77" s="74"/>
      <c r="H77" s="90"/>
      <c r="I77" s="90"/>
      <c r="K77" s="90"/>
      <c r="L77" s="19"/>
      <c r="N77" s="17" t="s">
        <v>429</v>
      </c>
      <c r="O77" s="127">
        <f t="shared" si="296"/>
        <v>1</v>
      </c>
      <c r="P77" s="19">
        <f>SUM(P70:P76)</f>
        <v>106</v>
      </c>
      <c r="Q77" s="127"/>
      <c r="R77" s="127"/>
      <c r="S77" s="127"/>
      <c r="U77" s="19"/>
      <c r="V77" s="19"/>
      <c r="W77" s="19"/>
      <c r="X77" s="19"/>
      <c r="AL77" s="11" t="s">
        <v>1298</v>
      </c>
      <c r="AM77" s="74">
        <f t="shared" si="302"/>
        <v>0.25</v>
      </c>
      <c r="AN77" s="18">
        <f>COUNTIFS('ENCUESTA CONDUCTORES'!$AL$7:$AL$459,"X",'ENCUESTA CONDUCTORES'!R$7:R$459,"X",'ENCUESTA CONDUCTORES'!$AX$7:$AX$459,"&lt;2.01")-AN76-AN75</f>
        <v>3</v>
      </c>
      <c r="AP77" s="74"/>
      <c r="AQ77" s="74"/>
      <c r="AR77" s="18"/>
      <c r="AS77" s="18"/>
      <c r="AU77" s="18"/>
      <c r="AV77" s="18"/>
      <c r="CL77" s="17" t="s">
        <v>1428</v>
      </c>
      <c r="CM77" s="74">
        <f t="shared" si="298"/>
        <v>0.20754716981132076</v>
      </c>
      <c r="CN77" s="18">
        <f>COUNTIFS('ENCUESTA CONDUCTORES'!P$7:P$459,"X",'ENCUESTA CONDUCTORES'!$DE$7:$DE$459,"&lt;2011")-CN76-CN75-CN74-CN73-CN72</f>
        <v>22</v>
      </c>
      <c r="CO77" s="74"/>
      <c r="CP77" s="74"/>
      <c r="CQ77" s="74"/>
      <c r="CS77" s="18"/>
      <c r="CT77" s="18"/>
      <c r="CU77" s="18"/>
      <c r="CV77" s="18"/>
      <c r="CX77" s="11" t="s">
        <v>1299</v>
      </c>
      <c r="CY77" s="74">
        <f t="shared" si="300"/>
        <v>8.8235294117647065E-2</v>
      </c>
      <c r="CZ77" s="18">
        <f t="shared" si="301"/>
        <v>9</v>
      </c>
      <c r="DA77" s="74"/>
      <c r="DC77" s="74"/>
      <c r="DD77" s="74"/>
      <c r="DE77" s="74"/>
      <c r="DF77" s="74"/>
      <c r="DG77" s="18"/>
      <c r="DH77" s="18"/>
      <c r="DI77" s="18"/>
      <c r="DK77" s="18"/>
      <c r="DL77" s="18"/>
      <c r="DM77" s="18"/>
      <c r="DN77" s="18"/>
      <c r="DP77" s="18" t="s">
        <v>1458</v>
      </c>
      <c r="DQ77" s="74">
        <f t="shared" ref="DQ77:DQ84" si="303">DR77/$DR$83</f>
        <v>0.16875000000000001</v>
      </c>
      <c r="DR77" s="18">
        <f>COUNTIFS('ENCUESTA CONDUCTORES'!G$7:G$459,"X",'ENCUESTA CONDUCTORES'!$AI$7:$AI$459,"&lt;500001")-DR76</f>
        <v>27</v>
      </c>
      <c r="DT77" s="74"/>
      <c r="DU77" s="74"/>
      <c r="DV77" s="18"/>
      <c r="DW77" s="18"/>
      <c r="DY77" s="18"/>
      <c r="DZ77" s="18"/>
    </row>
    <row r="78" spans="1:158" x14ac:dyDescent="0.25">
      <c r="B78" s="75" t="s">
        <v>51</v>
      </c>
      <c r="C78" s="74">
        <f t="shared" si="299"/>
        <v>0.1875</v>
      </c>
      <c r="D78" s="90">
        <f>COUNTIFS('ENCUESTA CONDUCTORES'!R$7:R$459,"X",'ENCUESTA CONDUCTORES'!$BM$7:$BM$459,"X")</f>
        <v>3</v>
      </c>
      <c r="F78" s="74"/>
      <c r="G78" s="74"/>
      <c r="H78" s="90"/>
      <c r="I78" s="90"/>
      <c r="K78" s="90"/>
      <c r="L78" s="19"/>
      <c r="X78" s="19"/>
      <c r="AL78" s="11" t="s">
        <v>1299</v>
      </c>
      <c r="AM78" s="74">
        <f t="shared" si="302"/>
        <v>8.3333333333333329E-2</v>
      </c>
      <c r="AN78" s="18">
        <f>COUNTIFS('ENCUESTA CONDUCTORES'!$AL$7:$AL$459,"X",'ENCUESTA CONDUCTORES'!R$7:R$459,"X",'ENCUESTA CONDUCTORES'!$AX$7:$AX$459,"&lt;2.21")-AN77-AN76-AN75</f>
        <v>1</v>
      </c>
      <c r="AP78" s="74"/>
      <c r="AQ78" s="74"/>
      <c r="AR78" s="18"/>
      <c r="AS78" s="18"/>
      <c r="AU78" s="18"/>
      <c r="AV78" s="18"/>
      <c r="CL78" s="17" t="s">
        <v>1429</v>
      </c>
      <c r="CM78" s="74">
        <f t="shared" si="298"/>
        <v>0.16037735849056603</v>
      </c>
      <c r="CN78" s="18">
        <f>COUNTIFS('ENCUESTA CONDUCTORES'!P$7:P$459,"X",'ENCUESTA CONDUCTORES'!$DE$7:$DE$459,"&gt;2010")</f>
        <v>17</v>
      </c>
      <c r="CO78" s="74"/>
      <c r="CP78" s="74"/>
      <c r="CQ78" s="74"/>
      <c r="CS78" s="18"/>
      <c r="CT78" s="18"/>
      <c r="CU78" s="18"/>
      <c r="CV78" s="18"/>
      <c r="CX78" s="11" t="s">
        <v>1300</v>
      </c>
      <c r="CY78" s="74">
        <f t="shared" si="300"/>
        <v>0.31372549019607843</v>
      </c>
      <c r="CZ78" s="18">
        <f t="shared" si="301"/>
        <v>32</v>
      </c>
      <c r="DA78" s="74"/>
      <c r="DC78" s="74"/>
      <c r="DD78" s="74"/>
      <c r="DE78" s="74"/>
      <c r="DF78" s="74"/>
      <c r="DG78" s="18"/>
      <c r="DH78" s="18"/>
      <c r="DI78" s="18"/>
      <c r="DK78" s="18"/>
      <c r="DL78" s="18"/>
      <c r="DM78" s="18"/>
      <c r="DN78" s="18"/>
      <c r="DP78" s="18" t="s">
        <v>464</v>
      </c>
      <c r="DQ78" s="74">
        <f t="shared" si="303"/>
        <v>0.54374999999999996</v>
      </c>
      <c r="DR78" s="18">
        <f>COUNTIFS('ENCUESTA CONDUCTORES'!G$7:G$459,"X",'ENCUESTA CONDUCTORES'!$AI$7:$AI$459,"&lt;1000001")-DR77-DR76</f>
        <v>87</v>
      </c>
      <c r="DT78" s="74"/>
      <c r="DU78" s="74"/>
      <c r="DV78" s="18"/>
      <c r="DW78" s="18"/>
      <c r="DY78" s="18"/>
      <c r="DZ78" s="18"/>
    </row>
    <row r="79" spans="1:158" ht="25.5" x14ac:dyDescent="0.25">
      <c r="B79" s="75" t="s">
        <v>1357</v>
      </c>
      <c r="C79" s="74">
        <f t="shared" si="299"/>
        <v>6.25E-2</v>
      </c>
      <c r="D79" s="90">
        <f>COUNTIFS('ENCUESTA CONDUCTORES'!R$7:R$459,"X",'ENCUESTA CONDUCTORES'!$BN$7:$BN$459,"X")+COUNTIFS('ENCUESTA CONDUCTORES'!R$7:R$459,"X",'ENCUESTA CONDUCTORES'!$BP$7:$BP$459,"X")</f>
        <v>1</v>
      </c>
      <c r="F79" s="74"/>
      <c r="G79" s="74"/>
      <c r="H79" s="90"/>
      <c r="I79" s="90"/>
      <c r="K79" s="90"/>
      <c r="L79" s="19"/>
      <c r="N79" s="17" t="s">
        <v>1377</v>
      </c>
      <c r="O79" s="17" t="s">
        <v>431</v>
      </c>
      <c r="P79" s="17" t="s">
        <v>1338</v>
      </c>
      <c r="S79" s="17"/>
      <c r="AL79" s="11" t="s">
        <v>1300</v>
      </c>
      <c r="AM79" s="74">
        <f t="shared" si="302"/>
        <v>0.25</v>
      </c>
      <c r="AN79" s="18">
        <f>COUNTIFS('ENCUESTA CONDUCTORES'!$AL$7:$AL$459,"X",'ENCUESTA CONDUCTORES'!R$7:R$459,"X",'ENCUESTA CONDUCTORES'!$AX$7:$AX$459,"&lt;2.51")-AN78-AN77-AN76-AN75</f>
        <v>3</v>
      </c>
      <c r="AP79" s="74"/>
      <c r="AQ79" s="74"/>
      <c r="AR79" s="18"/>
      <c r="AS79" s="18"/>
      <c r="AU79" s="18"/>
      <c r="AV79" s="18"/>
      <c r="CL79" s="17" t="s">
        <v>429</v>
      </c>
      <c r="CM79" s="74">
        <f t="shared" si="298"/>
        <v>1</v>
      </c>
      <c r="CN79" s="18">
        <f t="shared" ref="CN79" si="304">SUM(CN72:CN78)</f>
        <v>106</v>
      </c>
      <c r="CO79" s="74"/>
      <c r="CP79" s="74"/>
      <c r="CQ79" s="74"/>
      <c r="CS79" s="18"/>
      <c r="CT79" s="18"/>
      <c r="CU79" s="18"/>
      <c r="CV79" s="18"/>
      <c r="CX79" s="11" t="s">
        <v>1301</v>
      </c>
      <c r="CY79" s="74">
        <f t="shared" si="300"/>
        <v>0.15686274509803921</v>
      </c>
      <c r="CZ79" s="18">
        <f t="shared" si="301"/>
        <v>16</v>
      </c>
      <c r="DA79" s="74"/>
      <c r="DC79" s="74"/>
      <c r="DD79" s="74"/>
      <c r="DE79" s="74"/>
      <c r="DF79" s="74"/>
      <c r="DG79" s="18"/>
      <c r="DH79" s="18"/>
      <c r="DI79" s="18"/>
      <c r="DK79" s="18"/>
      <c r="DL79" s="18"/>
      <c r="DM79" s="18"/>
      <c r="DN79" s="18"/>
      <c r="DP79" s="18" t="s">
        <v>465</v>
      </c>
      <c r="DQ79" s="74">
        <f t="shared" si="303"/>
        <v>0.10625</v>
      </c>
      <c r="DR79" s="18">
        <f>COUNTIFS('ENCUESTA CONDUCTORES'!G$7:G$459,"X",'ENCUESTA CONDUCTORES'!$AI$7:$AI$459,"&lt;1500001")-DR78-DR77-DR76</f>
        <v>17</v>
      </c>
      <c r="DT79" s="74"/>
      <c r="DU79" s="74"/>
      <c r="DV79" s="18"/>
      <c r="DW79" s="18"/>
      <c r="DY79" s="18"/>
      <c r="DZ79" s="18"/>
    </row>
    <row r="80" spans="1:158" x14ac:dyDescent="0.25">
      <c r="B80" s="75" t="s">
        <v>131</v>
      </c>
      <c r="C80" s="74">
        <f t="shared" si="299"/>
        <v>0.25</v>
      </c>
      <c r="D80" s="90">
        <f>COUNTIFS('ENCUESTA CONDUCTORES'!R$7:R$459,"X",'ENCUESTA CONDUCTORES'!$BO$7:$BO$459,"X")</f>
        <v>4</v>
      </c>
      <c r="F80" s="74"/>
      <c r="G80" s="74"/>
      <c r="H80" s="90"/>
      <c r="I80" s="90"/>
      <c r="K80" s="90"/>
      <c r="L80" s="19"/>
      <c r="O80" s="18" t="s">
        <v>5</v>
      </c>
      <c r="P80" s="18" t="s">
        <v>5</v>
      </c>
      <c r="Q80" s="18"/>
      <c r="R80" s="18"/>
      <c r="S80" s="17"/>
      <c r="T80" s="18"/>
      <c r="V80" s="18"/>
      <c r="W80" s="18"/>
      <c r="AL80" s="11" t="s">
        <v>1301</v>
      </c>
      <c r="AM80" s="74">
        <f t="shared" si="302"/>
        <v>0.33333333333333331</v>
      </c>
      <c r="AN80" s="18">
        <f>COUNTIFS('ENCUESTA CONDUCTORES'!$AL$7:$AL$459,"X",'ENCUESTA CONDUCTORES'!R$7:R$459,"X",'ENCUESTA CONDUCTORES'!$AX$7:$AX$459,"&lt;3.01")-AN79-AN78-AN77-AN76-AN75</f>
        <v>4</v>
      </c>
      <c r="AP80" s="74"/>
      <c r="AQ80" s="74"/>
      <c r="AR80" s="18"/>
      <c r="AS80" s="18"/>
      <c r="AU80" s="18"/>
      <c r="AV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X80" s="11" t="s">
        <v>1302</v>
      </c>
      <c r="CY80" s="74">
        <f t="shared" si="300"/>
        <v>8.8235294117647065E-2</v>
      </c>
      <c r="CZ80" s="18">
        <f t="shared" si="301"/>
        <v>9</v>
      </c>
      <c r="DA80" s="74"/>
      <c r="DC80" s="74"/>
      <c r="DD80" s="74"/>
      <c r="DE80" s="74"/>
      <c r="DF80" s="74"/>
      <c r="DG80" s="18"/>
      <c r="DH80" s="18"/>
      <c r="DI80" s="18"/>
      <c r="DK80" s="18"/>
      <c r="DL80" s="18"/>
      <c r="DM80" s="18"/>
      <c r="DN80" s="18"/>
      <c r="DP80" s="18" t="s">
        <v>466</v>
      </c>
      <c r="DQ80" s="74">
        <f t="shared" si="303"/>
        <v>6.8750000000000006E-2</v>
      </c>
      <c r="DR80" s="18">
        <f>COUNTIFS('ENCUESTA CONDUCTORES'!G$7:G$459,"X",'ENCUESTA CONDUCTORES'!$AI$7:$AI$459,"&lt;2000001")-DR79-DR78-DR77-DR76</f>
        <v>11</v>
      </c>
      <c r="DT80" s="74"/>
      <c r="DU80" s="74"/>
      <c r="DV80" s="18"/>
      <c r="DW80" s="18"/>
      <c r="DY80" s="18"/>
      <c r="DZ80" s="18"/>
    </row>
    <row r="81" spans="1:130" x14ac:dyDescent="0.25">
      <c r="B81" s="75" t="s">
        <v>55</v>
      </c>
      <c r="C81" s="74">
        <f t="shared" si="299"/>
        <v>6.25E-2</v>
      </c>
      <c r="D81" s="90">
        <f>COUNTIFS('ENCUESTA CONDUCTORES'!R$7:R$459,"X",'ENCUESTA CONDUCTORES'!$BQ$7:$BQ$459,"X")</f>
        <v>1</v>
      </c>
      <c r="F81" s="74"/>
      <c r="G81" s="74"/>
      <c r="H81" s="90"/>
      <c r="I81" s="90"/>
      <c r="K81" s="90"/>
      <c r="L81" s="19"/>
      <c r="N81" s="75" t="s">
        <v>10</v>
      </c>
      <c r="O81" s="127">
        <f>+P81/$P$88</f>
        <v>0.32142857142857145</v>
      </c>
      <c r="P81" s="90">
        <f>COUNTIFS('ENCUESTA CONDUCTORES'!Q$7:Q$459,"X",'ENCUESTA CONDUCTORES'!$U$7:$U$459,"X")</f>
        <v>27</v>
      </c>
      <c r="Q81" s="127"/>
      <c r="R81" s="127"/>
      <c r="S81" s="127"/>
      <c r="T81" s="90"/>
      <c r="V81" s="90"/>
      <c r="W81" s="90"/>
      <c r="X81" s="19"/>
      <c r="AL81" s="11" t="s">
        <v>1302</v>
      </c>
      <c r="AM81" s="74">
        <f t="shared" si="302"/>
        <v>0</v>
      </c>
      <c r="AN81" s="18">
        <f>COUNTIFS('ENCUESTA CONDUCTORES'!$AL$7:$AL$459,"X",'ENCUESTA CONDUCTORES'!R$7:R$459,"X",'ENCUESTA CONDUCTORES'!$AX$7:$AX$459,"&lt;4.01")-AN80-AN79-AN78-AN77-AN76-AN75</f>
        <v>0</v>
      </c>
      <c r="AP81" s="74"/>
      <c r="AQ81" s="74"/>
      <c r="AR81" s="18"/>
      <c r="AS81" s="18"/>
      <c r="AU81" s="18"/>
      <c r="AV81" s="18"/>
      <c r="CX81" s="11" t="s">
        <v>1385</v>
      </c>
      <c r="CY81" s="74">
        <f t="shared" si="300"/>
        <v>0</v>
      </c>
      <c r="CZ81" s="18">
        <f t="shared" si="301"/>
        <v>0</v>
      </c>
      <c r="DA81" s="74"/>
      <c r="DC81" s="74"/>
      <c r="DD81" s="74"/>
      <c r="DE81" s="74"/>
      <c r="DF81" s="74"/>
      <c r="DG81" s="18"/>
      <c r="DH81" s="18"/>
      <c r="DI81" s="18"/>
      <c r="DK81" s="18"/>
      <c r="DL81" s="18"/>
      <c r="DM81" s="18"/>
      <c r="DN81" s="18"/>
      <c r="DP81" s="18" t="s">
        <v>467</v>
      </c>
      <c r="DQ81" s="74">
        <f t="shared" si="303"/>
        <v>1.8749999999999999E-2</v>
      </c>
      <c r="DR81" s="18">
        <f>COUNTIFS('ENCUESTA CONDUCTORES'!G$7:G$459,"X",'ENCUESTA CONDUCTORES'!$AI$7:$AI$459,"&lt;2500001")-DR80-DR79-DR78-DR77-DR76</f>
        <v>3</v>
      </c>
      <c r="DT81" s="74"/>
      <c r="DU81" s="74"/>
      <c r="DV81" s="18"/>
      <c r="DW81" s="18"/>
      <c r="DY81" s="18"/>
      <c r="DZ81" s="18"/>
    </row>
    <row r="82" spans="1:130" x14ac:dyDescent="0.25">
      <c r="B82" s="75" t="s">
        <v>1358</v>
      </c>
      <c r="C82" s="74">
        <f t="shared" si="299"/>
        <v>0.25</v>
      </c>
      <c r="D82" s="90">
        <f>COUNTIFS('ENCUESTA CONDUCTORES'!R$7:R$459,"X",'ENCUESTA CONDUCTORES'!$BS$7:$BS$459,"CARRITOS DE GOLF")+COUNTIFS('ENCUESTA CONDUCTORES'!R$7:R$459,"X",'ENCUESTA CONDUCTORES'!$BS$7:$BS$459,"MERCANCIA SECA")+COUNTIFS('ENCUESTA CONDUCTORES'!R$7:R$459,"X",'ENCUESTA CONDUCTORES'!$BS$7:$BS$459,"PAPELERIA")+COUNTIFS('ENCUESTA CONDUCTORES'!R$7:R$459,"X",'ENCUESTA CONDUCTORES'!$BS$7:$BS$459,"GENERAL")+COUNTIFS('ENCUESTA CONDUCTORES'!R$7:R$459,"X",'ENCUESTA CONDUCTORES'!$BS$7:$BS$459,"MAQUINARIA")+COUNTIFS('ENCUESTA CONDUCTORES'!R$7:R$459,"X",'ENCUESTA CONDUCTORES'!$BS$7:$BS$459,"CONTENEDOR")+COUNTIFS('ENCUESTA CONDUCTORES'!R$7:R$459,"X",'ENCUESTA CONDUCTORES'!$BS$7:$BS$459,"MEDICAMENTOS")+COUNTIFS('ENCUESTA CONDUCTORES'!R$7:R$459,"X",'ENCUESTA CONDUCTORES'!$BS$7:$BS$459,"AGUA POTABLE")+COUNTIFS('ENCUESTA CONDUCTORES'!R$7:R$459,"X",'ENCUESTA CONDUCTORES'!$BS$7:$BS$459,"MUDANZAS")+COUNTIFS('ENCUESTA CONDUCTORES'!R$7:R$459,"X",'ENCUESTA CONDUCTORES'!$BS$7:$BS$459,"JABON")+COUNTIFS('ENCUESTA CONDUCTORES'!R$7:R$459,"X",'ENCUESTA CONDUCTORES'!$BS$7:$BS$459,"ACEITE")+COUNTIFS('ENCUESTA CONDUCTORES'!R$7:R$459,"X",'ENCUESTA CONDUCTORES'!$BS$7:$BS$459,"POLIETILENO")+COUNTIFS('ENCUESTA CONDUCTORES'!R$7:R$459,"X",'ENCUESTA CONDUCTORES'!$BS$7:$BS$459,"ELECTRODOMÉSTICOS")+COUNTIFS('ENCUESTA CONDUCTORES'!R$7:R$459,"X",'ENCUESTA CONDUCTORES'!$BS$7:$BS$459,"MUEBLES")+COUNTIFS('ENCUESTA CONDUCTORES'!R$7:R$459,"X",'ENCUESTA CONDUCTORES'!$BS$7:$BS$459,"CHATARRA")+COUNTIFS('ENCUESTA CONDUCTORES'!R$7:R$459,"X",'ENCUESTA CONDUCTORES'!$BS$7:$BS$459,"LLANTAS")+COUNTIFS('ENCUESTA CONDUCTORES'!R$7:R$459,"X",'ENCUESTA CONDUCTORES'!$BS$7:$BS$459,"AGUA")+COUNTIFS('ENCUESTA CONDUCTORES'!R$7:R$459,"X",'ENCUESTA CONDUCTORES'!$BS$7:$BS$459,"ANIMALES")+COUNTIFS('ENCUESTA CONDUCTORES'!R$7:R$459,"X",'ENCUESTA CONDUCTORES'!$BS$7:$BS$459,"TV REFRIGERADORES")+COUNTIFS('ENCUESTA CONDUCTORES'!R$7:R$459,"X",'ENCUESTA CONDUCTORES'!$BS$7:$BS$459,"LÍNEA BLANCA")+COUNTIFS('ENCUESTA CONDUCTORES'!R$7:R$459,"X",'ENCUESTA CONDUCTORES'!$BS$7:$BS$459,"IMPORTACIÓN / EXPORTACIÓN")+COUNTIFS('ENCUESTA CONDUCTORES'!R$7:R$459,"X",'ENCUESTA CONDUCTORES'!$BS$7:$BS$459,"PLASTICO")+COUNTIFS('ENCUESTA CONDUCTORES'!R$7:R$459,"X",'ENCUESTA CONDUCTORES'!$BS$7:$BS$459,"ROPA")+COUNTIFS('ENCUESTA CONDUCTORES'!R$7:R$459,"X",'ENCUESTA CONDUCTORES'!$BS$7:$BS$459,"CHATARRA")+COUNTIFS('ENCUESTA CONDUCTORES'!R$7:R$459,"X",'ENCUESTA CONDUCTORES'!$BS$7:$BS$459,"MEDICAMENTO NUTRICIONAL")+COUNTIFS('ENCUESTA CONDUCTORES'!R$7:R$459,"X",'ENCUESTA CONDUCTORES'!$BS$7:$BS$459,"PRODUCTOS DE BELLEZA")+COUNTIFS('ENCUESTA CONDUCTORES'!R$7:R$459,"X",'ENCUESTA CONDUCTORES'!$BS$7:$BS$459,"FORRAJE")+COUNTIFS('ENCUESTA CONDUCTORES'!R$7:R$459,"X",'ENCUESTA CONDUCTORES'!$BS$7:$BS$459,"VALORES")+COUNTIFS('ENCUESTA CONDUCTORES'!R$7:R$459,"X",'ENCUESTA CONDUCTORES'!$BS$7:$BS$459,"PAQUETERIA")+COUNTIFS('ENCUESTA CONDUCTORES'!R$7:R$459,"X",'ENCUESTA CONDUCTORES'!$BS$7:$BS$459,"SECOS")+COUNTIFS('ENCUESTA CONDUCTORES'!R$7:R$459,"X",'ENCUESTA CONDUCTORES'!$BS$7:$BS$459,"PANTALLAS")+COUNTIFS('ENCUESTA CONDUCTORES'!R$7:R$459,"X",'ENCUESTA CONDUCTORES'!$BS$7:$BS$459,"BOTELLAS")+COUNTIFS('ENCUESTA CONDUCTORES'!R$7:R$459,"X",'ENCUESTA CONDUCTORES'!$BS$7:$BS$459,"PRODUCTOS DE HIGIENE PERSONAL")+COUNTIFS('ENCUESTA CONDUCTORES'!R$7:R$459,"X",'ENCUESTA CONDUCTORES'!$BS$7:$BS$459,"ELECTRONICA, LINEA BLANCA")+COUNTIFS('ENCUESTA CONDUCTORES'!R$7:R$459,"X",'ENCUESTA CONDUCTORES'!$BS$7:$BS$459,"CONTENEDORES")</f>
        <v>4</v>
      </c>
      <c r="F82" s="74"/>
      <c r="G82" s="74"/>
      <c r="H82" s="90"/>
      <c r="I82" s="90"/>
      <c r="K82" s="90"/>
      <c r="L82" s="19"/>
      <c r="N82" s="75" t="s">
        <v>1352</v>
      </c>
      <c r="O82" s="127">
        <f t="shared" ref="O82:O88" si="305">+P82/$P$88</f>
        <v>4.7619047619047616E-2</v>
      </c>
      <c r="P82" s="90">
        <f>COUNTIFS('ENCUESTA CONDUCTORES'!Q$7:Q$459,"X",'ENCUESTA CONDUCTORES'!$W$7:$W$459,"X")+COUNTIFS('ENCUESTA CONDUCTORES'!Q$7:Q$459,"X",'ENCUESTA CONDUCTORES'!$AB$7:$AB$459,"X")+COUNTIFS('ENCUESTA CONDUCTORES'!Q$7:Q$459,"X",'ENCUESTA CONDUCTORES'!$AC$7:$AC$459,"X")</f>
        <v>4</v>
      </c>
      <c r="Q82" s="127"/>
      <c r="R82" s="127"/>
      <c r="S82" s="127"/>
      <c r="T82" s="90"/>
      <c r="V82" s="90"/>
      <c r="W82" s="90"/>
      <c r="X82" s="19"/>
      <c r="AL82" s="11" t="s">
        <v>1385</v>
      </c>
      <c r="AM82" s="74">
        <f t="shared" si="302"/>
        <v>0</v>
      </c>
      <c r="AN82" s="18">
        <f>COUNTIFS('ENCUESTA CONDUCTORES'!$AL$7:$AL$459,"X",'ENCUESTA CONDUCTORES'!R$7:R$459,"X",'ENCUESTA CONDUCTORES'!$AX$7:$AX$459,"&gt;4")</f>
        <v>0</v>
      </c>
      <c r="AP82" s="74"/>
      <c r="AQ82" s="74"/>
      <c r="AR82" s="18"/>
      <c r="AS82" s="18"/>
      <c r="AU82" s="18"/>
      <c r="AV82" s="18"/>
      <c r="CL82" s="17" t="s">
        <v>1438</v>
      </c>
      <c r="CX82" s="11" t="s">
        <v>429</v>
      </c>
      <c r="CY82" s="74">
        <f t="shared" si="300"/>
        <v>1</v>
      </c>
      <c r="CZ82" s="18">
        <f t="shared" si="301"/>
        <v>102</v>
      </c>
      <c r="DA82" s="74"/>
      <c r="DC82" s="74"/>
      <c r="DD82" s="74"/>
      <c r="DE82" s="74"/>
      <c r="DF82" s="74"/>
      <c r="DG82" s="18"/>
      <c r="DH82" s="18"/>
      <c r="DI82" s="18"/>
      <c r="DK82" s="18"/>
      <c r="DL82" s="18"/>
      <c r="DM82" s="18"/>
      <c r="DN82" s="18"/>
      <c r="DP82" s="18" t="s">
        <v>469</v>
      </c>
      <c r="DQ82" s="74">
        <f t="shared" si="303"/>
        <v>2.5000000000000001E-2</v>
      </c>
      <c r="DR82" s="18">
        <f>COUNTIFS('ENCUESTA CONDUCTORES'!G$7:G$459,"X",'ENCUESTA CONDUCTORES'!$AI$7:$AI$459,"&gt;2500000")</f>
        <v>4</v>
      </c>
      <c r="DT82" s="74"/>
      <c r="DU82" s="74"/>
      <c r="DV82" s="18"/>
      <c r="DW82" s="18"/>
      <c r="DY82" s="18"/>
      <c r="DZ82" s="18"/>
    </row>
    <row r="83" spans="1:130" x14ac:dyDescent="0.25">
      <c r="B83" s="75" t="s">
        <v>1333</v>
      </c>
      <c r="C83" s="74">
        <f t="shared" si="299"/>
        <v>1</v>
      </c>
      <c r="D83" s="19">
        <f t="shared" ref="D83" si="306">SUM(D75:D82)</f>
        <v>16</v>
      </c>
      <c r="F83" s="74"/>
      <c r="G83" s="74"/>
      <c r="H83" s="19"/>
      <c r="I83" s="19"/>
      <c r="K83" s="19"/>
      <c r="L83" s="19"/>
      <c r="N83" s="75" t="s">
        <v>13</v>
      </c>
      <c r="O83" s="127">
        <f t="shared" si="305"/>
        <v>4.7619047619047616E-2</v>
      </c>
      <c r="P83" s="90">
        <f>COUNTIFS('ENCUESTA CONDUCTORES'!Q$7:Q$459,"X",'ENCUESTA CONDUCTORES'!$V$7:$V$459,"X")+COUNTIFS('ENCUESTA CONDUCTORES'!Q$7:Q$459,"X",'ENCUESTA CONDUCTORES'!$X$7:$X$459,"X")</f>
        <v>4</v>
      </c>
      <c r="Q83" s="127"/>
      <c r="R83" s="127"/>
      <c r="S83" s="127"/>
      <c r="T83" s="90"/>
      <c r="V83" s="90"/>
      <c r="W83" s="90"/>
      <c r="X83" s="19"/>
      <c r="AL83" s="11" t="s">
        <v>429</v>
      </c>
      <c r="AM83" s="74">
        <f t="shared" si="302"/>
        <v>1</v>
      </c>
      <c r="AN83" s="18">
        <f t="shared" ref="AN83" si="307">SUM(AN75:AN82)</f>
        <v>12</v>
      </c>
      <c r="AP83" s="74"/>
      <c r="AQ83" s="74"/>
      <c r="AR83" s="18"/>
      <c r="AS83" s="18"/>
      <c r="AU83" s="18"/>
      <c r="AV83" s="18"/>
      <c r="CM83" s="18" t="s">
        <v>5</v>
      </c>
      <c r="CN83" s="18" t="s">
        <v>5</v>
      </c>
      <c r="CO83" s="18"/>
      <c r="CP83" s="18"/>
      <c r="CQ83" s="18"/>
      <c r="CR83" s="18"/>
      <c r="CT83" s="18"/>
      <c r="CU83" s="18"/>
      <c r="CV83" s="18"/>
      <c r="CX83" s="17" t="s">
        <v>193</v>
      </c>
      <c r="CY83" s="18"/>
      <c r="CZ83" s="18">
        <f t="shared" si="301"/>
        <v>1</v>
      </c>
      <c r="DA83" s="18"/>
      <c r="DB83" s="18"/>
      <c r="DC83" s="18"/>
      <c r="DD83" s="18"/>
      <c r="DE83" s="18"/>
      <c r="DF83" s="18"/>
      <c r="DG83" s="18"/>
      <c r="DH83" s="18"/>
      <c r="DI83" s="18"/>
      <c r="DK83" s="18"/>
      <c r="DL83" s="18"/>
      <c r="DM83" s="18"/>
      <c r="DN83" s="18"/>
      <c r="DP83" s="17" t="s">
        <v>429</v>
      </c>
      <c r="DQ83" s="74">
        <f t="shared" si="303"/>
        <v>1</v>
      </c>
      <c r="DR83" s="18">
        <f t="shared" ref="DR83" si="308">SUM(DR76:DR82)</f>
        <v>160</v>
      </c>
      <c r="DT83" s="74"/>
      <c r="DU83" s="74"/>
      <c r="DV83" s="18"/>
      <c r="DW83" s="18"/>
      <c r="DY83" s="18"/>
      <c r="DZ83" s="18"/>
    </row>
    <row r="84" spans="1:130" x14ac:dyDescent="0.25">
      <c r="D84" s="17"/>
      <c r="L84" s="19"/>
      <c r="N84" s="75" t="s">
        <v>14</v>
      </c>
      <c r="O84" s="127">
        <f t="shared" si="305"/>
        <v>0.11904761904761904</v>
      </c>
      <c r="P84" s="90">
        <f>COUNTIFS('ENCUESTA CONDUCTORES'!Q$7:Q$459,"X",'ENCUESTA CONDUCTORES'!$Y$7:$Y$459,"X")</f>
        <v>10</v>
      </c>
      <c r="Q84" s="127"/>
      <c r="R84" s="127"/>
      <c r="S84" s="127"/>
      <c r="T84" s="90"/>
      <c r="V84" s="90"/>
      <c r="W84" s="90"/>
      <c r="X84" s="19"/>
      <c r="AL84" s="17" t="s">
        <v>193</v>
      </c>
      <c r="AN84" s="18">
        <f>COUNTIFS('ENCUESTA CONDUCTORES'!$AL$7:$AL$459,"X",'ENCUESTA CONDUCTORES'!R$7:R$459,"X",'ENCUESTA CONDUCTORES'!$AX$7:$AX$459,"NO SABE")</f>
        <v>0</v>
      </c>
      <c r="AP84" s="18"/>
      <c r="AQ84" s="18"/>
      <c r="AR84" s="18"/>
      <c r="AS84" s="18"/>
      <c r="AU84" s="18"/>
      <c r="AV84" s="18"/>
      <c r="CL84" s="17" t="s">
        <v>1423</v>
      </c>
      <c r="CM84" s="74">
        <f>+CN84/$CN$91</f>
        <v>0.25</v>
      </c>
      <c r="CN84" s="18">
        <f>COUNTIFS('ENCUESTA CONDUCTORES'!Q$7:Q$459,"X",'ENCUESTA CONDUCTORES'!$DE$7:$DE$459,"&lt;1991")</f>
        <v>21</v>
      </c>
      <c r="CO84" s="74"/>
      <c r="CP84" s="74"/>
      <c r="CQ84" s="74"/>
      <c r="CR84" s="18"/>
      <c r="CT84" s="18"/>
      <c r="CU84" s="18"/>
      <c r="CV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P84" s="17" t="s">
        <v>1459</v>
      </c>
      <c r="DQ84" s="74">
        <f t="shared" si="303"/>
        <v>0.13750000000000001</v>
      </c>
      <c r="DR84" s="18">
        <f>COUNTIFS('ENCUESTA CONDUCTORES'!G$7:G$459,"X",'ENCUESTA CONDUCTORES'!$AI$7:$AI$459,"NO SABE")+COUNTIFS('ENCUESTA CONDUCTORES'!G$7:G$459,"X",'ENCUESTA CONDUCTORES'!$AI$7:$AI$459,"NO CONTESTA")+COUNTIFS('ENCUESTA CONDUCTORES'!G$7:G$459,"X",'ENCUESTA CONDUCTORES'!$AI$7:$AI$459,"DAÑADO")</f>
        <v>22</v>
      </c>
      <c r="DS84" s="18"/>
      <c r="DT84" s="18"/>
      <c r="DU84" s="18"/>
      <c r="DV84" s="18"/>
      <c r="DW84" s="18"/>
      <c r="DY84" s="18"/>
      <c r="DZ84" s="18"/>
    </row>
    <row r="85" spans="1:130" x14ac:dyDescent="0.25">
      <c r="B85" s="17" t="s">
        <v>856</v>
      </c>
      <c r="D85" s="90">
        <f>COUNTIFS('ENCUESTA CONDUCTORES'!R$7:R$459,"X",'ENCUESTA CONDUCTORES'!$BS$7:$BS$459,$B$40)</f>
        <v>0</v>
      </c>
      <c r="H85" s="90"/>
      <c r="I85" s="90"/>
      <c r="K85" s="90"/>
      <c r="L85" s="19"/>
      <c r="N85" s="75" t="s">
        <v>1353</v>
      </c>
      <c r="O85" s="127">
        <f t="shared" si="305"/>
        <v>1.1904761904761904E-2</v>
      </c>
      <c r="P85" s="90">
        <f>COUNTIFS('ENCUESTA CONDUCTORES'!Q$7:Q$459,"X",'ENCUESTA CONDUCTORES'!$AA$7:$AA$459,"X")+COUNTIFS('ENCUESTA CONDUCTORES'!Q$7:Q$459,"X",'ENCUESTA CONDUCTORES'!$AE$7:$AE$459,"X")</f>
        <v>1</v>
      </c>
      <c r="Q85" s="127"/>
      <c r="R85" s="127"/>
      <c r="S85" s="127"/>
      <c r="T85" s="90"/>
      <c r="V85" s="90"/>
      <c r="W85" s="90"/>
      <c r="X85" s="19"/>
      <c r="AN85" s="18"/>
      <c r="AO85" s="18"/>
      <c r="AP85" s="18"/>
      <c r="AQ85" s="18"/>
      <c r="AR85" s="18"/>
      <c r="AS85" s="18"/>
      <c r="AT85" s="18"/>
      <c r="AU85" s="18"/>
      <c r="AV85" s="18"/>
      <c r="CL85" s="17" t="s">
        <v>1424</v>
      </c>
      <c r="CM85" s="74">
        <f t="shared" ref="CM85:CM91" si="309">+CN85/$CN$91</f>
        <v>1.1904761904761904E-2</v>
      </c>
      <c r="CN85" s="18">
        <f>COUNTIFS('ENCUESTA CONDUCTORES'!Q$7:Q$459,"X",'ENCUESTA CONDUCTORES'!$DE$7:$DE$459,"&lt;1994")-CN84</f>
        <v>1</v>
      </c>
      <c r="CO85" s="74"/>
      <c r="CP85" s="74"/>
      <c r="CQ85" s="74"/>
      <c r="CR85" s="18"/>
      <c r="CT85" s="18"/>
      <c r="CU85" s="18"/>
      <c r="CV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Q85" s="18"/>
      <c r="DR85" s="18">
        <f>+DR84+DR83</f>
        <v>182</v>
      </c>
      <c r="DS85" s="18"/>
      <c r="DT85" s="18"/>
      <c r="DU85" s="18"/>
      <c r="DV85" s="18"/>
      <c r="DW85" s="18"/>
      <c r="DX85" s="18"/>
      <c r="DY85" s="18"/>
      <c r="DZ85" s="19"/>
    </row>
    <row r="86" spans="1:130" x14ac:dyDescent="0.25">
      <c r="L86" s="19"/>
      <c r="N86" s="75" t="s">
        <v>1354</v>
      </c>
      <c r="O86" s="127">
        <f t="shared" si="305"/>
        <v>0.45238095238095238</v>
      </c>
      <c r="P86" s="90">
        <f>COUNTIFS('ENCUESTA CONDUCTORES'!Q$7:Q$459,"X",'ENCUESTA CONDUCTORES'!$AD$7:$AD$459,"X")+COUNTIFS('ENCUESTA CONDUCTORES'!Q$7:Q$459,"X",'ENCUESTA CONDUCTORES'!$AF$7:$AF$459,"X")</f>
        <v>38</v>
      </c>
      <c r="Q86" s="127"/>
      <c r="R86" s="127"/>
      <c r="S86" s="127"/>
      <c r="T86" s="90"/>
      <c r="V86" s="90"/>
      <c r="W86" s="90"/>
      <c r="X86" s="19"/>
      <c r="AN86" s="18"/>
      <c r="AO86" s="18"/>
      <c r="AP86" s="18"/>
      <c r="AQ86" s="18"/>
      <c r="AR86" s="18"/>
      <c r="AS86" s="18"/>
      <c r="AT86" s="18"/>
      <c r="AU86" s="18"/>
      <c r="AV86" s="18"/>
      <c r="CL86" s="17" t="s">
        <v>1425</v>
      </c>
      <c r="CM86" s="74">
        <f t="shared" si="309"/>
        <v>0.17857142857142858</v>
      </c>
      <c r="CN86" s="18">
        <f>COUNTIFS('ENCUESTA CONDUCTORES'!Q$7:Q$459,"X",'ENCUESTA CONDUCTORES'!$DE$7:$DE$459,"&lt;1998")-CN85-CN84</f>
        <v>15</v>
      </c>
      <c r="CO86" s="74"/>
      <c r="CP86" s="74"/>
      <c r="CQ86" s="74"/>
      <c r="CR86" s="18"/>
      <c r="CT86" s="18"/>
      <c r="CU86" s="18"/>
      <c r="CV86" s="18"/>
      <c r="CX86" s="57" t="s">
        <v>1447</v>
      </c>
      <c r="DP86" s="17" t="s">
        <v>1501</v>
      </c>
    </row>
    <row r="87" spans="1:130" x14ac:dyDescent="0.25">
      <c r="N87" s="75" t="s">
        <v>1355</v>
      </c>
      <c r="O87" s="127">
        <f t="shared" si="305"/>
        <v>0</v>
      </c>
      <c r="P87" s="90">
        <f>COUNTIFS('ENCUESTA CONDUCTORES'!Q$7:Q$459,"X",'ENCUESTA CONDUCTORES'!$AG$7:$AG$459,"FULL")</f>
        <v>0</v>
      </c>
      <c r="Q87" s="127"/>
      <c r="R87" s="127"/>
      <c r="S87" s="127"/>
      <c r="T87" s="90"/>
      <c r="V87" s="90"/>
      <c r="W87" s="90"/>
      <c r="X87" s="19"/>
      <c r="AL87" s="57" t="s">
        <v>1395</v>
      </c>
      <c r="AS87" s="17" t="s">
        <v>1392</v>
      </c>
      <c r="CL87" s="17" t="s">
        <v>1426</v>
      </c>
      <c r="CM87" s="74">
        <f t="shared" si="309"/>
        <v>0.29761904761904762</v>
      </c>
      <c r="CN87" s="18">
        <f>COUNTIFS('ENCUESTA CONDUCTORES'!Q$7:Q$459,"X",'ENCUESTA CONDUCTORES'!$DE$7:$DE$459,"&lt;2004")-CN86-CN85-CN84</f>
        <v>25</v>
      </c>
      <c r="CO87" s="74"/>
      <c r="CP87" s="74"/>
      <c r="CQ87" s="74"/>
      <c r="CR87" s="18"/>
      <c r="CT87" s="18"/>
      <c r="CU87" s="18"/>
      <c r="CV87" s="18"/>
      <c r="CY87" s="17" t="s">
        <v>1427</v>
      </c>
      <c r="CZ87" s="17" t="s">
        <v>1427</v>
      </c>
      <c r="DQ87" s="17" t="s">
        <v>1337</v>
      </c>
      <c r="DR87" s="17" t="s">
        <v>1337</v>
      </c>
    </row>
    <row r="88" spans="1:130" x14ac:dyDescent="0.25">
      <c r="A88" s="17" t="s">
        <v>1362</v>
      </c>
      <c r="C88" s="17" t="s">
        <v>431</v>
      </c>
      <c r="D88" s="17"/>
      <c r="E88" s="17"/>
      <c r="F88" s="17"/>
      <c r="N88" s="17" t="s">
        <v>429</v>
      </c>
      <c r="O88" s="127">
        <f t="shared" si="305"/>
        <v>1</v>
      </c>
      <c r="P88" s="19">
        <f>SUM(P81:P87)</f>
        <v>84</v>
      </c>
      <c r="Q88" s="127"/>
      <c r="R88" s="127"/>
      <c r="S88" s="127"/>
      <c r="T88" s="19"/>
      <c r="V88" s="19"/>
      <c r="W88" s="19"/>
      <c r="X88" s="19"/>
      <c r="AM88" s="18" t="s">
        <v>7</v>
      </c>
      <c r="AN88" s="18" t="s">
        <v>7</v>
      </c>
      <c r="AO88" s="18"/>
      <c r="AQ88" s="18"/>
      <c r="AR88" s="18"/>
      <c r="AS88" s="18"/>
      <c r="AT88" s="18"/>
      <c r="AV88" s="18"/>
      <c r="CL88" s="17" t="s">
        <v>1427</v>
      </c>
      <c r="CM88" s="74">
        <f t="shared" si="309"/>
        <v>0.11904761904761904</v>
      </c>
      <c r="CN88" s="18">
        <f>COUNTIFS('ENCUESTA CONDUCTORES'!Q$7:Q$459,"X",'ENCUESTA CONDUCTORES'!$DE$7:$DE$459,"&lt;2007")-CN87-CN86-CN85-CN84</f>
        <v>10</v>
      </c>
      <c r="CO88" s="74"/>
      <c r="CP88" s="74"/>
      <c r="CQ88" s="74"/>
      <c r="CR88" s="18"/>
      <c r="CT88" s="18"/>
      <c r="CU88" s="18"/>
      <c r="CV88" s="18"/>
      <c r="CX88" s="11" t="s">
        <v>1296</v>
      </c>
      <c r="CY88" s="74">
        <f>+CZ88/$CZ$96</f>
        <v>4.878048780487805E-2</v>
      </c>
      <c r="CZ88" s="18">
        <f>+DK5</f>
        <v>4</v>
      </c>
      <c r="DA88" s="74"/>
      <c r="DB88" s="74"/>
      <c r="DD88" s="74"/>
      <c r="DE88" s="74"/>
      <c r="DF88" s="74"/>
      <c r="DG88" s="18"/>
      <c r="DH88" s="18"/>
      <c r="DI88" s="18"/>
      <c r="DJ88" s="18"/>
      <c r="DL88" s="18"/>
      <c r="DM88" s="18"/>
      <c r="DN88" s="18"/>
      <c r="DP88" s="18" t="s">
        <v>468</v>
      </c>
      <c r="DQ88" s="74">
        <f>+DR88/$DR$95</f>
        <v>0.13043478260869565</v>
      </c>
      <c r="DR88" s="18">
        <f>COUNTIFS('ENCUESTA CONDUCTORES'!H$7:H$459,"X",'ENCUESTA CONDUCTORES'!$AI$7:$AI$459,"&lt;250000")</f>
        <v>15</v>
      </c>
      <c r="DS88" s="74"/>
      <c r="DU88" s="74"/>
      <c r="DV88" s="18"/>
      <c r="DW88" s="18"/>
      <c r="DX88" s="18"/>
      <c r="DZ88" s="18"/>
    </row>
    <row r="89" spans="1:130" x14ac:dyDescent="0.25">
      <c r="C89" s="18" t="s">
        <v>7</v>
      </c>
      <c r="D89" s="18" t="s">
        <v>7</v>
      </c>
      <c r="H89" s="18"/>
      <c r="I89" s="18"/>
      <c r="J89" s="18"/>
      <c r="X89" s="19"/>
      <c r="AL89" s="11" t="s">
        <v>1296</v>
      </c>
      <c r="AM89" s="74">
        <f>+AN89/$AN$97</f>
        <v>8.4000000000000005E-2</v>
      </c>
      <c r="AN89" s="18">
        <f>COUNTIFS('ENCUESTA CONDUCTORES'!$AL$7:$AL$459,"X",'ENCUESTA CONDUCTORES'!S$7:S$459,"X",'ENCUESTA CONDUCTORES'!$AX$7:$AX$459,"&lt;1.6")</f>
        <v>21</v>
      </c>
      <c r="AO89" s="74"/>
      <c r="AQ89" s="74"/>
      <c r="AR89" s="18"/>
      <c r="AS89" s="18"/>
      <c r="AT89" s="18"/>
      <c r="AV89" s="18"/>
      <c r="CL89" s="17" t="s">
        <v>1428</v>
      </c>
      <c r="CM89" s="74">
        <f t="shared" si="309"/>
        <v>9.5238095238095233E-2</v>
      </c>
      <c r="CN89" s="18">
        <f>COUNTIFS('ENCUESTA CONDUCTORES'!Q$7:Q$459,"X",'ENCUESTA CONDUCTORES'!$DE$7:$DE$459,"&lt;2011")-CN88-CN87-CN86-CN85-CN84</f>
        <v>8</v>
      </c>
      <c r="CO89" s="74"/>
      <c r="CP89" s="74"/>
      <c r="CQ89" s="74"/>
      <c r="CR89" s="18"/>
      <c r="CT89" s="18"/>
      <c r="CU89" s="18"/>
      <c r="CV89" s="18"/>
      <c r="CX89" s="11" t="s">
        <v>1297</v>
      </c>
      <c r="CY89" s="74">
        <f t="shared" ref="CY89:CY96" si="310">+CZ89/$CZ$96</f>
        <v>6.097560975609756E-2</v>
      </c>
      <c r="CZ89" s="18">
        <f t="shared" ref="CZ89:CZ97" si="311">+DK6</f>
        <v>5</v>
      </c>
      <c r="DA89" s="74"/>
      <c r="DB89" s="74"/>
      <c r="DD89" s="74"/>
      <c r="DE89" s="74"/>
      <c r="DF89" s="74"/>
      <c r="DG89" s="18"/>
      <c r="DH89" s="18"/>
      <c r="DI89" s="18"/>
      <c r="DJ89" s="18"/>
      <c r="DL89" s="18"/>
      <c r="DM89" s="18"/>
      <c r="DN89" s="18"/>
      <c r="DP89" s="18" t="s">
        <v>1458</v>
      </c>
      <c r="DQ89" s="74">
        <f t="shared" ref="DQ89:DQ96" si="312">+DR89/$DR$95</f>
        <v>0.20869565217391303</v>
      </c>
      <c r="DR89" s="18">
        <f>COUNTIFS('ENCUESTA CONDUCTORES'!H$7:H$459,"X",'ENCUESTA CONDUCTORES'!$AI$7:$AI$459,"&lt;500001")-DR88</f>
        <v>24</v>
      </c>
      <c r="DS89" s="74"/>
      <c r="DU89" s="74"/>
      <c r="DV89" s="18"/>
      <c r="DW89" s="18"/>
      <c r="DX89" s="18"/>
      <c r="DZ89" s="18"/>
    </row>
    <row r="90" spans="1:130" x14ac:dyDescent="0.25">
      <c r="B90" s="75" t="s">
        <v>48</v>
      </c>
      <c r="C90" s="74">
        <f t="shared" ref="C90:C98" si="313">+D90/$D$98</f>
        <v>8.3969465648854963E-2</v>
      </c>
      <c r="D90" s="90">
        <f>COUNTIFS('ENCUESTA CONDUCTORES'!S$7:S$459,"X",'ENCUESTA CONDUCTORES'!$BJ$7:$BJ$459,"X")</f>
        <v>33</v>
      </c>
      <c r="E90" s="74"/>
      <c r="G90" s="74"/>
      <c r="H90" s="90"/>
      <c r="I90" s="90"/>
      <c r="J90" s="90"/>
      <c r="L90" s="19"/>
      <c r="N90" s="17" t="s">
        <v>1378</v>
      </c>
      <c r="O90" s="17" t="s">
        <v>431</v>
      </c>
      <c r="P90" s="17" t="s">
        <v>1338</v>
      </c>
      <c r="S90" s="17"/>
      <c r="AL90" s="11" t="s">
        <v>1297</v>
      </c>
      <c r="AM90" s="74">
        <f t="shared" ref="AM90:AM97" si="314">+AN90/$AN$97</f>
        <v>0.14799999999999999</v>
      </c>
      <c r="AN90" s="18">
        <f>COUNTIFS('ENCUESTA CONDUCTORES'!$AL$7:$AL$459,"X",'ENCUESTA CONDUCTORES'!S$7:S$459,"X",'ENCUESTA CONDUCTORES'!$AX$7:$AX$459,"&lt;1.91")-AN89</f>
        <v>37</v>
      </c>
      <c r="AO90" s="74"/>
      <c r="AQ90" s="74"/>
      <c r="AR90" s="18"/>
      <c r="AS90" s="18"/>
      <c r="AT90" s="18"/>
      <c r="AV90" s="18"/>
      <c r="CL90" s="17" t="s">
        <v>1429</v>
      </c>
      <c r="CM90" s="74">
        <f t="shared" si="309"/>
        <v>4.7619047619047616E-2</v>
      </c>
      <c r="CN90" s="18">
        <f>COUNTIFS('ENCUESTA CONDUCTORES'!Q$7:Q$459,"X",'ENCUESTA CONDUCTORES'!$DE$7:$DE$459,"&gt;2010")</f>
        <v>4</v>
      </c>
      <c r="CO90" s="74"/>
      <c r="CP90" s="74"/>
      <c r="CQ90" s="74"/>
      <c r="CR90" s="18"/>
      <c r="CT90" s="18"/>
      <c r="CU90" s="18"/>
      <c r="CV90" s="18"/>
      <c r="CX90" s="11" t="s">
        <v>1298</v>
      </c>
      <c r="CY90" s="74">
        <f t="shared" si="310"/>
        <v>2.4390243902439025E-2</v>
      </c>
      <c r="CZ90" s="18">
        <f t="shared" si="311"/>
        <v>2</v>
      </c>
      <c r="DA90" s="74"/>
      <c r="DB90" s="74"/>
      <c r="DD90" s="74"/>
      <c r="DE90" s="74"/>
      <c r="DF90" s="74"/>
      <c r="DG90" s="18"/>
      <c r="DH90" s="18"/>
      <c r="DI90" s="18"/>
      <c r="DJ90" s="18"/>
      <c r="DL90" s="18"/>
      <c r="DM90" s="18"/>
      <c r="DN90" s="18"/>
      <c r="DP90" s="18" t="s">
        <v>464</v>
      </c>
      <c r="DQ90" s="74">
        <f t="shared" si="312"/>
        <v>0.43478260869565216</v>
      </c>
      <c r="DR90" s="18">
        <f>COUNTIFS('ENCUESTA CONDUCTORES'!H$7:H$459,"X",'ENCUESTA CONDUCTORES'!$AI$7:$AI$459,"&lt;1000001")-DR89-DR88</f>
        <v>50</v>
      </c>
      <c r="DS90" s="74"/>
      <c r="DU90" s="74"/>
      <c r="DV90" s="18"/>
      <c r="DW90" s="18"/>
      <c r="DX90" s="18"/>
      <c r="DZ90" s="18"/>
    </row>
    <row r="91" spans="1:130" x14ac:dyDescent="0.25">
      <c r="B91" s="75" t="s">
        <v>49</v>
      </c>
      <c r="C91" s="74">
        <f t="shared" si="313"/>
        <v>0.10432569974554708</v>
      </c>
      <c r="D91" s="90">
        <f>COUNTIFS('ENCUESTA CONDUCTORES'!S$7:S$459,"X",'ENCUESTA CONDUCTORES'!$BK$7:$BK$459,"X")</f>
        <v>41</v>
      </c>
      <c r="E91" s="74"/>
      <c r="G91" s="74"/>
      <c r="H91" s="90"/>
      <c r="I91" s="90"/>
      <c r="J91" s="90"/>
      <c r="L91" s="19"/>
      <c r="O91" s="18" t="s">
        <v>6</v>
      </c>
      <c r="P91" s="18" t="s">
        <v>6</v>
      </c>
      <c r="R91" s="18"/>
      <c r="S91" s="17"/>
      <c r="T91" s="18"/>
      <c r="U91" s="18"/>
      <c r="W91" s="18"/>
      <c r="AL91" s="11" t="s">
        <v>1298</v>
      </c>
      <c r="AM91" s="74">
        <f t="shared" si="314"/>
        <v>0.1</v>
      </c>
      <c r="AN91" s="18">
        <f>COUNTIFS('ENCUESTA CONDUCTORES'!$AL$7:$AL$459,"X",'ENCUESTA CONDUCTORES'!S$7:S$459,"X",'ENCUESTA CONDUCTORES'!$AX$7:$AX$459,"&lt;2.01")-AN90-AN89</f>
        <v>25</v>
      </c>
      <c r="AO91" s="74"/>
      <c r="AQ91" s="74"/>
      <c r="AR91" s="18"/>
      <c r="AS91" s="18"/>
      <c r="AT91" s="18"/>
      <c r="AV91" s="18"/>
      <c r="CL91" s="17" t="s">
        <v>429</v>
      </c>
      <c r="CM91" s="74">
        <f t="shared" si="309"/>
        <v>1</v>
      </c>
      <c r="CN91" s="18">
        <f t="shared" ref="CN91" si="315">SUM(CN84:CN90)</f>
        <v>84</v>
      </c>
      <c r="CO91" s="74"/>
      <c r="CP91" s="74"/>
      <c r="CQ91" s="74"/>
      <c r="CR91" s="18"/>
      <c r="CT91" s="18"/>
      <c r="CU91" s="18"/>
      <c r="CV91" s="18"/>
      <c r="CX91" s="11" t="s">
        <v>1299</v>
      </c>
      <c r="CY91" s="74">
        <f t="shared" si="310"/>
        <v>7.3170731707317069E-2</v>
      </c>
      <c r="CZ91" s="18">
        <f t="shared" si="311"/>
        <v>6</v>
      </c>
      <c r="DA91" s="74"/>
      <c r="DB91" s="74"/>
      <c r="DD91" s="74"/>
      <c r="DE91" s="74"/>
      <c r="DF91" s="74"/>
      <c r="DG91" s="18"/>
      <c r="DH91" s="18"/>
      <c r="DI91" s="18"/>
      <c r="DJ91" s="18"/>
      <c r="DL91" s="18"/>
      <c r="DM91" s="18"/>
      <c r="DN91" s="18"/>
      <c r="DP91" s="18" t="s">
        <v>465</v>
      </c>
      <c r="DQ91" s="74">
        <f t="shared" si="312"/>
        <v>0.13043478260869565</v>
      </c>
      <c r="DR91" s="18">
        <f>COUNTIFS('ENCUESTA CONDUCTORES'!H$7:H$459,"X",'ENCUESTA CONDUCTORES'!$AI$7:$AI$459,"&lt;1500001")-DR90-DR89-DR88</f>
        <v>15</v>
      </c>
      <c r="DS91" s="74"/>
      <c r="DU91" s="74"/>
      <c r="DV91" s="18"/>
      <c r="DW91" s="18"/>
      <c r="DX91" s="18"/>
      <c r="DZ91" s="18"/>
    </row>
    <row r="92" spans="1:130" x14ac:dyDescent="0.25">
      <c r="B92" s="75" t="s">
        <v>1356</v>
      </c>
      <c r="C92" s="74">
        <f t="shared" si="313"/>
        <v>0.11450381679389313</v>
      </c>
      <c r="D92" s="90">
        <f>COUNTIFS('ENCUESTA CONDUCTORES'!S$7:S$459,"X",'ENCUESTA CONDUCTORES'!$BL$7:$BL$459,"X")+COUNTIFS('ENCUESTA CONDUCTORES'!S$7:S$459,"X",'ENCUESTA CONDUCTORES'!$BR$7:$BR$459,"X")</f>
        <v>45</v>
      </c>
      <c r="E92" s="74"/>
      <c r="G92" s="74"/>
      <c r="H92" s="90"/>
      <c r="I92" s="90"/>
      <c r="J92" s="90"/>
      <c r="L92" s="19"/>
      <c r="N92" s="75" t="s">
        <v>10</v>
      </c>
      <c r="O92" s="127">
        <f>+P92/$P$99</f>
        <v>0.53846153846153844</v>
      </c>
      <c r="P92" s="90">
        <f>COUNTIFS('ENCUESTA CONDUCTORES'!R$7:R$459,"X",'ENCUESTA CONDUCTORES'!$U$7:$U$459,"X")</f>
        <v>7</v>
      </c>
      <c r="R92" s="127"/>
      <c r="S92" s="127"/>
      <c r="T92" s="90"/>
      <c r="U92" s="90"/>
      <c r="W92" s="90"/>
      <c r="X92" s="19"/>
      <c r="AL92" s="11" t="s">
        <v>1299</v>
      </c>
      <c r="AM92" s="74">
        <f t="shared" si="314"/>
        <v>6.8000000000000005E-2</v>
      </c>
      <c r="AN92" s="18">
        <f>COUNTIFS('ENCUESTA CONDUCTORES'!$AL$7:$AL$459,"X",'ENCUESTA CONDUCTORES'!S$7:S$459,"X",'ENCUESTA CONDUCTORES'!$AX$7:$AX$459,"&lt;2.21")-AN91-AN90-AN89</f>
        <v>17</v>
      </c>
      <c r="AO92" s="74"/>
      <c r="AQ92" s="74"/>
      <c r="AR92" s="18"/>
      <c r="AS92" s="18"/>
      <c r="AT92" s="18"/>
      <c r="AV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X92" s="11" t="s">
        <v>1300</v>
      </c>
      <c r="CY92" s="74">
        <f t="shared" si="310"/>
        <v>0.58536585365853655</v>
      </c>
      <c r="CZ92" s="18">
        <f t="shared" si="311"/>
        <v>48</v>
      </c>
      <c r="DA92" s="74"/>
      <c r="DB92" s="74"/>
      <c r="DD92" s="74"/>
      <c r="DE92" s="74"/>
      <c r="DF92" s="74"/>
      <c r="DG92" s="18"/>
      <c r="DH92" s="18"/>
      <c r="DI92" s="18"/>
      <c r="DJ92" s="18"/>
      <c r="DL92" s="18"/>
      <c r="DM92" s="18"/>
      <c r="DN92" s="18"/>
      <c r="DP92" s="18" t="s">
        <v>466</v>
      </c>
      <c r="DQ92" s="74">
        <f t="shared" si="312"/>
        <v>7.8260869565217397E-2</v>
      </c>
      <c r="DR92" s="18">
        <f>COUNTIFS('ENCUESTA CONDUCTORES'!H$7:H$459,"X",'ENCUESTA CONDUCTORES'!$AI$7:$AI$459,"&lt;2000001")-DR91-DR90-DR89-DR88</f>
        <v>9</v>
      </c>
      <c r="DS92" s="74"/>
      <c r="DU92" s="74"/>
      <c r="DV92" s="18"/>
      <c r="DW92" s="18"/>
      <c r="DX92" s="18"/>
      <c r="DZ92" s="18"/>
    </row>
    <row r="93" spans="1:130" x14ac:dyDescent="0.25">
      <c r="B93" s="75" t="s">
        <v>51</v>
      </c>
      <c r="C93" s="74">
        <f t="shared" si="313"/>
        <v>0.10432569974554708</v>
      </c>
      <c r="D93" s="90">
        <f>COUNTIFS('ENCUESTA CONDUCTORES'!S$7:S$459,"X",'ENCUESTA CONDUCTORES'!$BM$7:$BM$459,"X")</f>
        <v>41</v>
      </c>
      <c r="E93" s="74"/>
      <c r="G93" s="74"/>
      <c r="H93" s="90"/>
      <c r="I93" s="90"/>
      <c r="J93" s="90"/>
      <c r="L93" s="19"/>
      <c r="N93" s="75" t="s">
        <v>1352</v>
      </c>
      <c r="O93" s="127">
        <f t="shared" ref="O93:O99" si="316">+P93/$P$99</f>
        <v>0.23076923076923078</v>
      </c>
      <c r="P93" s="90">
        <f>COUNTIFS('ENCUESTA CONDUCTORES'!R$7:R$459,"X",'ENCUESTA CONDUCTORES'!$W$7:$W$459,"X")+COUNTIFS('ENCUESTA CONDUCTORES'!R$7:R$459,"X",'ENCUESTA CONDUCTORES'!$AB$7:$AB$459,"X")+COUNTIFS('ENCUESTA CONDUCTORES'!R$7:R$459,"X",'ENCUESTA CONDUCTORES'!$AC$7:$AC$459,"X")</f>
        <v>3</v>
      </c>
      <c r="R93" s="127"/>
      <c r="S93" s="127"/>
      <c r="T93" s="90"/>
      <c r="U93" s="90"/>
      <c r="W93" s="90"/>
      <c r="X93" s="19"/>
      <c r="AL93" s="11" t="s">
        <v>1300</v>
      </c>
      <c r="AM93" s="74">
        <f t="shared" si="314"/>
        <v>0.51600000000000001</v>
      </c>
      <c r="AN93" s="18">
        <f>COUNTIFS('ENCUESTA CONDUCTORES'!$AL$7:$AL$459,"X",'ENCUESTA CONDUCTORES'!S$7:S$459,"X",'ENCUESTA CONDUCTORES'!$AX$7:$AX$459,"&lt;2.51")-AN92-AN91-AN90-AN89</f>
        <v>129</v>
      </c>
      <c r="AO93" s="74"/>
      <c r="AQ93" s="74"/>
      <c r="AR93" s="18"/>
      <c r="AS93" s="18"/>
      <c r="AT93" s="18"/>
      <c r="AV93" s="18"/>
      <c r="CX93" s="11" t="s">
        <v>1301</v>
      </c>
      <c r="CY93" s="74">
        <f t="shared" si="310"/>
        <v>9.7560975609756101E-2</v>
      </c>
      <c r="CZ93" s="18">
        <f t="shared" si="311"/>
        <v>8</v>
      </c>
      <c r="DA93" s="74"/>
      <c r="DB93" s="74"/>
      <c r="DD93" s="74"/>
      <c r="DE93" s="74"/>
      <c r="DF93" s="74"/>
      <c r="DG93" s="18"/>
      <c r="DH93" s="18"/>
      <c r="DI93" s="18"/>
      <c r="DJ93" s="18"/>
      <c r="DL93" s="18"/>
      <c r="DM93" s="18"/>
      <c r="DN93" s="18"/>
      <c r="DP93" s="18" t="s">
        <v>467</v>
      </c>
      <c r="DQ93" s="74">
        <f t="shared" si="312"/>
        <v>1.7391304347826087E-2</v>
      </c>
      <c r="DR93" s="18">
        <f>COUNTIFS('ENCUESTA CONDUCTORES'!H$7:H$459,"X",'ENCUESTA CONDUCTORES'!$AI$7:$AI$459,"&lt;2500001")-DR92-DR91-DR90-DR89-DR88</f>
        <v>2</v>
      </c>
      <c r="DS93" s="74"/>
      <c r="DU93" s="74"/>
      <c r="DV93" s="18"/>
      <c r="DW93" s="18"/>
      <c r="DX93" s="18"/>
      <c r="DZ93" s="18"/>
    </row>
    <row r="94" spans="1:130" ht="25.5" x14ac:dyDescent="0.25">
      <c r="B94" s="75" t="s">
        <v>1357</v>
      </c>
      <c r="C94" s="74">
        <f t="shared" si="313"/>
        <v>0.38167938931297712</v>
      </c>
      <c r="D94" s="90">
        <f>COUNTIFS('ENCUESTA CONDUCTORES'!S$7:S$459,"X",'ENCUESTA CONDUCTORES'!$BN$7:$BN$459,"X")+COUNTIFS('ENCUESTA CONDUCTORES'!S$7:S$459,"X",'ENCUESTA CONDUCTORES'!$BP$7:$BP$459,"X")</f>
        <v>150</v>
      </c>
      <c r="E94" s="74"/>
      <c r="G94" s="74"/>
      <c r="H94" s="90"/>
      <c r="I94" s="90"/>
      <c r="J94" s="90"/>
      <c r="L94" s="19"/>
      <c r="N94" s="75" t="s">
        <v>13</v>
      </c>
      <c r="O94" s="127">
        <f t="shared" si="316"/>
        <v>0.15384615384615385</v>
      </c>
      <c r="P94" s="90">
        <f>COUNTIFS('ENCUESTA CONDUCTORES'!R$7:R$459,"X",'ENCUESTA CONDUCTORES'!$V$7:$V$459,"X")+COUNTIFS('ENCUESTA CONDUCTORES'!R$7:R$459,"X",'ENCUESTA CONDUCTORES'!$X$7:$X$459,"X")</f>
        <v>2</v>
      </c>
      <c r="R94" s="127"/>
      <c r="S94" s="127"/>
      <c r="T94" s="90"/>
      <c r="U94" s="90"/>
      <c r="W94" s="90"/>
      <c r="X94" s="19"/>
      <c r="AL94" s="11" t="s">
        <v>1301</v>
      </c>
      <c r="AM94" s="74">
        <f t="shared" si="314"/>
        <v>7.1999999999999995E-2</v>
      </c>
      <c r="AN94" s="18">
        <f>COUNTIFS('ENCUESTA CONDUCTORES'!$AL$7:$AL$459,"X",'ENCUESTA CONDUCTORES'!S$7:S$459,"X",'ENCUESTA CONDUCTORES'!$AX$7:$AX$459,"&lt;3.01")-AN93-AN92-AN91-AN90-AN89</f>
        <v>18</v>
      </c>
      <c r="AO94" s="74"/>
      <c r="AQ94" s="74"/>
      <c r="AR94" s="18"/>
      <c r="AS94" s="18"/>
      <c r="AT94" s="18"/>
      <c r="AV94" s="18"/>
      <c r="CL94" s="17" t="s">
        <v>1439</v>
      </c>
      <c r="CX94" s="11" t="s">
        <v>1302</v>
      </c>
      <c r="CY94" s="74">
        <f t="shared" si="310"/>
        <v>9.7560975609756101E-2</v>
      </c>
      <c r="CZ94" s="18">
        <f t="shared" si="311"/>
        <v>8</v>
      </c>
      <c r="DA94" s="74"/>
      <c r="DB94" s="74"/>
      <c r="DD94" s="74"/>
      <c r="DE94" s="74"/>
      <c r="DF94" s="74"/>
      <c r="DG94" s="18"/>
      <c r="DH94" s="18"/>
      <c r="DI94" s="18"/>
      <c r="DJ94" s="18"/>
      <c r="DL94" s="18"/>
      <c r="DM94" s="18"/>
      <c r="DN94" s="18"/>
      <c r="DP94" s="18" t="s">
        <v>469</v>
      </c>
      <c r="DQ94" s="74">
        <f t="shared" si="312"/>
        <v>0</v>
      </c>
      <c r="DR94" s="18">
        <f>COUNTIFS('ENCUESTA CONDUCTORES'!H$7:H$459,"X",'ENCUESTA CONDUCTORES'!$AI$7:$AI$459,"&gt;2500000")</f>
        <v>0</v>
      </c>
      <c r="DS94" s="74"/>
      <c r="DU94" s="74"/>
      <c r="DV94" s="18"/>
      <c r="DW94" s="18"/>
      <c r="DX94" s="18"/>
      <c r="DZ94" s="18"/>
    </row>
    <row r="95" spans="1:130" x14ac:dyDescent="0.25">
      <c r="B95" s="75" t="s">
        <v>131</v>
      </c>
      <c r="C95" s="74">
        <f t="shared" si="313"/>
        <v>4.0712468193384227E-2</v>
      </c>
      <c r="D95" s="90">
        <f>COUNTIFS('ENCUESTA CONDUCTORES'!S$7:S$459,"X",'ENCUESTA CONDUCTORES'!$BO$7:$BO$459,"X")</f>
        <v>16</v>
      </c>
      <c r="E95" s="74"/>
      <c r="G95" s="74"/>
      <c r="H95" s="90"/>
      <c r="I95" s="90"/>
      <c r="J95" s="90"/>
      <c r="L95" s="19"/>
      <c r="N95" s="75" t="s">
        <v>14</v>
      </c>
      <c r="O95" s="127">
        <f t="shared" si="316"/>
        <v>0</v>
      </c>
      <c r="P95" s="90">
        <f>COUNTIFS('ENCUESTA CONDUCTORES'!R$7:R$459,"X",'ENCUESTA CONDUCTORES'!$Y$7:$Y$459,"X")</f>
        <v>0</v>
      </c>
      <c r="R95" s="127"/>
      <c r="S95" s="127"/>
      <c r="T95" s="90"/>
      <c r="U95" s="90"/>
      <c r="W95" s="90"/>
      <c r="X95" s="19"/>
      <c r="AL95" s="11" t="s">
        <v>1302</v>
      </c>
      <c r="AM95" s="74">
        <f t="shared" si="314"/>
        <v>1.2E-2</v>
      </c>
      <c r="AN95" s="18">
        <f>COUNTIFS('ENCUESTA CONDUCTORES'!$AL$7:$AL$459,"X",'ENCUESTA CONDUCTORES'!S$7:S$459,"X",'ENCUESTA CONDUCTORES'!$AX$7:$AX$459,"&lt;4.01")-AN94-AN93-AN92-AN91-AN90-AN89</f>
        <v>3</v>
      </c>
      <c r="AO95" s="74"/>
      <c r="AQ95" s="74"/>
      <c r="AR95" s="18"/>
      <c r="AS95" s="18"/>
      <c r="AT95" s="18"/>
      <c r="AV95" s="18"/>
      <c r="CM95" s="18" t="s">
        <v>6</v>
      </c>
      <c r="CN95" s="18" t="s">
        <v>6</v>
      </c>
      <c r="CP95" s="18"/>
      <c r="CQ95" s="18"/>
      <c r="CR95" s="18"/>
      <c r="CS95" s="18"/>
      <c r="CU95" s="18"/>
      <c r="CV95" s="18"/>
      <c r="CX95" s="11" t="s">
        <v>1385</v>
      </c>
      <c r="CY95" s="74">
        <f t="shared" si="310"/>
        <v>1.2195121951219513E-2</v>
      </c>
      <c r="CZ95" s="18">
        <f t="shared" si="311"/>
        <v>1</v>
      </c>
      <c r="DA95" s="74"/>
      <c r="DB95" s="74"/>
      <c r="DD95" s="74"/>
      <c r="DE95" s="74"/>
      <c r="DF95" s="74"/>
      <c r="DG95" s="18"/>
      <c r="DH95" s="18"/>
      <c r="DI95" s="18"/>
      <c r="DJ95" s="18"/>
      <c r="DL95" s="18"/>
      <c r="DM95" s="18"/>
      <c r="DN95" s="18"/>
      <c r="DP95" s="17" t="s">
        <v>429</v>
      </c>
      <c r="DQ95" s="74">
        <f t="shared" si="312"/>
        <v>1</v>
      </c>
      <c r="DR95" s="18">
        <f t="shared" ref="DR95" si="317">SUM(DR88:DR94)</f>
        <v>115</v>
      </c>
      <c r="DS95" s="74"/>
      <c r="DU95" s="74"/>
      <c r="DV95" s="18"/>
      <c r="DW95" s="18"/>
      <c r="DX95" s="18"/>
      <c r="DZ95" s="18"/>
    </row>
    <row r="96" spans="1:130" x14ac:dyDescent="0.25">
      <c r="B96" s="75" t="s">
        <v>55</v>
      </c>
      <c r="C96" s="74">
        <f t="shared" si="313"/>
        <v>3.8167938931297711E-2</v>
      </c>
      <c r="D96" s="90">
        <f>COUNTIFS('ENCUESTA CONDUCTORES'!S$7:S$459,"X",'ENCUESTA CONDUCTORES'!$BQ$7:$BQ$459,"X")</f>
        <v>15</v>
      </c>
      <c r="E96" s="74"/>
      <c r="G96" s="74"/>
      <c r="H96" s="90"/>
      <c r="I96" s="90"/>
      <c r="J96" s="90"/>
      <c r="L96" s="19"/>
      <c r="N96" s="75" t="s">
        <v>1353</v>
      </c>
      <c r="O96" s="127">
        <f t="shared" si="316"/>
        <v>0</v>
      </c>
      <c r="P96" s="90">
        <f>COUNTIFS('ENCUESTA CONDUCTORES'!R$7:R$459,"X",'ENCUESTA CONDUCTORES'!$AA$7:$AA$459,"X")+COUNTIFS('ENCUESTA CONDUCTORES'!R$7:R$459,"X",'ENCUESTA CONDUCTORES'!$AE$7:$AE$459,"X")</f>
        <v>0</v>
      </c>
      <c r="R96" s="127"/>
      <c r="S96" s="127"/>
      <c r="T96" s="90"/>
      <c r="U96" s="90"/>
      <c r="W96" s="90"/>
      <c r="X96" s="19"/>
      <c r="AL96" s="11" t="s">
        <v>1385</v>
      </c>
      <c r="AM96" s="74">
        <f t="shared" si="314"/>
        <v>0</v>
      </c>
      <c r="AN96" s="18">
        <f>COUNTIFS('ENCUESTA CONDUCTORES'!$AL$7:$AL$459,"X",'ENCUESTA CONDUCTORES'!S$7:S$459,"X",'ENCUESTA CONDUCTORES'!$AX$7:$AX$459,"&gt;4")</f>
        <v>0</v>
      </c>
      <c r="AO96" s="74"/>
      <c r="AQ96" s="74"/>
      <c r="AR96" s="18"/>
      <c r="AS96" s="18"/>
      <c r="AT96" s="18"/>
      <c r="AV96" s="18"/>
      <c r="CL96" s="17" t="s">
        <v>1423</v>
      </c>
      <c r="CM96" s="74">
        <f>+CN96/$CN$103</f>
        <v>0.15384615384615385</v>
      </c>
      <c r="CN96" s="18">
        <f>COUNTIFS('ENCUESTA CONDUCTORES'!R$7:R$459,"X",'ENCUESTA CONDUCTORES'!$DE$7:$DE$459,"&lt;1991")</f>
        <v>2</v>
      </c>
      <c r="CP96" s="74"/>
      <c r="CQ96" s="74"/>
      <c r="CR96" s="18"/>
      <c r="CS96" s="18"/>
      <c r="CU96" s="18"/>
      <c r="CV96" s="18"/>
      <c r="CX96" s="11" t="s">
        <v>429</v>
      </c>
      <c r="CY96" s="74">
        <f t="shared" si="310"/>
        <v>1</v>
      </c>
      <c r="CZ96" s="18">
        <f t="shared" si="311"/>
        <v>82</v>
      </c>
      <c r="DA96" s="74"/>
      <c r="DB96" s="74"/>
      <c r="DD96" s="74"/>
      <c r="DE96" s="74"/>
      <c r="DF96" s="74"/>
      <c r="DG96" s="18"/>
      <c r="DH96" s="18"/>
      <c r="DI96" s="18"/>
      <c r="DJ96" s="18"/>
      <c r="DL96" s="18"/>
      <c r="DM96" s="18"/>
      <c r="DN96" s="18"/>
      <c r="DP96" s="17" t="s">
        <v>1459</v>
      </c>
      <c r="DQ96" s="74">
        <f t="shared" si="312"/>
        <v>7.8260869565217397E-2</v>
      </c>
      <c r="DR96" s="18">
        <f>COUNTIFS('ENCUESTA CONDUCTORES'!H$7:H$459,"X",'ENCUESTA CONDUCTORES'!$AI$7:$AI$459,"NO SABE")+COUNTIFS('ENCUESTA CONDUCTORES'!H$7:H$459,"X",'ENCUESTA CONDUCTORES'!$AI$7:$AI$459,"NO CONTESTA")+COUNTIFS('ENCUESTA CONDUCTORES'!H$7:H$459,"X",'ENCUESTA CONDUCTORES'!$AI$7:$AI$459,"DAÑADO")</f>
        <v>9</v>
      </c>
      <c r="DS96" s="18"/>
      <c r="DT96" s="18"/>
      <c r="DU96" s="18"/>
      <c r="DV96" s="18"/>
      <c r="DW96" s="18"/>
      <c r="DX96" s="18"/>
      <c r="DZ96" s="18"/>
    </row>
    <row r="97" spans="1:130" x14ac:dyDescent="0.25">
      <c r="B97" s="75" t="s">
        <v>1358</v>
      </c>
      <c r="C97" s="74">
        <f t="shared" si="313"/>
        <v>0.13231552162849872</v>
      </c>
      <c r="D97" s="90">
        <f>COUNTIFS('ENCUESTA CONDUCTORES'!S$7:S$459,"X",'ENCUESTA CONDUCTORES'!$BS$7:$BS$459,"CARRITOS DE GOLF")+COUNTIFS('ENCUESTA CONDUCTORES'!S$7:S$459,"X",'ENCUESTA CONDUCTORES'!$BS$7:$BS$459,"MERCANCIA SECA")+COUNTIFS('ENCUESTA CONDUCTORES'!S$7:S$459,"X",'ENCUESTA CONDUCTORES'!$BS$7:$BS$459,"PAPELERIA")+COUNTIFS('ENCUESTA CONDUCTORES'!S$7:S$459,"X",'ENCUESTA CONDUCTORES'!$BS$7:$BS$459,"GENERAL")+COUNTIFS('ENCUESTA CONDUCTORES'!S$7:S$459,"X",'ENCUESTA CONDUCTORES'!$BS$7:$BS$459,"MAQUINARIA")+COUNTIFS('ENCUESTA CONDUCTORES'!S$7:S$459,"X",'ENCUESTA CONDUCTORES'!$BS$7:$BS$459,"CONTENEDOR")+COUNTIFS('ENCUESTA CONDUCTORES'!S$7:S$459,"X",'ENCUESTA CONDUCTORES'!$BS$7:$BS$459,"MEDICAMENTOS")+COUNTIFS('ENCUESTA CONDUCTORES'!S$7:S$459,"X",'ENCUESTA CONDUCTORES'!$BS$7:$BS$459,"AGUA POTABLE")+COUNTIFS('ENCUESTA CONDUCTORES'!S$7:S$459,"X",'ENCUESTA CONDUCTORES'!$BS$7:$BS$459,"MUDANZAS")+COUNTIFS('ENCUESTA CONDUCTORES'!S$7:S$459,"X",'ENCUESTA CONDUCTORES'!$BS$7:$BS$459,"JABON")+COUNTIFS('ENCUESTA CONDUCTORES'!S$7:S$459,"X",'ENCUESTA CONDUCTORES'!$BS$7:$BS$459,"ACEITE")+COUNTIFS('ENCUESTA CONDUCTORES'!S$7:S$459,"X",'ENCUESTA CONDUCTORES'!$BS$7:$BS$459,"POLIETILENO")+COUNTIFS('ENCUESTA CONDUCTORES'!S$7:S$459,"X",'ENCUESTA CONDUCTORES'!$BS$7:$BS$459,"ELECTRODOMÉSTICOS")+COUNTIFS('ENCUESTA CONDUCTORES'!S$7:S$459,"X",'ENCUESTA CONDUCTORES'!$BS$7:$BS$459,"MUEBLES")+COUNTIFS('ENCUESTA CONDUCTORES'!S$7:S$459,"X",'ENCUESTA CONDUCTORES'!$BS$7:$BS$459,"CHATARRA")+COUNTIFS('ENCUESTA CONDUCTORES'!S$7:S$459,"X",'ENCUESTA CONDUCTORES'!$BS$7:$BS$459,"LLANTAS")+COUNTIFS('ENCUESTA CONDUCTORES'!S$7:S$459,"X",'ENCUESTA CONDUCTORES'!$BS$7:$BS$459,"AGUA")+COUNTIFS('ENCUESTA CONDUCTORES'!S$7:S$459,"X",'ENCUESTA CONDUCTORES'!$BS$7:$BS$459,"ANIMALES")+COUNTIFS('ENCUESTA CONDUCTORES'!S$7:S$459,"X",'ENCUESTA CONDUCTORES'!$BS$7:$BS$459,"TV REFRIGERADORES")+COUNTIFS('ENCUESTA CONDUCTORES'!S$7:S$459,"X",'ENCUESTA CONDUCTORES'!$BS$7:$BS$459,"LÍNEA BLANCA")+COUNTIFS('ENCUESTA CONDUCTORES'!S$7:S$459,"X",'ENCUESTA CONDUCTORES'!$BS$7:$BS$459,"IMPORTACIÓN / EXPORTACIÓN")+COUNTIFS('ENCUESTA CONDUCTORES'!S$7:S$459,"X",'ENCUESTA CONDUCTORES'!$BS$7:$BS$459,"PLASTICO")+COUNTIFS('ENCUESTA CONDUCTORES'!S$7:S$459,"X",'ENCUESTA CONDUCTORES'!$BS$7:$BS$459,"ROPA")+COUNTIFS('ENCUESTA CONDUCTORES'!S$7:S$459,"X",'ENCUESTA CONDUCTORES'!$BS$7:$BS$459,"CHATARRA")+COUNTIFS('ENCUESTA CONDUCTORES'!S$7:S$459,"X",'ENCUESTA CONDUCTORES'!$BS$7:$BS$459,"MEDICAMENTO NUTRICIONAL")+COUNTIFS('ENCUESTA CONDUCTORES'!S$7:S$459,"X",'ENCUESTA CONDUCTORES'!$BS$7:$BS$459,"PRODUCTOS DE BELLEZA")+COUNTIFS('ENCUESTA CONDUCTORES'!S$7:S$459,"X",'ENCUESTA CONDUCTORES'!$BS$7:$BS$459,"FORRAJE")+COUNTIFS('ENCUESTA CONDUCTORES'!S$7:S$459,"X",'ENCUESTA CONDUCTORES'!$BS$7:$BS$459,"VALORES")+COUNTIFS('ENCUESTA CONDUCTORES'!S$7:S$459,"X",'ENCUESTA CONDUCTORES'!$BS$7:$BS$459,"PAQUETERIA")+COUNTIFS('ENCUESTA CONDUCTORES'!S$7:S$459,"X",'ENCUESTA CONDUCTORES'!$BS$7:$BS$459,"SECOS")+COUNTIFS('ENCUESTA CONDUCTORES'!S$7:S$459,"X",'ENCUESTA CONDUCTORES'!$BS$7:$BS$459,"PANTALLAS")+COUNTIFS('ENCUESTA CONDUCTORES'!S$7:S$459,"X",'ENCUESTA CONDUCTORES'!$BS$7:$BS$459,"BOTELLAS")+COUNTIFS('ENCUESTA CONDUCTORES'!S$7:S$459,"X",'ENCUESTA CONDUCTORES'!$BS$7:$BS$459,"PRODUCTOS DE HIGIENE PERSONAL")+COUNTIFS('ENCUESTA CONDUCTORES'!S$7:S$459,"X",'ENCUESTA CONDUCTORES'!$BS$7:$BS$459,"ELECTRONICA, LINEA BLANCA")+COUNTIFS('ENCUESTA CONDUCTORES'!S$7:S$459,"X",'ENCUESTA CONDUCTORES'!$BS$7:$BS$459,"CONTENEDORES")</f>
        <v>52</v>
      </c>
      <c r="E97" s="74"/>
      <c r="G97" s="74"/>
      <c r="H97" s="90"/>
      <c r="I97" s="90"/>
      <c r="J97" s="90"/>
      <c r="L97" s="19"/>
      <c r="N97" s="75" t="s">
        <v>1354</v>
      </c>
      <c r="O97" s="127">
        <f t="shared" si="316"/>
        <v>7.6923076923076927E-2</v>
      </c>
      <c r="P97" s="90">
        <f>COUNTIFS('ENCUESTA CONDUCTORES'!R$7:R$459,"X",'ENCUESTA CONDUCTORES'!$AD$7:$AD$459,"X")+COUNTIFS('ENCUESTA CONDUCTORES'!R$7:R$459,"X",'ENCUESTA CONDUCTORES'!$AF$7:$AF$459,"X")</f>
        <v>1</v>
      </c>
      <c r="R97" s="127"/>
      <c r="S97" s="127"/>
      <c r="T97" s="90"/>
      <c r="U97" s="90"/>
      <c r="W97" s="90"/>
      <c r="X97" s="19"/>
      <c r="AL97" s="11" t="s">
        <v>429</v>
      </c>
      <c r="AM97" s="74">
        <f t="shared" si="314"/>
        <v>1</v>
      </c>
      <c r="AN97" s="18">
        <f t="shared" ref="AN97" si="318">SUM(AN89:AN96)</f>
        <v>250</v>
      </c>
      <c r="AO97" s="74"/>
      <c r="AQ97" s="74"/>
      <c r="AR97" s="18"/>
      <c r="AS97" s="18"/>
      <c r="AT97" s="18"/>
      <c r="AV97" s="18"/>
      <c r="CL97" s="17" t="s">
        <v>1424</v>
      </c>
      <c r="CM97" s="74">
        <f t="shared" ref="CM97:CM103" si="319">+CN97/$CN$103</f>
        <v>0</v>
      </c>
      <c r="CN97" s="18">
        <f>COUNTIFS('ENCUESTA CONDUCTORES'!R$7:R$459,"X",'ENCUESTA CONDUCTORES'!$DE$7:$DE$459,"&lt;1994")-CN96</f>
        <v>0</v>
      </c>
      <c r="CP97" s="74"/>
      <c r="CQ97" s="74"/>
      <c r="CR97" s="18"/>
      <c r="CS97" s="18"/>
      <c r="CU97" s="18"/>
      <c r="CV97" s="18"/>
      <c r="CX97" s="17" t="s">
        <v>193</v>
      </c>
      <c r="CY97" s="18"/>
      <c r="CZ97" s="18">
        <f t="shared" si="311"/>
        <v>0</v>
      </c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L97" s="18"/>
      <c r="DM97" s="18"/>
      <c r="DN97" s="18"/>
      <c r="DQ97" s="18"/>
      <c r="DR97" s="18"/>
      <c r="DS97" s="18"/>
      <c r="DT97" s="18"/>
      <c r="DU97" s="18"/>
      <c r="DV97" s="18"/>
      <c r="DW97" s="18"/>
      <c r="DX97" s="18"/>
      <c r="DY97" s="18"/>
      <c r="DZ97" s="19"/>
    </row>
    <row r="98" spans="1:130" x14ac:dyDescent="0.25">
      <c r="B98" s="75" t="s">
        <v>1333</v>
      </c>
      <c r="C98" s="74">
        <f t="shared" si="313"/>
        <v>1</v>
      </c>
      <c r="D98" s="19">
        <f t="shared" ref="D98" si="320">SUM(D90:D97)</f>
        <v>393</v>
      </c>
      <c r="E98" s="74"/>
      <c r="G98" s="74"/>
      <c r="H98" s="19"/>
      <c r="I98" s="19"/>
      <c r="J98" s="19"/>
      <c r="L98" s="19"/>
      <c r="N98" s="75" t="s">
        <v>1355</v>
      </c>
      <c r="O98" s="127">
        <f t="shared" si="316"/>
        <v>0</v>
      </c>
      <c r="P98" s="90">
        <f>COUNTIFS('ENCUESTA CONDUCTORES'!R$7:R$459,"X",'ENCUESTA CONDUCTORES'!$AG$7:$AG$459,"FULL")</f>
        <v>0</v>
      </c>
      <c r="R98" s="127"/>
      <c r="S98" s="127"/>
      <c r="T98" s="90"/>
      <c r="U98" s="90"/>
      <c r="W98" s="90"/>
      <c r="X98" s="19"/>
      <c r="AL98" s="17" t="s">
        <v>193</v>
      </c>
      <c r="AM98" s="18"/>
      <c r="AN98" s="18">
        <f>COUNTIFS('ENCUESTA CONDUCTORES'!$AL$7:$AL$459,"X",'ENCUESTA CONDUCTORES'!S$7:S$459,"X",'ENCUESTA CONDUCTORES'!$AX$7:$AX$459,"NO SABE")</f>
        <v>0</v>
      </c>
      <c r="AO98" s="18"/>
      <c r="AQ98" s="18"/>
      <c r="AR98" s="18"/>
      <c r="AS98" s="18"/>
      <c r="AT98" s="18"/>
      <c r="AV98" s="18"/>
      <c r="CL98" s="17" t="s">
        <v>1425</v>
      </c>
      <c r="CM98" s="74">
        <f t="shared" si="319"/>
        <v>7.6923076923076927E-2</v>
      </c>
      <c r="CN98" s="18">
        <f>COUNTIFS('ENCUESTA CONDUCTORES'!R$7:R$459,"X",'ENCUESTA CONDUCTORES'!$DE$7:$DE$459,"&lt;1998")-CN97-CN96</f>
        <v>1</v>
      </c>
      <c r="CP98" s="74"/>
      <c r="CQ98" s="74"/>
      <c r="CR98" s="18"/>
      <c r="CS98" s="18"/>
      <c r="CU98" s="18"/>
      <c r="CV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P98" s="17" t="s">
        <v>1502</v>
      </c>
    </row>
    <row r="99" spans="1:130" x14ac:dyDescent="0.25">
      <c r="D99" s="17"/>
      <c r="L99" s="19"/>
      <c r="N99" s="17" t="s">
        <v>429</v>
      </c>
      <c r="O99" s="127">
        <f t="shared" si="316"/>
        <v>1</v>
      </c>
      <c r="P99" s="19">
        <f>SUM(P92:P98)</f>
        <v>13</v>
      </c>
      <c r="R99" s="127"/>
      <c r="S99" s="127"/>
      <c r="T99" s="19"/>
      <c r="U99" s="19"/>
      <c r="W99" s="19"/>
      <c r="X99" s="19"/>
      <c r="AM99" s="18"/>
      <c r="AN99" s="18"/>
      <c r="AO99" s="18"/>
      <c r="AQ99" s="18"/>
      <c r="AR99" s="18"/>
      <c r="AS99" s="18"/>
      <c r="AT99" s="18"/>
      <c r="AV99" s="18"/>
      <c r="CL99" s="17" t="s">
        <v>1426</v>
      </c>
      <c r="CM99" s="74">
        <f t="shared" si="319"/>
        <v>0.23076923076923078</v>
      </c>
      <c r="CN99" s="18">
        <f>COUNTIFS('ENCUESTA CONDUCTORES'!R$7:R$459,"X",'ENCUESTA CONDUCTORES'!$DE$7:$DE$459,"&lt;2004")-CN98-CN97-CN96</f>
        <v>3</v>
      </c>
      <c r="CP99" s="74"/>
      <c r="CQ99" s="74"/>
      <c r="CR99" s="18"/>
      <c r="CS99" s="18"/>
      <c r="CU99" s="18"/>
      <c r="CV99" s="18"/>
      <c r="CX99" s="57" t="s">
        <v>1448</v>
      </c>
      <c r="DP99" s="17" t="s">
        <v>461</v>
      </c>
      <c r="DQ99" s="17" t="s">
        <v>1503</v>
      </c>
    </row>
    <row r="100" spans="1:130" x14ac:dyDescent="0.25">
      <c r="B100" s="17" t="s">
        <v>856</v>
      </c>
      <c r="D100" s="90">
        <f>COUNTIFS('ENCUESTA CONDUCTORES'!S$7:S$459,"X",'ENCUESTA CONDUCTORES'!$BS$7:$BS$459,$B$40)</f>
        <v>0</v>
      </c>
      <c r="H100" s="90"/>
      <c r="I100" s="90"/>
      <c r="J100" s="90"/>
      <c r="L100" s="19"/>
      <c r="X100" s="19"/>
      <c r="AN100" s="18"/>
      <c r="AO100" s="18"/>
      <c r="AP100" s="18"/>
      <c r="AQ100" s="18"/>
      <c r="AR100" s="18"/>
      <c r="AS100" s="18"/>
      <c r="AT100" s="18"/>
      <c r="AU100" s="18"/>
      <c r="AV100" s="18"/>
      <c r="CL100" s="17" t="s">
        <v>1427</v>
      </c>
      <c r="CM100" s="74">
        <f t="shared" si="319"/>
        <v>7.6923076923076927E-2</v>
      </c>
      <c r="CN100" s="18">
        <f>COUNTIFS('ENCUESTA CONDUCTORES'!R$7:R$459,"X",'ENCUESTA CONDUCTORES'!$DE$7:$DE$459,"&lt;2007")-CN99-CN98-CN97-CN96</f>
        <v>1</v>
      </c>
      <c r="CP100" s="74"/>
      <c r="CQ100" s="74"/>
      <c r="CR100" s="18"/>
      <c r="CS100" s="18"/>
      <c r="CU100" s="18"/>
      <c r="CV100" s="18"/>
      <c r="CY100" s="17" t="s">
        <v>1428</v>
      </c>
      <c r="CZ100" s="17" t="s">
        <v>1428</v>
      </c>
      <c r="DP100" s="18">
        <v>1976</v>
      </c>
      <c r="DQ100" s="19">
        <f>AVERAGEIF('ENCUESTA CONDUCTORES'!$AH$7:$AH$459,DP100,'ENCUESTA CONDUCTORES'!$AI$7:$AI$459)</f>
        <v>2337500</v>
      </c>
    </row>
    <row r="101" spans="1:130" x14ac:dyDescent="0.25">
      <c r="D101" s="17"/>
      <c r="L101" s="19"/>
      <c r="N101" s="17" t="s">
        <v>1379</v>
      </c>
      <c r="O101" s="17" t="s">
        <v>431</v>
      </c>
      <c r="P101" s="17" t="s">
        <v>1338</v>
      </c>
      <c r="CL101" s="17" t="s">
        <v>1428</v>
      </c>
      <c r="CM101" s="74">
        <f t="shared" si="319"/>
        <v>0.38461538461538464</v>
      </c>
      <c r="CN101" s="18">
        <f>COUNTIFS('ENCUESTA CONDUCTORES'!R$7:R$459,"X",'ENCUESTA CONDUCTORES'!$DE$7:$DE$459,"&lt;2011")-CN100-CN99-CN98-CN97-CN96</f>
        <v>5</v>
      </c>
      <c r="CP101" s="74"/>
      <c r="CQ101" s="74"/>
      <c r="CR101" s="18"/>
      <c r="CS101" s="18"/>
      <c r="CU101" s="18"/>
      <c r="CV101" s="18"/>
      <c r="CX101" s="11" t="s">
        <v>1296</v>
      </c>
      <c r="CY101" s="74">
        <f>+CZ101/$CZ$109</f>
        <v>8.5714285714285715E-2</v>
      </c>
      <c r="CZ101" s="18">
        <f>+DL5</f>
        <v>9</v>
      </c>
      <c r="DA101" s="74"/>
      <c r="DB101" s="74"/>
      <c r="DC101" s="74"/>
      <c r="DE101" s="74"/>
      <c r="DF101" s="74"/>
      <c r="DG101" s="18"/>
      <c r="DH101" s="18"/>
      <c r="DI101" s="18"/>
      <c r="DJ101" s="18"/>
      <c r="DK101" s="18"/>
      <c r="DM101" s="18"/>
      <c r="DN101" s="18"/>
      <c r="DP101" s="18">
        <v>1978</v>
      </c>
      <c r="DQ101" s="19">
        <f>AVERAGEIF('ENCUESTA CONDUCTORES'!$AH$7:$AH$459,DP101,'ENCUESTA CONDUCTORES'!$AI$7:$AI$459)</f>
        <v>1825000</v>
      </c>
    </row>
    <row r="102" spans="1:130" x14ac:dyDescent="0.25">
      <c r="O102" s="18" t="s">
        <v>7</v>
      </c>
      <c r="P102" s="18" t="s">
        <v>7</v>
      </c>
      <c r="Q102" s="18"/>
      <c r="S102" s="17"/>
      <c r="T102" s="18"/>
      <c r="U102" s="18"/>
      <c r="V102" s="18"/>
      <c r="AL102" s="57" t="s">
        <v>1393</v>
      </c>
      <c r="AS102" s="17" t="s">
        <v>1392</v>
      </c>
      <c r="CL102" s="17" t="s">
        <v>1429</v>
      </c>
      <c r="CM102" s="74">
        <f t="shared" si="319"/>
        <v>7.6923076923076927E-2</v>
      </c>
      <c r="CN102" s="18">
        <f>COUNTIFS('ENCUESTA CONDUCTORES'!R$7:R$459,"X",'ENCUESTA CONDUCTORES'!$DE$7:$DE$459,"&gt;2010")</f>
        <v>1</v>
      </c>
      <c r="CP102" s="74"/>
      <c r="CQ102" s="74"/>
      <c r="CR102" s="18"/>
      <c r="CS102" s="18"/>
      <c r="CU102" s="18"/>
      <c r="CV102" s="18"/>
      <c r="CX102" s="11" t="s">
        <v>1297</v>
      </c>
      <c r="CY102" s="74">
        <f t="shared" ref="CY102:CY109" si="321">+CZ102/$CZ$109</f>
        <v>5.7142857142857141E-2</v>
      </c>
      <c r="CZ102" s="18">
        <f t="shared" ref="CZ102:CZ110" si="322">+DL6</f>
        <v>6</v>
      </c>
      <c r="DA102" s="74"/>
      <c r="DB102" s="74"/>
      <c r="DC102" s="74"/>
      <c r="DE102" s="74"/>
      <c r="DF102" s="74"/>
      <c r="DG102" s="18"/>
      <c r="DH102" s="18"/>
      <c r="DI102" s="18"/>
      <c r="DJ102" s="18"/>
      <c r="DK102" s="18"/>
      <c r="DM102" s="18"/>
      <c r="DN102" s="18"/>
      <c r="DP102" s="18">
        <v>1979</v>
      </c>
      <c r="DQ102" s="19">
        <f>AVERAGEIF('ENCUESTA CONDUCTORES'!$AH$7:$AH$459,DP102,'ENCUESTA CONDUCTORES'!$AI$7:$AI$459)</f>
        <v>1605663</v>
      </c>
    </row>
    <row r="103" spans="1:130" x14ac:dyDescent="0.25">
      <c r="A103" s="17" t="s">
        <v>1366</v>
      </c>
      <c r="N103" s="75" t="s">
        <v>10</v>
      </c>
      <c r="O103" s="127">
        <f>+P103/$P$110</f>
        <v>0.6</v>
      </c>
      <c r="P103" s="90">
        <f>COUNTIFS('ENCUESTA CONDUCTORES'!S$7:S$459,"X",'ENCUESTA CONDUCTORES'!$U$7:$U$459,"X")</f>
        <v>150</v>
      </c>
      <c r="Q103" s="127"/>
      <c r="S103" s="127"/>
      <c r="T103" s="90"/>
      <c r="U103" s="90"/>
      <c r="V103" s="90"/>
      <c r="X103" s="19"/>
      <c r="AM103" s="18" t="s">
        <v>4</v>
      </c>
      <c r="AN103" s="18" t="s">
        <v>5</v>
      </c>
      <c r="AO103" s="18" t="s">
        <v>6</v>
      </c>
      <c r="AP103" s="18" t="s">
        <v>7</v>
      </c>
      <c r="AQ103" s="18"/>
      <c r="AR103" s="18" t="s">
        <v>4</v>
      </c>
      <c r="AS103" s="18" t="s">
        <v>5</v>
      </c>
      <c r="AT103" s="18" t="s">
        <v>6</v>
      </c>
      <c r="AU103" s="18" t="s">
        <v>7</v>
      </c>
      <c r="AV103" s="18"/>
      <c r="CL103" s="17" t="s">
        <v>429</v>
      </c>
      <c r="CM103" s="74">
        <f t="shared" si="319"/>
        <v>1</v>
      </c>
      <c r="CN103" s="18">
        <f t="shared" ref="CN103" si="323">SUM(CN96:CN102)</f>
        <v>13</v>
      </c>
      <c r="CP103" s="74"/>
      <c r="CQ103" s="74"/>
      <c r="CR103" s="18"/>
      <c r="CS103" s="18"/>
      <c r="CU103" s="18"/>
      <c r="CV103" s="18"/>
      <c r="CX103" s="11" t="s">
        <v>1298</v>
      </c>
      <c r="CY103" s="74">
        <f t="shared" si="321"/>
        <v>6.6666666666666666E-2</v>
      </c>
      <c r="CZ103" s="18">
        <f t="shared" si="322"/>
        <v>7</v>
      </c>
      <c r="DA103" s="74"/>
      <c r="DB103" s="74"/>
      <c r="DC103" s="74"/>
      <c r="DE103" s="74"/>
      <c r="DF103" s="74"/>
      <c r="DG103" s="18"/>
      <c r="DH103" s="18"/>
      <c r="DI103" s="18"/>
      <c r="DJ103" s="18"/>
      <c r="DK103" s="18"/>
      <c r="DM103" s="18"/>
      <c r="DN103" s="18"/>
      <c r="DQ103" s="19"/>
    </row>
    <row r="104" spans="1:130" x14ac:dyDescent="0.25">
      <c r="C104" s="187" t="s">
        <v>431</v>
      </c>
      <c r="D104" s="187"/>
      <c r="E104" s="187"/>
      <c r="F104" s="187"/>
      <c r="G104" s="187"/>
      <c r="H104" s="187" t="s">
        <v>430</v>
      </c>
      <c r="I104" s="187"/>
      <c r="J104" s="187"/>
      <c r="K104" s="187"/>
      <c r="L104" s="187"/>
      <c r="N104" s="75" t="s">
        <v>1352</v>
      </c>
      <c r="O104" s="127">
        <f t="shared" ref="O104:O110" si="324">+P104/$P$110</f>
        <v>0.16400000000000001</v>
      </c>
      <c r="P104" s="90">
        <f>COUNTIFS('ENCUESTA CONDUCTORES'!S$7:S$459,"X",'ENCUESTA CONDUCTORES'!$W$7:$W$459,"X")+COUNTIFS('ENCUESTA CONDUCTORES'!S$7:S$459,"X",'ENCUESTA CONDUCTORES'!$AB$7:$AB$459,"X")+COUNTIFS('ENCUESTA CONDUCTORES'!S$7:S$459,"X",'ENCUESTA CONDUCTORES'!$AC$7:$AC$459,"X")</f>
        <v>41</v>
      </c>
      <c r="Q104" s="127"/>
      <c r="S104" s="127"/>
      <c r="T104" s="90"/>
      <c r="U104" s="90"/>
      <c r="V104" s="90"/>
      <c r="X104" s="19"/>
      <c r="AL104" s="11" t="s">
        <v>1306</v>
      </c>
      <c r="AM104" s="74">
        <f>+AR104/$AV$112</f>
        <v>4.6838407494145199E-3</v>
      </c>
      <c r="AN104" s="74">
        <f t="shared" ref="AN104:AN112" si="325">+AS104/$AV$112</f>
        <v>9.3676814988290398E-3</v>
      </c>
      <c r="AO104" s="74">
        <f t="shared" ref="AO104:AO112" si="326">+AT104/$AV$112</f>
        <v>2.34192037470726E-3</v>
      </c>
      <c r="AP104" s="74">
        <f t="shared" ref="AP104:AP112" si="327">+AU104/$AV$112</f>
        <v>3.2786885245901641E-2</v>
      </c>
      <c r="AQ104" s="74">
        <f t="shared" ref="AQ104:AQ112" si="328">+AV104/$AV$112</f>
        <v>4.9180327868852458E-2</v>
      </c>
      <c r="AR104" s="18">
        <f>COUNTIFS('ENCUESTA CONDUCTORES'!$AL$7:$AL$459,"X",'ENCUESTA CONDUCTORES'!P$7:P$459,"X",'ENCUESTA CONDUCTORES'!$AW$7:$AW$459,"&lt;1.9")</f>
        <v>2</v>
      </c>
      <c r="AS104" s="18">
        <f>COUNTIFS('ENCUESTA CONDUCTORES'!$AL$7:$AL$459,"X",'ENCUESTA CONDUCTORES'!Q$7:Q$459,"X",'ENCUESTA CONDUCTORES'!$AW$7:$AW$459,"&lt;1.9")</f>
        <v>4</v>
      </c>
      <c r="AT104" s="18">
        <f>COUNTIFS('ENCUESTA CONDUCTORES'!$AL$7:$AL$459,"X",'ENCUESTA CONDUCTORES'!R$7:R$459,"X",'ENCUESTA CONDUCTORES'!$AW$7:$AW$459,"&lt;1.9")</f>
        <v>1</v>
      </c>
      <c r="AU104" s="18">
        <f>COUNTIFS('ENCUESTA CONDUCTORES'!$AL$7:$AL$459,"X",'ENCUESTA CONDUCTORES'!S$7:S$459,"X",'ENCUESTA CONDUCTORES'!$AW$7:$AW$459,"&lt;1.9")</f>
        <v>14</v>
      </c>
      <c r="AV104" s="18">
        <f>SUM(AR104:AU104)</f>
        <v>21</v>
      </c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X104" s="11" t="s">
        <v>1299</v>
      </c>
      <c r="CY104" s="74">
        <f t="shared" si="321"/>
        <v>8.5714285714285715E-2</v>
      </c>
      <c r="CZ104" s="18">
        <f t="shared" si="322"/>
        <v>9</v>
      </c>
      <c r="DA104" s="74"/>
      <c r="DB104" s="74"/>
      <c r="DC104" s="74"/>
      <c r="DE104" s="74"/>
      <c r="DF104" s="74"/>
      <c r="DG104" s="18"/>
      <c r="DH104" s="18"/>
      <c r="DI104" s="18"/>
      <c r="DJ104" s="18"/>
      <c r="DK104" s="18"/>
      <c r="DM104" s="18"/>
      <c r="DN104" s="18"/>
      <c r="DP104" s="17" t="s">
        <v>1504</v>
      </c>
      <c r="DQ104" s="19">
        <f>AVERAGE(DQ100:DQ102)</f>
        <v>1922721</v>
      </c>
    </row>
    <row r="105" spans="1:130" x14ac:dyDescent="0.25">
      <c r="C105" s="17" t="s">
        <v>425</v>
      </c>
      <c r="D105" s="17" t="s">
        <v>426</v>
      </c>
      <c r="E105" s="17" t="s">
        <v>1336</v>
      </c>
      <c r="F105" s="17" t="s">
        <v>1337</v>
      </c>
      <c r="G105" s="17" t="s">
        <v>429</v>
      </c>
      <c r="H105" s="17" t="s">
        <v>425</v>
      </c>
      <c r="I105" s="17" t="s">
        <v>426</v>
      </c>
      <c r="J105" s="17" t="s">
        <v>1336</v>
      </c>
      <c r="K105" s="17" t="s">
        <v>1337</v>
      </c>
      <c r="L105" s="17" t="s">
        <v>429</v>
      </c>
      <c r="N105" s="75" t="s">
        <v>13</v>
      </c>
      <c r="O105" s="127">
        <f t="shared" si="324"/>
        <v>0.104</v>
      </c>
      <c r="P105" s="90">
        <f>COUNTIFS('ENCUESTA CONDUCTORES'!S$7:S$459,"X",'ENCUESTA CONDUCTORES'!$V$7:$V$459,"X")+COUNTIFS('ENCUESTA CONDUCTORES'!S$7:S$459,"X",'ENCUESTA CONDUCTORES'!$X$7:$X$459,"X")</f>
        <v>26</v>
      </c>
      <c r="Q105" s="127"/>
      <c r="S105" s="127"/>
      <c r="T105" s="90"/>
      <c r="U105" s="90"/>
      <c r="V105" s="90"/>
      <c r="X105" s="19"/>
      <c r="AL105" s="11" t="s">
        <v>1307</v>
      </c>
      <c r="AM105" s="74">
        <f t="shared" ref="AM105:AM112" si="329">+AR105/$AV$112</f>
        <v>2.3419203747072601E-2</v>
      </c>
      <c r="AN105" s="74">
        <f t="shared" si="325"/>
        <v>2.576112412177986E-2</v>
      </c>
      <c r="AO105" s="74">
        <f t="shared" si="326"/>
        <v>2.34192037470726E-3</v>
      </c>
      <c r="AP105" s="74">
        <f t="shared" si="327"/>
        <v>9.3676814988290405E-2</v>
      </c>
      <c r="AQ105" s="74">
        <f t="shared" si="328"/>
        <v>0.14519906323185011</v>
      </c>
      <c r="AR105" s="18">
        <f>COUNTIFS('ENCUESTA CONDUCTORES'!$AL$7:$AL$459,"X",'ENCUESTA CONDUCTORES'!P$7:P$459,"X",'ENCUESTA CONDUCTORES'!$AW$7:$AW$459,"&lt;2.21")-AR104</f>
        <v>10</v>
      </c>
      <c r="AS105" s="18">
        <f>COUNTIFS('ENCUESTA CONDUCTORES'!$AL$7:$AL$459,"X",'ENCUESTA CONDUCTORES'!Q$7:Q$459,"X",'ENCUESTA CONDUCTORES'!$AW$7:$AW$459,"&lt;2.21")-AS104</f>
        <v>11</v>
      </c>
      <c r="AT105" s="18">
        <f>COUNTIFS('ENCUESTA CONDUCTORES'!$AL$7:$AL$459,"X",'ENCUESTA CONDUCTORES'!R$7:R$459,"X",'ENCUESTA CONDUCTORES'!$AW$7:$AW$459,"&lt;2.21")-AT104</f>
        <v>1</v>
      </c>
      <c r="AU105" s="18">
        <f>COUNTIFS('ENCUESTA CONDUCTORES'!$AL$7:$AL$459,"X",'ENCUESTA CONDUCTORES'!S$7:S$459,"X",'ENCUESTA CONDUCTORES'!$AW$7:$AW$459,"&lt;2.21")-AU104</f>
        <v>40</v>
      </c>
      <c r="AV105" s="18">
        <f t="shared" ref="AV105:AV111" si="330">SUM(AR105:AU105)</f>
        <v>62</v>
      </c>
      <c r="CX105" s="11" t="s">
        <v>1300</v>
      </c>
      <c r="CY105" s="74">
        <f t="shared" si="321"/>
        <v>0.51428571428571423</v>
      </c>
      <c r="CZ105" s="18">
        <f t="shared" si="322"/>
        <v>54</v>
      </c>
      <c r="DA105" s="74"/>
      <c r="DB105" s="74"/>
      <c r="DC105" s="74"/>
      <c r="DE105" s="74"/>
      <c r="DF105" s="74"/>
      <c r="DG105" s="18"/>
      <c r="DH105" s="18"/>
      <c r="DI105" s="18"/>
      <c r="DJ105" s="18"/>
      <c r="DK105" s="18"/>
      <c r="DM105" s="18"/>
      <c r="DN105" s="18"/>
      <c r="DP105" s="18">
        <v>1981</v>
      </c>
      <c r="DQ105" s="19">
        <f>AVERAGEIF('ENCUESTA CONDUCTORES'!AH7:AH459,DP105,'ENCUESTA CONDUCTORES'!AI7:AI459)</f>
        <v>2275000</v>
      </c>
    </row>
    <row r="106" spans="1:130" x14ac:dyDescent="0.25">
      <c r="B106" s="75" t="s">
        <v>48</v>
      </c>
      <c r="C106" s="74">
        <f>+H106/$L$114</f>
        <v>3.3182503770739065E-2</v>
      </c>
      <c r="D106" s="74">
        <f t="shared" ref="D106:D114" si="331">+I106/$L$114</f>
        <v>2.2624434389140271E-2</v>
      </c>
      <c r="E106" s="74">
        <f t="shared" ref="E106:E114" si="332">+J106/$L$114</f>
        <v>4.6757164404223228E-2</v>
      </c>
      <c r="F106" s="74">
        <f t="shared" ref="F106:F114" si="333">+K106/$L$114</f>
        <v>1.8099547511312219E-2</v>
      </c>
      <c r="G106" s="74">
        <f t="shared" ref="G106:G114" si="334">+L106/$L$114</f>
        <v>0.12066365007541478</v>
      </c>
      <c r="H106" s="18">
        <f>COUNTIFS('ENCUESTA CONDUCTORES'!E$7:E$459,"X",'ENCUESTA CONDUCTORES'!$BJ$7:$BJ$459,"X")</f>
        <v>22</v>
      </c>
      <c r="I106" s="18">
        <f>COUNTIFS('ENCUESTA CONDUCTORES'!F$7:F$459,"X",'ENCUESTA CONDUCTORES'!$BJ$7:$BJ$459,"X")</f>
        <v>15</v>
      </c>
      <c r="J106" s="18">
        <f>COUNTIFS('ENCUESTA CONDUCTORES'!G$7:G$459,"X",'ENCUESTA CONDUCTORES'!$BJ$7:$BJ$459,"X")</f>
        <v>31</v>
      </c>
      <c r="K106" s="18">
        <f>COUNTIFS('ENCUESTA CONDUCTORES'!H$7:H$459,"X",'ENCUESTA CONDUCTORES'!$BJ$7:$BJ$459,"X")</f>
        <v>12</v>
      </c>
      <c r="L106" s="18">
        <f>SUM(H106:K106)</f>
        <v>80</v>
      </c>
      <c r="N106" s="75" t="s">
        <v>14</v>
      </c>
      <c r="O106" s="127">
        <f t="shared" si="324"/>
        <v>7.5999999999999998E-2</v>
      </c>
      <c r="P106" s="90">
        <f>COUNTIFS('ENCUESTA CONDUCTORES'!S$7:S$459,"X",'ENCUESTA CONDUCTORES'!$Y$7:$Y$459,"X")</f>
        <v>19</v>
      </c>
      <c r="Q106" s="127"/>
      <c r="S106" s="127"/>
      <c r="T106" s="90"/>
      <c r="U106" s="90"/>
      <c r="V106" s="90"/>
      <c r="X106" s="19"/>
      <c r="AL106" s="17" t="s">
        <v>1308</v>
      </c>
      <c r="AM106" s="74">
        <f t="shared" si="329"/>
        <v>9.3676814988290398E-3</v>
      </c>
      <c r="AN106" s="74">
        <f t="shared" si="325"/>
        <v>9.3676814988290398E-3</v>
      </c>
      <c r="AO106" s="74">
        <f t="shared" si="326"/>
        <v>2.34192037470726E-3</v>
      </c>
      <c r="AP106" s="74">
        <f t="shared" si="327"/>
        <v>2.576112412177986E-2</v>
      </c>
      <c r="AQ106" s="74">
        <f t="shared" si="328"/>
        <v>4.6838407494145202E-2</v>
      </c>
      <c r="AR106" s="18">
        <f>COUNTIFS('ENCUESTA CONDUCTORES'!$AL$7:$AL$459,"X",'ENCUESTA CONDUCTORES'!P$7:P$459,"X",'ENCUESTA CONDUCTORES'!$AW$7:$AW$459,"&lt;2.41")-AR105-AR104</f>
        <v>4</v>
      </c>
      <c r="AS106" s="18">
        <f>COUNTIFS('ENCUESTA CONDUCTORES'!$AL$7:$AL$459,"X",'ENCUESTA CONDUCTORES'!Q$7:Q$459,"X",'ENCUESTA CONDUCTORES'!$AW$7:$AW$459,"&lt;2.41")-AS105-AS104</f>
        <v>4</v>
      </c>
      <c r="AT106" s="18">
        <f>COUNTIFS('ENCUESTA CONDUCTORES'!$AL$7:$AL$459,"X",'ENCUESTA CONDUCTORES'!R$7:R$459,"X",'ENCUESTA CONDUCTORES'!$AW$7:$AW$459,"&lt;2.41")-AT105-AT104</f>
        <v>1</v>
      </c>
      <c r="AU106" s="18">
        <f>COUNTIFS('ENCUESTA CONDUCTORES'!$AL$7:$AL$459,"X",'ENCUESTA CONDUCTORES'!S$7:S$459,"X",'ENCUESTA CONDUCTORES'!$AW$7:$AW$459,"&lt;2.41")-AU105-AU104</f>
        <v>11</v>
      </c>
      <c r="AV106" s="18">
        <f t="shared" si="330"/>
        <v>20</v>
      </c>
      <c r="CL106" s="17" t="s">
        <v>1440</v>
      </c>
      <c r="CX106" s="11" t="s">
        <v>1301</v>
      </c>
      <c r="CY106" s="74">
        <f t="shared" si="321"/>
        <v>0.12380952380952381</v>
      </c>
      <c r="CZ106" s="18">
        <f t="shared" si="322"/>
        <v>13</v>
      </c>
      <c r="DA106" s="74"/>
      <c r="DB106" s="74"/>
      <c r="DC106" s="74"/>
      <c r="DE106" s="74"/>
      <c r="DF106" s="74"/>
      <c r="DG106" s="18"/>
      <c r="DH106" s="18"/>
      <c r="DI106" s="18"/>
      <c r="DJ106" s="18"/>
      <c r="DK106" s="18"/>
      <c r="DM106" s="18"/>
      <c r="DN106" s="18"/>
      <c r="DP106" s="18">
        <v>1982</v>
      </c>
      <c r="DQ106" s="19">
        <f>AVERAGEIF('ENCUESTA CONDUCTORES'!AH8:AH460,DP106,'ENCUESTA CONDUCTORES'!AI8:AI460)</f>
        <v>1465206.6666666667</v>
      </c>
    </row>
    <row r="107" spans="1:130" x14ac:dyDescent="0.25">
      <c r="B107" s="75" t="s">
        <v>49</v>
      </c>
      <c r="C107" s="74">
        <f t="shared" ref="C107:C114" si="335">+H107/$L$114</f>
        <v>3.3182503770739065E-2</v>
      </c>
      <c r="D107" s="74">
        <f t="shared" si="331"/>
        <v>1.3574660633484163E-2</v>
      </c>
      <c r="E107" s="74">
        <f t="shared" si="332"/>
        <v>3.7707390648567117E-2</v>
      </c>
      <c r="F107" s="74">
        <f t="shared" si="333"/>
        <v>2.4132730015082957E-2</v>
      </c>
      <c r="G107" s="74">
        <f t="shared" si="334"/>
        <v>0.10859728506787331</v>
      </c>
      <c r="H107" s="18">
        <f>COUNTIFS('ENCUESTA CONDUCTORES'!E$7:E$459,"X",'ENCUESTA CONDUCTORES'!$BK$7:$BK$459,"X")</f>
        <v>22</v>
      </c>
      <c r="I107" s="18">
        <f>COUNTIFS('ENCUESTA CONDUCTORES'!F$7:F$459,"X",'ENCUESTA CONDUCTORES'!$BK$7:$BK$459,"X")</f>
        <v>9</v>
      </c>
      <c r="J107" s="18">
        <f>COUNTIFS('ENCUESTA CONDUCTORES'!G$7:G$459,"X",'ENCUESTA CONDUCTORES'!$BK$7:$BK$459,"X")</f>
        <v>25</v>
      </c>
      <c r="K107" s="18">
        <f>COUNTIFS('ENCUESTA CONDUCTORES'!H$7:H$459,"X",'ENCUESTA CONDUCTORES'!$BK$7:$BK$459,"X")</f>
        <v>16</v>
      </c>
      <c r="L107" s="18">
        <f t="shared" ref="L107:L115" si="336">SUM(H107:K107)</f>
        <v>72</v>
      </c>
      <c r="N107" s="75" t="s">
        <v>1353</v>
      </c>
      <c r="O107" s="127">
        <f t="shared" si="324"/>
        <v>4.0000000000000001E-3</v>
      </c>
      <c r="P107" s="90">
        <f>COUNTIFS('ENCUESTA CONDUCTORES'!S$7:S$459,"X",'ENCUESTA CONDUCTORES'!$AA$7:$AA$459,"X")+COUNTIFS('ENCUESTA CONDUCTORES'!S$7:S$459,"X",'ENCUESTA CONDUCTORES'!$AE$7:$AE$459,"X")</f>
        <v>1</v>
      </c>
      <c r="Q107" s="127"/>
      <c r="S107" s="127"/>
      <c r="T107" s="90"/>
      <c r="U107" s="90"/>
      <c r="V107" s="90"/>
      <c r="X107" s="19"/>
      <c r="AL107" s="11" t="s">
        <v>1334</v>
      </c>
      <c r="AM107" s="74">
        <f t="shared" si="329"/>
        <v>1.6393442622950821E-2</v>
      </c>
      <c r="AN107" s="74">
        <f t="shared" si="325"/>
        <v>1.405152224824356E-2</v>
      </c>
      <c r="AO107" s="74">
        <f t="shared" si="326"/>
        <v>4.6838407494145199E-3</v>
      </c>
      <c r="AP107" s="74">
        <f t="shared" si="327"/>
        <v>6.5573770491803282E-2</v>
      </c>
      <c r="AQ107" s="74">
        <f t="shared" si="328"/>
        <v>0.10070257611241218</v>
      </c>
      <c r="AR107" s="18">
        <f>COUNTIFS('ENCUESTA CONDUCTORES'!$AL$7:$AL$459,"X",'ENCUESTA CONDUCTORES'!P$7:P$459,"X",'ENCUESTA CONDUCTORES'!$AW$7:$AW$459,"&lt;2.61")-AR106-AR105-AR104</f>
        <v>7</v>
      </c>
      <c r="AS107" s="18">
        <f>COUNTIFS('ENCUESTA CONDUCTORES'!$AL$7:$AL$459,"X",'ENCUESTA CONDUCTORES'!Q$7:Q$459,"X",'ENCUESTA CONDUCTORES'!$AW$7:$AW$459,"&lt;2.61")-AS106-AS105-AS104</f>
        <v>6</v>
      </c>
      <c r="AT107" s="18">
        <f>COUNTIFS('ENCUESTA CONDUCTORES'!$AL$7:$AL$459,"X",'ENCUESTA CONDUCTORES'!R$7:R$459,"X",'ENCUESTA CONDUCTORES'!$AW$7:$AW$459,"&lt;2.61")-AT106-AT105-AT104</f>
        <v>2</v>
      </c>
      <c r="AU107" s="18">
        <f>COUNTIFS('ENCUESTA CONDUCTORES'!$AL$7:$AL$459,"X",'ENCUESTA CONDUCTORES'!S$7:S$459,"X",'ENCUESTA CONDUCTORES'!$AW$7:$AW$459,"&lt;2.61")-AU106-AU105-AU104</f>
        <v>28</v>
      </c>
      <c r="AV107" s="18">
        <f t="shared" si="330"/>
        <v>43</v>
      </c>
      <c r="CM107" s="18" t="s">
        <v>7</v>
      </c>
      <c r="CN107" s="18" t="s">
        <v>7</v>
      </c>
      <c r="CO107" s="18"/>
      <c r="CQ107" s="18"/>
      <c r="CR107" s="18"/>
      <c r="CS107" s="18"/>
      <c r="CT107" s="18"/>
      <c r="CV107" s="18"/>
      <c r="CX107" s="11" t="s">
        <v>1302</v>
      </c>
      <c r="CY107" s="74">
        <f t="shared" si="321"/>
        <v>5.7142857142857141E-2</v>
      </c>
      <c r="CZ107" s="18">
        <f t="shared" si="322"/>
        <v>6</v>
      </c>
      <c r="DA107" s="74"/>
      <c r="DB107" s="74"/>
      <c r="DC107" s="74"/>
      <c r="DE107" s="74"/>
      <c r="DF107" s="74"/>
      <c r="DG107" s="18"/>
      <c r="DH107" s="18"/>
      <c r="DI107" s="18"/>
      <c r="DJ107" s="18"/>
      <c r="DK107" s="18"/>
      <c r="DM107" s="18"/>
      <c r="DN107" s="18"/>
      <c r="DP107" s="18">
        <v>1983</v>
      </c>
      <c r="DQ107" s="19">
        <f>AVERAGEIF('ENCUESTA CONDUCTORES'!AH9:AH461,DP107,'ENCUESTA CONDUCTORES'!AI9:AI461)</f>
        <v>1550000</v>
      </c>
    </row>
    <row r="108" spans="1:130" x14ac:dyDescent="0.25">
      <c r="B108" s="75" t="s">
        <v>1356</v>
      </c>
      <c r="C108" s="74">
        <f t="shared" si="335"/>
        <v>1.0558069381598794E-2</v>
      </c>
      <c r="D108" s="74">
        <f t="shared" si="331"/>
        <v>2.7149321266968326E-2</v>
      </c>
      <c r="E108" s="74">
        <f t="shared" si="332"/>
        <v>4.5248868778280542E-2</v>
      </c>
      <c r="F108" s="74">
        <f t="shared" si="333"/>
        <v>3.6199095022624438E-2</v>
      </c>
      <c r="G108" s="74">
        <f t="shared" si="334"/>
        <v>0.1191553544494721</v>
      </c>
      <c r="H108" s="18">
        <f>COUNTIFS('ENCUESTA CONDUCTORES'!E$7:E$459,"X",'ENCUESTA CONDUCTORES'!$BL$7:$BL$459,"X")+COUNTIFS('ENCUESTA CONDUCTORES'!E$7:E$459,"X",'ENCUESTA CONDUCTORES'!$BR$7:$BR$459,"X")</f>
        <v>7</v>
      </c>
      <c r="I108" s="18">
        <f>COUNTIFS('ENCUESTA CONDUCTORES'!F$7:F$459,"X",'ENCUESTA CONDUCTORES'!$BL$7:$BL$459,"X")+COUNTIFS('ENCUESTA CONDUCTORES'!F$7:F$459,"X",'ENCUESTA CONDUCTORES'!$BR$7:$BR$459,"X")</f>
        <v>18</v>
      </c>
      <c r="J108" s="18">
        <f>COUNTIFS('ENCUESTA CONDUCTORES'!G$7:G$459,"X",'ENCUESTA CONDUCTORES'!$BL$7:$BL$459,"X")+COUNTIFS('ENCUESTA CONDUCTORES'!G$7:G$459,"X",'ENCUESTA CONDUCTORES'!$BR$7:$BR$459,"X")</f>
        <v>30</v>
      </c>
      <c r="K108" s="18">
        <f>COUNTIFS('ENCUESTA CONDUCTORES'!H$7:H$459,"X",'ENCUESTA CONDUCTORES'!$BL$7:$BL$459,"X")+COUNTIFS('ENCUESTA CONDUCTORES'!H$7:H$459,"X",'ENCUESTA CONDUCTORES'!$BR$7:$BR$459,"X")</f>
        <v>24</v>
      </c>
      <c r="L108" s="18">
        <f t="shared" si="336"/>
        <v>79</v>
      </c>
      <c r="N108" s="75" t="s">
        <v>1354</v>
      </c>
      <c r="O108" s="127">
        <f t="shared" si="324"/>
        <v>4.8000000000000001E-2</v>
      </c>
      <c r="P108" s="90">
        <f>COUNTIFS('ENCUESTA CONDUCTORES'!S$7:S$459,"X",'ENCUESTA CONDUCTORES'!$AD$7:$AD$459,"X")+COUNTIFS('ENCUESTA CONDUCTORES'!S$7:S$459,"X",'ENCUESTA CONDUCTORES'!$AF$7:$AF$459,"X")</f>
        <v>12</v>
      </c>
      <c r="Q108" s="127"/>
      <c r="S108" s="127"/>
      <c r="T108" s="90"/>
      <c r="U108" s="90"/>
      <c r="V108" s="90"/>
      <c r="X108" s="19"/>
      <c r="AL108" s="11" t="s">
        <v>1309</v>
      </c>
      <c r="AM108" s="74">
        <f t="shared" si="329"/>
        <v>3.0444964871194378E-2</v>
      </c>
      <c r="AN108" s="74">
        <f t="shared" si="325"/>
        <v>1.6393442622950821E-2</v>
      </c>
      <c r="AO108" s="74">
        <f t="shared" si="326"/>
        <v>4.6838407494145199E-3</v>
      </c>
      <c r="AP108" s="74">
        <f t="shared" si="327"/>
        <v>0.26463700234192039</v>
      </c>
      <c r="AQ108" s="74">
        <f t="shared" si="328"/>
        <v>0.31615925058548011</v>
      </c>
      <c r="AR108" s="18">
        <f>COUNTIFS('ENCUESTA CONDUCTORES'!$AL$7:$AL$459,"X",'ENCUESTA CONDUCTORES'!P$7:P$459,"X",'ENCUESTA CONDUCTORES'!$AW$7:$AW$459,"&lt;2.81")-AR107-AR106-AR105-AR104</f>
        <v>13</v>
      </c>
      <c r="AS108" s="18">
        <f>COUNTIFS('ENCUESTA CONDUCTORES'!$AL$7:$AL$459,"X",'ENCUESTA CONDUCTORES'!Q$7:Q$459,"X",'ENCUESTA CONDUCTORES'!$AW$7:$AW$459,"&lt;2.81")-AS107-AS106-AS105-AS104</f>
        <v>7</v>
      </c>
      <c r="AT108" s="18">
        <f>COUNTIFS('ENCUESTA CONDUCTORES'!$AL$7:$AL$459,"X",'ENCUESTA CONDUCTORES'!R$7:R$459,"X",'ENCUESTA CONDUCTORES'!$AW$7:$AW$459,"&lt;2.81")-AT107-AT106-AT105-AT104</f>
        <v>2</v>
      </c>
      <c r="AU108" s="18">
        <f>COUNTIFS('ENCUESTA CONDUCTORES'!$AL$7:$AL$459,"X",'ENCUESTA CONDUCTORES'!S$7:S$459,"X",'ENCUESTA CONDUCTORES'!$AW$7:$AW$459,"&lt;2.81")-AU107-AU106-AU105-AU104</f>
        <v>113</v>
      </c>
      <c r="AV108" s="18">
        <f t="shared" si="330"/>
        <v>135</v>
      </c>
      <c r="CL108" s="17" t="s">
        <v>1423</v>
      </c>
      <c r="CM108" s="74">
        <f>+CN108/$CN$115</f>
        <v>8.4000000000000005E-2</v>
      </c>
      <c r="CN108" s="18">
        <f>COUNTIFS('ENCUESTA CONDUCTORES'!S$7:S$459,"X",'ENCUESTA CONDUCTORES'!$DE$7:$DE$459,"&lt;1991")</f>
        <v>21</v>
      </c>
      <c r="CO108" s="74"/>
      <c r="CQ108" s="74"/>
      <c r="CR108" s="18"/>
      <c r="CS108" s="18"/>
      <c r="CT108" s="18"/>
      <c r="CV108" s="18"/>
      <c r="CX108" s="11" t="s">
        <v>1385</v>
      </c>
      <c r="CY108" s="74">
        <f t="shared" si="321"/>
        <v>9.5238095238095247E-3</v>
      </c>
      <c r="CZ108" s="18">
        <f t="shared" si="322"/>
        <v>1</v>
      </c>
      <c r="DA108" s="74"/>
      <c r="DB108" s="74"/>
      <c r="DC108" s="74"/>
      <c r="DE108" s="74"/>
      <c r="DF108" s="74"/>
      <c r="DG108" s="18"/>
      <c r="DH108" s="18"/>
      <c r="DI108" s="18"/>
      <c r="DJ108" s="18"/>
      <c r="DK108" s="18"/>
      <c r="DM108" s="18"/>
      <c r="DN108" s="18"/>
      <c r="DP108" s="18">
        <v>1984</v>
      </c>
      <c r="DQ108" s="19">
        <f>AVERAGEIF('ENCUESTA CONDUCTORES'!AH10:AH462,DP108,'ENCUESTA CONDUCTORES'!AI10:AI462)</f>
        <v>1723333.3333333333</v>
      </c>
    </row>
    <row r="109" spans="1:130" x14ac:dyDescent="0.25">
      <c r="B109" s="75" t="s">
        <v>51</v>
      </c>
      <c r="C109" s="74">
        <f t="shared" si="335"/>
        <v>6.0331825037707393E-3</v>
      </c>
      <c r="D109" s="74">
        <f t="shared" si="331"/>
        <v>1.5082956259426848E-2</v>
      </c>
      <c r="E109" s="74">
        <f t="shared" si="332"/>
        <v>4.3740573152337855E-2</v>
      </c>
      <c r="F109" s="74">
        <f t="shared" si="333"/>
        <v>3.0165912518853696E-2</v>
      </c>
      <c r="G109" s="74">
        <f t="shared" si="334"/>
        <v>9.5022624434389136E-2</v>
      </c>
      <c r="H109" s="18">
        <f>COUNTIFS('ENCUESTA CONDUCTORES'!E$7:E$459,"X",'ENCUESTA CONDUCTORES'!$BM$7:$BM$459,"X")</f>
        <v>4</v>
      </c>
      <c r="I109" s="18">
        <f>COUNTIFS('ENCUESTA CONDUCTORES'!F$7:F$459,"X",'ENCUESTA CONDUCTORES'!$BM$7:$BM$459,"X")</f>
        <v>10</v>
      </c>
      <c r="J109" s="18">
        <f>COUNTIFS('ENCUESTA CONDUCTORES'!G$7:G$459,"X",'ENCUESTA CONDUCTORES'!$BM$7:$BM$459,"X")</f>
        <v>29</v>
      </c>
      <c r="K109" s="18">
        <f>COUNTIFS('ENCUESTA CONDUCTORES'!H$7:H$459,"X",'ENCUESTA CONDUCTORES'!$BM$7:$BM$459,"X")</f>
        <v>20</v>
      </c>
      <c r="L109" s="18">
        <f t="shared" si="336"/>
        <v>63</v>
      </c>
      <c r="N109" s="75" t="s">
        <v>1355</v>
      </c>
      <c r="O109" s="127">
        <f t="shared" si="324"/>
        <v>4.0000000000000001E-3</v>
      </c>
      <c r="P109" s="90">
        <f>COUNTIFS('ENCUESTA CONDUCTORES'!S$7:S$459,"X",'ENCUESTA CONDUCTORES'!$AG$7:$AG$459,"FULL")</f>
        <v>1</v>
      </c>
      <c r="Q109" s="127"/>
      <c r="S109" s="127"/>
      <c r="T109" s="90"/>
      <c r="U109" s="90"/>
      <c r="V109" s="90"/>
      <c r="X109" s="19"/>
      <c r="AL109" s="11" t="s">
        <v>1310</v>
      </c>
      <c r="AM109" s="74">
        <f t="shared" si="329"/>
        <v>7.0257611241217793E-2</v>
      </c>
      <c r="AN109" s="74">
        <f t="shared" si="325"/>
        <v>2.3419203747072601E-2</v>
      </c>
      <c r="AO109" s="74">
        <f t="shared" si="326"/>
        <v>9.3676814988290398E-3</v>
      </c>
      <c r="AP109" s="74">
        <f t="shared" si="327"/>
        <v>9.1334894613583142E-2</v>
      </c>
      <c r="AQ109" s="74">
        <f t="shared" si="328"/>
        <v>0.19437939110070257</v>
      </c>
      <c r="AR109" s="18">
        <f>COUNTIFS('ENCUESTA CONDUCTORES'!$AL$7:$AL$459,"X",'ENCUESTA CONDUCTORES'!P$7:P$459,"X",'ENCUESTA CONDUCTORES'!$AW$7:$AW$459,"&lt;3.21")-AR108-AR107-AR106-AR105-AR104</f>
        <v>30</v>
      </c>
      <c r="AS109" s="18">
        <f>COUNTIFS('ENCUESTA CONDUCTORES'!$AL$7:$AL$459,"X",'ENCUESTA CONDUCTORES'!Q$7:Q$459,"X",'ENCUESTA CONDUCTORES'!$AW$7:$AW$459,"&lt;3.21")-AS108-AS107-AS106-AS105-AS104</f>
        <v>10</v>
      </c>
      <c r="AT109" s="18">
        <f>COUNTIFS('ENCUESTA CONDUCTORES'!$AL$7:$AL$459,"X",'ENCUESTA CONDUCTORES'!R$7:R$459,"X",'ENCUESTA CONDUCTORES'!$AW$7:$AW$459,"&lt;3.21")-AT108-AT107-AT106-AT105-AT104</f>
        <v>4</v>
      </c>
      <c r="AU109" s="18">
        <f>COUNTIFS('ENCUESTA CONDUCTORES'!$AL$7:$AL$459,"X",'ENCUESTA CONDUCTORES'!S$7:S$459,"X",'ENCUESTA CONDUCTORES'!$AW$7:$AW$459,"&lt;3.21")-AU108-AU107-AU106-AU105-AU104</f>
        <v>39</v>
      </c>
      <c r="AV109" s="18">
        <f t="shared" si="330"/>
        <v>83</v>
      </c>
      <c r="CL109" s="17" t="s">
        <v>1424</v>
      </c>
      <c r="CM109" s="74">
        <f t="shared" ref="CM109:CM115" si="337">+CN109/$CN$115</f>
        <v>2.4E-2</v>
      </c>
      <c r="CN109" s="18">
        <f>COUNTIFS('ENCUESTA CONDUCTORES'!S$7:S$459,"X",'ENCUESTA CONDUCTORES'!$DE$7:$DE$459,"&lt;1994")-CN108</f>
        <v>6</v>
      </c>
      <c r="CO109" s="74"/>
      <c r="CQ109" s="74"/>
      <c r="CR109" s="18"/>
      <c r="CS109" s="18"/>
      <c r="CT109" s="18"/>
      <c r="CV109" s="18"/>
      <c r="CX109" s="11" t="s">
        <v>429</v>
      </c>
      <c r="CY109" s="74">
        <f t="shared" si="321"/>
        <v>1</v>
      </c>
      <c r="CZ109" s="18">
        <f t="shared" si="322"/>
        <v>105</v>
      </c>
      <c r="DA109" s="74"/>
      <c r="DB109" s="74"/>
      <c r="DC109" s="74"/>
      <c r="DE109" s="74"/>
      <c r="DF109" s="74"/>
      <c r="DG109" s="18"/>
      <c r="DH109" s="18"/>
      <c r="DI109" s="18"/>
      <c r="DJ109" s="18"/>
      <c r="DK109" s="18"/>
      <c r="DM109" s="18"/>
      <c r="DN109" s="18"/>
      <c r="DP109" s="18">
        <v>1985</v>
      </c>
      <c r="DQ109" s="19">
        <f>AVERAGEIF('ENCUESTA CONDUCTORES'!AH11:AH463,DP109,'ENCUESTA CONDUCTORES'!AI11:AI463)</f>
        <v>2850000</v>
      </c>
    </row>
    <row r="110" spans="1:130" ht="25.5" x14ac:dyDescent="0.25">
      <c r="B110" s="75" t="s">
        <v>1357</v>
      </c>
      <c r="C110" s="74">
        <f t="shared" si="335"/>
        <v>3.3182503770739065E-2</v>
      </c>
      <c r="D110" s="74">
        <f t="shared" si="331"/>
        <v>3.3182503770739065E-2</v>
      </c>
      <c r="E110" s="74">
        <f t="shared" si="332"/>
        <v>9.9547511312217188E-2</v>
      </c>
      <c r="F110" s="74">
        <f t="shared" si="333"/>
        <v>9.9547511312217188E-2</v>
      </c>
      <c r="G110" s="74">
        <f t="shared" si="334"/>
        <v>0.26546003016591252</v>
      </c>
      <c r="H110" s="18">
        <f>COUNTIFS('ENCUESTA CONDUCTORES'!E$7:E$459,"X",'ENCUESTA CONDUCTORES'!$BN$7:$BN$459,"X")+COUNTIFS('ENCUESTA CONDUCTORES'!E$7:E$459,"X",'ENCUESTA CONDUCTORES'!$BP$7:$BP$459,"X")</f>
        <v>22</v>
      </c>
      <c r="I110" s="18">
        <f>COUNTIFS('ENCUESTA CONDUCTORES'!F$7:F$459,"X",'ENCUESTA CONDUCTORES'!$BN$7:$BN$459,"X")+COUNTIFS('ENCUESTA CONDUCTORES'!F$7:F$459,"X",'ENCUESTA CONDUCTORES'!$BP$7:$BP$459,"X")</f>
        <v>22</v>
      </c>
      <c r="J110" s="18">
        <f>COUNTIFS('ENCUESTA CONDUCTORES'!G$7:G$459,"X",'ENCUESTA CONDUCTORES'!$BN$7:$BN$459,"X")+COUNTIFS('ENCUESTA CONDUCTORES'!G$7:G$459,"X",'ENCUESTA CONDUCTORES'!$BP$7:$BP$459,"X")</f>
        <v>66</v>
      </c>
      <c r="K110" s="18">
        <f>COUNTIFS('ENCUESTA CONDUCTORES'!H$7:H$459,"X",'ENCUESTA CONDUCTORES'!$BN$7:$BN$459,"X")+COUNTIFS('ENCUESTA CONDUCTORES'!H$7:H$459,"X",'ENCUESTA CONDUCTORES'!$BP$7:$BP$459,"X")</f>
        <v>66</v>
      </c>
      <c r="L110" s="18">
        <f t="shared" si="336"/>
        <v>176</v>
      </c>
      <c r="N110" s="17" t="s">
        <v>429</v>
      </c>
      <c r="O110" s="127">
        <f t="shared" si="324"/>
        <v>1</v>
      </c>
      <c r="P110" s="19">
        <f>SUM(P103:P109)</f>
        <v>250</v>
      </c>
      <c r="Q110" s="127"/>
      <c r="S110" s="127"/>
      <c r="T110" s="19"/>
      <c r="U110" s="19"/>
      <c r="V110" s="19"/>
      <c r="X110" s="19"/>
      <c r="AL110" s="11" t="s">
        <v>1311</v>
      </c>
      <c r="AM110" s="74">
        <f t="shared" si="329"/>
        <v>2.3419203747072601E-2</v>
      </c>
      <c r="AN110" s="74">
        <f t="shared" si="325"/>
        <v>8.6651053864168617E-2</v>
      </c>
      <c r="AO110" s="74">
        <f t="shared" si="326"/>
        <v>2.34192037470726E-3</v>
      </c>
      <c r="AP110" s="74">
        <f t="shared" si="327"/>
        <v>9.3676814988290398E-3</v>
      </c>
      <c r="AQ110" s="74">
        <f t="shared" si="328"/>
        <v>0.12177985948477751</v>
      </c>
      <c r="AR110" s="18">
        <f>COUNTIFS('ENCUESTA CONDUCTORES'!$AL$7:$AL$459,"X",'ENCUESTA CONDUCTORES'!P$7:P$459,"X",'ENCUESTA CONDUCTORES'!$AW$7:$AW$459,"&lt;4.01")-AR109-AR108-AR107-AR106-AR105-AR104</f>
        <v>10</v>
      </c>
      <c r="AS110" s="18">
        <f>COUNTIFS('ENCUESTA CONDUCTORES'!$AL$7:$AL$459,"X",'ENCUESTA CONDUCTORES'!Q$7:Q$459,"X",'ENCUESTA CONDUCTORES'!$AW$7:$AW$459,"&lt;4.01")-AS109-AS108-AS107-AS106-AS105-AS104</f>
        <v>37</v>
      </c>
      <c r="AT110" s="18">
        <f>COUNTIFS('ENCUESTA CONDUCTORES'!$AL$7:$AL$459,"X",'ENCUESTA CONDUCTORES'!R$7:R$459,"X",'ENCUESTA CONDUCTORES'!$AW$7:$AW$459,"&lt;4.01")-AT109-AT108-AT107-AT106-AT105-AT104</f>
        <v>1</v>
      </c>
      <c r="AU110" s="18">
        <f>COUNTIFS('ENCUESTA CONDUCTORES'!$AL$7:$AL$459,"X",'ENCUESTA CONDUCTORES'!S$7:S$459,"X",'ENCUESTA CONDUCTORES'!$AW$7:$AW$459,"&lt;4.01")-AU109-AU108-AU107-AU106-AU105-AU104</f>
        <v>4</v>
      </c>
      <c r="AV110" s="18">
        <f t="shared" si="330"/>
        <v>52</v>
      </c>
      <c r="CL110" s="17" t="s">
        <v>1425</v>
      </c>
      <c r="CM110" s="74">
        <f t="shared" si="337"/>
        <v>4.8000000000000001E-2</v>
      </c>
      <c r="CN110" s="18">
        <f>COUNTIFS('ENCUESTA CONDUCTORES'!S$7:S$459,"X",'ENCUESTA CONDUCTORES'!$DE$7:$DE$459,"&lt;1998")-CN109-CN108</f>
        <v>12</v>
      </c>
      <c r="CO110" s="74"/>
      <c r="CQ110" s="74"/>
      <c r="CR110" s="18"/>
      <c r="CS110" s="18"/>
      <c r="CT110" s="18"/>
      <c r="CV110" s="18"/>
      <c r="CX110" s="17" t="s">
        <v>193</v>
      </c>
      <c r="CY110" s="18"/>
      <c r="CZ110" s="18">
        <f t="shared" si="322"/>
        <v>0</v>
      </c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M110" s="18"/>
      <c r="DN110" s="18"/>
      <c r="DP110" s="18">
        <v>1986</v>
      </c>
      <c r="DQ110" s="19">
        <f>AVERAGEIF('ENCUESTA CONDUCTORES'!AH12:AH464,DP110,'ENCUESTA CONDUCTORES'!AI12:AI464)</f>
        <v>1358325</v>
      </c>
    </row>
    <row r="111" spans="1:130" x14ac:dyDescent="0.25">
      <c r="B111" s="75" t="s">
        <v>131</v>
      </c>
      <c r="C111" s="74">
        <f t="shared" si="335"/>
        <v>3.6199095022624438E-2</v>
      </c>
      <c r="D111" s="74">
        <f t="shared" si="331"/>
        <v>1.8099547511312219E-2</v>
      </c>
      <c r="E111" s="74">
        <f t="shared" si="332"/>
        <v>4.2232277526395176E-2</v>
      </c>
      <c r="F111" s="74">
        <f t="shared" si="333"/>
        <v>1.5082956259426848E-3</v>
      </c>
      <c r="G111" s="74">
        <f t="shared" si="334"/>
        <v>9.8039215686274508E-2</v>
      </c>
      <c r="H111" s="18">
        <f>COUNTIFS('ENCUESTA CONDUCTORES'!E$7:E$459,"X",'ENCUESTA CONDUCTORES'!$BO$7:$BO$459,"X")</f>
        <v>24</v>
      </c>
      <c r="I111" s="18">
        <f>COUNTIFS('ENCUESTA CONDUCTORES'!F$7:F$459,"X",'ENCUESTA CONDUCTORES'!$BO$7:$BO$459,"X")</f>
        <v>12</v>
      </c>
      <c r="J111" s="18">
        <f>COUNTIFS('ENCUESTA CONDUCTORES'!G$7:G$459,"X",'ENCUESTA CONDUCTORES'!$BO$7:$BO$459,"X")</f>
        <v>28</v>
      </c>
      <c r="K111" s="18">
        <f>COUNTIFS('ENCUESTA CONDUCTORES'!H$7:H$459,"X",'ENCUESTA CONDUCTORES'!$BO$7:$BO$459,"X")</f>
        <v>1</v>
      </c>
      <c r="L111" s="18">
        <f t="shared" si="336"/>
        <v>65</v>
      </c>
      <c r="X111" s="19"/>
      <c r="AL111" s="11" t="s">
        <v>1385</v>
      </c>
      <c r="AM111" s="74">
        <f t="shared" si="329"/>
        <v>1.6393442622950821E-2</v>
      </c>
      <c r="AN111" s="74">
        <f t="shared" si="325"/>
        <v>7.0257611241217799E-3</v>
      </c>
      <c r="AO111" s="74">
        <f t="shared" si="326"/>
        <v>0</v>
      </c>
      <c r="AP111" s="74">
        <f t="shared" si="327"/>
        <v>2.34192037470726E-3</v>
      </c>
      <c r="AQ111" s="74">
        <f t="shared" si="328"/>
        <v>2.576112412177986E-2</v>
      </c>
      <c r="AR111" s="18">
        <f>COUNTIFS('ENCUESTA CONDUCTORES'!$AL$7:$AL$459,"X",'ENCUESTA CONDUCTORES'!P$7:P$459,"X",'ENCUESTA CONDUCTORES'!$AW$7:$AW$459,"&gt;4")</f>
        <v>7</v>
      </c>
      <c r="AS111" s="18">
        <f>COUNTIFS('ENCUESTA CONDUCTORES'!$AL$7:$AL$459,"X",'ENCUESTA CONDUCTORES'!Q$7:Q$459,"X",'ENCUESTA CONDUCTORES'!$AW$7:$AW$459,"&gt;4")</f>
        <v>3</v>
      </c>
      <c r="AT111" s="18">
        <f>COUNTIFS('ENCUESTA CONDUCTORES'!$AL$7:$AL$459,"X",'ENCUESTA CONDUCTORES'!R$7:R$459,"X",'ENCUESTA CONDUCTORES'!$AW$7:$AW$459,"&gt;4")</f>
        <v>0</v>
      </c>
      <c r="AU111" s="18">
        <f>COUNTIFS('ENCUESTA CONDUCTORES'!$AL$7:$AL$459,"X",'ENCUESTA CONDUCTORES'!S$7:S$459,"X",'ENCUESTA CONDUCTORES'!$AW$7:$AW$459,"&gt;4")</f>
        <v>1</v>
      </c>
      <c r="AV111" s="18">
        <f t="shared" si="330"/>
        <v>11</v>
      </c>
      <c r="CL111" s="17" t="s">
        <v>1426</v>
      </c>
      <c r="CM111" s="74">
        <f t="shared" si="337"/>
        <v>0.224</v>
      </c>
      <c r="CN111" s="18">
        <f>COUNTIFS('ENCUESTA CONDUCTORES'!S$7:S$459,"X",'ENCUESTA CONDUCTORES'!$DE$7:$DE$459,"&lt;2004")-CN110-CN109-CN108</f>
        <v>56</v>
      </c>
      <c r="CO111" s="74"/>
      <c r="CQ111" s="74"/>
      <c r="CR111" s="18"/>
      <c r="CS111" s="18"/>
      <c r="CT111" s="18"/>
      <c r="CV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P111" s="18">
        <v>1987</v>
      </c>
      <c r="DQ111" s="19">
        <f>AVERAGEIF('ENCUESTA CONDUCTORES'!AH13:AH465,DP111,'ENCUESTA CONDUCTORES'!AI13:AI465)</f>
        <v>1200000</v>
      </c>
    </row>
    <row r="112" spans="1:130" x14ac:dyDescent="0.25">
      <c r="B112" s="75" t="s">
        <v>55</v>
      </c>
      <c r="C112" s="74">
        <f t="shared" si="335"/>
        <v>6.0331825037707393E-3</v>
      </c>
      <c r="D112" s="74">
        <f t="shared" si="331"/>
        <v>4.5248868778280547E-3</v>
      </c>
      <c r="E112" s="74">
        <f t="shared" si="332"/>
        <v>1.0558069381598794E-2</v>
      </c>
      <c r="F112" s="74">
        <f t="shared" si="333"/>
        <v>1.6591251885369532E-2</v>
      </c>
      <c r="G112" s="74">
        <f t="shared" si="334"/>
        <v>3.7707390648567117E-2</v>
      </c>
      <c r="H112" s="18">
        <f>COUNTIFS('ENCUESTA CONDUCTORES'!E$7:E$459,"X",'ENCUESTA CONDUCTORES'!$BQ$7:$BQ$459,"X")</f>
        <v>4</v>
      </c>
      <c r="I112" s="18">
        <f>COUNTIFS('ENCUESTA CONDUCTORES'!F$7:F$459,"X",'ENCUESTA CONDUCTORES'!$BQ$7:$BQ$459,"X")</f>
        <v>3</v>
      </c>
      <c r="J112" s="18">
        <f>COUNTIFS('ENCUESTA CONDUCTORES'!G$7:G$459,"X",'ENCUESTA CONDUCTORES'!$BQ$7:$BQ$459,"X")</f>
        <v>7</v>
      </c>
      <c r="K112" s="18">
        <f>COUNTIFS('ENCUESTA CONDUCTORES'!H$7:H$459,"X",'ENCUESTA CONDUCTORES'!$BQ$7:$BQ$459,"X")</f>
        <v>11</v>
      </c>
      <c r="L112" s="18">
        <f t="shared" si="336"/>
        <v>25</v>
      </c>
      <c r="AL112" s="11" t="s">
        <v>429</v>
      </c>
      <c r="AM112" s="74">
        <f t="shared" si="329"/>
        <v>0.19437939110070257</v>
      </c>
      <c r="AN112" s="74">
        <f t="shared" si="325"/>
        <v>0.19203747072599531</v>
      </c>
      <c r="AO112" s="74">
        <f t="shared" si="326"/>
        <v>2.8103044496487119E-2</v>
      </c>
      <c r="AP112" s="74">
        <f t="shared" si="327"/>
        <v>0.58548009367681497</v>
      </c>
      <c r="AQ112" s="74">
        <f t="shared" si="328"/>
        <v>1</v>
      </c>
      <c r="AR112" s="18">
        <f>SUM(AR104:AR111)</f>
        <v>83</v>
      </c>
      <c r="AS112" s="18">
        <f t="shared" ref="AS112" si="338">SUM(AS104:AS111)</f>
        <v>82</v>
      </c>
      <c r="AT112" s="18">
        <f t="shared" ref="AT112" si="339">SUM(AT104:AT111)</f>
        <v>12</v>
      </c>
      <c r="AU112" s="18">
        <f t="shared" ref="AU112" si="340">SUM(AU104:AU111)</f>
        <v>250</v>
      </c>
      <c r="AV112" s="18">
        <f t="shared" ref="AV112" si="341">SUM(AV104:AV111)</f>
        <v>427</v>
      </c>
      <c r="CL112" s="17" t="s">
        <v>1427</v>
      </c>
      <c r="CM112" s="74">
        <f t="shared" si="337"/>
        <v>0.23599999999999999</v>
      </c>
      <c r="CN112" s="18">
        <f>COUNTIFS('ENCUESTA CONDUCTORES'!S$7:S$459,"X",'ENCUESTA CONDUCTORES'!$DE$7:$DE$459,"&lt;2007")-CN111-CN110-CN109-CN108</f>
        <v>59</v>
      </c>
      <c r="CO112" s="74"/>
      <c r="CQ112" s="74"/>
      <c r="CR112" s="18"/>
      <c r="CS112" s="18"/>
      <c r="CT112" s="18"/>
      <c r="CV112" s="18"/>
      <c r="CX112" s="57" t="s">
        <v>1449</v>
      </c>
      <c r="DP112" s="18">
        <v>1988</v>
      </c>
      <c r="DQ112" s="19">
        <f>AVERAGEIF('ENCUESTA CONDUCTORES'!AH14:AH466,DP112,'ENCUESTA CONDUCTORES'!AI14:AI466)</f>
        <v>1062500</v>
      </c>
    </row>
    <row r="113" spans="1:121" x14ac:dyDescent="0.25">
      <c r="B113" s="75" t="s">
        <v>1358</v>
      </c>
      <c r="C113" s="74">
        <f t="shared" si="335"/>
        <v>1.5082956259426848E-2</v>
      </c>
      <c r="D113" s="74">
        <f t="shared" si="331"/>
        <v>3.0165912518853696E-2</v>
      </c>
      <c r="E113" s="74">
        <f t="shared" si="332"/>
        <v>6.485671191553545E-2</v>
      </c>
      <c r="F113" s="74">
        <f t="shared" si="333"/>
        <v>4.5248868778280542E-2</v>
      </c>
      <c r="G113" s="74">
        <f t="shared" si="334"/>
        <v>0.15535444947209653</v>
      </c>
      <c r="H113" s="90">
        <f>COUNTIFS('ENCUESTA CONDUCTORES'!E$7:E$459,"X",'ENCUESTA CONDUCTORES'!$BS$7:$BS$459,"CARRITOS DE GOLF")+COUNTIFS('ENCUESTA CONDUCTORES'!E$7:E$459,"X",'ENCUESTA CONDUCTORES'!$BS$7:$BS$459,"MERCANCIA SECA")+COUNTIFS('ENCUESTA CONDUCTORES'!E$7:E$459,"X",'ENCUESTA CONDUCTORES'!$BS$7:$BS$459,"PAPELERIA")+COUNTIFS('ENCUESTA CONDUCTORES'!E$7:E$459,"X",'ENCUESTA CONDUCTORES'!$BS$7:$BS$459,"GENERAL")+COUNTIFS('ENCUESTA CONDUCTORES'!E$7:E$459,"X",'ENCUESTA CONDUCTORES'!$BS$7:$BS$459,"MAQUINARIA")+COUNTIFS('ENCUESTA CONDUCTORES'!E$7:E$459,"X",'ENCUESTA CONDUCTORES'!$BS$7:$BS$459,"CONTENEDOR")+COUNTIFS('ENCUESTA CONDUCTORES'!E$7:E$459,"X",'ENCUESTA CONDUCTORES'!$BS$7:$BS$459,"MEDICAMENTOS")+COUNTIFS('ENCUESTA CONDUCTORES'!E$7:E$459,"X",'ENCUESTA CONDUCTORES'!$BS$7:$BS$459,"AGUA POTABLE")+COUNTIFS('ENCUESTA CONDUCTORES'!E$7:E$459,"X",'ENCUESTA CONDUCTORES'!$BS$7:$BS$459,"MUDANZAS")+COUNTIFS('ENCUESTA CONDUCTORES'!E$7:E$459,"X",'ENCUESTA CONDUCTORES'!$BS$7:$BS$459,"JABON")+COUNTIFS('ENCUESTA CONDUCTORES'!E$7:E$459,"X",'ENCUESTA CONDUCTORES'!$BS$7:$BS$459,"ACEITE")+COUNTIFS('ENCUESTA CONDUCTORES'!E$7:E$459,"X",'ENCUESTA CONDUCTORES'!$BS$7:$BS$459,"POLIETILENO")+COUNTIFS('ENCUESTA CONDUCTORES'!E$7:E$459,"X",'ENCUESTA CONDUCTORES'!$BS$7:$BS$459,"ELECTRODOMÉSTICOS")+COUNTIFS('ENCUESTA CONDUCTORES'!E$7:E$459,"X",'ENCUESTA CONDUCTORES'!$BS$7:$BS$459,"MUEBLES")+COUNTIFS('ENCUESTA CONDUCTORES'!E$7:E$459,"X",'ENCUESTA CONDUCTORES'!$BS$7:$BS$459,"CHATARRA")+COUNTIFS('ENCUESTA CONDUCTORES'!E$7:E$459,"X",'ENCUESTA CONDUCTORES'!$BS$7:$BS$459,"LLANTAS")+COUNTIFS('ENCUESTA CONDUCTORES'!E$7:E$459,"X",'ENCUESTA CONDUCTORES'!$BS$7:$BS$459,"AGUA")+COUNTIFS('ENCUESTA CONDUCTORES'!E$7:E$459,"X",'ENCUESTA CONDUCTORES'!$BS$7:$BS$459,"ANIMALES")+COUNTIFS('ENCUESTA CONDUCTORES'!E$7:E$459,"X",'ENCUESTA CONDUCTORES'!$BS$7:$BS$459,"TV REFRIGERADORES")+COUNTIFS('ENCUESTA CONDUCTORES'!E$7:E$459,"X",'ENCUESTA CONDUCTORES'!$BS$7:$BS$459,"LÍNEA BLANCA")+COUNTIFS('ENCUESTA CONDUCTORES'!E$7:E$459,"X",'ENCUESTA CONDUCTORES'!$BS$7:$BS$459,"IMPORTACIÓN / EXPORTACIÓN")+COUNTIFS('ENCUESTA CONDUCTORES'!E$7:E$459,"X",'ENCUESTA CONDUCTORES'!$BS$7:$BS$459,"PLASTICO")+COUNTIFS('ENCUESTA CONDUCTORES'!E$7:E$459,"X",'ENCUESTA CONDUCTORES'!$BS$7:$BS$459,"ROPA")+COUNTIFS('ENCUESTA CONDUCTORES'!E$7:E$459,"X",'ENCUESTA CONDUCTORES'!$BS$7:$BS$459,"CHATARRA")+COUNTIFS('ENCUESTA CONDUCTORES'!E$7:E$459,"X",'ENCUESTA CONDUCTORES'!$BS$7:$BS$459,"MEDICAMENTO NUTRICIONAL")+COUNTIFS('ENCUESTA CONDUCTORES'!E$7:E$459,"X",'ENCUESTA CONDUCTORES'!$BS$7:$BS$459,"PRODUCTOS DE BELLEZA")+COUNTIFS('ENCUESTA CONDUCTORES'!E$7:E$459,"X",'ENCUESTA CONDUCTORES'!$BS$7:$BS$459,"FORRAJE")+COUNTIFS('ENCUESTA CONDUCTORES'!E$7:E$459,"X",'ENCUESTA CONDUCTORES'!$BS$7:$BS$459,"VALORES")+COUNTIFS('ENCUESTA CONDUCTORES'!E$7:E$459,"X",'ENCUESTA CONDUCTORES'!$BS$7:$BS$459,"PAQUETERIA")+COUNTIFS('ENCUESTA CONDUCTORES'!E$7:E$459,"X",'ENCUESTA CONDUCTORES'!$BS$7:$BS$459,"SECOS")+COUNTIFS('ENCUESTA CONDUCTORES'!E$7:E$459,"X",'ENCUESTA CONDUCTORES'!$BS$7:$BS$459,"PANTALLAS")+COUNTIFS('ENCUESTA CONDUCTORES'!E$7:E$459,"X",'ENCUESTA CONDUCTORES'!$BS$7:$BS$459,"BOTELLAS")+COUNTIFS('ENCUESTA CONDUCTORES'!E$7:E$459,"X",'ENCUESTA CONDUCTORES'!$BS$7:$BS$459,"PRODUCTOS DE HIGIENE PERSONAL")+COUNTIFS('ENCUESTA CONDUCTORES'!E$7:E$459,"X",'ENCUESTA CONDUCTORES'!$BS$7:$BS$459,"ELECTRONICA, LINEA BLANCA")+COUNTIFS('ENCUESTA CONDUCTORES'!E$7:E$459,"X",'ENCUESTA CONDUCTORES'!$BS$7:$BS$459,"CONTENEDORES")</f>
        <v>10</v>
      </c>
      <c r="I113" s="90">
        <f>COUNTIFS('ENCUESTA CONDUCTORES'!F$7:F$459,"X",'ENCUESTA CONDUCTORES'!$BS$7:$BS$459,"CARRITOS DE GOLF")+COUNTIFS('ENCUESTA CONDUCTORES'!F$7:F$459,"X",'ENCUESTA CONDUCTORES'!$BS$7:$BS$459,"MERCANCIA SECA")+COUNTIFS('ENCUESTA CONDUCTORES'!F$7:F$459,"X",'ENCUESTA CONDUCTORES'!$BS$7:$BS$459,"PAPELERIA")+COUNTIFS('ENCUESTA CONDUCTORES'!F$7:F$459,"X",'ENCUESTA CONDUCTORES'!$BS$7:$BS$459,"GENERAL")+COUNTIFS('ENCUESTA CONDUCTORES'!F$7:F$459,"X",'ENCUESTA CONDUCTORES'!$BS$7:$BS$459,"MAQUINARIA")+COUNTIFS('ENCUESTA CONDUCTORES'!F$7:F$459,"X",'ENCUESTA CONDUCTORES'!$BS$7:$BS$459,"CONTENEDOR")+COUNTIFS('ENCUESTA CONDUCTORES'!F$7:F$459,"X",'ENCUESTA CONDUCTORES'!$BS$7:$BS$459,"MEDICAMENTOS")+COUNTIFS('ENCUESTA CONDUCTORES'!F$7:F$459,"X",'ENCUESTA CONDUCTORES'!$BS$7:$BS$459,"AGUA POTABLE")+COUNTIFS('ENCUESTA CONDUCTORES'!F$7:F$459,"X",'ENCUESTA CONDUCTORES'!$BS$7:$BS$459,"MUDANZAS")+COUNTIFS('ENCUESTA CONDUCTORES'!F$7:F$459,"X",'ENCUESTA CONDUCTORES'!$BS$7:$BS$459,"JABON")+COUNTIFS('ENCUESTA CONDUCTORES'!F$7:F$459,"X",'ENCUESTA CONDUCTORES'!$BS$7:$BS$459,"ACEITE")+COUNTIFS('ENCUESTA CONDUCTORES'!F$7:F$459,"X",'ENCUESTA CONDUCTORES'!$BS$7:$BS$459,"POLIETILENO")+COUNTIFS('ENCUESTA CONDUCTORES'!F$7:F$459,"X",'ENCUESTA CONDUCTORES'!$BS$7:$BS$459,"ELECTRODOMÉSTICOS")+COUNTIFS('ENCUESTA CONDUCTORES'!F$7:F$459,"X",'ENCUESTA CONDUCTORES'!$BS$7:$BS$459,"MUEBLES")+COUNTIFS('ENCUESTA CONDUCTORES'!F$7:F$459,"X",'ENCUESTA CONDUCTORES'!$BS$7:$BS$459,"CHATARRA")+COUNTIFS('ENCUESTA CONDUCTORES'!F$7:F$459,"X",'ENCUESTA CONDUCTORES'!$BS$7:$BS$459,"LLANTAS")+COUNTIFS('ENCUESTA CONDUCTORES'!F$7:F$459,"X",'ENCUESTA CONDUCTORES'!$BS$7:$BS$459,"AGUA")+COUNTIFS('ENCUESTA CONDUCTORES'!F$7:F$459,"X",'ENCUESTA CONDUCTORES'!$BS$7:$BS$459,"ANIMALES")+COUNTIFS('ENCUESTA CONDUCTORES'!F$7:F$459,"X",'ENCUESTA CONDUCTORES'!$BS$7:$BS$459,"TV REFRIGERADORES")+COUNTIFS('ENCUESTA CONDUCTORES'!F$7:F$459,"X",'ENCUESTA CONDUCTORES'!$BS$7:$BS$459,"LÍNEA BLANCA")+COUNTIFS('ENCUESTA CONDUCTORES'!F$7:F$459,"X",'ENCUESTA CONDUCTORES'!$BS$7:$BS$459,"IMPORTACIÓN / EXPORTACIÓN")+COUNTIFS('ENCUESTA CONDUCTORES'!F$7:F$459,"X",'ENCUESTA CONDUCTORES'!$BS$7:$BS$459,"PLASTICO")+COUNTIFS('ENCUESTA CONDUCTORES'!F$7:F$459,"X",'ENCUESTA CONDUCTORES'!$BS$7:$BS$459,"ROPA")+COUNTIFS('ENCUESTA CONDUCTORES'!F$7:F$459,"X",'ENCUESTA CONDUCTORES'!$BS$7:$BS$459,"CHATARRA")+COUNTIFS('ENCUESTA CONDUCTORES'!F$7:F$459,"X",'ENCUESTA CONDUCTORES'!$BS$7:$BS$459,"MEDICAMENTO NUTRICIONAL")+COUNTIFS('ENCUESTA CONDUCTORES'!F$7:F$459,"X",'ENCUESTA CONDUCTORES'!$BS$7:$BS$459,"PRODUCTOS DE BELLEZA")+COUNTIFS('ENCUESTA CONDUCTORES'!F$7:F$459,"X",'ENCUESTA CONDUCTORES'!$BS$7:$BS$459,"FORRAJE")+COUNTIFS('ENCUESTA CONDUCTORES'!F$7:F$459,"X",'ENCUESTA CONDUCTORES'!$BS$7:$BS$459,"VALORES")+COUNTIFS('ENCUESTA CONDUCTORES'!F$7:F$459,"X",'ENCUESTA CONDUCTORES'!$BS$7:$BS$459,"PAQUETERIA")+COUNTIFS('ENCUESTA CONDUCTORES'!F$7:F$459,"X",'ENCUESTA CONDUCTORES'!$BS$7:$BS$459,"SECOS")+COUNTIFS('ENCUESTA CONDUCTORES'!F$7:F$459,"X",'ENCUESTA CONDUCTORES'!$BS$7:$BS$459,"PANTALLAS")+COUNTIFS('ENCUESTA CONDUCTORES'!F$7:F$459,"X",'ENCUESTA CONDUCTORES'!$BS$7:$BS$459,"BOTELLAS")+COUNTIFS('ENCUESTA CONDUCTORES'!F$7:F$459,"X",'ENCUESTA CONDUCTORES'!$BS$7:$BS$459,"PRODUCTOS DE HIGIENE PERSONAL")+COUNTIFS('ENCUESTA CONDUCTORES'!F$7:F$459,"X",'ENCUESTA CONDUCTORES'!$BS$7:$BS$459,"ELECTRONICA, LINEA BLANCA")+COUNTIFS('ENCUESTA CONDUCTORES'!F$7:F$459,"X",'ENCUESTA CONDUCTORES'!$BS$7:$BS$459,"CONTENEDORES")</f>
        <v>20</v>
      </c>
      <c r="J113" s="90">
        <f>COUNTIFS('ENCUESTA CONDUCTORES'!G$7:G$459,"X",'ENCUESTA CONDUCTORES'!$BS$7:$BS$459,"CARRITOS DE GOLF")+COUNTIFS('ENCUESTA CONDUCTORES'!G$7:G$459,"X",'ENCUESTA CONDUCTORES'!$BS$7:$BS$459,"MERCANCIA SECA")+COUNTIFS('ENCUESTA CONDUCTORES'!G$7:G$459,"X",'ENCUESTA CONDUCTORES'!$BS$7:$BS$459,"PAPELERIA")+COUNTIFS('ENCUESTA CONDUCTORES'!G$7:G$459,"X",'ENCUESTA CONDUCTORES'!$BS$7:$BS$459,"GENERAL")+COUNTIFS('ENCUESTA CONDUCTORES'!G$7:G$459,"X",'ENCUESTA CONDUCTORES'!$BS$7:$BS$459,"MAQUINARIA")+COUNTIFS('ENCUESTA CONDUCTORES'!G$7:G$459,"X",'ENCUESTA CONDUCTORES'!$BS$7:$BS$459,"CONTENEDOR")+COUNTIFS('ENCUESTA CONDUCTORES'!G$7:G$459,"X",'ENCUESTA CONDUCTORES'!$BS$7:$BS$459,"MEDICAMENTOS")+COUNTIFS('ENCUESTA CONDUCTORES'!G$7:G$459,"X",'ENCUESTA CONDUCTORES'!$BS$7:$BS$459,"AGUA POTABLE")+COUNTIFS('ENCUESTA CONDUCTORES'!G$7:G$459,"X",'ENCUESTA CONDUCTORES'!$BS$7:$BS$459,"MUDANZAS")+COUNTIFS('ENCUESTA CONDUCTORES'!G$7:G$459,"X",'ENCUESTA CONDUCTORES'!$BS$7:$BS$459,"JABON")+COUNTIFS('ENCUESTA CONDUCTORES'!G$7:G$459,"X",'ENCUESTA CONDUCTORES'!$BS$7:$BS$459,"ACEITE")+COUNTIFS('ENCUESTA CONDUCTORES'!G$7:G$459,"X",'ENCUESTA CONDUCTORES'!$BS$7:$BS$459,"POLIETILENO")+COUNTIFS('ENCUESTA CONDUCTORES'!G$7:G$459,"X",'ENCUESTA CONDUCTORES'!$BS$7:$BS$459,"ELECTRODOMÉSTICOS")+COUNTIFS('ENCUESTA CONDUCTORES'!G$7:G$459,"X",'ENCUESTA CONDUCTORES'!$BS$7:$BS$459,"MUEBLES")+COUNTIFS('ENCUESTA CONDUCTORES'!G$7:G$459,"X",'ENCUESTA CONDUCTORES'!$BS$7:$BS$459,"CHATARRA")+COUNTIFS('ENCUESTA CONDUCTORES'!G$7:G$459,"X",'ENCUESTA CONDUCTORES'!$BS$7:$BS$459,"LLANTAS")+COUNTIFS('ENCUESTA CONDUCTORES'!G$7:G$459,"X",'ENCUESTA CONDUCTORES'!$BS$7:$BS$459,"AGUA")+COUNTIFS('ENCUESTA CONDUCTORES'!G$7:G$459,"X",'ENCUESTA CONDUCTORES'!$BS$7:$BS$459,"ANIMALES")+COUNTIFS('ENCUESTA CONDUCTORES'!G$7:G$459,"X",'ENCUESTA CONDUCTORES'!$BS$7:$BS$459,"TV REFRIGERADORES")+COUNTIFS('ENCUESTA CONDUCTORES'!G$7:G$459,"X",'ENCUESTA CONDUCTORES'!$BS$7:$BS$459,"LÍNEA BLANCA")+COUNTIFS('ENCUESTA CONDUCTORES'!G$7:G$459,"X",'ENCUESTA CONDUCTORES'!$BS$7:$BS$459,"IMPORTACIÓN / EXPORTACIÓN")+COUNTIFS('ENCUESTA CONDUCTORES'!G$7:G$459,"X",'ENCUESTA CONDUCTORES'!$BS$7:$BS$459,"PLASTICO")+COUNTIFS('ENCUESTA CONDUCTORES'!G$7:G$459,"X",'ENCUESTA CONDUCTORES'!$BS$7:$BS$459,"ROPA")+COUNTIFS('ENCUESTA CONDUCTORES'!G$7:G$459,"X",'ENCUESTA CONDUCTORES'!$BS$7:$BS$459,"CHATARRA")+COUNTIFS('ENCUESTA CONDUCTORES'!G$7:G$459,"X",'ENCUESTA CONDUCTORES'!$BS$7:$BS$459,"MEDICAMENTO NUTRICIONAL")+COUNTIFS('ENCUESTA CONDUCTORES'!G$7:G$459,"X",'ENCUESTA CONDUCTORES'!$BS$7:$BS$459,"PRODUCTOS DE BELLEZA")+COUNTIFS('ENCUESTA CONDUCTORES'!G$7:G$459,"X",'ENCUESTA CONDUCTORES'!$BS$7:$BS$459,"FORRAJE")+COUNTIFS('ENCUESTA CONDUCTORES'!G$7:G$459,"X",'ENCUESTA CONDUCTORES'!$BS$7:$BS$459,"VALORES")+COUNTIFS('ENCUESTA CONDUCTORES'!G$7:G$459,"X",'ENCUESTA CONDUCTORES'!$BS$7:$BS$459,"PAQUETERIA")+COUNTIFS('ENCUESTA CONDUCTORES'!G$7:G$459,"X",'ENCUESTA CONDUCTORES'!$BS$7:$BS$459,"SECOS")+COUNTIFS('ENCUESTA CONDUCTORES'!G$7:G$459,"X",'ENCUESTA CONDUCTORES'!$BS$7:$BS$459,"PANTALLAS")+COUNTIFS('ENCUESTA CONDUCTORES'!G$7:G$459,"X",'ENCUESTA CONDUCTORES'!$BS$7:$BS$459,"BOTELLAS")+COUNTIFS('ENCUESTA CONDUCTORES'!G$7:G$459,"X",'ENCUESTA CONDUCTORES'!$BS$7:$BS$459,"PRODUCTOS DE HIGIENE PERSONAL")+COUNTIFS('ENCUESTA CONDUCTORES'!G$7:G$459,"X",'ENCUESTA CONDUCTORES'!$BS$7:$BS$459,"ELECTRONICA, LINEA BLANCA")+COUNTIFS('ENCUESTA CONDUCTORES'!G$7:G$459,"X",'ENCUESTA CONDUCTORES'!$BS$7:$BS$459,"CONTENEDORES")</f>
        <v>43</v>
      </c>
      <c r="K113" s="90">
        <f>COUNTIFS('ENCUESTA CONDUCTORES'!H$7:H$459,"X",'ENCUESTA CONDUCTORES'!$BS$7:$BS$459,"CARRITOS DE GOLF")+COUNTIFS('ENCUESTA CONDUCTORES'!H$7:H$459,"X",'ENCUESTA CONDUCTORES'!$BS$7:$BS$459,"MERCANCIA SECA")+COUNTIFS('ENCUESTA CONDUCTORES'!H$7:H$459,"X",'ENCUESTA CONDUCTORES'!$BS$7:$BS$459,"PAPELERIA")+COUNTIFS('ENCUESTA CONDUCTORES'!H$7:H$459,"X",'ENCUESTA CONDUCTORES'!$BS$7:$BS$459,"GENERAL")+COUNTIFS('ENCUESTA CONDUCTORES'!H$7:H$459,"X",'ENCUESTA CONDUCTORES'!$BS$7:$BS$459,"MAQUINARIA")+COUNTIFS('ENCUESTA CONDUCTORES'!H$7:H$459,"X",'ENCUESTA CONDUCTORES'!$BS$7:$BS$459,"CONTENEDOR")+COUNTIFS('ENCUESTA CONDUCTORES'!H$7:H$459,"X",'ENCUESTA CONDUCTORES'!$BS$7:$BS$459,"MEDICAMENTOS")+COUNTIFS('ENCUESTA CONDUCTORES'!H$7:H$459,"X",'ENCUESTA CONDUCTORES'!$BS$7:$BS$459,"AGUA POTABLE")+COUNTIFS('ENCUESTA CONDUCTORES'!H$7:H$459,"X",'ENCUESTA CONDUCTORES'!$BS$7:$BS$459,"MUDANZAS")+COUNTIFS('ENCUESTA CONDUCTORES'!H$7:H$459,"X",'ENCUESTA CONDUCTORES'!$BS$7:$BS$459,"JABON")+COUNTIFS('ENCUESTA CONDUCTORES'!H$7:H$459,"X",'ENCUESTA CONDUCTORES'!$BS$7:$BS$459,"ACEITE")+COUNTIFS('ENCUESTA CONDUCTORES'!H$7:H$459,"X",'ENCUESTA CONDUCTORES'!$BS$7:$BS$459,"POLIETILENO")+COUNTIFS('ENCUESTA CONDUCTORES'!H$7:H$459,"X",'ENCUESTA CONDUCTORES'!$BS$7:$BS$459,"ELECTRODOMÉSTICOS")+COUNTIFS('ENCUESTA CONDUCTORES'!H$7:H$459,"X",'ENCUESTA CONDUCTORES'!$BS$7:$BS$459,"MUEBLES")+COUNTIFS('ENCUESTA CONDUCTORES'!H$7:H$459,"X",'ENCUESTA CONDUCTORES'!$BS$7:$BS$459,"CHATARRA")+COUNTIFS('ENCUESTA CONDUCTORES'!H$7:H$459,"X",'ENCUESTA CONDUCTORES'!$BS$7:$BS$459,"LLANTAS")+COUNTIFS('ENCUESTA CONDUCTORES'!H$7:H$459,"X",'ENCUESTA CONDUCTORES'!$BS$7:$BS$459,"AGUA")+COUNTIFS('ENCUESTA CONDUCTORES'!H$7:H$459,"X",'ENCUESTA CONDUCTORES'!$BS$7:$BS$459,"ANIMALES")+COUNTIFS('ENCUESTA CONDUCTORES'!H$7:H$459,"X",'ENCUESTA CONDUCTORES'!$BS$7:$BS$459,"TV REFRIGERADORES")+COUNTIFS('ENCUESTA CONDUCTORES'!H$7:H$459,"X",'ENCUESTA CONDUCTORES'!$BS$7:$BS$459,"LÍNEA BLANCA")+COUNTIFS('ENCUESTA CONDUCTORES'!H$7:H$459,"X",'ENCUESTA CONDUCTORES'!$BS$7:$BS$459,"IMPORTACIÓN / EXPORTACIÓN")+COUNTIFS('ENCUESTA CONDUCTORES'!H$7:H$459,"X",'ENCUESTA CONDUCTORES'!$BS$7:$BS$459,"PLASTICO")+COUNTIFS('ENCUESTA CONDUCTORES'!H$7:H$459,"X",'ENCUESTA CONDUCTORES'!$BS$7:$BS$459,"ROPA")+COUNTIFS('ENCUESTA CONDUCTORES'!H$7:H$459,"X",'ENCUESTA CONDUCTORES'!$BS$7:$BS$459,"CHATARRA")+COUNTIFS('ENCUESTA CONDUCTORES'!H$7:H$459,"X",'ENCUESTA CONDUCTORES'!$BS$7:$BS$459,"MEDICAMENTO NUTRICIONAL")+COUNTIFS('ENCUESTA CONDUCTORES'!H$7:H$459,"X",'ENCUESTA CONDUCTORES'!$BS$7:$BS$459,"PRODUCTOS DE BELLEZA")+COUNTIFS('ENCUESTA CONDUCTORES'!H$7:H$459,"X",'ENCUESTA CONDUCTORES'!$BS$7:$BS$459,"FORRAJE")+COUNTIFS('ENCUESTA CONDUCTORES'!H$7:H$459,"X",'ENCUESTA CONDUCTORES'!$BS$7:$BS$459,"VALORES")+COUNTIFS('ENCUESTA CONDUCTORES'!H$7:H$459,"X",'ENCUESTA CONDUCTORES'!$BS$7:$BS$459,"PAQUETERIA")+COUNTIFS('ENCUESTA CONDUCTORES'!H$7:H$459,"X",'ENCUESTA CONDUCTORES'!$BS$7:$BS$459,"SECOS")+COUNTIFS('ENCUESTA CONDUCTORES'!H$7:H$459,"X",'ENCUESTA CONDUCTORES'!$BS$7:$BS$459,"PANTALLAS")+COUNTIFS('ENCUESTA CONDUCTORES'!H$7:H$459,"X",'ENCUESTA CONDUCTORES'!$BS$7:$BS$459,"BOTELLAS")+COUNTIFS('ENCUESTA CONDUCTORES'!H$7:H$459,"X",'ENCUESTA CONDUCTORES'!$BS$7:$BS$459,"PRODUCTOS DE HIGIENE PERSONAL")+COUNTIFS('ENCUESTA CONDUCTORES'!H$7:H$459,"X",'ENCUESTA CONDUCTORES'!$BS$7:$BS$459,"ELECTRONICA, LINEA BLANCA")+COUNTIFS('ENCUESTA CONDUCTORES'!H$7:H$459,"X",'ENCUESTA CONDUCTORES'!$BS$7:$BS$459,"CONTENEDORES")</f>
        <v>30</v>
      </c>
      <c r="L113" s="18">
        <f t="shared" si="336"/>
        <v>103</v>
      </c>
      <c r="AL113" s="17" t="s">
        <v>193</v>
      </c>
      <c r="AN113" s="18"/>
      <c r="AO113" s="18"/>
      <c r="AP113" s="18"/>
      <c r="AQ113" s="18"/>
      <c r="AR113" s="18">
        <f>COUNTIFS('ENCUESTA CONDUCTORES'!$AL$7:$AL$459,"X",'ENCUESTA CONDUCTORES'!P$7:P$459,"X",'ENCUESTA CONDUCTORES'!$AW$7:$AW$459,"NO SABE")</f>
        <v>1</v>
      </c>
      <c r="AS113" s="18">
        <f>COUNTIFS('ENCUESTA CONDUCTORES'!$AL$7:$AL$459,"X",'ENCUESTA CONDUCTORES'!Q$7:Q$459,"X",'ENCUESTA CONDUCTORES'!$AW$7:$AW$459,"NO SABE")</f>
        <v>0</v>
      </c>
      <c r="AT113" s="18">
        <f>COUNTIFS('ENCUESTA CONDUCTORES'!$AL$7:$AL$459,"X",'ENCUESTA CONDUCTORES'!R$7:R$459,"X",'ENCUESTA CONDUCTORES'!$AW$7:$AW$459,"NO SABE")</f>
        <v>0</v>
      </c>
      <c r="AU113" s="18">
        <f>COUNTIFS('ENCUESTA CONDUCTORES'!$AL$7:$AL$459,"X",'ENCUESTA CONDUCTORES'!S$7:S$459,"X",'ENCUESTA CONDUCTORES'!$AW$7:$AW$459,"NO SABE")</f>
        <v>0</v>
      </c>
      <c r="AV113" s="18">
        <f t="shared" ref="AV113" si="342">SUM(AR113:AU113)</f>
        <v>1</v>
      </c>
      <c r="CL113" s="17" t="s">
        <v>1428</v>
      </c>
      <c r="CM113" s="74">
        <f t="shared" si="337"/>
        <v>0.29599999999999999</v>
      </c>
      <c r="CN113" s="18">
        <f>COUNTIFS('ENCUESTA CONDUCTORES'!S$7:S$459,"X",'ENCUESTA CONDUCTORES'!$DE$7:$DE$459,"&lt;2011")-CN112-CN111-CN110-CN109-CN108</f>
        <v>74</v>
      </c>
      <c r="CO113" s="74"/>
      <c r="CQ113" s="74"/>
      <c r="CR113" s="18"/>
      <c r="CS113" s="18"/>
      <c r="CT113" s="18"/>
      <c r="CV113" s="18"/>
      <c r="CY113" s="17" t="s">
        <v>1429</v>
      </c>
      <c r="CZ113" s="17" t="s">
        <v>1429</v>
      </c>
      <c r="DP113" s="18">
        <v>1989</v>
      </c>
      <c r="DQ113" s="19">
        <f>AVERAGEIF('ENCUESTA CONDUCTORES'!AH15:AH467,DP113,'ENCUESTA CONDUCTORES'!AI15:AI467)</f>
        <v>1083206.75</v>
      </c>
    </row>
    <row r="114" spans="1:121" x14ac:dyDescent="0.25">
      <c r="B114" s="75" t="s">
        <v>1333</v>
      </c>
      <c r="C114" s="74">
        <f t="shared" si="335"/>
        <v>0.17345399698340874</v>
      </c>
      <c r="D114" s="74">
        <f t="shared" si="331"/>
        <v>0.16440422322775264</v>
      </c>
      <c r="E114" s="74">
        <f t="shared" si="332"/>
        <v>0.39064856711915535</v>
      </c>
      <c r="F114" s="74">
        <f t="shared" si="333"/>
        <v>0.27149321266968324</v>
      </c>
      <c r="G114" s="74">
        <f t="shared" si="334"/>
        <v>1</v>
      </c>
      <c r="H114" s="18">
        <f>SUM(H106:H113)</f>
        <v>115</v>
      </c>
      <c r="I114" s="18">
        <f t="shared" ref="I114:K114" si="343">SUM(I106:I113)</f>
        <v>109</v>
      </c>
      <c r="J114" s="18">
        <f t="shared" si="343"/>
        <v>259</v>
      </c>
      <c r="K114" s="18">
        <f t="shared" si="343"/>
        <v>180</v>
      </c>
      <c r="L114" s="19">
        <f>SUM(H114:K114)</f>
        <v>663</v>
      </c>
      <c r="AN114" s="18"/>
      <c r="AO114" s="18"/>
      <c r="AP114" s="18"/>
      <c r="AQ114" s="18"/>
      <c r="AR114" s="18">
        <f>+AR113+AR112</f>
        <v>84</v>
      </c>
      <c r="AS114" s="18"/>
      <c r="AT114" s="18"/>
      <c r="AU114" s="18"/>
      <c r="AV114" s="18">
        <f>+AV113+AV112</f>
        <v>428</v>
      </c>
      <c r="CL114" s="17" t="s">
        <v>1429</v>
      </c>
      <c r="CM114" s="74">
        <f t="shared" si="337"/>
        <v>8.7999999999999995E-2</v>
      </c>
      <c r="CN114" s="18">
        <f>COUNTIFS('ENCUESTA CONDUCTORES'!S$7:S$459,"X",'ENCUESTA CONDUCTORES'!$DE$7:$DE$459,"&gt;2010")</f>
        <v>22</v>
      </c>
      <c r="CO114" s="74"/>
      <c r="CQ114" s="74"/>
      <c r="CR114" s="18"/>
      <c r="CS114" s="18"/>
      <c r="CT114" s="18"/>
      <c r="CV114" s="18"/>
      <c r="CX114" s="11" t="s">
        <v>1296</v>
      </c>
      <c r="CY114" s="74">
        <f>+CZ114/$CZ$122</f>
        <v>0.12195121951219512</v>
      </c>
      <c r="CZ114" s="18">
        <f>+DM5</f>
        <v>5</v>
      </c>
      <c r="DA114" s="74"/>
      <c r="DB114" s="74"/>
      <c r="DC114" s="74"/>
      <c r="DD114" s="74"/>
      <c r="DF114" s="74"/>
      <c r="DG114" s="18"/>
      <c r="DH114" s="18"/>
      <c r="DI114" s="18"/>
      <c r="DJ114" s="18"/>
      <c r="DK114" s="18"/>
      <c r="DL114" s="18"/>
      <c r="DN114" s="18"/>
      <c r="DP114" s="18">
        <v>1990</v>
      </c>
      <c r="DQ114" s="19">
        <f>AVERAGEIF('ENCUESTA CONDUCTORES'!AH16:AH468,DP114,'ENCUESTA CONDUCTORES'!AI16:AI468)</f>
        <v>973139.4444444445</v>
      </c>
    </row>
    <row r="115" spans="1:121" x14ac:dyDescent="0.25">
      <c r="B115" s="17" t="s">
        <v>856</v>
      </c>
      <c r="H115" s="90">
        <f>COUNTIFS('ENCUESTA CONDUCTORES'!E$7:E$459,"X",'ENCUESTA CONDUCTORES'!$BS$7:$BS$459,"NO CONTESTO")</f>
        <v>0</v>
      </c>
      <c r="I115" s="90">
        <f>COUNTIFS('ENCUESTA CONDUCTORES'!F$7:F$459,"X",'ENCUESTA CONDUCTORES'!$BS$7:$BS$459,"NO CONTESTO")</f>
        <v>0</v>
      </c>
      <c r="J115" s="90">
        <f>COUNTIFS('ENCUESTA CONDUCTORES'!G$7:G$459,"X",'ENCUESTA CONDUCTORES'!$BS$7:$BS$459,"NO CONTESTO")</f>
        <v>1</v>
      </c>
      <c r="K115" s="90">
        <f>COUNTIFS('ENCUESTA CONDUCTORES'!H$7:H$459,"X",'ENCUESTA CONDUCTORES'!$BS$7:$BS$459,"NO CONTESTO")</f>
        <v>0</v>
      </c>
      <c r="L115" s="18">
        <f t="shared" si="336"/>
        <v>1</v>
      </c>
      <c r="AN115" s="18"/>
      <c r="AO115" s="18"/>
      <c r="AP115" s="18"/>
      <c r="AQ115" s="18"/>
      <c r="AR115" s="18"/>
      <c r="AS115" s="18"/>
      <c r="AT115" s="18"/>
      <c r="AU115" s="18"/>
      <c r="AV115" s="18">
        <f>SUM(AV104:AV111)</f>
        <v>427</v>
      </c>
      <c r="CL115" s="17" t="s">
        <v>429</v>
      </c>
      <c r="CM115" s="74">
        <f t="shared" si="337"/>
        <v>1</v>
      </c>
      <c r="CN115" s="18">
        <f t="shared" ref="CN115" si="344">SUM(CN108:CN114)</f>
        <v>250</v>
      </c>
      <c r="CO115" s="74"/>
      <c r="CQ115" s="74"/>
      <c r="CR115" s="18"/>
      <c r="CS115" s="18"/>
      <c r="CT115" s="18"/>
      <c r="CV115" s="18"/>
      <c r="CX115" s="11" t="s">
        <v>1297</v>
      </c>
      <c r="CY115" s="74">
        <f t="shared" ref="CY115:CY122" si="345">+CZ115/$CZ$122</f>
        <v>7.3170731707317069E-2</v>
      </c>
      <c r="CZ115" s="18">
        <f t="shared" ref="CZ115:CZ123" si="346">+DM6</f>
        <v>3</v>
      </c>
      <c r="DA115" s="74"/>
      <c r="DB115" s="74"/>
      <c r="DC115" s="74"/>
      <c r="DD115" s="74"/>
      <c r="DF115" s="74"/>
      <c r="DG115" s="18"/>
      <c r="DH115" s="18"/>
      <c r="DI115" s="18"/>
      <c r="DJ115" s="18"/>
      <c r="DK115" s="18"/>
      <c r="DL115" s="18"/>
      <c r="DN115" s="18"/>
      <c r="DP115" s="18">
        <v>1991</v>
      </c>
      <c r="DQ115" s="19">
        <f>AVERAGEIF('ENCUESTA CONDUCTORES'!AH17:AH469,DP115,'ENCUESTA CONDUCTORES'!AI17:AI469)</f>
        <v>850000</v>
      </c>
    </row>
    <row r="116" spans="1:121" x14ac:dyDescent="0.25">
      <c r="L116" s="19">
        <f>+L115+L114</f>
        <v>664</v>
      </c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X116" s="11" t="s">
        <v>1298</v>
      </c>
      <c r="CY116" s="74">
        <f t="shared" si="345"/>
        <v>0.21951219512195122</v>
      </c>
      <c r="CZ116" s="18">
        <f t="shared" si="346"/>
        <v>9</v>
      </c>
      <c r="DA116" s="74"/>
      <c r="DB116" s="74"/>
      <c r="DC116" s="74"/>
      <c r="DD116" s="74"/>
      <c r="DF116" s="74"/>
      <c r="DG116" s="18"/>
      <c r="DH116" s="18"/>
      <c r="DI116" s="18"/>
      <c r="DJ116" s="18"/>
      <c r="DK116" s="18"/>
      <c r="DL116" s="18"/>
      <c r="DN116" s="18"/>
      <c r="DP116" s="18">
        <v>1992</v>
      </c>
      <c r="DQ116" s="19">
        <f>AVERAGEIF('ENCUESTA CONDUCTORES'!AH18:AH470,DP116,'ENCUESTA CONDUCTORES'!AI18:AI470)</f>
        <v>1345881</v>
      </c>
    </row>
    <row r="117" spans="1:121" x14ac:dyDescent="0.25">
      <c r="AL117" s="57" t="s">
        <v>1396</v>
      </c>
      <c r="AS117" s="17" t="s">
        <v>1392</v>
      </c>
      <c r="CX117" s="11" t="s">
        <v>1299</v>
      </c>
      <c r="CY117" s="74">
        <f t="shared" si="345"/>
        <v>2.4390243902439025E-2</v>
      </c>
      <c r="CZ117" s="18">
        <f t="shared" si="346"/>
        <v>1</v>
      </c>
      <c r="DA117" s="74"/>
      <c r="DB117" s="74"/>
      <c r="DC117" s="74"/>
      <c r="DD117" s="74"/>
      <c r="DF117" s="74"/>
      <c r="DG117" s="18"/>
      <c r="DH117" s="18"/>
      <c r="DI117" s="18"/>
      <c r="DJ117" s="18"/>
      <c r="DK117" s="18"/>
      <c r="DL117" s="18"/>
      <c r="DN117" s="18"/>
      <c r="DP117" s="18">
        <v>1993</v>
      </c>
      <c r="DQ117" s="19">
        <f>AVERAGEIF('ENCUESTA CONDUCTORES'!AH19:AH471,DP117,'ENCUESTA CONDUCTORES'!AI19:AI471)</f>
        <v>1150000</v>
      </c>
    </row>
    <row r="118" spans="1:121" x14ac:dyDescent="0.25">
      <c r="AM118" s="18" t="s">
        <v>4</v>
      </c>
      <c r="AN118" s="18" t="s">
        <v>4</v>
      </c>
      <c r="AO118" s="18"/>
      <c r="AP118" s="18"/>
      <c r="AQ118" s="18"/>
      <c r="AS118" s="18"/>
      <c r="AT118" s="18"/>
      <c r="AU118" s="18"/>
      <c r="AV118" s="18"/>
      <c r="CX118" s="11" t="s">
        <v>1300</v>
      </c>
      <c r="CY118" s="74">
        <f t="shared" si="345"/>
        <v>0.24390243902439024</v>
      </c>
      <c r="CZ118" s="18">
        <f t="shared" si="346"/>
        <v>10</v>
      </c>
      <c r="DA118" s="74"/>
      <c r="DB118" s="74"/>
      <c r="DC118" s="74"/>
      <c r="DD118" s="74"/>
      <c r="DF118" s="74"/>
      <c r="DG118" s="18"/>
      <c r="DH118" s="18"/>
      <c r="DI118" s="18"/>
      <c r="DJ118" s="18"/>
      <c r="DK118" s="18"/>
      <c r="DL118" s="18"/>
      <c r="DN118" s="18"/>
      <c r="DP118" s="18">
        <v>1994</v>
      </c>
      <c r="DQ118" s="19">
        <f>AVERAGEIF('ENCUESTA CONDUCTORES'!AH20:AH472,DP118,'ENCUESTA CONDUCTORES'!AI20:AI472)</f>
        <v>1716625</v>
      </c>
    </row>
    <row r="119" spans="1:121" x14ac:dyDescent="0.25">
      <c r="A119" s="17" t="s">
        <v>1367</v>
      </c>
      <c r="F119" s="57" t="s">
        <v>1534</v>
      </c>
      <c r="AL119" s="11" t="s">
        <v>1306</v>
      </c>
      <c r="AM119" s="74">
        <f>+AN119/$AN$127</f>
        <v>2.4096385542168676E-2</v>
      </c>
      <c r="AN119" s="18">
        <f>COUNTIFS('ENCUESTA CONDUCTORES'!$AL$7:$AL$459,"X",'ENCUESTA CONDUCTORES'!P$7:P$459,"X",'ENCUESTA CONDUCTORES'!$AW$7:$AW$459,"&lt;1.9")</f>
        <v>2</v>
      </c>
      <c r="AO119" s="74"/>
      <c r="AP119" s="74"/>
      <c r="AQ119" s="74"/>
      <c r="AS119" s="18"/>
      <c r="AT119" s="18"/>
      <c r="AU119" s="18"/>
      <c r="AV119" s="18"/>
      <c r="CX119" s="11" t="s">
        <v>1301</v>
      </c>
      <c r="CY119" s="74">
        <f t="shared" si="345"/>
        <v>0.26829268292682928</v>
      </c>
      <c r="CZ119" s="18">
        <f t="shared" si="346"/>
        <v>11</v>
      </c>
      <c r="DA119" s="74"/>
      <c r="DB119" s="74"/>
      <c r="DC119" s="74"/>
      <c r="DD119" s="74"/>
      <c r="DF119" s="74"/>
      <c r="DG119" s="18"/>
      <c r="DH119" s="18"/>
      <c r="DI119" s="18"/>
      <c r="DJ119" s="18"/>
      <c r="DK119" s="18"/>
      <c r="DL119" s="18"/>
      <c r="DN119" s="18"/>
      <c r="DP119" s="18">
        <v>1995</v>
      </c>
      <c r="DQ119" s="19">
        <f>AVERAGEIF('ENCUESTA CONDUCTORES'!AH21:AH473,DP119,'ENCUESTA CONDUCTORES'!AI21:AI473)</f>
        <v>978219.77777777775</v>
      </c>
    </row>
    <row r="120" spans="1:121" x14ac:dyDescent="0.25">
      <c r="C120" s="17" t="s">
        <v>425</v>
      </c>
      <c r="D120" s="17" t="s">
        <v>425</v>
      </c>
      <c r="E120" s="17"/>
      <c r="F120" s="17"/>
      <c r="G120" s="17" t="s">
        <v>425</v>
      </c>
      <c r="H120" s="17" t="s">
        <v>426</v>
      </c>
      <c r="I120" s="17" t="s">
        <v>1336</v>
      </c>
      <c r="J120" s="17" t="s">
        <v>1337</v>
      </c>
      <c r="K120" s="17" t="s">
        <v>429</v>
      </c>
      <c r="L120" s="17" t="s">
        <v>425</v>
      </c>
      <c r="M120" s="17" t="s">
        <v>426</v>
      </c>
      <c r="N120" s="17" t="s">
        <v>1336</v>
      </c>
      <c r="O120" s="17" t="s">
        <v>1337</v>
      </c>
      <c r="P120" s="17" t="s">
        <v>429</v>
      </c>
      <c r="AL120" s="11" t="s">
        <v>1307</v>
      </c>
      <c r="AM120" s="74">
        <f t="shared" ref="AM120:AM127" si="347">+AN120/$AN$127</f>
        <v>0.12048192771084337</v>
      </c>
      <c r="AN120" s="18">
        <f>COUNTIFS('ENCUESTA CONDUCTORES'!$AL$7:$AL$459,"X",'ENCUESTA CONDUCTORES'!P$7:P$459,"X",'ENCUESTA CONDUCTORES'!$AW$7:$AW$459,"&lt;2.21")-AN119</f>
        <v>10</v>
      </c>
      <c r="AO120" s="74"/>
      <c r="AP120" s="74"/>
      <c r="AQ120" s="74"/>
      <c r="AS120" s="18"/>
      <c r="AT120" s="18"/>
      <c r="AU120" s="18"/>
      <c r="AV120" s="18"/>
      <c r="CX120" s="11" t="s">
        <v>1302</v>
      </c>
      <c r="CY120" s="74">
        <f t="shared" si="345"/>
        <v>2.4390243902439025E-2</v>
      </c>
      <c r="CZ120" s="18">
        <f t="shared" si="346"/>
        <v>1</v>
      </c>
      <c r="DA120" s="74"/>
      <c r="DB120" s="74"/>
      <c r="DC120" s="74"/>
      <c r="DD120" s="74"/>
      <c r="DF120" s="74"/>
      <c r="DG120" s="18"/>
      <c r="DH120" s="18"/>
      <c r="DI120" s="18"/>
      <c r="DJ120" s="18"/>
      <c r="DK120" s="18"/>
      <c r="DL120" s="18"/>
      <c r="DN120" s="18"/>
      <c r="DP120" s="18">
        <v>1996</v>
      </c>
      <c r="DQ120" s="19">
        <f>AVERAGEIF('ENCUESTA CONDUCTORES'!AH22:AH474,DP120,'ENCUESTA CONDUCTORES'!AI22:AI474)</f>
        <v>1177139.3999999999</v>
      </c>
    </row>
    <row r="121" spans="1:121" ht="25.5" x14ac:dyDescent="0.25">
      <c r="B121" s="75" t="s">
        <v>48</v>
      </c>
      <c r="C121" s="74">
        <f>+D121/$D$129</f>
        <v>0.19130434782608696</v>
      </c>
      <c r="D121" s="18">
        <f>COUNTIFS('ENCUESTA CONDUCTORES'!E$7:E$459,"X",'ENCUESTA CONDUCTORES'!$BJ$7:$BJ$459,"X")</f>
        <v>22</v>
      </c>
      <c r="E121" s="74"/>
      <c r="F121" s="75" t="s">
        <v>48</v>
      </c>
      <c r="G121" s="74">
        <f>+L121/$P$121</f>
        <v>0.27500000000000002</v>
      </c>
      <c r="H121" s="74">
        <f t="shared" ref="H121:K121" si="348">+M121/$P$121</f>
        <v>0.1875</v>
      </c>
      <c r="I121" s="74">
        <f t="shared" si="348"/>
        <v>0.38750000000000001</v>
      </c>
      <c r="J121" s="74">
        <f t="shared" si="348"/>
        <v>0.15</v>
      </c>
      <c r="K121" s="74">
        <f t="shared" si="348"/>
        <v>1</v>
      </c>
      <c r="L121" s="18">
        <f>+H106</f>
        <v>22</v>
      </c>
      <c r="M121" s="18">
        <f t="shared" ref="M121:O121" si="349">+I106</f>
        <v>15</v>
      </c>
      <c r="N121" s="18">
        <f t="shared" si="349"/>
        <v>31</v>
      </c>
      <c r="O121" s="18">
        <f t="shared" si="349"/>
        <v>12</v>
      </c>
      <c r="P121" s="18">
        <f>SUM(L121:O121)</f>
        <v>80</v>
      </c>
      <c r="AL121" s="17" t="s">
        <v>1308</v>
      </c>
      <c r="AM121" s="74">
        <f t="shared" si="347"/>
        <v>4.8192771084337352E-2</v>
      </c>
      <c r="AN121" s="18">
        <f>COUNTIFS('ENCUESTA CONDUCTORES'!$AL$7:$AL$459,"X",'ENCUESTA CONDUCTORES'!P$7:P$459,"X",'ENCUESTA CONDUCTORES'!$AW$7:$AW$459,"&lt;2.41")-AN120-AN119</f>
        <v>4</v>
      </c>
      <c r="AO121" s="74"/>
      <c r="AP121" s="74"/>
      <c r="AQ121" s="74"/>
      <c r="AS121" s="18"/>
      <c r="AT121" s="18"/>
      <c r="AU121" s="18"/>
      <c r="AV121" s="18"/>
      <c r="CX121" s="11" t="s">
        <v>1385</v>
      </c>
      <c r="CY121" s="74">
        <f t="shared" si="345"/>
        <v>2.4390243902439025E-2</v>
      </c>
      <c r="CZ121" s="18">
        <f t="shared" si="346"/>
        <v>1</v>
      </c>
      <c r="DA121" s="74"/>
      <c r="DB121" s="74"/>
      <c r="DC121" s="74"/>
      <c r="DD121" s="74"/>
      <c r="DF121" s="74"/>
      <c r="DG121" s="18"/>
      <c r="DH121" s="18"/>
      <c r="DI121" s="18"/>
      <c r="DJ121" s="18"/>
      <c r="DK121" s="18"/>
      <c r="DL121" s="18"/>
      <c r="DN121" s="18"/>
      <c r="DP121" s="18">
        <v>1997</v>
      </c>
      <c r="DQ121" s="19">
        <f>AVERAGEIF('ENCUESTA CONDUCTORES'!AH23:AH475,DP121,'ENCUESTA CONDUCTORES'!AI23:AI475)</f>
        <v>1010120</v>
      </c>
    </row>
    <row r="122" spans="1:121" x14ac:dyDescent="0.25">
      <c r="B122" s="75" t="s">
        <v>49</v>
      </c>
      <c r="C122" s="74">
        <f t="shared" ref="C122:C129" si="350">+D122/$D$129</f>
        <v>0.19130434782608696</v>
      </c>
      <c r="D122" s="18">
        <f>COUNTIFS('ENCUESTA CONDUCTORES'!E$7:E$459,"X",'ENCUESTA CONDUCTORES'!$BK$7:$BK$459,"X")</f>
        <v>22</v>
      </c>
      <c r="E122" s="74"/>
      <c r="F122" s="74"/>
      <c r="G122" s="74"/>
      <c r="I122" s="18"/>
      <c r="J122" s="18"/>
      <c r="K122" s="18"/>
      <c r="L122" s="18"/>
      <c r="AL122" s="11" t="s">
        <v>1334</v>
      </c>
      <c r="AM122" s="74">
        <f t="shared" si="347"/>
        <v>8.4337349397590355E-2</v>
      </c>
      <c r="AN122" s="18">
        <f>COUNTIFS('ENCUESTA CONDUCTORES'!$AL$7:$AL$459,"X",'ENCUESTA CONDUCTORES'!P$7:P$459,"X",'ENCUESTA CONDUCTORES'!$AW$7:$AW$459,"&lt;2.61")-AN121-AN120-AN119</f>
        <v>7</v>
      </c>
      <c r="AO122" s="74"/>
      <c r="AP122" s="74"/>
      <c r="AQ122" s="74"/>
      <c r="AS122" s="18"/>
      <c r="AT122" s="18"/>
      <c r="AU122" s="18"/>
      <c r="AV122" s="18"/>
      <c r="CX122" s="11" t="s">
        <v>429</v>
      </c>
      <c r="CY122" s="74">
        <f t="shared" si="345"/>
        <v>1</v>
      </c>
      <c r="CZ122" s="18">
        <f t="shared" si="346"/>
        <v>41</v>
      </c>
      <c r="DA122" s="74"/>
      <c r="DB122" s="74"/>
      <c r="DC122" s="74"/>
      <c r="DD122" s="74"/>
      <c r="DF122" s="74"/>
      <c r="DG122" s="18"/>
      <c r="DH122" s="18"/>
      <c r="DI122" s="18"/>
      <c r="DJ122" s="18"/>
      <c r="DK122" s="18"/>
      <c r="DL122" s="18"/>
      <c r="DN122" s="18"/>
      <c r="DP122" s="18">
        <v>1998</v>
      </c>
      <c r="DQ122" s="19">
        <f>AVERAGEIF('ENCUESTA CONDUCTORES'!AH24:AH476,DP122,'ENCUESTA CONDUCTORES'!AI24:AI476)</f>
        <v>1133969.8999999999</v>
      </c>
    </row>
    <row r="123" spans="1:121" x14ac:dyDescent="0.25">
      <c r="B123" s="75" t="s">
        <v>1356</v>
      </c>
      <c r="C123" s="74">
        <f t="shared" si="350"/>
        <v>6.0869565217391307E-2</v>
      </c>
      <c r="D123" s="18">
        <f>COUNTIFS('ENCUESTA CONDUCTORES'!E$7:E$459,"X",'ENCUESTA CONDUCTORES'!$BL$7:$BL$459,"X")+COUNTIFS('ENCUESTA CONDUCTORES'!E$7:E$459,"X",'ENCUESTA CONDUCTORES'!$BR$7:$BR$459,"X")</f>
        <v>7</v>
      </c>
      <c r="E123" s="74"/>
      <c r="F123" s="57" t="s">
        <v>1535</v>
      </c>
      <c r="AL123" s="11" t="s">
        <v>1309</v>
      </c>
      <c r="AM123" s="74">
        <f t="shared" si="347"/>
        <v>0.15662650602409639</v>
      </c>
      <c r="AN123" s="18">
        <f>COUNTIFS('ENCUESTA CONDUCTORES'!$AL$7:$AL$459,"X",'ENCUESTA CONDUCTORES'!P$7:P$459,"X",'ENCUESTA CONDUCTORES'!$AW$7:$AW$459,"&lt;2.81")-AN122-AN121-AN120-AN119</f>
        <v>13</v>
      </c>
      <c r="AO123" s="74"/>
      <c r="AP123" s="74"/>
      <c r="AQ123" s="74"/>
      <c r="AS123" s="18"/>
      <c r="AT123" s="18"/>
      <c r="AU123" s="18"/>
      <c r="AV123" s="18"/>
      <c r="CX123" s="17" t="s">
        <v>193</v>
      </c>
      <c r="CY123" s="18"/>
      <c r="CZ123" s="18">
        <f t="shared" si="346"/>
        <v>0</v>
      </c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N123" s="18"/>
      <c r="DP123" s="18">
        <v>1999</v>
      </c>
      <c r="DQ123" s="19">
        <f>AVERAGEIF('ENCUESTA CONDUCTORES'!AH25:AH477,DP123,'ENCUESTA CONDUCTORES'!AI25:AI477)</f>
        <v>948304.5</v>
      </c>
    </row>
    <row r="124" spans="1:121" x14ac:dyDescent="0.25">
      <c r="B124" s="75" t="s">
        <v>51</v>
      </c>
      <c r="C124" s="74">
        <f t="shared" si="350"/>
        <v>3.4782608695652174E-2</v>
      </c>
      <c r="D124" s="18">
        <f>COUNTIFS('ENCUESTA CONDUCTORES'!E$7:E$459,"X",'ENCUESTA CONDUCTORES'!$BM$7:$BM$459,"X")</f>
        <v>4</v>
      </c>
      <c r="E124" s="74"/>
      <c r="F124" s="17"/>
      <c r="G124" s="17" t="s">
        <v>425</v>
      </c>
      <c r="H124" s="17" t="s">
        <v>426</v>
      </c>
      <c r="I124" s="17" t="s">
        <v>1336</v>
      </c>
      <c r="J124" s="17" t="s">
        <v>1337</v>
      </c>
      <c r="K124" s="17" t="s">
        <v>429</v>
      </c>
      <c r="L124" s="17" t="s">
        <v>425</v>
      </c>
      <c r="M124" s="17" t="s">
        <v>426</v>
      </c>
      <c r="N124" s="17" t="s">
        <v>1336</v>
      </c>
      <c r="O124" s="17" t="s">
        <v>1337</v>
      </c>
      <c r="P124" s="17" t="s">
        <v>429</v>
      </c>
      <c r="AL124" s="11" t="s">
        <v>1310</v>
      </c>
      <c r="AM124" s="74">
        <f t="shared" si="347"/>
        <v>0.36144578313253012</v>
      </c>
      <c r="AN124" s="18">
        <f>COUNTIFS('ENCUESTA CONDUCTORES'!$AL$7:$AL$459,"X",'ENCUESTA CONDUCTORES'!P$7:P$459,"X",'ENCUESTA CONDUCTORES'!$AW$7:$AW$459,"&lt;3.21")-AN123-AN122-AN121-AN120-AN119</f>
        <v>30</v>
      </c>
      <c r="AO124" s="74"/>
      <c r="AP124" s="74"/>
      <c r="AQ124" s="74"/>
      <c r="AS124" s="18"/>
      <c r="AT124" s="18"/>
      <c r="AU124" s="18"/>
      <c r="AV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P124" s="18">
        <v>2000</v>
      </c>
      <c r="DQ124" s="19">
        <f>AVERAGEIF('ENCUESTA CONDUCTORES'!AH26:AH478,DP124,'ENCUESTA CONDUCTORES'!AI26:AI478)</f>
        <v>1519909.105263158</v>
      </c>
    </row>
    <row r="125" spans="1:121" ht="25.5" x14ac:dyDescent="0.25">
      <c r="B125" s="75" t="s">
        <v>1357</v>
      </c>
      <c r="C125" s="74">
        <f t="shared" si="350"/>
        <v>0.19130434782608696</v>
      </c>
      <c r="D125" s="18">
        <f>COUNTIFS('ENCUESTA CONDUCTORES'!E$7:E$459,"X",'ENCUESTA CONDUCTORES'!$BN$7:$BN$459,"X")+COUNTIFS('ENCUESTA CONDUCTORES'!E$7:E$459,"X",'ENCUESTA CONDUCTORES'!$BP$7:$BP$459,"X")</f>
        <v>22</v>
      </c>
      <c r="E125" s="74"/>
      <c r="F125" s="75" t="s">
        <v>49</v>
      </c>
      <c r="G125" s="74">
        <f>+L125/$P$125</f>
        <v>0.30555555555555558</v>
      </c>
      <c r="H125" s="74">
        <f t="shared" ref="H125:K125" si="351">+M125/$P$125</f>
        <v>0.125</v>
      </c>
      <c r="I125" s="74">
        <f t="shared" si="351"/>
        <v>0.34722222222222221</v>
      </c>
      <c r="J125" s="74">
        <f t="shared" si="351"/>
        <v>0.22222222222222221</v>
      </c>
      <c r="K125" s="74">
        <f t="shared" si="351"/>
        <v>1</v>
      </c>
      <c r="L125" s="18">
        <f>+H107</f>
        <v>22</v>
      </c>
      <c r="M125" s="18">
        <f t="shared" ref="M125:O125" si="352">+I107</f>
        <v>9</v>
      </c>
      <c r="N125" s="18">
        <f t="shared" si="352"/>
        <v>25</v>
      </c>
      <c r="O125" s="18">
        <f t="shared" si="352"/>
        <v>16</v>
      </c>
      <c r="P125" s="18">
        <f t="shared" ref="P125" si="353">SUM(L125:O125)</f>
        <v>72</v>
      </c>
      <c r="AL125" s="11" t="s">
        <v>1311</v>
      </c>
      <c r="AM125" s="74">
        <f t="shared" si="347"/>
        <v>0.12048192771084337</v>
      </c>
      <c r="AN125" s="18">
        <f>COUNTIFS('ENCUESTA CONDUCTORES'!$AL$7:$AL$459,"X",'ENCUESTA CONDUCTORES'!P$7:P$459,"X",'ENCUESTA CONDUCTORES'!$AW$7:$AW$459,"&lt;4.01")-AN124-AN123-AN122-AN121-AN120-AN119</f>
        <v>10</v>
      </c>
      <c r="AO125" s="74"/>
      <c r="AP125" s="74"/>
      <c r="AQ125" s="74"/>
      <c r="AS125" s="18"/>
      <c r="AT125" s="18"/>
      <c r="AU125" s="18"/>
      <c r="AV125" s="18"/>
      <c r="CX125" s="57" t="s">
        <v>1450</v>
      </c>
      <c r="CY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P125" s="18">
        <v>2001</v>
      </c>
      <c r="DQ125" s="19">
        <f>AVERAGEIF('ENCUESTA CONDUCTORES'!AH27:AH479,DP125,'ENCUESTA CONDUCTORES'!AI27:AI479)</f>
        <v>1445457.357142857</v>
      </c>
    </row>
    <row r="126" spans="1:121" x14ac:dyDescent="0.25">
      <c r="B126" s="75" t="s">
        <v>131</v>
      </c>
      <c r="C126" s="74">
        <f t="shared" si="350"/>
        <v>0.20869565217391303</v>
      </c>
      <c r="D126" s="18">
        <f>COUNTIFS('ENCUESTA CONDUCTORES'!E$7:E$459,"X",'ENCUESTA CONDUCTORES'!$BO$7:$BO$459,"X")</f>
        <v>24</v>
      </c>
      <c r="E126" s="74"/>
      <c r="F126" s="74"/>
      <c r="G126" s="74"/>
      <c r="I126" s="18"/>
      <c r="J126" s="18"/>
      <c r="K126" s="18"/>
      <c r="L126" s="18"/>
      <c r="AL126" s="11" t="s">
        <v>1385</v>
      </c>
      <c r="AM126" s="74">
        <f t="shared" si="347"/>
        <v>8.4337349397590355E-2</v>
      </c>
      <c r="AN126" s="18">
        <f>COUNTIFS('ENCUESTA CONDUCTORES'!$AL$7:$AL$459,"X",'ENCUESTA CONDUCTORES'!P$7:P$459,"X",'ENCUESTA CONDUCTORES'!$AW$7:$AW$459,"&gt;4")</f>
        <v>7</v>
      </c>
      <c r="AO126" s="74"/>
      <c r="AP126" s="74"/>
      <c r="AQ126" s="74"/>
      <c r="AS126" s="18"/>
      <c r="AT126" s="18"/>
      <c r="AU126" s="18"/>
      <c r="AV126" s="18"/>
      <c r="CY126" s="17" t="s">
        <v>1423</v>
      </c>
      <c r="CZ126" s="17" t="s">
        <v>1423</v>
      </c>
      <c r="DP126" s="18">
        <v>2002</v>
      </c>
      <c r="DQ126" s="19">
        <f>AVERAGEIF('ENCUESTA CONDUCTORES'!AH28:AH480,DP126,'ENCUESTA CONDUCTORES'!AI28:AI480)</f>
        <v>1093066.2</v>
      </c>
    </row>
    <row r="127" spans="1:121" x14ac:dyDescent="0.25">
      <c r="B127" s="75" t="s">
        <v>55</v>
      </c>
      <c r="C127" s="74">
        <f t="shared" si="350"/>
        <v>3.4782608695652174E-2</v>
      </c>
      <c r="D127" s="18">
        <f>COUNTIFS('ENCUESTA CONDUCTORES'!E$7:E$459,"X",'ENCUESTA CONDUCTORES'!$BQ$7:$BQ$459,"X")</f>
        <v>4</v>
      </c>
      <c r="E127" s="74"/>
      <c r="F127" s="57" t="s">
        <v>1536</v>
      </c>
      <c r="AL127" s="11" t="s">
        <v>429</v>
      </c>
      <c r="AM127" s="74">
        <f t="shared" si="347"/>
        <v>1</v>
      </c>
      <c r="AN127" s="18">
        <f>SUM(AN119:AN126)</f>
        <v>83</v>
      </c>
      <c r="AO127" s="74"/>
      <c r="AP127" s="74"/>
      <c r="AQ127" s="74"/>
      <c r="AS127" s="18"/>
      <c r="AT127" s="18"/>
      <c r="AU127" s="18"/>
      <c r="AV127" s="18"/>
      <c r="CX127" s="11" t="s">
        <v>1306</v>
      </c>
      <c r="CY127" s="74">
        <f>+CZ127/$CZ$135</f>
        <v>0</v>
      </c>
      <c r="CZ127" s="18">
        <f>+DG19</f>
        <v>0</v>
      </c>
      <c r="DA127" s="74"/>
      <c r="DB127" s="74"/>
      <c r="DC127" s="74"/>
      <c r="DD127" s="74"/>
      <c r="DE127" s="74"/>
      <c r="DF127" s="74"/>
      <c r="DH127" s="18"/>
      <c r="DI127" s="18"/>
      <c r="DJ127" s="18"/>
      <c r="DK127" s="18"/>
      <c r="DL127" s="18"/>
      <c r="DM127" s="18"/>
      <c r="DN127" s="18"/>
      <c r="DP127" s="18">
        <v>2003</v>
      </c>
      <c r="DQ127" s="19">
        <f>AVERAGEIF('ENCUESTA CONDUCTORES'!AH29:AH481,DP127,'ENCUESTA CONDUCTORES'!AI29:AI481)</f>
        <v>909996.5</v>
      </c>
    </row>
    <row r="128" spans="1:121" x14ac:dyDescent="0.25">
      <c r="B128" s="75" t="s">
        <v>1358</v>
      </c>
      <c r="C128" s="74">
        <f t="shared" si="350"/>
        <v>8.6956521739130432E-2</v>
      </c>
      <c r="D128" s="90">
        <f>COUNTIFS('ENCUESTA CONDUCTORES'!E$7:E$459,"X",'ENCUESTA CONDUCTORES'!$BS$7:$BS$459,"CARRITOS DE GOLF")+COUNTIFS('ENCUESTA CONDUCTORES'!E$7:E$459,"X",'ENCUESTA CONDUCTORES'!$BS$7:$BS$459,"MERCANCIA SECA")+COUNTIFS('ENCUESTA CONDUCTORES'!E$7:E$459,"X",'ENCUESTA CONDUCTORES'!$BS$7:$BS$459,"PAPELERIA")+COUNTIFS('ENCUESTA CONDUCTORES'!E$7:E$459,"X",'ENCUESTA CONDUCTORES'!$BS$7:$BS$459,"GENERAL")+COUNTIFS('ENCUESTA CONDUCTORES'!E$7:E$459,"X",'ENCUESTA CONDUCTORES'!$BS$7:$BS$459,"MAQUINARIA")+COUNTIFS('ENCUESTA CONDUCTORES'!E$7:E$459,"X",'ENCUESTA CONDUCTORES'!$BS$7:$BS$459,"CONTENEDOR")+COUNTIFS('ENCUESTA CONDUCTORES'!E$7:E$459,"X",'ENCUESTA CONDUCTORES'!$BS$7:$BS$459,"MEDICAMENTOS")+COUNTIFS('ENCUESTA CONDUCTORES'!E$7:E$459,"X",'ENCUESTA CONDUCTORES'!$BS$7:$BS$459,"AGUA POTABLE")+COUNTIFS('ENCUESTA CONDUCTORES'!E$7:E$459,"X",'ENCUESTA CONDUCTORES'!$BS$7:$BS$459,"MUDANZAS")+COUNTIFS('ENCUESTA CONDUCTORES'!E$7:E$459,"X",'ENCUESTA CONDUCTORES'!$BS$7:$BS$459,"JABON")+COUNTIFS('ENCUESTA CONDUCTORES'!E$7:E$459,"X",'ENCUESTA CONDUCTORES'!$BS$7:$BS$459,"ACEITE")+COUNTIFS('ENCUESTA CONDUCTORES'!E$7:E$459,"X",'ENCUESTA CONDUCTORES'!$BS$7:$BS$459,"POLIETILENO")+COUNTIFS('ENCUESTA CONDUCTORES'!E$7:E$459,"X",'ENCUESTA CONDUCTORES'!$BS$7:$BS$459,"ELECTRODOMÉSTICOS")+COUNTIFS('ENCUESTA CONDUCTORES'!E$7:E$459,"X",'ENCUESTA CONDUCTORES'!$BS$7:$BS$459,"MUEBLES")+COUNTIFS('ENCUESTA CONDUCTORES'!E$7:E$459,"X",'ENCUESTA CONDUCTORES'!$BS$7:$BS$459,"CHATARRA")+COUNTIFS('ENCUESTA CONDUCTORES'!E$7:E$459,"X",'ENCUESTA CONDUCTORES'!$BS$7:$BS$459,"LLANTAS")+COUNTIFS('ENCUESTA CONDUCTORES'!E$7:E$459,"X",'ENCUESTA CONDUCTORES'!$BS$7:$BS$459,"AGUA")+COUNTIFS('ENCUESTA CONDUCTORES'!E$7:E$459,"X",'ENCUESTA CONDUCTORES'!$BS$7:$BS$459,"ANIMALES")+COUNTIFS('ENCUESTA CONDUCTORES'!E$7:E$459,"X",'ENCUESTA CONDUCTORES'!$BS$7:$BS$459,"TV REFRIGERADORES")+COUNTIFS('ENCUESTA CONDUCTORES'!E$7:E$459,"X",'ENCUESTA CONDUCTORES'!$BS$7:$BS$459,"LÍNEA BLANCA")+COUNTIFS('ENCUESTA CONDUCTORES'!E$7:E$459,"X",'ENCUESTA CONDUCTORES'!$BS$7:$BS$459,"IMPORTACIÓN / EXPORTACIÓN")+COUNTIFS('ENCUESTA CONDUCTORES'!E$7:E$459,"X",'ENCUESTA CONDUCTORES'!$BS$7:$BS$459,"PLASTICO")+COUNTIFS('ENCUESTA CONDUCTORES'!E$7:E$459,"X",'ENCUESTA CONDUCTORES'!$BS$7:$BS$459,"ROPA")+COUNTIFS('ENCUESTA CONDUCTORES'!E$7:E$459,"X",'ENCUESTA CONDUCTORES'!$BS$7:$BS$459,"CHATARRA")+COUNTIFS('ENCUESTA CONDUCTORES'!E$7:E$459,"X",'ENCUESTA CONDUCTORES'!$BS$7:$BS$459,"MEDICAMENTO NUTRICIONAL")+COUNTIFS('ENCUESTA CONDUCTORES'!E$7:E$459,"X",'ENCUESTA CONDUCTORES'!$BS$7:$BS$459,"PRODUCTOS DE BELLEZA")+COUNTIFS('ENCUESTA CONDUCTORES'!E$7:E$459,"X",'ENCUESTA CONDUCTORES'!$BS$7:$BS$459,"FORRAJE")+COUNTIFS('ENCUESTA CONDUCTORES'!E$7:E$459,"X",'ENCUESTA CONDUCTORES'!$BS$7:$BS$459,"VALORES")+COUNTIFS('ENCUESTA CONDUCTORES'!E$7:E$459,"X",'ENCUESTA CONDUCTORES'!$BS$7:$BS$459,"PAQUETERIA")+COUNTIFS('ENCUESTA CONDUCTORES'!E$7:E$459,"X",'ENCUESTA CONDUCTORES'!$BS$7:$BS$459,"SECOS")+COUNTIFS('ENCUESTA CONDUCTORES'!E$7:E$459,"X",'ENCUESTA CONDUCTORES'!$BS$7:$BS$459,"PANTALLAS")+COUNTIFS('ENCUESTA CONDUCTORES'!E$7:E$459,"X",'ENCUESTA CONDUCTORES'!$BS$7:$BS$459,"BOTELLAS")+COUNTIFS('ENCUESTA CONDUCTORES'!E$7:E$459,"X",'ENCUESTA CONDUCTORES'!$BS$7:$BS$459,"PRODUCTOS DE HIGIENE PERSONAL")+COUNTIFS('ENCUESTA CONDUCTORES'!E$7:E$459,"X",'ENCUESTA CONDUCTORES'!$BS$7:$BS$459,"ELECTRONICA, LINEA BLANCA")+COUNTIFS('ENCUESTA CONDUCTORES'!E$7:E$459,"X",'ENCUESTA CONDUCTORES'!$BS$7:$BS$459,"CONTENEDORES")</f>
        <v>10</v>
      </c>
      <c r="E128" s="74"/>
      <c r="F128" s="17"/>
      <c r="G128" s="17" t="s">
        <v>425</v>
      </c>
      <c r="H128" s="17" t="s">
        <v>426</v>
      </c>
      <c r="I128" s="17" t="s">
        <v>1336</v>
      </c>
      <c r="J128" s="17" t="s">
        <v>1337</v>
      </c>
      <c r="K128" s="17" t="s">
        <v>429</v>
      </c>
      <c r="L128" s="17" t="s">
        <v>425</v>
      </c>
      <c r="M128" s="17" t="s">
        <v>426</v>
      </c>
      <c r="N128" s="17" t="s">
        <v>1336</v>
      </c>
      <c r="O128" s="17" t="s">
        <v>1337</v>
      </c>
      <c r="P128" s="17" t="s">
        <v>429</v>
      </c>
      <c r="AL128" s="17" t="s">
        <v>193</v>
      </c>
      <c r="AN128" s="18">
        <f>COUNTIFS('ENCUESTA CONDUCTORES'!$AL$7:$AL$459,"X",'ENCUESTA CONDUCTORES'!P$7:P$459,"X",'ENCUESTA CONDUCTORES'!$AW$7:$AW$459,"NO SABE")</f>
        <v>1</v>
      </c>
      <c r="AO128" s="18"/>
      <c r="AP128" s="18"/>
      <c r="AQ128" s="18"/>
      <c r="AS128" s="18"/>
      <c r="AT128" s="18"/>
      <c r="AU128" s="18"/>
      <c r="AV128" s="18"/>
      <c r="CX128" s="11" t="s">
        <v>1307</v>
      </c>
      <c r="CY128" s="74">
        <f t="shared" ref="CY128:CY135" si="354">+CZ128/$CZ$135</f>
        <v>0.13207547169811321</v>
      </c>
      <c r="CZ128" s="18">
        <f t="shared" ref="CZ128:CZ136" si="355">+DG20</f>
        <v>7</v>
      </c>
      <c r="DA128" s="74"/>
      <c r="DB128" s="74"/>
      <c r="DC128" s="74"/>
      <c r="DD128" s="74"/>
      <c r="DE128" s="74"/>
      <c r="DF128" s="74"/>
      <c r="DH128" s="18"/>
      <c r="DI128" s="18"/>
      <c r="DJ128" s="18"/>
      <c r="DK128" s="18"/>
      <c r="DL128" s="18"/>
      <c r="DM128" s="18"/>
      <c r="DN128" s="18"/>
      <c r="DP128" s="18">
        <v>2004</v>
      </c>
      <c r="DQ128" s="19">
        <f>AVERAGEIF('ENCUESTA CONDUCTORES'!AH30:AH482,DP128,'ENCUESTA CONDUCTORES'!AI30:AI482)</f>
        <v>746491.15384615387</v>
      </c>
    </row>
    <row r="129" spans="1:121" ht="25.5" x14ac:dyDescent="0.25">
      <c r="B129" s="75" t="s">
        <v>1333</v>
      </c>
      <c r="C129" s="74">
        <f t="shared" si="350"/>
        <v>1</v>
      </c>
      <c r="D129" s="18">
        <f>SUM(D121:D128)</f>
        <v>115</v>
      </c>
      <c r="E129" s="74"/>
      <c r="F129" s="75" t="s">
        <v>1356</v>
      </c>
      <c r="G129" s="74">
        <f>+L129/$P$129</f>
        <v>8.8607594936708861E-2</v>
      </c>
      <c r="H129" s="74">
        <f t="shared" ref="H129:K129" si="356">+M129/$P$129</f>
        <v>0.22784810126582278</v>
      </c>
      <c r="I129" s="74">
        <f t="shared" si="356"/>
        <v>0.379746835443038</v>
      </c>
      <c r="J129" s="74">
        <f t="shared" si="356"/>
        <v>0.30379746835443039</v>
      </c>
      <c r="K129" s="74">
        <f t="shared" si="356"/>
        <v>1</v>
      </c>
      <c r="L129" s="18">
        <f>+H108</f>
        <v>7</v>
      </c>
      <c r="M129" s="18">
        <f t="shared" ref="M129:O129" si="357">+I108</f>
        <v>18</v>
      </c>
      <c r="N129" s="18">
        <f t="shared" si="357"/>
        <v>30</v>
      </c>
      <c r="O129" s="18">
        <f t="shared" si="357"/>
        <v>24</v>
      </c>
      <c r="P129" s="18">
        <f t="shared" ref="P129" si="358">SUM(L129:O129)</f>
        <v>79</v>
      </c>
      <c r="AN129" s="18">
        <f>+AN128+AN127</f>
        <v>84</v>
      </c>
      <c r="AO129" s="18"/>
      <c r="AP129" s="18"/>
      <c r="AQ129" s="18"/>
      <c r="AS129" s="18"/>
      <c r="AT129" s="18"/>
      <c r="AU129" s="18"/>
      <c r="AV129" s="18"/>
      <c r="CX129" s="17" t="s">
        <v>1308</v>
      </c>
      <c r="CY129" s="74">
        <f t="shared" si="354"/>
        <v>9.4339622641509441E-2</v>
      </c>
      <c r="CZ129" s="18">
        <f t="shared" si="355"/>
        <v>5</v>
      </c>
      <c r="DA129" s="74"/>
      <c r="DB129" s="74"/>
      <c r="DC129" s="74"/>
      <c r="DD129" s="74"/>
      <c r="DE129" s="74"/>
      <c r="DF129" s="74"/>
      <c r="DH129" s="18"/>
      <c r="DI129" s="18"/>
      <c r="DJ129" s="18"/>
      <c r="DK129" s="18"/>
      <c r="DL129" s="18"/>
      <c r="DM129" s="18"/>
      <c r="DN129" s="18"/>
      <c r="DP129" s="18">
        <v>2005</v>
      </c>
      <c r="DQ129" s="19">
        <f>AVERAGEIF('ENCUESTA CONDUCTORES'!AH31:AH483,DP129,'ENCUESTA CONDUCTORES'!AI31:AI483)</f>
        <v>835972.51724137936</v>
      </c>
    </row>
    <row r="130" spans="1:121" x14ac:dyDescent="0.25">
      <c r="B130" s="17" t="s">
        <v>856</v>
      </c>
      <c r="D130" s="90">
        <f>COUNTIFS('ENCUESTA CONDUCTORES'!E$7:E$459,"X",'ENCUESTA CONDUCTORES'!$BS$7:$BS$459,"NO CONTESTO")</f>
        <v>0</v>
      </c>
      <c r="I130" s="90"/>
      <c r="J130" s="90"/>
      <c r="K130" s="90"/>
      <c r="L130" s="18"/>
      <c r="AN130" s="18"/>
      <c r="AO130" s="18"/>
      <c r="AP130" s="18"/>
      <c r="AQ130" s="18"/>
      <c r="AR130" s="18"/>
      <c r="AS130" s="18"/>
      <c r="AT130" s="18"/>
      <c r="AU130" s="18"/>
      <c r="AV130" s="18"/>
      <c r="CX130" s="11" t="s">
        <v>1334</v>
      </c>
      <c r="CY130" s="74">
        <f t="shared" si="354"/>
        <v>0.15094339622641509</v>
      </c>
      <c r="CZ130" s="18">
        <f t="shared" si="355"/>
        <v>8</v>
      </c>
      <c r="DA130" s="74"/>
      <c r="DB130" s="74"/>
      <c r="DC130" s="74"/>
      <c r="DD130" s="74"/>
      <c r="DE130" s="74"/>
      <c r="DF130" s="74"/>
      <c r="DH130" s="18"/>
      <c r="DI130" s="18"/>
      <c r="DJ130" s="18"/>
      <c r="DK130" s="18"/>
      <c r="DL130" s="18"/>
      <c r="DM130" s="18"/>
      <c r="DN130" s="18"/>
      <c r="DP130" s="18">
        <v>2006</v>
      </c>
      <c r="DQ130" s="19">
        <f>AVERAGEIF('ENCUESTA CONDUCTORES'!AH32:AH484,DP130,'ENCUESTA CONDUCTORES'!AI32:AI484)</f>
        <v>668997.66666666663</v>
      </c>
    </row>
    <row r="131" spans="1:121" x14ac:dyDescent="0.25">
      <c r="F131" s="57" t="s">
        <v>1537</v>
      </c>
      <c r="AL131" s="57" t="s">
        <v>1397</v>
      </c>
      <c r="AS131" s="17" t="s">
        <v>1392</v>
      </c>
      <c r="CX131" s="11" t="s">
        <v>1309</v>
      </c>
      <c r="CY131" s="74">
        <f t="shared" si="354"/>
        <v>0.20754716981132076</v>
      </c>
      <c r="CZ131" s="18">
        <f t="shared" si="355"/>
        <v>11</v>
      </c>
      <c r="DA131" s="74"/>
      <c r="DB131" s="74"/>
      <c r="DC131" s="74"/>
      <c r="DD131" s="74"/>
      <c r="DE131" s="74"/>
      <c r="DF131" s="74"/>
      <c r="DH131" s="18"/>
      <c r="DI131" s="18"/>
      <c r="DJ131" s="18"/>
      <c r="DK131" s="18"/>
      <c r="DL131" s="18"/>
      <c r="DM131" s="18"/>
      <c r="DN131" s="18"/>
      <c r="DP131" s="18">
        <v>2007</v>
      </c>
      <c r="DQ131" s="19">
        <f>AVERAGEIF('ENCUESTA CONDUCTORES'!AH33:AH485,DP131,'ENCUESTA CONDUCTORES'!AI33:AI485)</f>
        <v>719876.60606060608</v>
      </c>
    </row>
    <row r="132" spans="1:121" x14ac:dyDescent="0.25">
      <c r="F132" s="17"/>
      <c r="G132" s="17" t="s">
        <v>425</v>
      </c>
      <c r="H132" s="17" t="s">
        <v>426</v>
      </c>
      <c r="I132" s="17" t="s">
        <v>1336</v>
      </c>
      <c r="J132" s="17" t="s">
        <v>1337</v>
      </c>
      <c r="K132" s="17" t="s">
        <v>429</v>
      </c>
      <c r="L132" s="17" t="s">
        <v>425</v>
      </c>
      <c r="M132" s="17" t="s">
        <v>426</v>
      </c>
      <c r="N132" s="17" t="s">
        <v>1336</v>
      </c>
      <c r="O132" s="17" t="s">
        <v>1337</v>
      </c>
      <c r="P132" s="17" t="s">
        <v>429</v>
      </c>
      <c r="AM132" s="18" t="s">
        <v>5</v>
      </c>
      <c r="AN132" s="18" t="s">
        <v>5</v>
      </c>
      <c r="AO132" s="18"/>
      <c r="AP132" s="18"/>
      <c r="AQ132" s="18"/>
      <c r="AR132" s="18"/>
      <c r="AT132" s="18"/>
      <c r="AU132" s="18"/>
      <c r="AV132" s="18"/>
      <c r="CX132" s="11" t="s">
        <v>1310</v>
      </c>
      <c r="CY132" s="74">
        <f t="shared" si="354"/>
        <v>0.20754716981132076</v>
      </c>
      <c r="CZ132" s="18">
        <f t="shared" si="355"/>
        <v>11</v>
      </c>
      <c r="DA132" s="74"/>
      <c r="DB132" s="74"/>
      <c r="DC132" s="74"/>
      <c r="DD132" s="74"/>
      <c r="DE132" s="74"/>
      <c r="DF132" s="74"/>
      <c r="DH132" s="18"/>
      <c r="DI132" s="18"/>
      <c r="DJ132" s="18"/>
      <c r="DK132" s="18"/>
      <c r="DL132" s="18"/>
      <c r="DM132" s="18"/>
      <c r="DN132" s="18"/>
      <c r="DP132" s="18">
        <v>2008</v>
      </c>
      <c r="DQ132" s="19">
        <f>AVERAGEIF('ENCUESTA CONDUCTORES'!AH34:AH486,DP132,'ENCUESTA CONDUCTORES'!AI34:AI486)</f>
        <v>507637.38709677418</v>
      </c>
    </row>
    <row r="133" spans="1:121" ht="38.25" x14ac:dyDescent="0.25">
      <c r="A133" s="17" t="s">
        <v>1368</v>
      </c>
      <c r="F133" s="75" t="s">
        <v>51</v>
      </c>
      <c r="G133" s="74">
        <f>+L133/$P$133</f>
        <v>6.3492063492063489E-2</v>
      </c>
      <c r="H133" s="74">
        <f t="shared" ref="H133:K133" si="359">+M133/$P$133</f>
        <v>0.15873015873015872</v>
      </c>
      <c r="I133" s="74">
        <f t="shared" si="359"/>
        <v>0.46031746031746029</v>
      </c>
      <c r="J133" s="74">
        <f t="shared" si="359"/>
        <v>0.31746031746031744</v>
      </c>
      <c r="K133" s="74">
        <f t="shared" si="359"/>
        <v>1</v>
      </c>
      <c r="L133" s="18">
        <f>+H109</f>
        <v>4</v>
      </c>
      <c r="M133" s="18">
        <f t="shared" ref="M133:O133" si="360">+I109</f>
        <v>10</v>
      </c>
      <c r="N133" s="18">
        <f t="shared" si="360"/>
        <v>29</v>
      </c>
      <c r="O133" s="18">
        <f t="shared" si="360"/>
        <v>20</v>
      </c>
      <c r="P133" s="18">
        <f t="shared" ref="P133" si="361">SUM(L133:O133)</f>
        <v>63</v>
      </c>
      <c r="AL133" s="11" t="s">
        <v>1306</v>
      </c>
      <c r="AM133" s="74">
        <f>+AN133/$AN$141</f>
        <v>4.878048780487805E-2</v>
      </c>
      <c r="AN133" s="18">
        <f>COUNTIFS('ENCUESTA CONDUCTORES'!$AL$7:$AL$459,"X",'ENCUESTA CONDUCTORES'!Q$7:Q$459,"X",'ENCUESTA CONDUCTORES'!$AW$7:$AW$459,"&lt;1.9")</f>
        <v>4</v>
      </c>
      <c r="AO133" s="74"/>
      <c r="AP133" s="74"/>
      <c r="AQ133" s="74"/>
      <c r="AR133" s="18"/>
      <c r="AT133" s="18"/>
      <c r="AU133" s="18"/>
      <c r="AV133" s="18"/>
      <c r="CX133" s="11" t="s">
        <v>1311</v>
      </c>
      <c r="CY133" s="74">
        <f t="shared" si="354"/>
        <v>0.16981132075471697</v>
      </c>
      <c r="CZ133" s="18">
        <f t="shared" si="355"/>
        <v>9</v>
      </c>
      <c r="DA133" s="74"/>
      <c r="DB133" s="74"/>
      <c r="DC133" s="74"/>
      <c r="DD133" s="74"/>
      <c r="DE133" s="74"/>
      <c r="DF133" s="74"/>
      <c r="DH133" s="18"/>
      <c r="DI133" s="18"/>
      <c r="DJ133" s="18"/>
      <c r="DK133" s="18"/>
      <c r="DL133" s="18"/>
      <c r="DM133" s="18"/>
      <c r="DN133" s="18"/>
      <c r="DP133" s="18">
        <v>2009</v>
      </c>
      <c r="DQ133" s="19">
        <f>AVERAGEIF('ENCUESTA CONDUCTORES'!AH35:AH487,DP133,'ENCUESTA CONDUCTORES'!AI35:AI487)</f>
        <v>443347.76190476189</v>
      </c>
    </row>
    <row r="134" spans="1:121" x14ac:dyDescent="0.25">
      <c r="C134" s="17" t="s">
        <v>426</v>
      </c>
      <c r="D134" s="17" t="s">
        <v>426</v>
      </c>
      <c r="E134" s="17"/>
      <c r="F134" s="17"/>
      <c r="AL134" s="11" t="s">
        <v>1307</v>
      </c>
      <c r="AM134" s="74">
        <f t="shared" ref="AM134:AM141" si="362">+AN134/$AN$141</f>
        <v>0.13414634146341464</v>
      </c>
      <c r="AN134" s="18">
        <f>COUNTIFS('ENCUESTA CONDUCTORES'!$AL$7:$AL$459,"X",'ENCUESTA CONDUCTORES'!Q$7:Q$459,"X",'ENCUESTA CONDUCTORES'!$AW$7:$AW$459,"&lt;2.21")-AN133</f>
        <v>11</v>
      </c>
      <c r="AO134" s="74"/>
      <c r="AP134" s="74"/>
      <c r="AQ134" s="74"/>
      <c r="AR134" s="18"/>
      <c r="AT134" s="18"/>
      <c r="AU134" s="18"/>
      <c r="AV134" s="18"/>
      <c r="CX134" s="11" t="s">
        <v>1385</v>
      </c>
      <c r="CY134" s="74">
        <f t="shared" si="354"/>
        <v>3.7735849056603772E-2</v>
      </c>
      <c r="CZ134" s="18">
        <f t="shared" si="355"/>
        <v>2</v>
      </c>
      <c r="DA134" s="74"/>
      <c r="DB134" s="74"/>
      <c r="DC134" s="74"/>
      <c r="DD134" s="74"/>
      <c r="DE134" s="74"/>
      <c r="DF134" s="74"/>
      <c r="DH134" s="18"/>
      <c r="DI134" s="18"/>
      <c r="DJ134" s="18"/>
      <c r="DK134" s="18"/>
      <c r="DL134" s="18"/>
      <c r="DM134" s="18"/>
      <c r="DN134" s="18"/>
      <c r="DP134" s="18">
        <v>2010</v>
      </c>
      <c r="DQ134" s="19">
        <f>AVERAGEIF('ENCUESTA CONDUCTORES'!AH36:AH488,DP134,'ENCUESTA CONDUCTORES'!AI36:AI488)</f>
        <v>414892.28571428574</v>
      </c>
    </row>
    <row r="135" spans="1:121" x14ac:dyDescent="0.25">
      <c r="B135" s="75" t="s">
        <v>48</v>
      </c>
      <c r="C135" s="74">
        <f>D135/$D$143</f>
        <v>0.13761467889908258</v>
      </c>
      <c r="D135" s="18">
        <f>COUNTIFS('ENCUESTA CONDUCTORES'!F$7:F$459,"X",'ENCUESTA CONDUCTORES'!$BJ$7:$BJ$459,"X")</f>
        <v>15</v>
      </c>
      <c r="E135" s="74"/>
      <c r="F135" s="57" t="s">
        <v>1538</v>
      </c>
      <c r="AL135" s="17" t="s">
        <v>1308</v>
      </c>
      <c r="AM135" s="74">
        <f t="shared" si="362"/>
        <v>4.878048780487805E-2</v>
      </c>
      <c r="AN135" s="18">
        <f>COUNTIFS('ENCUESTA CONDUCTORES'!$AL$7:$AL$459,"X",'ENCUESTA CONDUCTORES'!Q$7:Q$459,"X",'ENCUESTA CONDUCTORES'!$AW$7:$AW$459,"&lt;2.41")-AN134-AN133</f>
        <v>4</v>
      </c>
      <c r="AO135" s="74"/>
      <c r="AP135" s="74"/>
      <c r="AQ135" s="74"/>
      <c r="AR135" s="18"/>
      <c r="AT135" s="18"/>
      <c r="AU135" s="18"/>
      <c r="AV135" s="18"/>
      <c r="CX135" s="11" t="s">
        <v>429</v>
      </c>
      <c r="CY135" s="74">
        <f t="shared" si="354"/>
        <v>1</v>
      </c>
      <c r="CZ135" s="18">
        <f t="shared" si="355"/>
        <v>53</v>
      </c>
      <c r="DA135" s="74"/>
      <c r="DB135" s="74"/>
      <c r="DC135" s="74"/>
      <c r="DD135" s="74"/>
      <c r="DE135" s="74"/>
      <c r="DF135" s="74"/>
      <c r="DH135" s="18"/>
      <c r="DI135" s="18"/>
      <c r="DJ135" s="18"/>
      <c r="DK135" s="18"/>
      <c r="DL135" s="18"/>
      <c r="DM135" s="18"/>
      <c r="DN135" s="18"/>
      <c r="DP135" s="18">
        <v>2011</v>
      </c>
      <c r="DQ135" s="19">
        <f>AVERAGEIF('ENCUESTA CONDUCTORES'!AH37:AH489,DP135,'ENCUESTA CONDUCTORES'!AI37:AI489)</f>
        <v>249489.33333333334</v>
      </c>
    </row>
    <row r="136" spans="1:121" x14ac:dyDescent="0.25">
      <c r="B136" s="75" t="s">
        <v>49</v>
      </c>
      <c r="C136" s="74">
        <f t="shared" ref="C136:C143" si="363">D136/$D$143</f>
        <v>8.2568807339449546E-2</v>
      </c>
      <c r="D136" s="18">
        <f>COUNTIFS('ENCUESTA CONDUCTORES'!F$7:F$459,"X",'ENCUESTA CONDUCTORES'!$BK$7:$BK$459,"X")</f>
        <v>9</v>
      </c>
      <c r="E136" s="74"/>
      <c r="F136" s="17"/>
      <c r="G136" s="17" t="s">
        <v>425</v>
      </c>
      <c r="H136" s="17" t="s">
        <v>426</v>
      </c>
      <c r="I136" s="17" t="s">
        <v>1336</v>
      </c>
      <c r="J136" s="17" t="s">
        <v>1337</v>
      </c>
      <c r="K136" s="17" t="s">
        <v>429</v>
      </c>
      <c r="L136" s="17" t="s">
        <v>425</v>
      </c>
      <c r="M136" s="17" t="s">
        <v>426</v>
      </c>
      <c r="N136" s="17" t="s">
        <v>1336</v>
      </c>
      <c r="O136" s="17" t="s">
        <v>1337</v>
      </c>
      <c r="P136" s="17" t="s">
        <v>429</v>
      </c>
      <c r="AL136" s="11" t="s">
        <v>1334</v>
      </c>
      <c r="AM136" s="74">
        <f t="shared" si="362"/>
        <v>7.3170731707317069E-2</v>
      </c>
      <c r="AN136" s="18">
        <f>COUNTIFS('ENCUESTA CONDUCTORES'!$AL$7:$AL$459,"X",'ENCUESTA CONDUCTORES'!Q$7:Q$459,"X",'ENCUESTA CONDUCTORES'!$AW$7:$AW$459,"&lt;2.61")-AN135-AN134-AN133</f>
        <v>6</v>
      </c>
      <c r="AO136" s="74"/>
      <c r="AP136" s="74"/>
      <c r="AQ136" s="74"/>
      <c r="AR136" s="18"/>
      <c r="AT136" s="18"/>
      <c r="AU136" s="18"/>
      <c r="AV136" s="18"/>
      <c r="CX136" s="17" t="s">
        <v>193</v>
      </c>
      <c r="CY136" s="18"/>
      <c r="CZ136" s="18">
        <f t="shared" si="355"/>
        <v>0</v>
      </c>
      <c r="DA136" s="18"/>
      <c r="DB136" s="18"/>
      <c r="DC136" s="18"/>
      <c r="DD136" s="18"/>
      <c r="DE136" s="18"/>
      <c r="DF136" s="18"/>
      <c r="DH136" s="18"/>
      <c r="DI136" s="18"/>
      <c r="DJ136" s="18"/>
      <c r="DK136" s="18"/>
      <c r="DL136" s="18"/>
      <c r="DM136" s="18"/>
      <c r="DN136" s="18"/>
      <c r="DP136" s="18">
        <v>2012</v>
      </c>
      <c r="DQ136" s="19">
        <f>AVERAGEIF('ENCUESTA CONDUCTORES'!AH38:AH489,DP136,'ENCUESTA CONDUCTORES'!AI38:AI489)</f>
        <v>259200</v>
      </c>
    </row>
    <row r="137" spans="1:121" ht="51" x14ac:dyDescent="0.25">
      <c r="B137" s="75" t="s">
        <v>1356</v>
      </c>
      <c r="C137" s="74">
        <f t="shared" si="363"/>
        <v>0.16513761467889909</v>
      </c>
      <c r="D137" s="18">
        <f>COUNTIFS('ENCUESTA CONDUCTORES'!F$7:F$459,"X",'ENCUESTA CONDUCTORES'!$BL$7:$BL$459,"X")+COUNTIFS('ENCUESTA CONDUCTORES'!F$7:F$459,"X",'ENCUESTA CONDUCTORES'!$BR$7:$BR$459,"X")</f>
        <v>18</v>
      </c>
      <c r="E137" s="74"/>
      <c r="F137" s="75" t="s">
        <v>1357</v>
      </c>
      <c r="G137" s="74">
        <f>+L137/$P$137</f>
        <v>0.125</v>
      </c>
      <c r="H137" s="74">
        <f t="shared" ref="H137:K137" si="364">+M137/$P$137</f>
        <v>0.125</v>
      </c>
      <c r="I137" s="74">
        <f t="shared" si="364"/>
        <v>0.375</v>
      </c>
      <c r="J137" s="74">
        <f t="shared" si="364"/>
        <v>0.375</v>
      </c>
      <c r="K137" s="74">
        <f t="shared" si="364"/>
        <v>1</v>
      </c>
      <c r="L137" s="18">
        <f>+H110</f>
        <v>22</v>
      </c>
      <c r="M137" s="18">
        <f t="shared" ref="M137:O137" si="365">+I110</f>
        <v>22</v>
      </c>
      <c r="N137" s="18">
        <f t="shared" si="365"/>
        <v>66</v>
      </c>
      <c r="O137" s="18">
        <f t="shared" si="365"/>
        <v>66</v>
      </c>
      <c r="P137" s="18">
        <f t="shared" ref="P137" si="366">SUM(L137:O137)</f>
        <v>176</v>
      </c>
      <c r="AL137" s="11" t="s">
        <v>1309</v>
      </c>
      <c r="AM137" s="74">
        <f t="shared" si="362"/>
        <v>8.5365853658536592E-2</v>
      </c>
      <c r="AN137" s="18">
        <f>COUNTIFS('ENCUESTA CONDUCTORES'!$AL$7:$AL$459,"X",'ENCUESTA CONDUCTORES'!Q$7:Q$459,"X",'ENCUESTA CONDUCTORES'!$AW$7:$AW$459,"&lt;2.81")-AN136-AN135-AN134-AN133</f>
        <v>7</v>
      </c>
      <c r="AO137" s="74"/>
      <c r="AP137" s="74"/>
      <c r="AQ137" s="74"/>
      <c r="AR137" s="18"/>
      <c r="AT137" s="18"/>
      <c r="AU137" s="18"/>
      <c r="AV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P137" s="18">
        <v>2013</v>
      </c>
      <c r="DQ137" s="19">
        <f>AVERAGEIF('ENCUESTA CONDUCTORES'!AH39:AH489,DP137,'ENCUESTA CONDUCTORES'!AI39:AI489)</f>
        <v>187177.77777777778</v>
      </c>
    </row>
    <row r="138" spans="1:121" x14ac:dyDescent="0.25">
      <c r="B138" s="75" t="s">
        <v>51</v>
      </c>
      <c r="C138" s="74">
        <f t="shared" si="363"/>
        <v>9.1743119266055051E-2</v>
      </c>
      <c r="D138" s="18">
        <f>COUNTIFS('ENCUESTA CONDUCTORES'!F$7:F$459,"X",'ENCUESTA CONDUCTORES'!$BM$7:$BM$459,"X")</f>
        <v>10</v>
      </c>
      <c r="E138" s="74"/>
      <c r="F138" s="74"/>
      <c r="G138" s="74"/>
      <c r="H138" s="18"/>
      <c r="J138" s="18"/>
      <c r="K138" s="18"/>
      <c r="L138" s="18"/>
      <c r="AL138" s="11" t="s">
        <v>1310</v>
      </c>
      <c r="AM138" s="74">
        <f t="shared" si="362"/>
        <v>0.12195121951219512</v>
      </c>
      <c r="AN138" s="18">
        <f>COUNTIFS('ENCUESTA CONDUCTORES'!$AL$7:$AL$459,"X",'ENCUESTA CONDUCTORES'!Q$7:Q$459,"X",'ENCUESTA CONDUCTORES'!$AW$7:$AW$459,"&lt;3.21")-AN137-AN136-AN135-AN134-AN133</f>
        <v>10</v>
      </c>
      <c r="AO138" s="74"/>
      <c r="AP138" s="74"/>
      <c r="AQ138" s="74"/>
      <c r="AR138" s="18"/>
      <c r="AT138" s="18"/>
      <c r="AU138" s="18"/>
      <c r="AV138" s="18"/>
      <c r="CX138" s="57" t="s">
        <v>1451</v>
      </c>
      <c r="CY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P138" s="18">
        <v>2014</v>
      </c>
      <c r="DQ138" s="19">
        <f>AVERAGEIF('ENCUESTA CONDUCTORES'!AH40:AH489,DP138,'ENCUESTA CONDUCTORES'!AI40:AI489)</f>
        <v>19700</v>
      </c>
    </row>
    <row r="139" spans="1:121" ht="25.5" x14ac:dyDescent="0.25">
      <c r="B139" s="75" t="s">
        <v>1357</v>
      </c>
      <c r="C139" s="74">
        <f t="shared" si="363"/>
        <v>0.20183486238532111</v>
      </c>
      <c r="D139" s="18">
        <f>COUNTIFS('ENCUESTA CONDUCTORES'!F$7:F$459,"X",'ENCUESTA CONDUCTORES'!$BN$7:$BN$459,"X")+COUNTIFS('ENCUESTA CONDUCTORES'!F$7:F$459,"X",'ENCUESTA CONDUCTORES'!$BP$7:$BP$459,"X")</f>
        <v>22</v>
      </c>
      <c r="E139" s="74"/>
      <c r="F139" s="57" t="s">
        <v>1539</v>
      </c>
      <c r="AL139" s="11" t="s">
        <v>1311</v>
      </c>
      <c r="AM139" s="74">
        <f t="shared" si="362"/>
        <v>0.45121951219512196</v>
      </c>
      <c r="AN139" s="18">
        <f>COUNTIFS('ENCUESTA CONDUCTORES'!$AL$7:$AL$459,"X",'ENCUESTA CONDUCTORES'!Q$7:Q$459,"X",'ENCUESTA CONDUCTORES'!$AW$7:$AW$459,"&lt;4.01")-AN138-AN137-AN136-AN135-AN134-AN133</f>
        <v>37</v>
      </c>
      <c r="AO139" s="74"/>
      <c r="AP139" s="74"/>
      <c r="AQ139" s="74"/>
      <c r="AR139" s="18"/>
      <c r="AT139" s="18"/>
      <c r="AU139" s="18"/>
      <c r="AV139" s="18"/>
      <c r="CY139" s="17" t="s">
        <v>1424</v>
      </c>
      <c r="CZ139" s="17" t="s">
        <v>1424</v>
      </c>
    </row>
    <row r="140" spans="1:121" x14ac:dyDescent="0.25">
      <c r="B140" s="75" t="s">
        <v>131</v>
      </c>
      <c r="C140" s="74">
        <f t="shared" si="363"/>
        <v>0.11009174311926606</v>
      </c>
      <c r="D140" s="18">
        <f>COUNTIFS('ENCUESTA CONDUCTORES'!F$7:F$459,"X",'ENCUESTA CONDUCTORES'!$BO$7:$BO$459,"X")</f>
        <v>12</v>
      </c>
      <c r="E140" s="74"/>
      <c r="F140" s="17"/>
      <c r="G140" s="17" t="s">
        <v>425</v>
      </c>
      <c r="H140" s="17" t="s">
        <v>426</v>
      </c>
      <c r="I140" s="17" t="s">
        <v>1336</v>
      </c>
      <c r="J140" s="17" t="s">
        <v>1337</v>
      </c>
      <c r="K140" s="17" t="s">
        <v>429</v>
      </c>
      <c r="L140" s="17" t="s">
        <v>425</v>
      </c>
      <c r="M140" s="17" t="s">
        <v>426</v>
      </c>
      <c r="N140" s="17" t="s">
        <v>1336</v>
      </c>
      <c r="O140" s="17" t="s">
        <v>1337</v>
      </c>
      <c r="P140" s="17" t="s">
        <v>429</v>
      </c>
      <c r="AL140" s="11" t="s">
        <v>1385</v>
      </c>
      <c r="AM140" s="74">
        <f t="shared" si="362"/>
        <v>3.6585365853658534E-2</v>
      </c>
      <c r="AN140" s="18">
        <f>COUNTIFS('ENCUESTA CONDUCTORES'!$AL$7:$AL$459,"X",'ENCUESTA CONDUCTORES'!Q$7:Q$459,"X",'ENCUESTA CONDUCTORES'!$AW$7:$AW$459,"&gt;4")</f>
        <v>3</v>
      </c>
      <c r="AO140" s="74"/>
      <c r="AP140" s="74"/>
      <c r="AQ140" s="74"/>
      <c r="AR140" s="18"/>
      <c r="AT140" s="18"/>
      <c r="AU140" s="18"/>
      <c r="AV140" s="18"/>
      <c r="CX140" s="11" t="s">
        <v>1306</v>
      </c>
      <c r="CY140" s="74">
        <f>+CZ140/$CZ$148</f>
        <v>0</v>
      </c>
      <c r="CZ140" s="18">
        <f>+DH19</f>
        <v>0</v>
      </c>
      <c r="DA140" s="74"/>
      <c r="DB140" s="74"/>
      <c r="DC140" s="74"/>
      <c r="DD140" s="74"/>
      <c r="DE140" s="74"/>
      <c r="DF140" s="74"/>
      <c r="DG140" s="18"/>
      <c r="DI140" s="18"/>
      <c r="DJ140" s="18"/>
      <c r="DK140" s="18"/>
      <c r="DL140" s="18"/>
      <c r="DM140" s="18"/>
      <c r="DN140" s="18"/>
    </row>
    <row r="141" spans="1:121" ht="25.5" x14ac:dyDescent="0.25">
      <c r="B141" s="75" t="s">
        <v>55</v>
      </c>
      <c r="C141" s="74">
        <f t="shared" si="363"/>
        <v>2.7522935779816515E-2</v>
      </c>
      <c r="D141" s="18">
        <f>COUNTIFS('ENCUESTA CONDUCTORES'!F$7:F$459,"X",'ENCUESTA CONDUCTORES'!$BQ$7:$BQ$459,"X")</f>
        <v>3</v>
      </c>
      <c r="E141" s="74"/>
      <c r="F141" s="75" t="s">
        <v>131</v>
      </c>
      <c r="G141" s="74">
        <f>+L141/$P$141</f>
        <v>0.36923076923076925</v>
      </c>
      <c r="H141" s="74">
        <f t="shared" ref="H141:K141" si="367">+M141/$P$141</f>
        <v>0.18461538461538463</v>
      </c>
      <c r="I141" s="74">
        <f t="shared" si="367"/>
        <v>0.43076923076923079</v>
      </c>
      <c r="J141" s="74">
        <f t="shared" si="367"/>
        <v>1.5384615384615385E-2</v>
      </c>
      <c r="K141" s="74">
        <f t="shared" si="367"/>
        <v>1</v>
      </c>
      <c r="L141" s="18">
        <f>+H111</f>
        <v>24</v>
      </c>
      <c r="M141" s="18">
        <f t="shared" ref="M141:O141" si="368">+I111</f>
        <v>12</v>
      </c>
      <c r="N141" s="18">
        <f t="shared" si="368"/>
        <v>28</v>
      </c>
      <c r="O141" s="18">
        <f t="shared" si="368"/>
        <v>1</v>
      </c>
      <c r="P141" s="18">
        <f t="shared" ref="P141" si="369">SUM(L141:O141)</f>
        <v>65</v>
      </c>
      <c r="AL141" s="11" t="s">
        <v>429</v>
      </c>
      <c r="AM141" s="74">
        <f t="shared" si="362"/>
        <v>1</v>
      </c>
      <c r="AN141" s="18">
        <f t="shared" ref="AN141" si="370">SUM(AN133:AN140)</f>
        <v>82</v>
      </c>
      <c r="AO141" s="74"/>
      <c r="AP141" s="74"/>
      <c r="AQ141" s="74"/>
      <c r="AR141" s="18"/>
      <c r="AT141" s="18"/>
      <c r="AU141" s="18"/>
      <c r="AV141" s="18"/>
      <c r="CX141" s="11" t="s">
        <v>1307</v>
      </c>
      <c r="CY141" s="74">
        <f t="shared" ref="CY141:CY148" si="371">+CZ141/$CZ$148</f>
        <v>0</v>
      </c>
      <c r="CZ141" s="18">
        <f t="shared" ref="CZ141:CZ149" si="372">+DH20</f>
        <v>0</v>
      </c>
      <c r="DA141" s="74"/>
      <c r="DB141" s="74"/>
      <c r="DC141" s="74"/>
      <c r="DD141" s="74"/>
      <c r="DE141" s="74"/>
      <c r="DF141" s="74"/>
      <c r="DG141" s="18"/>
      <c r="DI141" s="18"/>
      <c r="DJ141" s="18"/>
      <c r="DK141" s="18"/>
      <c r="DL141" s="18"/>
      <c r="DM141" s="18"/>
      <c r="DN141" s="18"/>
    </row>
    <row r="142" spans="1:121" x14ac:dyDescent="0.25">
      <c r="B142" s="75" t="s">
        <v>1358</v>
      </c>
      <c r="C142" s="74">
        <f t="shared" si="363"/>
        <v>0.1834862385321101</v>
      </c>
      <c r="D142" s="90">
        <f>COUNTIFS('ENCUESTA CONDUCTORES'!F$7:F$459,"X",'ENCUESTA CONDUCTORES'!$BS$7:$BS$459,"CARRITOS DE GOLF")+COUNTIFS('ENCUESTA CONDUCTORES'!F$7:F$459,"X",'ENCUESTA CONDUCTORES'!$BS$7:$BS$459,"MERCANCIA SECA")+COUNTIFS('ENCUESTA CONDUCTORES'!F$7:F$459,"X",'ENCUESTA CONDUCTORES'!$BS$7:$BS$459,"PAPELERIA")+COUNTIFS('ENCUESTA CONDUCTORES'!F$7:F$459,"X",'ENCUESTA CONDUCTORES'!$BS$7:$BS$459,"GENERAL")+COUNTIFS('ENCUESTA CONDUCTORES'!F$7:F$459,"X",'ENCUESTA CONDUCTORES'!$BS$7:$BS$459,"MAQUINARIA")+COUNTIFS('ENCUESTA CONDUCTORES'!F$7:F$459,"X",'ENCUESTA CONDUCTORES'!$BS$7:$BS$459,"CONTENEDOR")+COUNTIFS('ENCUESTA CONDUCTORES'!F$7:F$459,"X",'ENCUESTA CONDUCTORES'!$BS$7:$BS$459,"MEDICAMENTOS")+COUNTIFS('ENCUESTA CONDUCTORES'!F$7:F$459,"X",'ENCUESTA CONDUCTORES'!$BS$7:$BS$459,"AGUA POTABLE")+COUNTIFS('ENCUESTA CONDUCTORES'!F$7:F$459,"X",'ENCUESTA CONDUCTORES'!$BS$7:$BS$459,"MUDANZAS")+COUNTIFS('ENCUESTA CONDUCTORES'!F$7:F$459,"X",'ENCUESTA CONDUCTORES'!$BS$7:$BS$459,"JABON")+COUNTIFS('ENCUESTA CONDUCTORES'!F$7:F$459,"X",'ENCUESTA CONDUCTORES'!$BS$7:$BS$459,"ACEITE")+COUNTIFS('ENCUESTA CONDUCTORES'!F$7:F$459,"X",'ENCUESTA CONDUCTORES'!$BS$7:$BS$459,"POLIETILENO")+COUNTIFS('ENCUESTA CONDUCTORES'!F$7:F$459,"X",'ENCUESTA CONDUCTORES'!$BS$7:$BS$459,"ELECTRODOMÉSTICOS")+COUNTIFS('ENCUESTA CONDUCTORES'!F$7:F$459,"X",'ENCUESTA CONDUCTORES'!$BS$7:$BS$459,"MUEBLES")+COUNTIFS('ENCUESTA CONDUCTORES'!F$7:F$459,"X",'ENCUESTA CONDUCTORES'!$BS$7:$BS$459,"CHATARRA")+COUNTIFS('ENCUESTA CONDUCTORES'!F$7:F$459,"X",'ENCUESTA CONDUCTORES'!$BS$7:$BS$459,"LLANTAS")+COUNTIFS('ENCUESTA CONDUCTORES'!F$7:F$459,"X",'ENCUESTA CONDUCTORES'!$BS$7:$BS$459,"AGUA")+COUNTIFS('ENCUESTA CONDUCTORES'!F$7:F$459,"X",'ENCUESTA CONDUCTORES'!$BS$7:$BS$459,"ANIMALES")+COUNTIFS('ENCUESTA CONDUCTORES'!F$7:F$459,"X",'ENCUESTA CONDUCTORES'!$BS$7:$BS$459,"TV REFRIGERADORES")+COUNTIFS('ENCUESTA CONDUCTORES'!F$7:F$459,"X",'ENCUESTA CONDUCTORES'!$BS$7:$BS$459,"LÍNEA BLANCA")+COUNTIFS('ENCUESTA CONDUCTORES'!F$7:F$459,"X",'ENCUESTA CONDUCTORES'!$BS$7:$BS$459,"IMPORTACIÓN / EXPORTACIÓN")+COUNTIFS('ENCUESTA CONDUCTORES'!F$7:F$459,"X",'ENCUESTA CONDUCTORES'!$BS$7:$BS$459,"PLASTICO")+COUNTIFS('ENCUESTA CONDUCTORES'!F$7:F$459,"X",'ENCUESTA CONDUCTORES'!$BS$7:$BS$459,"ROPA")+COUNTIFS('ENCUESTA CONDUCTORES'!F$7:F$459,"X",'ENCUESTA CONDUCTORES'!$BS$7:$BS$459,"CHATARRA")+COUNTIFS('ENCUESTA CONDUCTORES'!F$7:F$459,"X",'ENCUESTA CONDUCTORES'!$BS$7:$BS$459,"MEDICAMENTO NUTRICIONAL")+COUNTIFS('ENCUESTA CONDUCTORES'!F$7:F$459,"X",'ENCUESTA CONDUCTORES'!$BS$7:$BS$459,"PRODUCTOS DE BELLEZA")+COUNTIFS('ENCUESTA CONDUCTORES'!F$7:F$459,"X",'ENCUESTA CONDUCTORES'!$BS$7:$BS$459,"FORRAJE")+COUNTIFS('ENCUESTA CONDUCTORES'!F$7:F$459,"X",'ENCUESTA CONDUCTORES'!$BS$7:$BS$459,"VALORES")+COUNTIFS('ENCUESTA CONDUCTORES'!F$7:F$459,"X",'ENCUESTA CONDUCTORES'!$BS$7:$BS$459,"PAQUETERIA")+COUNTIFS('ENCUESTA CONDUCTORES'!F$7:F$459,"X",'ENCUESTA CONDUCTORES'!$BS$7:$BS$459,"SECOS")+COUNTIFS('ENCUESTA CONDUCTORES'!F$7:F$459,"X",'ENCUESTA CONDUCTORES'!$BS$7:$BS$459,"PANTALLAS")+COUNTIFS('ENCUESTA CONDUCTORES'!F$7:F$459,"X",'ENCUESTA CONDUCTORES'!$BS$7:$BS$459,"BOTELLAS")+COUNTIFS('ENCUESTA CONDUCTORES'!F$7:F$459,"X",'ENCUESTA CONDUCTORES'!$BS$7:$BS$459,"PRODUCTOS DE HIGIENE PERSONAL")+COUNTIFS('ENCUESTA CONDUCTORES'!F$7:F$459,"X",'ENCUESTA CONDUCTORES'!$BS$7:$BS$459,"ELECTRONICA, LINEA BLANCA")+COUNTIFS('ENCUESTA CONDUCTORES'!F$7:F$459,"X",'ENCUESTA CONDUCTORES'!$BS$7:$BS$459,"CONTENEDORES")</f>
        <v>20</v>
      </c>
      <c r="E142" s="74"/>
      <c r="F142" s="74"/>
      <c r="G142" s="74"/>
      <c r="H142" s="90"/>
      <c r="J142" s="90"/>
      <c r="K142" s="90"/>
      <c r="L142" s="18"/>
      <c r="AL142" s="17" t="s">
        <v>193</v>
      </c>
      <c r="AN142" s="18">
        <f>COUNTIFS('ENCUESTA CONDUCTORES'!$AL$7:$AL$459,"X",'ENCUESTA CONDUCTORES'!Q$7:Q$459,"X",'ENCUESTA CONDUCTORES'!$AW$7:$AW$459,"NO SABE")</f>
        <v>0</v>
      </c>
      <c r="AO142" s="18"/>
      <c r="AP142" s="18"/>
      <c r="AQ142" s="18"/>
      <c r="AR142" s="18"/>
      <c r="AT142" s="18"/>
      <c r="AU142" s="18"/>
      <c r="AV142" s="18"/>
      <c r="CX142" s="17" t="s">
        <v>1308</v>
      </c>
      <c r="CY142" s="74">
        <f t="shared" si="371"/>
        <v>0.1111111111111111</v>
      </c>
      <c r="CZ142" s="18">
        <f t="shared" si="372"/>
        <v>1</v>
      </c>
      <c r="DA142" s="74"/>
      <c r="DB142" s="74"/>
      <c r="DC142" s="74"/>
      <c r="DD142" s="74"/>
      <c r="DE142" s="74"/>
      <c r="DF142" s="74"/>
      <c r="DG142" s="18"/>
      <c r="DI142" s="18"/>
      <c r="DJ142" s="18"/>
      <c r="DK142" s="18"/>
      <c r="DL142" s="18"/>
      <c r="DM142" s="18"/>
      <c r="DN142" s="18"/>
    </row>
    <row r="143" spans="1:121" x14ac:dyDescent="0.25">
      <c r="B143" s="75" t="s">
        <v>1333</v>
      </c>
      <c r="C143" s="74">
        <f t="shared" si="363"/>
        <v>1</v>
      </c>
      <c r="D143" s="18">
        <f t="shared" ref="D143" si="373">SUM(D135:D142)</f>
        <v>109</v>
      </c>
      <c r="E143" s="74"/>
      <c r="F143" s="57" t="s">
        <v>1541</v>
      </c>
      <c r="AN143" s="18"/>
      <c r="AO143" s="18"/>
      <c r="AP143" s="18"/>
      <c r="AQ143" s="18"/>
      <c r="AR143" s="18"/>
      <c r="AS143" s="18"/>
      <c r="AT143" s="18"/>
      <c r="AU143" s="18"/>
      <c r="AV143" s="18"/>
      <c r="CX143" s="11" t="s">
        <v>1334</v>
      </c>
      <c r="CY143" s="74">
        <f t="shared" si="371"/>
        <v>0.22222222222222221</v>
      </c>
      <c r="CZ143" s="18">
        <f t="shared" si="372"/>
        <v>2</v>
      </c>
      <c r="DA143" s="74"/>
      <c r="DB143" s="74"/>
      <c r="DC143" s="74"/>
      <c r="DD143" s="74"/>
      <c r="DE143" s="74"/>
      <c r="DF143" s="74"/>
      <c r="DG143" s="18"/>
      <c r="DI143" s="18"/>
      <c r="DJ143" s="18"/>
      <c r="DK143" s="18"/>
      <c r="DL143" s="18"/>
      <c r="DM143" s="18"/>
      <c r="DN143" s="18"/>
    </row>
    <row r="144" spans="1:121" x14ac:dyDescent="0.25">
      <c r="B144" s="17" t="s">
        <v>856</v>
      </c>
      <c r="D144" s="90">
        <f>COUNTIFS('ENCUESTA CONDUCTORES'!F$7:F$459,"X",'ENCUESTA CONDUCTORES'!$BS$7:$BS$459,"NO CONTESTO")</f>
        <v>0</v>
      </c>
      <c r="F144" s="17"/>
      <c r="G144" s="17" t="s">
        <v>425</v>
      </c>
      <c r="H144" s="17" t="s">
        <v>426</v>
      </c>
      <c r="I144" s="17" t="s">
        <v>1336</v>
      </c>
      <c r="J144" s="17" t="s">
        <v>1337</v>
      </c>
      <c r="K144" s="17" t="s">
        <v>429</v>
      </c>
      <c r="L144" s="17" t="s">
        <v>425</v>
      </c>
      <c r="M144" s="17" t="s">
        <v>426</v>
      </c>
      <c r="N144" s="17" t="s">
        <v>1336</v>
      </c>
      <c r="O144" s="17" t="s">
        <v>1337</v>
      </c>
      <c r="P144" s="17" t="s">
        <v>429</v>
      </c>
      <c r="AL144" s="57" t="s">
        <v>1398</v>
      </c>
      <c r="AS144" s="17" t="s">
        <v>1392</v>
      </c>
      <c r="CX144" s="11" t="s">
        <v>1309</v>
      </c>
      <c r="CY144" s="74">
        <f t="shared" si="371"/>
        <v>0.22222222222222221</v>
      </c>
      <c r="CZ144" s="18">
        <f t="shared" si="372"/>
        <v>2</v>
      </c>
      <c r="DA144" s="74"/>
      <c r="DB144" s="74"/>
      <c r="DC144" s="74"/>
      <c r="DD144" s="74"/>
      <c r="DE144" s="74"/>
      <c r="DF144" s="74"/>
      <c r="DG144" s="18"/>
      <c r="DI144" s="18"/>
      <c r="DJ144" s="18"/>
      <c r="DK144" s="18"/>
      <c r="DL144" s="18"/>
      <c r="DM144" s="18"/>
      <c r="DN144" s="18"/>
    </row>
    <row r="145" spans="1:118" ht="25.5" x14ac:dyDescent="0.25">
      <c r="F145" s="75" t="s">
        <v>1540</v>
      </c>
      <c r="G145" s="74">
        <f>+L145/$P$145</f>
        <v>0.16</v>
      </c>
      <c r="H145" s="74">
        <f t="shared" ref="H145:K145" si="374">+M145/$P$145</f>
        <v>0.12</v>
      </c>
      <c r="I145" s="74">
        <f t="shared" si="374"/>
        <v>0.28000000000000003</v>
      </c>
      <c r="J145" s="74">
        <f t="shared" si="374"/>
        <v>0.44</v>
      </c>
      <c r="K145" s="74">
        <f t="shared" si="374"/>
        <v>1</v>
      </c>
      <c r="L145" s="18">
        <f>+H112</f>
        <v>4</v>
      </c>
      <c r="M145" s="18">
        <f t="shared" ref="M145:O145" si="375">+I112</f>
        <v>3</v>
      </c>
      <c r="N145" s="18">
        <f t="shared" si="375"/>
        <v>7</v>
      </c>
      <c r="O145" s="18">
        <f t="shared" si="375"/>
        <v>11</v>
      </c>
      <c r="P145" s="18">
        <f t="shared" ref="P145" si="376">SUM(L145:O145)</f>
        <v>25</v>
      </c>
      <c r="AM145" s="18" t="s">
        <v>6</v>
      </c>
      <c r="AN145" s="18" t="s">
        <v>6</v>
      </c>
      <c r="AP145" s="18"/>
      <c r="AQ145" s="18"/>
      <c r="AR145" s="18"/>
      <c r="AS145" s="18"/>
      <c r="AU145" s="18"/>
      <c r="AV145" s="18"/>
      <c r="CX145" s="11" t="s">
        <v>1310</v>
      </c>
      <c r="CY145" s="74">
        <f t="shared" si="371"/>
        <v>0.33333333333333331</v>
      </c>
      <c r="CZ145" s="18">
        <f t="shared" si="372"/>
        <v>3</v>
      </c>
      <c r="DA145" s="74"/>
      <c r="DB145" s="74"/>
      <c r="DC145" s="74"/>
      <c r="DD145" s="74"/>
      <c r="DE145" s="74"/>
      <c r="DF145" s="74"/>
      <c r="DG145" s="18"/>
      <c r="DI145" s="18"/>
      <c r="DJ145" s="18"/>
      <c r="DK145" s="18"/>
      <c r="DL145" s="18"/>
      <c r="DM145" s="18"/>
      <c r="DN145" s="18"/>
    </row>
    <row r="146" spans="1:118" x14ac:dyDescent="0.25">
      <c r="AL146" s="11" t="s">
        <v>1306</v>
      </c>
      <c r="AM146" s="74">
        <f>+AN146/$AN$154</f>
        <v>8.3333333333333329E-2</v>
      </c>
      <c r="AN146" s="18">
        <f>COUNTIFS('ENCUESTA CONDUCTORES'!$AL$7:$AL$459,"X",'ENCUESTA CONDUCTORES'!R$7:R$459,"X",'ENCUESTA CONDUCTORES'!$AW$7:$AW$459,"&lt;1.9")</f>
        <v>1</v>
      </c>
      <c r="AP146" s="74"/>
      <c r="AQ146" s="74"/>
      <c r="AR146" s="18"/>
      <c r="AS146" s="18"/>
      <c r="AU146" s="18"/>
      <c r="AV146" s="18"/>
      <c r="CX146" s="11" t="s">
        <v>1311</v>
      </c>
      <c r="CY146" s="74">
        <f t="shared" si="371"/>
        <v>0.1111111111111111</v>
      </c>
      <c r="CZ146" s="18">
        <f t="shared" si="372"/>
        <v>1</v>
      </c>
      <c r="DA146" s="74"/>
      <c r="DB146" s="74"/>
      <c r="DC146" s="74"/>
      <c r="DD146" s="74"/>
      <c r="DE146" s="74"/>
      <c r="DF146" s="74"/>
      <c r="DG146" s="18"/>
      <c r="DI146" s="18"/>
      <c r="DJ146" s="18"/>
      <c r="DK146" s="18"/>
      <c r="DL146" s="18"/>
      <c r="DM146" s="18"/>
      <c r="DN146" s="18"/>
    </row>
    <row r="147" spans="1:118" x14ac:dyDescent="0.25">
      <c r="A147" s="17" t="s">
        <v>1369</v>
      </c>
      <c r="F147" s="57" t="s">
        <v>1542</v>
      </c>
      <c r="AL147" s="11" t="s">
        <v>1307</v>
      </c>
      <c r="AM147" s="74">
        <f t="shared" ref="AM147:AM154" si="377">+AN147/$AN$154</f>
        <v>8.3333333333333329E-2</v>
      </c>
      <c r="AN147" s="18">
        <f>COUNTIFS('ENCUESTA CONDUCTORES'!$AL$7:$AL$459,"X",'ENCUESTA CONDUCTORES'!R$7:R$459,"X",'ENCUESTA CONDUCTORES'!$AW$7:$AW$459,"&lt;2.21")-AN146</f>
        <v>1</v>
      </c>
      <c r="AP147" s="74"/>
      <c r="AQ147" s="74"/>
      <c r="AR147" s="18"/>
      <c r="AS147" s="18"/>
      <c r="AU147" s="18"/>
      <c r="AV147" s="18"/>
      <c r="CX147" s="11" t="s">
        <v>1385</v>
      </c>
      <c r="CY147" s="74">
        <f t="shared" si="371"/>
        <v>0</v>
      </c>
      <c r="CZ147" s="18">
        <f t="shared" si="372"/>
        <v>0</v>
      </c>
      <c r="DA147" s="74"/>
      <c r="DB147" s="74"/>
      <c r="DC147" s="74"/>
      <c r="DD147" s="74"/>
      <c r="DE147" s="74"/>
      <c r="DF147" s="74"/>
      <c r="DG147" s="18"/>
      <c r="DI147" s="18"/>
      <c r="DJ147" s="18"/>
      <c r="DK147" s="18"/>
      <c r="DL147" s="18"/>
      <c r="DM147" s="18"/>
      <c r="DN147" s="18"/>
    </row>
    <row r="148" spans="1:118" x14ac:dyDescent="0.25">
      <c r="C148" s="17" t="s">
        <v>1336</v>
      </c>
      <c r="D148" s="17" t="s">
        <v>1336</v>
      </c>
      <c r="F148" s="17"/>
      <c r="G148" s="17" t="s">
        <v>425</v>
      </c>
      <c r="H148" s="17" t="s">
        <v>426</v>
      </c>
      <c r="I148" s="17" t="s">
        <v>1336</v>
      </c>
      <c r="J148" s="17" t="s">
        <v>1337</v>
      </c>
      <c r="K148" s="17" t="s">
        <v>429</v>
      </c>
      <c r="L148" s="17" t="s">
        <v>425</v>
      </c>
      <c r="M148" s="17" t="s">
        <v>426</v>
      </c>
      <c r="N148" s="17" t="s">
        <v>1336</v>
      </c>
      <c r="O148" s="17" t="s">
        <v>1337</v>
      </c>
      <c r="P148" s="17" t="s">
        <v>429</v>
      </c>
      <c r="AL148" s="17" t="s">
        <v>1308</v>
      </c>
      <c r="AM148" s="74">
        <f t="shared" si="377"/>
        <v>8.3333333333333329E-2</v>
      </c>
      <c r="AN148" s="18">
        <f>COUNTIFS('ENCUESTA CONDUCTORES'!$AL$7:$AL$459,"X",'ENCUESTA CONDUCTORES'!R$7:R$459,"X",'ENCUESTA CONDUCTORES'!$AW$7:$AW$459,"&lt;2.41")-AN147-AN146</f>
        <v>1</v>
      </c>
      <c r="AP148" s="74"/>
      <c r="AQ148" s="74"/>
      <c r="AR148" s="18"/>
      <c r="AS148" s="18"/>
      <c r="AU148" s="18"/>
      <c r="AV148" s="18"/>
      <c r="CX148" s="11" t="s">
        <v>429</v>
      </c>
      <c r="CY148" s="74">
        <f t="shared" si="371"/>
        <v>1</v>
      </c>
      <c r="CZ148" s="18">
        <f t="shared" si="372"/>
        <v>9</v>
      </c>
      <c r="DA148" s="74"/>
      <c r="DB148" s="74"/>
      <c r="DC148" s="74"/>
      <c r="DD148" s="74"/>
      <c r="DE148" s="74"/>
      <c r="DF148" s="74"/>
      <c r="DG148" s="18"/>
      <c r="DI148" s="18"/>
      <c r="DJ148" s="18"/>
      <c r="DK148" s="18"/>
      <c r="DL148" s="18"/>
      <c r="DM148" s="18"/>
      <c r="DN148" s="18"/>
    </row>
    <row r="149" spans="1:118" ht="25.5" x14ac:dyDescent="0.25">
      <c r="B149" s="75" t="s">
        <v>48</v>
      </c>
      <c r="C149" s="74">
        <f>D149/$D$157</f>
        <v>0.11969111969111969</v>
      </c>
      <c r="D149" s="18">
        <f>COUNTIFS('ENCUESTA CONDUCTORES'!G$7:G$459,"X",'ENCUESTA CONDUCTORES'!$BJ$7:$BJ$459,"X")</f>
        <v>31</v>
      </c>
      <c r="F149" s="75" t="s">
        <v>1358</v>
      </c>
      <c r="G149" s="74">
        <f>+L149/$P$149</f>
        <v>9.7087378640776698E-2</v>
      </c>
      <c r="H149" s="74">
        <f t="shared" ref="H149:K149" si="378">+M149/$P$149</f>
        <v>0.1941747572815534</v>
      </c>
      <c r="I149" s="74">
        <f t="shared" si="378"/>
        <v>0.41747572815533979</v>
      </c>
      <c r="J149" s="74">
        <f t="shared" si="378"/>
        <v>0.29126213592233008</v>
      </c>
      <c r="K149" s="74">
        <f t="shared" si="378"/>
        <v>1</v>
      </c>
      <c r="L149" s="90">
        <f>+H113</f>
        <v>10</v>
      </c>
      <c r="M149" s="90">
        <f t="shared" ref="M149:O149" si="379">+I113</f>
        <v>20</v>
      </c>
      <c r="N149" s="90">
        <f t="shared" si="379"/>
        <v>43</v>
      </c>
      <c r="O149" s="90">
        <f t="shared" si="379"/>
        <v>30</v>
      </c>
      <c r="P149" s="18">
        <f t="shared" ref="P149" si="380">SUM(L149:O149)</f>
        <v>103</v>
      </c>
      <c r="AL149" s="11" t="s">
        <v>1334</v>
      </c>
      <c r="AM149" s="74">
        <f t="shared" si="377"/>
        <v>0.16666666666666666</v>
      </c>
      <c r="AN149" s="18">
        <f>COUNTIFS('ENCUESTA CONDUCTORES'!$AL$7:$AL$459,"X",'ENCUESTA CONDUCTORES'!R$7:R$459,"X",'ENCUESTA CONDUCTORES'!$AW$7:$AW$459,"&lt;2.61")-AN148-AN147-AN146</f>
        <v>2</v>
      </c>
      <c r="AP149" s="74"/>
      <c r="AQ149" s="74"/>
      <c r="AR149" s="18"/>
      <c r="AS149" s="18"/>
      <c r="AU149" s="18"/>
      <c r="AV149" s="18"/>
      <c r="CX149" s="17" t="s">
        <v>193</v>
      </c>
      <c r="CY149" s="18"/>
      <c r="CZ149" s="18">
        <f t="shared" si="372"/>
        <v>0</v>
      </c>
      <c r="DA149" s="18"/>
      <c r="DB149" s="18"/>
      <c r="DC149" s="18"/>
      <c r="DD149" s="18"/>
      <c r="DE149" s="18"/>
      <c r="DF149" s="18"/>
      <c r="DG149" s="18"/>
      <c r="DI149" s="18"/>
      <c r="DJ149" s="18"/>
      <c r="DK149" s="18"/>
      <c r="DL149" s="18"/>
      <c r="DM149" s="18"/>
      <c r="DN149" s="18"/>
    </row>
    <row r="150" spans="1:118" x14ac:dyDescent="0.25">
      <c r="B150" s="75" t="s">
        <v>49</v>
      </c>
      <c r="C150" s="74">
        <f t="shared" ref="C150:C157" si="381">D150/$D$157</f>
        <v>9.6525096525096526E-2</v>
      </c>
      <c r="D150" s="18">
        <f>COUNTIFS('ENCUESTA CONDUCTORES'!G$7:G$459,"X",'ENCUESTA CONDUCTORES'!$BK$7:$BK$459,"X")</f>
        <v>25</v>
      </c>
      <c r="F150" s="74"/>
      <c r="G150" s="74"/>
      <c r="H150" s="18"/>
      <c r="I150" s="18"/>
      <c r="K150" s="18"/>
      <c r="L150" s="18"/>
      <c r="AL150" s="11" t="s">
        <v>1309</v>
      </c>
      <c r="AM150" s="74">
        <f t="shared" si="377"/>
        <v>0.16666666666666666</v>
      </c>
      <c r="AN150" s="18">
        <f>COUNTIFS('ENCUESTA CONDUCTORES'!$AL$7:$AL$459,"X",'ENCUESTA CONDUCTORES'!R$7:R$459,"X",'ENCUESTA CONDUCTORES'!$AW$7:$AW$459,"&lt;2.81")-AN149-AN148-AN147-AN146</f>
        <v>2</v>
      </c>
      <c r="AP150" s="74"/>
      <c r="AQ150" s="74"/>
      <c r="AR150" s="18"/>
      <c r="AS150" s="18"/>
      <c r="AU150" s="18"/>
      <c r="AV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</row>
    <row r="151" spans="1:118" x14ac:dyDescent="0.25">
      <c r="B151" s="75" t="s">
        <v>1356</v>
      </c>
      <c r="C151" s="74">
        <f t="shared" si="381"/>
        <v>0.11583011583011583</v>
      </c>
      <c r="D151" s="18">
        <f>COUNTIFS('ENCUESTA CONDUCTORES'!G$7:G$459,"X",'ENCUESTA CONDUCTORES'!$BL$7:$BL$459,"X")+COUNTIFS('ENCUESTA CONDUCTORES'!G$7:G$459,"X",'ENCUESTA CONDUCTORES'!$BR$7:$BR$459,"X")</f>
        <v>30</v>
      </c>
      <c r="F151" s="74"/>
      <c r="G151" s="74"/>
      <c r="H151" s="18"/>
      <c r="I151" s="18"/>
      <c r="K151" s="18"/>
      <c r="L151" s="18"/>
      <c r="AL151" s="11" t="s">
        <v>1310</v>
      </c>
      <c r="AM151" s="74">
        <f t="shared" si="377"/>
        <v>0.33333333333333331</v>
      </c>
      <c r="AN151" s="18">
        <f>COUNTIFS('ENCUESTA CONDUCTORES'!$AL$7:$AL$459,"X",'ENCUESTA CONDUCTORES'!R$7:R$459,"X",'ENCUESTA CONDUCTORES'!$AW$7:$AW$459,"&lt;3.21")-AN150-AN149-AN148-AN147-AN146</f>
        <v>4</v>
      </c>
      <c r="AP151" s="74"/>
      <c r="AQ151" s="74"/>
      <c r="AR151" s="18"/>
      <c r="AS151" s="18"/>
      <c r="AU151" s="18"/>
      <c r="AV151" s="18"/>
      <c r="CX151" s="57" t="s">
        <v>1452</v>
      </c>
      <c r="CY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</row>
    <row r="152" spans="1:118" x14ac:dyDescent="0.25">
      <c r="B152" s="75" t="s">
        <v>51</v>
      </c>
      <c r="C152" s="74">
        <f t="shared" si="381"/>
        <v>0.11196911196911197</v>
      </c>
      <c r="D152" s="18">
        <f>COUNTIFS('ENCUESTA CONDUCTORES'!G$7:G$459,"X",'ENCUESTA CONDUCTORES'!$BM$7:$BM$459,"X")</f>
        <v>29</v>
      </c>
      <c r="F152" s="74"/>
      <c r="G152" s="74"/>
      <c r="H152" s="18"/>
      <c r="I152" s="18"/>
      <c r="K152" s="18"/>
      <c r="L152" s="18"/>
      <c r="AL152" s="11" t="s">
        <v>1311</v>
      </c>
      <c r="AM152" s="74">
        <f t="shared" si="377"/>
        <v>8.3333333333333329E-2</v>
      </c>
      <c r="AN152" s="18">
        <f>COUNTIFS('ENCUESTA CONDUCTORES'!$AL$7:$AL$459,"X",'ENCUESTA CONDUCTORES'!R$7:R$459,"X",'ENCUESTA CONDUCTORES'!$AW$7:$AW$459,"&lt;4.01")-AN151-AN150-AN149-AN148-AN147-AN146</f>
        <v>1</v>
      </c>
      <c r="AP152" s="74"/>
      <c r="AQ152" s="74"/>
      <c r="AR152" s="18"/>
      <c r="AS152" s="18"/>
      <c r="AU152" s="18"/>
      <c r="AV152" s="18"/>
      <c r="CY152" s="17" t="s">
        <v>1425</v>
      </c>
      <c r="CZ152" s="17" t="s">
        <v>1425</v>
      </c>
    </row>
    <row r="153" spans="1:118" ht="25.5" x14ac:dyDescent="0.25">
      <c r="B153" s="75" t="s">
        <v>1357</v>
      </c>
      <c r="C153" s="74">
        <f t="shared" si="381"/>
        <v>0.25482625482625482</v>
      </c>
      <c r="D153" s="18">
        <f>COUNTIFS('ENCUESTA CONDUCTORES'!G$7:G$459,"X",'ENCUESTA CONDUCTORES'!$BN$7:$BN$459,"X")+COUNTIFS('ENCUESTA CONDUCTORES'!G$7:G$459,"X",'ENCUESTA CONDUCTORES'!$BP$7:$BP$459,"X")</f>
        <v>66</v>
      </c>
      <c r="F153" s="74"/>
      <c r="G153" s="74"/>
      <c r="H153" s="18"/>
      <c r="I153" s="18"/>
      <c r="K153" s="18"/>
      <c r="L153" s="18"/>
      <c r="AL153" s="11" t="s">
        <v>1385</v>
      </c>
      <c r="AM153" s="74">
        <f t="shared" si="377"/>
        <v>0</v>
      </c>
      <c r="AN153" s="18">
        <f>COUNTIFS('ENCUESTA CONDUCTORES'!$AL$7:$AL$459,"X",'ENCUESTA CONDUCTORES'!R$7:R$459,"X",'ENCUESTA CONDUCTORES'!$AW$7:$AW$459,"&gt;4")</f>
        <v>0</v>
      </c>
      <c r="AP153" s="74"/>
      <c r="AQ153" s="74"/>
      <c r="AR153" s="18"/>
      <c r="AS153" s="18"/>
      <c r="AU153" s="18"/>
      <c r="AV153" s="18"/>
      <c r="CX153" s="11" t="s">
        <v>1306</v>
      </c>
      <c r="CY153" s="74">
        <f>+CZ153/$CZ$161</f>
        <v>0</v>
      </c>
      <c r="CZ153" s="18">
        <f>+DI19</f>
        <v>0</v>
      </c>
      <c r="DB153" s="74"/>
      <c r="DC153" s="74"/>
      <c r="DD153" s="74"/>
      <c r="DE153" s="74"/>
      <c r="DF153" s="74"/>
      <c r="DG153" s="18"/>
      <c r="DH153" s="18"/>
      <c r="DJ153" s="18"/>
      <c r="DK153" s="18"/>
      <c r="DL153" s="18"/>
      <c r="DM153" s="18"/>
      <c r="DN153" s="18"/>
    </row>
    <row r="154" spans="1:118" x14ac:dyDescent="0.25">
      <c r="B154" s="75" t="s">
        <v>131</v>
      </c>
      <c r="C154" s="74">
        <f t="shared" si="381"/>
        <v>0.10810810810810811</v>
      </c>
      <c r="D154" s="18">
        <f>COUNTIFS('ENCUESTA CONDUCTORES'!G$7:G$459,"X",'ENCUESTA CONDUCTORES'!$BO$7:$BO$459,"X")</f>
        <v>28</v>
      </c>
      <c r="F154" s="74"/>
      <c r="G154" s="74"/>
      <c r="H154" s="18"/>
      <c r="I154" s="18"/>
      <c r="K154" s="18"/>
      <c r="L154" s="18"/>
      <c r="AL154" s="11" t="s">
        <v>429</v>
      </c>
      <c r="AM154" s="74">
        <f t="shared" si="377"/>
        <v>1</v>
      </c>
      <c r="AN154" s="18">
        <f t="shared" ref="AN154" si="382">SUM(AN146:AN153)</f>
        <v>12</v>
      </c>
      <c r="AP154" s="74"/>
      <c r="AQ154" s="74"/>
      <c r="AR154" s="18"/>
      <c r="AS154" s="18"/>
      <c r="AU154" s="18"/>
      <c r="AV154" s="18"/>
      <c r="CX154" s="11" t="s">
        <v>1307</v>
      </c>
      <c r="CY154" s="74">
        <f t="shared" ref="CY154:CY161" si="383">+CZ154/$CZ$161</f>
        <v>2.8571428571428571E-2</v>
      </c>
      <c r="CZ154" s="18">
        <f t="shared" ref="CZ154:CZ162" si="384">+DI20</f>
        <v>1</v>
      </c>
      <c r="DB154" s="74"/>
      <c r="DC154" s="74"/>
      <c r="DD154" s="74"/>
      <c r="DE154" s="74"/>
      <c r="DF154" s="74"/>
      <c r="DG154" s="18"/>
      <c r="DH154" s="18"/>
      <c r="DJ154" s="18"/>
      <c r="DK154" s="18"/>
      <c r="DL154" s="18"/>
      <c r="DM154" s="18"/>
      <c r="DN154" s="18"/>
    </row>
    <row r="155" spans="1:118" x14ac:dyDescent="0.25">
      <c r="B155" s="75" t="s">
        <v>55</v>
      </c>
      <c r="C155" s="74">
        <f t="shared" si="381"/>
        <v>2.7027027027027029E-2</v>
      </c>
      <c r="D155" s="18">
        <f>COUNTIFS('ENCUESTA CONDUCTORES'!G$7:G$459,"X",'ENCUESTA CONDUCTORES'!$BQ$7:$BQ$459,"X")</f>
        <v>7</v>
      </c>
      <c r="F155" s="74"/>
      <c r="G155" s="74"/>
      <c r="H155" s="18"/>
      <c r="I155" s="18"/>
      <c r="K155" s="18"/>
      <c r="L155" s="18"/>
      <c r="AL155" s="17" t="s">
        <v>193</v>
      </c>
      <c r="AN155" s="18">
        <f>COUNTIFS('ENCUESTA CONDUCTORES'!$AL$7:$AL$459,"X",'ENCUESTA CONDUCTORES'!R$7:R$459,"X",'ENCUESTA CONDUCTORES'!$AW$7:$AW$459,"NO SABE")</f>
        <v>0</v>
      </c>
      <c r="AO155" s="18"/>
      <c r="AP155" s="18"/>
      <c r="AQ155" s="18"/>
      <c r="AR155" s="18"/>
      <c r="AS155" s="18"/>
      <c r="AU155" s="18"/>
      <c r="AV155" s="18"/>
      <c r="CX155" s="17" t="s">
        <v>1308</v>
      </c>
      <c r="CY155" s="74">
        <f t="shared" si="383"/>
        <v>5.7142857142857141E-2</v>
      </c>
      <c r="CZ155" s="18">
        <f t="shared" si="384"/>
        <v>2</v>
      </c>
      <c r="DB155" s="74"/>
      <c r="DC155" s="74"/>
      <c r="DD155" s="74"/>
      <c r="DE155" s="74"/>
      <c r="DF155" s="74"/>
      <c r="DG155" s="18"/>
      <c r="DH155" s="18"/>
      <c r="DJ155" s="18"/>
      <c r="DK155" s="18"/>
      <c r="DL155" s="18"/>
      <c r="DM155" s="18"/>
      <c r="DN155" s="18"/>
    </row>
    <row r="156" spans="1:118" x14ac:dyDescent="0.25">
      <c r="B156" s="75" t="s">
        <v>1358</v>
      </c>
      <c r="C156" s="74">
        <f t="shared" si="381"/>
        <v>0.16602316602316602</v>
      </c>
      <c r="D156" s="90">
        <f>COUNTIFS('ENCUESTA CONDUCTORES'!G$7:G$459,"X",'ENCUESTA CONDUCTORES'!$BS$7:$BS$459,"CARRITOS DE GOLF")+COUNTIFS('ENCUESTA CONDUCTORES'!G$7:G$459,"X",'ENCUESTA CONDUCTORES'!$BS$7:$BS$459,"MERCANCIA SECA")+COUNTIFS('ENCUESTA CONDUCTORES'!G$7:G$459,"X",'ENCUESTA CONDUCTORES'!$BS$7:$BS$459,"PAPELERIA")+COUNTIFS('ENCUESTA CONDUCTORES'!G$7:G$459,"X",'ENCUESTA CONDUCTORES'!$BS$7:$BS$459,"GENERAL")+COUNTIFS('ENCUESTA CONDUCTORES'!G$7:G$459,"X",'ENCUESTA CONDUCTORES'!$BS$7:$BS$459,"MAQUINARIA")+COUNTIFS('ENCUESTA CONDUCTORES'!G$7:G$459,"X",'ENCUESTA CONDUCTORES'!$BS$7:$BS$459,"CONTENEDOR")+COUNTIFS('ENCUESTA CONDUCTORES'!G$7:G$459,"X",'ENCUESTA CONDUCTORES'!$BS$7:$BS$459,"MEDICAMENTOS")+COUNTIFS('ENCUESTA CONDUCTORES'!G$7:G$459,"X",'ENCUESTA CONDUCTORES'!$BS$7:$BS$459,"AGUA POTABLE")+COUNTIFS('ENCUESTA CONDUCTORES'!G$7:G$459,"X",'ENCUESTA CONDUCTORES'!$BS$7:$BS$459,"MUDANZAS")+COUNTIFS('ENCUESTA CONDUCTORES'!G$7:G$459,"X",'ENCUESTA CONDUCTORES'!$BS$7:$BS$459,"JABON")+COUNTIFS('ENCUESTA CONDUCTORES'!G$7:G$459,"X",'ENCUESTA CONDUCTORES'!$BS$7:$BS$459,"ACEITE")+COUNTIFS('ENCUESTA CONDUCTORES'!G$7:G$459,"X",'ENCUESTA CONDUCTORES'!$BS$7:$BS$459,"POLIETILENO")+COUNTIFS('ENCUESTA CONDUCTORES'!G$7:G$459,"X",'ENCUESTA CONDUCTORES'!$BS$7:$BS$459,"ELECTRODOMÉSTICOS")+COUNTIFS('ENCUESTA CONDUCTORES'!G$7:G$459,"X",'ENCUESTA CONDUCTORES'!$BS$7:$BS$459,"MUEBLES")+COUNTIFS('ENCUESTA CONDUCTORES'!G$7:G$459,"X",'ENCUESTA CONDUCTORES'!$BS$7:$BS$459,"CHATARRA")+COUNTIFS('ENCUESTA CONDUCTORES'!G$7:G$459,"X",'ENCUESTA CONDUCTORES'!$BS$7:$BS$459,"LLANTAS")+COUNTIFS('ENCUESTA CONDUCTORES'!G$7:G$459,"X",'ENCUESTA CONDUCTORES'!$BS$7:$BS$459,"AGUA")+COUNTIFS('ENCUESTA CONDUCTORES'!G$7:G$459,"X",'ENCUESTA CONDUCTORES'!$BS$7:$BS$459,"ANIMALES")+COUNTIFS('ENCUESTA CONDUCTORES'!G$7:G$459,"X",'ENCUESTA CONDUCTORES'!$BS$7:$BS$459,"TV REFRIGERADORES")+COUNTIFS('ENCUESTA CONDUCTORES'!G$7:G$459,"X",'ENCUESTA CONDUCTORES'!$BS$7:$BS$459,"LÍNEA BLANCA")+COUNTIFS('ENCUESTA CONDUCTORES'!G$7:G$459,"X",'ENCUESTA CONDUCTORES'!$BS$7:$BS$459,"IMPORTACIÓN / EXPORTACIÓN")+COUNTIFS('ENCUESTA CONDUCTORES'!G$7:G$459,"X",'ENCUESTA CONDUCTORES'!$BS$7:$BS$459,"PLASTICO")+COUNTIFS('ENCUESTA CONDUCTORES'!G$7:G$459,"X",'ENCUESTA CONDUCTORES'!$BS$7:$BS$459,"ROPA")+COUNTIFS('ENCUESTA CONDUCTORES'!G$7:G$459,"X",'ENCUESTA CONDUCTORES'!$BS$7:$BS$459,"CHATARRA")+COUNTIFS('ENCUESTA CONDUCTORES'!G$7:G$459,"X",'ENCUESTA CONDUCTORES'!$BS$7:$BS$459,"MEDICAMENTO NUTRICIONAL")+COUNTIFS('ENCUESTA CONDUCTORES'!G$7:G$459,"X",'ENCUESTA CONDUCTORES'!$BS$7:$BS$459,"PRODUCTOS DE BELLEZA")+COUNTIFS('ENCUESTA CONDUCTORES'!G$7:G$459,"X",'ENCUESTA CONDUCTORES'!$BS$7:$BS$459,"FORRAJE")+COUNTIFS('ENCUESTA CONDUCTORES'!G$7:G$459,"X",'ENCUESTA CONDUCTORES'!$BS$7:$BS$459,"VALORES")+COUNTIFS('ENCUESTA CONDUCTORES'!G$7:G$459,"X",'ENCUESTA CONDUCTORES'!$BS$7:$BS$459,"PAQUETERIA")+COUNTIFS('ENCUESTA CONDUCTORES'!G$7:G$459,"X",'ENCUESTA CONDUCTORES'!$BS$7:$BS$459,"SECOS")+COUNTIFS('ENCUESTA CONDUCTORES'!G$7:G$459,"X",'ENCUESTA CONDUCTORES'!$BS$7:$BS$459,"PANTALLAS")+COUNTIFS('ENCUESTA CONDUCTORES'!G$7:G$459,"X",'ENCUESTA CONDUCTORES'!$BS$7:$BS$459,"BOTELLAS")+COUNTIFS('ENCUESTA CONDUCTORES'!G$7:G$459,"X",'ENCUESTA CONDUCTORES'!$BS$7:$BS$459,"PRODUCTOS DE HIGIENE PERSONAL")+COUNTIFS('ENCUESTA CONDUCTORES'!G$7:G$459,"X",'ENCUESTA CONDUCTORES'!$BS$7:$BS$459,"ELECTRONICA, LINEA BLANCA")+COUNTIFS('ENCUESTA CONDUCTORES'!G$7:G$459,"X",'ENCUESTA CONDUCTORES'!$BS$7:$BS$459,"CONTENEDORES")</f>
        <v>43</v>
      </c>
      <c r="F156" s="74"/>
      <c r="G156" s="74"/>
      <c r="H156" s="90"/>
      <c r="I156" s="90"/>
      <c r="K156" s="90"/>
      <c r="L156" s="18"/>
      <c r="AN156" s="18"/>
      <c r="AO156" s="18"/>
      <c r="AP156" s="18"/>
      <c r="AQ156" s="18"/>
      <c r="AR156" s="18"/>
      <c r="AS156" s="18"/>
      <c r="AT156" s="18"/>
      <c r="AU156" s="18"/>
      <c r="AV156" s="18"/>
      <c r="CX156" s="11" t="s">
        <v>1334</v>
      </c>
      <c r="CY156" s="74">
        <f t="shared" si="383"/>
        <v>0.14285714285714285</v>
      </c>
      <c r="CZ156" s="18">
        <f t="shared" si="384"/>
        <v>5</v>
      </c>
      <c r="DB156" s="74"/>
      <c r="DC156" s="74"/>
      <c r="DD156" s="74"/>
      <c r="DE156" s="74"/>
      <c r="DF156" s="74"/>
      <c r="DG156" s="18"/>
      <c r="DH156" s="18"/>
      <c r="DJ156" s="18"/>
      <c r="DK156" s="18"/>
      <c r="DL156" s="18"/>
      <c r="DM156" s="18"/>
      <c r="DN156" s="18"/>
    </row>
    <row r="157" spans="1:118" x14ac:dyDescent="0.25">
      <c r="B157" s="75" t="s">
        <v>1333</v>
      </c>
      <c r="C157" s="74">
        <f t="shared" si="381"/>
        <v>1</v>
      </c>
      <c r="D157" s="18">
        <f t="shared" ref="D157" si="385">SUM(D149:D156)</f>
        <v>259</v>
      </c>
      <c r="F157" s="74"/>
      <c r="G157" s="74"/>
      <c r="H157" s="18"/>
      <c r="I157" s="18"/>
      <c r="K157" s="18"/>
      <c r="L157" s="19"/>
      <c r="AL157" s="57" t="s">
        <v>1399</v>
      </c>
      <c r="AS157" s="17" t="s">
        <v>1392</v>
      </c>
      <c r="CX157" s="11" t="s">
        <v>1309</v>
      </c>
      <c r="CY157" s="74">
        <f t="shared" si="383"/>
        <v>0.11428571428571428</v>
      </c>
      <c r="CZ157" s="18">
        <f t="shared" si="384"/>
        <v>4</v>
      </c>
      <c r="DB157" s="74"/>
      <c r="DC157" s="74"/>
      <c r="DD157" s="74"/>
      <c r="DE157" s="74"/>
      <c r="DF157" s="74"/>
      <c r="DG157" s="18"/>
      <c r="DH157" s="18"/>
      <c r="DJ157" s="18"/>
      <c r="DK157" s="18"/>
      <c r="DL157" s="18"/>
      <c r="DM157" s="18"/>
      <c r="DN157" s="18"/>
    </row>
    <row r="158" spans="1:118" x14ac:dyDescent="0.25">
      <c r="B158" s="17" t="s">
        <v>856</v>
      </c>
      <c r="D158" s="90">
        <f>COUNTIFS('ENCUESTA CONDUCTORES'!G$7:G$459,"X",'ENCUESTA CONDUCTORES'!$BS$7:$BS$459,"NO CONTESTO")</f>
        <v>1</v>
      </c>
      <c r="H158" s="90"/>
      <c r="I158" s="90"/>
      <c r="K158" s="90"/>
      <c r="L158" s="18"/>
      <c r="AM158" s="18" t="s">
        <v>7</v>
      </c>
      <c r="AN158" s="18" t="s">
        <v>7</v>
      </c>
      <c r="AO158" s="18"/>
      <c r="AQ158" s="18"/>
      <c r="AR158" s="18"/>
      <c r="AS158" s="18"/>
      <c r="AT158" s="18"/>
      <c r="AV158" s="18"/>
      <c r="CX158" s="11" t="s">
        <v>1310</v>
      </c>
      <c r="CY158" s="74">
        <f t="shared" si="383"/>
        <v>0.2857142857142857</v>
      </c>
      <c r="CZ158" s="18">
        <f t="shared" si="384"/>
        <v>10</v>
      </c>
      <c r="DB158" s="74"/>
      <c r="DC158" s="74"/>
      <c r="DD158" s="74"/>
      <c r="DE158" s="74"/>
      <c r="DF158" s="74"/>
      <c r="DG158" s="18"/>
      <c r="DH158" s="18"/>
      <c r="DJ158" s="18"/>
      <c r="DK158" s="18"/>
      <c r="DL158" s="18"/>
      <c r="DM158" s="18"/>
      <c r="DN158" s="18"/>
    </row>
    <row r="159" spans="1:118" x14ac:dyDescent="0.25">
      <c r="L159" s="19"/>
      <c r="AL159" s="11" t="s">
        <v>1306</v>
      </c>
      <c r="AM159" s="74">
        <f>+AN159/$AN$167</f>
        <v>5.6000000000000001E-2</v>
      </c>
      <c r="AN159" s="18">
        <f>COUNTIFS('ENCUESTA CONDUCTORES'!$AL$7:$AL$459,"X",'ENCUESTA CONDUCTORES'!S$7:S$459,"X",'ENCUESTA CONDUCTORES'!$AW$7:$AW$459,"&lt;1.9")</f>
        <v>14</v>
      </c>
      <c r="AO159" s="74"/>
      <c r="AQ159" s="74"/>
      <c r="AR159" s="18"/>
      <c r="AS159" s="18"/>
      <c r="AT159" s="18"/>
      <c r="AV159" s="18"/>
      <c r="CX159" s="11" t="s">
        <v>1311</v>
      </c>
      <c r="CY159" s="74">
        <f t="shared" si="383"/>
        <v>0.34285714285714286</v>
      </c>
      <c r="CZ159" s="18">
        <f t="shared" si="384"/>
        <v>12</v>
      </c>
      <c r="DB159" s="74"/>
      <c r="DC159" s="74"/>
      <c r="DD159" s="74"/>
      <c r="DE159" s="74"/>
      <c r="DF159" s="74"/>
      <c r="DG159" s="18"/>
      <c r="DH159" s="18"/>
      <c r="DJ159" s="18"/>
      <c r="DK159" s="18"/>
      <c r="DL159" s="18"/>
      <c r="DM159" s="18"/>
      <c r="DN159" s="18"/>
    </row>
    <row r="160" spans="1:118" x14ac:dyDescent="0.25">
      <c r="A160" s="17" t="s">
        <v>1370</v>
      </c>
      <c r="AL160" s="11" t="s">
        <v>1307</v>
      </c>
      <c r="AM160" s="74">
        <f t="shared" ref="AM160:AM167" si="386">+AN160/$AN$167</f>
        <v>0.16</v>
      </c>
      <c r="AN160" s="18">
        <f>COUNTIFS('ENCUESTA CONDUCTORES'!$AL$7:$AL$459,"X",'ENCUESTA CONDUCTORES'!S$7:S$459,"X",'ENCUESTA CONDUCTORES'!$AW$7:$AW$459,"&lt;2.21")-AN159</f>
        <v>40</v>
      </c>
      <c r="AO160" s="74"/>
      <c r="AQ160" s="74"/>
      <c r="AR160" s="18"/>
      <c r="AS160" s="18"/>
      <c r="AT160" s="18"/>
      <c r="AV160" s="18"/>
      <c r="CX160" s="11" t="s">
        <v>1385</v>
      </c>
      <c r="CY160" s="74">
        <f t="shared" si="383"/>
        <v>2.8571428571428571E-2</v>
      </c>
      <c r="CZ160" s="18">
        <f t="shared" si="384"/>
        <v>1</v>
      </c>
      <c r="DB160" s="74"/>
      <c r="DC160" s="74"/>
      <c r="DD160" s="74"/>
      <c r="DE160" s="74"/>
      <c r="DF160" s="74"/>
      <c r="DG160" s="18"/>
      <c r="DH160" s="18"/>
      <c r="DJ160" s="18"/>
      <c r="DK160" s="18"/>
      <c r="DL160" s="18"/>
      <c r="DM160" s="18"/>
      <c r="DN160" s="18"/>
    </row>
    <row r="161" spans="1:118" x14ac:dyDescent="0.25">
      <c r="C161" s="17" t="s">
        <v>1337</v>
      </c>
      <c r="D161" s="17" t="s">
        <v>1337</v>
      </c>
      <c r="E161" s="17"/>
      <c r="AL161" s="17" t="s">
        <v>1308</v>
      </c>
      <c r="AM161" s="74">
        <f t="shared" si="386"/>
        <v>4.3999999999999997E-2</v>
      </c>
      <c r="AN161" s="18">
        <f>COUNTIFS('ENCUESTA CONDUCTORES'!$AL$7:$AL$459,"X",'ENCUESTA CONDUCTORES'!S$7:S$459,"X",'ENCUESTA CONDUCTORES'!$AW$7:$AW$459,"&lt;2.41")-AN160-AN159</f>
        <v>11</v>
      </c>
      <c r="AO161" s="74"/>
      <c r="AQ161" s="74"/>
      <c r="AR161" s="18"/>
      <c r="AS161" s="18"/>
      <c r="AT161" s="18"/>
      <c r="AV161" s="18"/>
      <c r="CX161" s="11" t="s">
        <v>429</v>
      </c>
      <c r="CY161" s="74">
        <f t="shared" si="383"/>
        <v>1</v>
      </c>
      <c r="CZ161" s="18">
        <f t="shared" si="384"/>
        <v>35</v>
      </c>
      <c r="DB161" s="74"/>
      <c r="DC161" s="74"/>
      <c r="DD161" s="74"/>
      <c r="DE161" s="74"/>
      <c r="DF161" s="74"/>
      <c r="DG161" s="18"/>
      <c r="DH161" s="18"/>
      <c r="DJ161" s="18"/>
      <c r="DK161" s="18"/>
      <c r="DL161" s="18"/>
      <c r="DM161" s="18"/>
      <c r="DN161" s="18"/>
    </row>
    <row r="162" spans="1:118" x14ac:dyDescent="0.25">
      <c r="B162" s="75" t="s">
        <v>48</v>
      </c>
      <c r="C162" s="74">
        <f>D162/$D$170</f>
        <v>6.6666666666666666E-2</v>
      </c>
      <c r="D162" s="18">
        <f>COUNTIFS('ENCUESTA CONDUCTORES'!H$7:H$459,"X",'ENCUESTA CONDUCTORES'!$BJ$7:$BJ$459,"X")</f>
        <v>12</v>
      </c>
      <c r="E162" s="74"/>
      <c r="G162" s="74"/>
      <c r="H162" s="18"/>
      <c r="I162" s="18"/>
      <c r="J162" s="18"/>
      <c r="L162" s="18"/>
      <c r="AL162" s="11" t="s">
        <v>1334</v>
      </c>
      <c r="AM162" s="74">
        <f t="shared" si="386"/>
        <v>0.112</v>
      </c>
      <c r="AN162" s="18">
        <f>COUNTIFS('ENCUESTA CONDUCTORES'!$AL$7:$AL$459,"X",'ENCUESTA CONDUCTORES'!S$7:S$459,"X",'ENCUESTA CONDUCTORES'!$AW$7:$AW$459,"&lt;2.61")-AN161-AN160-AN159</f>
        <v>28</v>
      </c>
      <c r="AO162" s="74"/>
      <c r="AQ162" s="74"/>
      <c r="AR162" s="18"/>
      <c r="AS162" s="18"/>
      <c r="AT162" s="18"/>
      <c r="AV162" s="18"/>
      <c r="CX162" s="17" t="s">
        <v>193</v>
      </c>
      <c r="CY162" s="18"/>
      <c r="CZ162" s="18">
        <f t="shared" si="384"/>
        <v>0</v>
      </c>
      <c r="DA162" s="18"/>
      <c r="DB162" s="18"/>
      <c r="DC162" s="18"/>
      <c r="DD162" s="18"/>
      <c r="DE162" s="18"/>
      <c r="DF162" s="18"/>
      <c r="DG162" s="18"/>
      <c r="DH162" s="18"/>
      <c r="DJ162" s="18"/>
      <c r="DK162" s="18"/>
      <c r="DL162" s="18"/>
      <c r="DM162" s="18"/>
      <c r="DN162" s="18"/>
    </row>
    <row r="163" spans="1:118" x14ac:dyDescent="0.25">
      <c r="B163" s="75" t="s">
        <v>49</v>
      </c>
      <c r="C163" s="74">
        <f t="shared" ref="C163:C170" si="387">D163/$D$170</f>
        <v>8.8888888888888892E-2</v>
      </c>
      <c r="D163" s="18">
        <f>COUNTIFS('ENCUESTA CONDUCTORES'!H$7:H$459,"X",'ENCUESTA CONDUCTORES'!$BK$7:$BK$459,"X")</f>
        <v>16</v>
      </c>
      <c r="E163" s="74"/>
      <c r="G163" s="74"/>
      <c r="H163" s="18"/>
      <c r="I163" s="18"/>
      <c r="J163" s="18"/>
      <c r="L163" s="18"/>
      <c r="AL163" s="11" t="s">
        <v>1309</v>
      </c>
      <c r="AM163" s="74">
        <f t="shared" si="386"/>
        <v>0.45200000000000001</v>
      </c>
      <c r="AN163" s="18">
        <f>COUNTIFS('ENCUESTA CONDUCTORES'!$AL$7:$AL$459,"X",'ENCUESTA CONDUCTORES'!S$7:S$459,"X",'ENCUESTA CONDUCTORES'!$AW$7:$AW$459,"&lt;2.81")-AN162-AN161-AN160-AN159</f>
        <v>113</v>
      </c>
      <c r="AO163" s="74"/>
      <c r="AQ163" s="74"/>
      <c r="AR163" s="18"/>
      <c r="AS163" s="18"/>
      <c r="AT163" s="18"/>
      <c r="AV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</row>
    <row r="164" spans="1:118" x14ac:dyDescent="0.25">
      <c r="B164" s="75" t="s">
        <v>1356</v>
      </c>
      <c r="C164" s="74">
        <f t="shared" si="387"/>
        <v>0.13333333333333333</v>
      </c>
      <c r="D164" s="18">
        <f>COUNTIFS('ENCUESTA CONDUCTORES'!H$7:H$459,"X",'ENCUESTA CONDUCTORES'!$BL$7:$BL$459,"X")+COUNTIFS('ENCUESTA CONDUCTORES'!H$7:H$459,"X",'ENCUESTA CONDUCTORES'!$BR$7:$BR$459,"X")</f>
        <v>24</v>
      </c>
      <c r="E164" s="74"/>
      <c r="G164" s="74"/>
      <c r="H164" s="18"/>
      <c r="I164" s="18"/>
      <c r="J164" s="18"/>
      <c r="L164" s="18"/>
      <c r="AL164" s="11" t="s">
        <v>1310</v>
      </c>
      <c r="AM164" s="74">
        <f t="shared" si="386"/>
        <v>0.156</v>
      </c>
      <c r="AN164" s="18">
        <f>COUNTIFS('ENCUESTA CONDUCTORES'!$AL$7:$AL$459,"X",'ENCUESTA CONDUCTORES'!S$7:S$459,"X",'ENCUESTA CONDUCTORES'!$AW$7:$AW$459,"&lt;3.21")-AN163-AN162-AN161-AN160-AN159</f>
        <v>39</v>
      </c>
      <c r="AO164" s="74"/>
      <c r="AQ164" s="74"/>
      <c r="AR164" s="18"/>
      <c r="AS164" s="18"/>
      <c r="AT164" s="18"/>
      <c r="AV164" s="18"/>
      <c r="CX164" s="57" t="s">
        <v>1453</v>
      </c>
      <c r="CY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</row>
    <row r="165" spans="1:118" x14ac:dyDescent="0.25">
      <c r="B165" s="75" t="s">
        <v>51</v>
      </c>
      <c r="C165" s="74">
        <f t="shared" si="387"/>
        <v>0.1111111111111111</v>
      </c>
      <c r="D165" s="18">
        <f>COUNTIFS('ENCUESTA CONDUCTORES'!H$7:H$459,"X",'ENCUESTA CONDUCTORES'!$BM$7:$BM$459,"X")</f>
        <v>20</v>
      </c>
      <c r="E165" s="74"/>
      <c r="G165" s="74"/>
      <c r="H165" s="18"/>
      <c r="I165" s="18"/>
      <c r="J165" s="18"/>
      <c r="L165" s="18"/>
      <c r="AL165" s="11" t="s">
        <v>1311</v>
      </c>
      <c r="AM165" s="74">
        <f t="shared" si="386"/>
        <v>1.6E-2</v>
      </c>
      <c r="AN165" s="18">
        <f>COUNTIFS('ENCUESTA CONDUCTORES'!$AL$7:$AL$459,"X",'ENCUESTA CONDUCTORES'!S$7:S$459,"X",'ENCUESTA CONDUCTORES'!$AW$7:$AW$459,"&lt;4.01")-AN164-AN163-AN162-AN161-AN160-AN159</f>
        <v>4</v>
      </c>
      <c r="AO165" s="74"/>
      <c r="AQ165" s="74"/>
      <c r="AR165" s="18"/>
      <c r="AS165" s="18"/>
      <c r="AT165" s="18"/>
      <c r="AV165" s="18"/>
      <c r="CY165" s="17" t="s">
        <v>1426</v>
      </c>
      <c r="CZ165" s="17" t="s">
        <v>1426</v>
      </c>
    </row>
    <row r="166" spans="1:118" ht="25.5" x14ac:dyDescent="0.25">
      <c r="B166" s="75" t="s">
        <v>1357</v>
      </c>
      <c r="C166" s="74">
        <f t="shared" si="387"/>
        <v>0.36666666666666664</v>
      </c>
      <c r="D166" s="18">
        <f>COUNTIFS('ENCUESTA CONDUCTORES'!H$7:H$459,"X",'ENCUESTA CONDUCTORES'!$BN$7:$BN$459,"X")+COUNTIFS('ENCUESTA CONDUCTORES'!H$7:H$459,"X",'ENCUESTA CONDUCTORES'!$BP$7:$BP$459,"X")</f>
        <v>66</v>
      </c>
      <c r="E166" s="74"/>
      <c r="G166" s="74"/>
      <c r="H166" s="18"/>
      <c r="I166" s="18"/>
      <c r="J166" s="18"/>
      <c r="L166" s="18"/>
      <c r="AL166" s="11" t="s">
        <v>1385</v>
      </c>
      <c r="AM166" s="74">
        <f t="shared" si="386"/>
        <v>4.0000000000000001E-3</v>
      </c>
      <c r="AN166" s="18">
        <f>COUNTIFS('ENCUESTA CONDUCTORES'!$AL$7:$AL$459,"X",'ENCUESTA CONDUCTORES'!S$7:S$459,"X",'ENCUESTA CONDUCTORES'!$AW$7:$AW$459,"&gt;4")</f>
        <v>1</v>
      </c>
      <c r="AO166" s="74"/>
      <c r="AQ166" s="74"/>
      <c r="AR166" s="18"/>
      <c r="AS166" s="18"/>
      <c r="AT166" s="18"/>
      <c r="AV166" s="18"/>
      <c r="CX166" s="11" t="s">
        <v>1306</v>
      </c>
      <c r="CY166" s="74">
        <f>+CZ166/$CZ$174</f>
        <v>9.8039215686274508E-3</v>
      </c>
      <c r="CZ166" s="18">
        <f>+DJ19</f>
        <v>1</v>
      </c>
      <c r="DA166" s="74"/>
      <c r="DC166" s="74"/>
      <c r="DD166" s="74"/>
      <c r="DE166" s="74"/>
      <c r="DF166" s="74"/>
      <c r="DG166" s="18"/>
      <c r="DH166" s="18"/>
      <c r="DI166" s="18"/>
      <c r="DK166" s="18"/>
      <c r="DL166" s="18"/>
      <c r="DM166" s="18"/>
      <c r="DN166" s="18"/>
    </row>
    <row r="167" spans="1:118" x14ac:dyDescent="0.25">
      <c r="B167" s="75" t="s">
        <v>131</v>
      </c>
      <c r="C167" s="74">
        <f t="shared" si="387"/>
        <v>5.5555555555555558E-3</v>
      </c>
      <c r="D167" s="18">
        <f>COUNTIFS('ENCUESTA CONDUCTORES'!H$7:H$459,"X",'ENCUESTA CONDUCTORES'!$BO$7:$BO$459,"X")</f>
        <v>1</v>
      </c>
      <c r="E167" s="74"/>
      <c r="G167" s="74"/>
      <c r="H167" s="18"/>
      <c r="I167" s="18"/>
      <c r="J167" s="18"/>
      <c r="L167" s="18"/>
      <c r="AL167" s="11" t="s">
        <v>429</v>
      </c>
      <c r="AM167" s="74">
        <f t="shared" si="386"/>
        <v>1</v>
      </c>
      <c r="AN167" s="18">
        <f t="shared" ref="AN167" si="388">SUM(AN159:AN166)</f>
        <v>250</v>
      </c>
      <c r="AO167" s="74"/>
      <c r="AQ167" s="74"/>
      <c r="AR167" s="18"/>
      <c r="AS167" s="18"/>
      <c r="AT167" s="18"/>
      <c r="AV167" s="18"/>
      <c r="CX167" s="11" t="s">
        <v>1307</v>
      </c>
      <c r="CY167" s="74">
        <f t="shared" ref="CY167:CY174" si="389">+CZ167/$CZ$174</f>
        <v>4.9019607843137254E-2</v>
      </c>
      <c r="CZ167" s="18">
        <f t="shared" ref="CZ167:CZ175" si="390">+DJ20</f>
        <v>5</v>
      </c>
      <c r="DA167" s="74"/>
      <c r="DC167" s="74"/>
      <c r="DD167" s="74"/>
      <c r="DE167" s="74"/>
      <c r="DF167" s="74"/>
      <c r="DG167" s="18"/>
      <c r="DH167" s="18"/>
      <c r="DI167" s="18"/>
      <c r="DK167" s="18"/>
      <c r="DL167" s="18"/>
      <c r="DM167" s="18"/>
      <c r="DN167" s="18"/>
    </row>
    <row r="168" spans="1:118" x14ac:dyDescent="0.25">
      <c r="B168" s="75" t="s">
        <v>55</v>
      </c>
      <c r="C168" s="74">
        <f t="shared" si="387"/>
        <v>6.1111111111111109E-2</v>
      </c>
      <c r="D168" s="18">
        <f>COUNTIFS('ENCUESTA CONDUCTORES'!H$7:H$459,"X",'ENCUESTA CONDUCTORES'!$BQ$7:$BQ$459,"X")</f>
        <v>11</v>
      </c>
      <c r="E168" s="74"/>
      <c r="G168" s="74"/>
      <c r="H168" s="18"/>
      <c r="I168" s="18"/>
      <c r="J168" s="18"/>
      <c r="L168" s="18"/>
      <c r="AL168" s="17" t="s">
        <v>193</v>
      </c>
      <c r="AN168" s="18">
        <f>COUNTIFS('ENCUESTA CONDUCTORES'!$AL$7:$AL$459,"X",'ENCUESTA CONDUCTORES'!S$7:S$459,"X",'ENCUESTA CONDUCTORES'!$AW$7:$AW$459,"NO SABE")</f>
        <v>0</v>
      </c>
      <c r="AO168" s="18"/>
      <c r="AP168" s="18"/>
      <c r="AQ168" s="18"/>
      <c r="AR168" s="18"/>
      <c r="AS168" s="18"/>
      <c r="AT168" s="18"/>
      <c r="AV168" s="18"/>
      <c r="CX168" s="17" t="s">
        <v>1308</v>
      </c>
      <c r="CY168" s="74">
        <f t="shared" si="389"/>
        <v>5.8823529411764705E-2</v>
      </c>
      <c r="CZ168" s="18">
        <f t="shared" si="390"/>
        <v>6</v>
      </c>
      <c r="DA168" s="74"/>
      <c r="DC168" s="74"/>
      <c r="DD168" s="74"/>
      <c r="DE168" s="74"/>
      <c r="DF168" s="74"/>
      <c r="DG168" s="18"/>
      <c r="DH168" s="18"/>
      <c r="DI168" s="18"/>
      <c r="DK168" s="18"/>
      <c r="DL168" s="18"/>
      <c r="DM168" s="18"/>
      <c r="DN168" s="18"/>
    </row>
    <row r="169" spans="1:118" x14ac:dyDescent="0.25">
      <c r="B169" s="75" t="s">
        <v>1358</v>
      </c>
      <c r="C169" s="74">
        <f t="shared" si="387"/>
        <v>0.16666666666666666</v>
      </c>
      <c r="D169" s="90">
        <f>COUNTIFS('ENCUESTA CONDUCTORES'!H$7:H$459,"X",'ENCUESTA CONDUCTORES'!$BS$7:$BS$459,"CARRITOS DE GOLF")+COUNTIFS('ENCUESTA CONDUCTORES'!H$7:H$459,"X",'ENCUESTA CONDUCTORES'!$BS$7:$BS$459,"MERCANCIA SECA")+COUNTIFS('ENCUESTA CONDUCTORES'!H$7:H$459,"X",'ENCUESTA CONDUCTORES'!$BS$7:$BS$459,"PAPELERIA")+COUNTIFS('ENCUESTA CONDUCTORES'!H$7:H$459,"X",'ENCUESTA CONDUCTORES'!$BS$7:$BS$459,"GENERAL")+COUNTIFS('ENCUESTA CONDUCTORES'!H$7:H$459,"X",'ENCUESTA CONDUCTORES'!$BS$7:$BS$459,"MAQUINARIA")+COUNTIFS('ENCUESTA CONDUCTORES'!H$7:H$459,"X",'ENCUESTA CONDUCTORES'!$BS$7:$BS$459,"CONTENEDOR")+COUNTIFS('ENCUESTA CONDUCTORES'!H$7:H$459,"X",'ENCUESTA CONDUCTORES'!$BS$7:$BS$459,"MEDICAMENTOS")+COUNTIFS('ENCUESTA CONDUCTORES'!H$7:H$459,"X",'ENCUESTA CONDUCTORES'!$BS$7:$BS$459,"AGUA POTABLE")+COUNTIFS('ENCUESTA CONDUCTORES'!H$7:H$459,"X",'ENCUESTA CONDUCTORES'!$BS$7:$BS$459,"MUDANZAS")+COUNTIFS('ENCUESTA CONDUCTORES'!H$7:H$459,"X",'ENCUESTA CONDUCTORES'!$BS$7:$BS$459,"JABON")+COUNTIFS('ENCUESTA CONDUCTORES'!H$7:H$459,"X",'ENCUESTA CONDUCTORES'!$BS$7:$BS$459,"ACEITE")+COUNTIFS('ENCUESTA CONDUCTORES'!H$7:H$459,"X",'ENCUESTA CONDUCTORES'!$BS$7:$BS$459,"POLIETILENO")+COUNTIFS('ENCUESTA CONDUCTORES'!H$7:H$459,"X",'ENCUESTA CONDUCTORES'!$BS$7:$BS$459,"ELECTRODOMÉSTICOS")+COUNTIFS('ENCUESTA CONDUCTORES'!H$7:H$459,"X",'ENCUESTA CONDUCTORES'!$BS$7:$BS$459,"MUEBLES")+COUNTIFS('ENCUESTA CONDUCTORES'!H$7:H$459,"X",'ENCUESTA CONDUCTORES'!$BS$7:$BS$459,"CHATARRA")+COUNTIFS('ENCUESTA CONDUCTORES'!H$7:H$459,"X",'ENCUESTA CONDUCTORES'!$BS$7:$BS$459,"LLANTAS")+COUNTIFS('ENCUESTA CONDUCTORES'!H$7:H$459,"X",'ENCUESTA CONDUCTORES'!$BS$7:$BS$459,"AGUA")+COUNTIFS('ENCUESTA CONDUCTORES'!H$7:H$459,"X",'ENCUESTA CONDUCTORES'!$BS$7:$BS$459,"ANIMALES")+COUNTIFS('ENCUESTA CONDUCTORES'!H$7:H$459,"X",'ENCUESTA CONDUCTORES'!$BS$7:$BS$459,"TV REFRIGERADORES")+COUNTIFS('ENCUESTA CONDUCTORES'!H$7:H$459,"X",'ENCUESTA CONDUCTORES'!$BS$7:$BS$459,"LÍNEA BLANCA")+COUNTIFS('ENCUESTA CONDUCTORES'!H$7:H$459,"X",'ENCUESTA CONDUCTORES'!$BS$7:$BS$459,"IMPORTACIÓN / EXPORTACIÓN")+COUNTIFS('ENCUESTA CONDUCTORES'!H$7:H$459,"X",'ENCUESTA CONDUCTORES'!$BS$7:$BS$459,"PLASTICO")+COUNTIFS('ENCUESTA CONDUCTORES'!H$7:H$459,"X",'ENCUESTA CONDUCTORES'!$BS$7:$BS$459,"ROPA")+COUNTIFS('ENCUESTA CONDUCTORES'!H$7:H$459,"X",'ENCUESTA CONDUCTORES'!$BS$7:$BS$459,"CHATARRA")+COUNTIFS('ENCUESTA CONDUCTORES'!H$7:H$459,"X",'ENCUESTA CONDUCTORES'!$BS$7:$BS$459,"MEDICAMENTO NUTRICIONAL")+COUNTIFS('ENCUESTA CONDUCTORES'!H$7:H$459,"X",'ENCUESTA CONDUCTORES'!$BS$7:$BS$459,"PRODUCTOS DE BELLEZA")+COUNTIFS('ENCUESTA CONDUCTORES'!H$7:H$459,"X",'ENCUESTA CONDUCTORES'!$BS$7:$BS$459,"FORRAJE")+COUNTIFS('ENCUESTA CONDUCTORES'!H$7:H$459,"X",'ENCUESTA CONDUCTORES'!$BS$7:$BS$459,"VALORES")+COUNTIFS('ENCUESTA CONDUCTORES'!H$7:H$459,"X",'ENCUESTA CONDUCTORES'!$BS$7:$BS$459,"PAQUETERIA")+COUNTIFS('ENCUESTA CONDUCTORES'!H$7:H$459,"X",'ENCUESTA CONDUCTORES'!$BS$7:$BS$459,"SECOS")+COUNTIFS('ENCUESTA CONDUCTORES'!H$7:H$459,"X",'ENCUESTA CONDUCTORES'!$BS$7:$BS$459,"PANTALLAS")+COUNTIFS('ENCUESTA CONDUCTORES'!H$7:H$459,"X",'ENCUESTA CONDUCTORES'!$BS$7:$BS$459,"BOTELLAS")+COUNTIFS('ENCUESTA CONDUCTORES'!H$7:H$459,"X",'ENCUESTA CONDUCTORES'!$BS$7:$BS$459,"PRODUCTOS DE HIGIENE PERSONAL")+COUNTIFS('ENCUESTA CONDUCTORES'!H$7:H$459,"X",'ENCUESTA CONDUCTORES'!$BS$7:$BS$459,"ELECTRONICA, LINEA BLANCA")+COUNTIFS('ENCUESTA CONDUCTORES'!H$7:H$459,"X",'ENCUESTA CONDUCTORES'!$BS$7:$BS$459,"CONTENEDORES")</f>
        <v>30</v>
      </c>
      <c r="E169" s="74"/>
      <c r="G169" s="74"/>
      <c r="H169" s="90"/>
      <c r="I169" s="90"/>
      <c r="J169" s="90"/>
      <c r="L169" s="18"/>
      <c r="AN169" s="18"/>
      <c r="AO169" s="18"/>
      <c r="AP169" s="18"/>
      <c r="AQ169" s="18"/>
      <c r="AR169" s="18"/>
      <c r="AS169" s="18"/>
      <c r="AT169" s="18"/>
      <c r="AU169" s="18"/>
      <c r="AV169" s="18"/>
      <c r="CX169" s="11" t="s">
        <v>1334</v>
      </c>
      <c r="CY169" s="74">
        <f t="shared" si="389"/>
        <v>6.8627450980392163E-2</v>
      </c>
      <c r="CZ169" s="18">
        <f t="shared" si="390"/>
        <v>7</v>
      </c>
      <c r="DA169" s="74"/>
      <c r="DC169" s="74"/>
      <c r="DD169" s="74"/>
      <c r="DE169" s="74"/>
      <c r="DF169" s="74"/>
      <c r="DG169" s="18"/>
      <c r="DH169" s="18"/>
      <c r="DI169" s="18"/>
      <c r="DK169" s="18"/>
      <c r="DL169" s="18"/>
      <c r="DM169" s="18"/>
      <c r="DN169" s="18"/>
    </row>
    <row r="170" spans="1:118" x14ac:dyDescent="0.25">
      <c r="B170" s="75" t="s">
        <v>1333</v>
      </c>
      <c r="C170" s="74">
        <f t="shared" si="387"/>
        <v>1</v>
      </c>
      <c r="D170" s="18">
        <f t="shared" ref="D170" si="391">SUM(D162:D169)</f>
        <v>180</v>
      </c>
      <c r="E170" s="74"/>
      <c r="G170" s="74"/>
      <c r="H170" s="18"/>
      <c r="I170" s="18"/>
      <c r="J170" s="18"/>
      <c r="L170" s="19"/>
      <c r="AN170" s="18"/>
      <c r="AO170" s="18"/>
      <c r="AP170" s="18"/>
      <c r="AQ170" s="18"/>
      <c r="AR170" s="18"/>
      <c r="AS170" s="18"/>
      <c r="AT170" s="18"/>
      <c r="AU170" s="18"/>
      <c r="AV170" s="18"/>
      <c r="CX170" s="11" t="s">
        <v>1309</v>
      </c>
      <c r="CY170" s="74">
        <f t="shared" si="389"/>
        <v>0.11764705882352941</v>
      </c>
      <c r="CZ170" s="18">
        <f t="shared" si="390"/>
        <v>12</v>
      </c>
      <c r="DA170" s="74"/>
      <c r="DC170" s="74"/>
      <c r="DD170" s="74"/>
      <c r="DE170" s="74"/>
      <c r="DF170" s="74"/>
      <c r="DG170" s="18"/>
      <c r="DH170" s="18"/>
      <c r="DI170" s="18"/>
      <c r="DK170" s="18"/>
      <c r="DL170" s="18"/>
      <c r="DM170" s="18"/>
      <c r="DN170" s="18"/>
    </row>
    <row r="171" spans="1:118" x14ac:dyDescent="0.25">
      <c r="B171" s="17" t="s">
        <v>856</v>
      </c>
      <c r="D171" s="90">
        <f>COUNTIFS('ENCUESTA CONDUCTORES'!H$7:H$459,"X",'ENCUESTA CONDUCTORES'!$BS$7:$BS$459,"NO CONTESTO")</f>
        <v>0</v>
      </c>
      <c r="H171" s="90"/>
      <c r="I171" s="90"/>
      <c r="J171" s="90"/>
      <c r="L171" s="18"/>
      <c r="AL171" s="17" t="s">
        <v>1394</v>
      </c>
      <c r="AS171" s="17" t="s">
        <v>1392</v>
      </c>
      <c r="BF171" s="17" t="s">
        <v>1408</v>
      </c>
      <c r="BM171" s="17" t="s">
        <v>1392</v>
      </c>
      <c r="CX171" s="11" t="s">
        <v>1310</v>
      </c>
      <c r="CY171" s="74">
        <f t="shared" si="389"/>
        <v>0.5</v>
      </c>
      <c r="CZ171" s="18">
        <f t="shared" si="390"/>
        <v>51</v>
      </c>
      <c r="DA171" s="74"/>
      <c r="DC171" s="74"/>
      <c r="DD171" s="74"/>
      <c r="DE171" s="74"/>
      <c r="DF171" s="74"/>
      <c r="DG171" s="18"/>
      <c r="DH171" s="18"/>
      <c r="DI171" s="18"/>
      <c r="DK171" s="18"/>
      <c r="DL171" s="18"/>
      <c r="DM171" s="18"/>
      <c r="DN171" s="18"/>
    </row>
    <row r="172" spans="1:118" x14ac:dyDescent="0.25">
      <c r="L172" s="19"/>
      <c r="AM172" s="5" t="s">
        <v>1296</v>
      </c>
      <c r="AN172" s="5" t="s">
        <v>1297</v>
      </c>
      <c r="AO172" s="5" t="s">
        <v>1298</v>
      </c>
      <c r="AP172" s="5" t="s">
        <v>1299</v>
      </c>
      <c r="AQ172" s="5" t="s">
        <v>1300</v>
      </c>
      <c r="AR172" s="5" t="s">
        <v>1301</v>
      </c>
      <c r="AS172" s="5" t="s">
        <v>1302</v>
      </c>
      <c r="AT172" s="5" t="s">
        <v>1385</v>
      </c>
      <c r="AU172" s="5"/>
      <c r="AV172" s="5" t="s">
        <v>1296</v>
      </c>
      <c r="AW172" s="5" t="s">
        <v>1297</v>
      </c>
      <c r="AX172" s="5" t="s">
        <v>1298</v>
      </c>
      <c r="AY172" s="5" t="s">
        <v>1299</v>
      </c>
      <c r="AZ172" s="5" t="s">
        <v>1300</v>
      </c>
      <c r="BA172" s="5" t="s">
        <v>1301</v>
      </c>
      <c r="BB172" s="5" t="s">
        <v>1302</v>
      </c>
      <c r="BC172" s="5" t="s">
        <v>1385</v>
      </c>
      <c r="BG172" s="5" t="s">
        <v>1296</v>
      </c>
      <c r="BH172" s="5" t="s">
        <v>1297</v>
      </c>
      <c r="BI172" s="5" t="s">
        <v>1298</v>
      </c>
      <c r="BJ172" s="5" t="s">
        <v>1299</v>
      </c>
      <c r="BK172" s="5" t="s">
        <v>1300</v>
      </c>
      <c r="BL172" s="5" t="s">
        <v>1301</v>
      </c>
      <c r="BM172" s="5" t="s">
        <v>1302</v>
      </c>
      <c r="BN172" s="5" t="s">
        <v>1385</v>
      </c>
      <c r="BO172" s="5"/>
      <c r="BP172" s="5" t="s">
        <v>1296</v>
      </c>
      <c r="BQ172" s="5" t="s">
        <v>1297</v>
      </c>
      <c r="BR172" s="5" t="s">
        <v>1298</v>
      </c>
      <c r="BS172" s="5" t="s">
        <v>1299</v>
      </c>
      <c r="BT172" s="5" t="s">
        <v>1300</v>
      </c>
      <c r="BU172" s="5" t="s">
        <v>1301</v>
      </c>
      <c r="BV172" s="5" t="s">
        <v>1302</v>
      </c>
      <c r="BW172" s="5" t="s">
        <v>1385</v>
      </c>
      <c r="CX172" s="11" t="s">
        <v>1311</v>
      </c>
      <c r="CY172" s="74">
        <f t="shared" si="389"/>
        <v>0.18627450980392157</v>
      </c>
      <c r="CZ172" s="18">
        <f t="shared" si="390"/>
        <v>19</v>
      </c>
      <c r="DA172" s="74"/>
      <c r="DC172" s="74"/>
      <c r="DD172" s="74"/>
      <c r="DE172" s="74"/>
      <c r="DF172" s="74"/>
      <c r="DG172" s="18"/>
      <c r="DH172" s="18"/>
      <c r="DI172" s="18"/>
      <c r="DK172" s="18"/>
      <c r="DL172" s="18"/>
      <c r="DM172" s="18"/>
      <c r="DN172" s="18"/>
    </row>
    <row r="173" spans="1:118" x14ac:dyDescent="0.25">
      <c r="AL173" s="75" t="s">
        <v>48</v>
      </c>
      <c r="AM173" s="74">
        <f>AV173/$BD$181</f>
        <v>3.1847133757961785E-3</v>
      </c>
      <c r="AN173" s="74">
        <f t="shared" ref="AN173:AN181" si="392">AW173/$BD$181</f>
        <v>1.9108280254777069E-2</v>
      </c>
      <c r="AO173" s="74">
        <f t="shared" ref="AO173:AO181" si="393">AX173/$BD$181</f>
        <v>9.5541401273885346E-3</v>
      </c>
      <c r="AP173" s="74">
        <f t="shared" ref="AP173:AP181" si="394">AY173/$BD$181</f>
        <v>7.9617834394904458E-3</v>
      </c>
      <c r="AQ173" s="74">
        <f t="shared" ref="AQ173:AQ181" si="395">AZ173/$BD$181</f>
        <v>3.3439490445859872E-2</v>
      </c>
      <c r="AR173" s="74">
        <f t="shared" ref="AR173:AR181" si="396">BA173/$BD$181</f>
        <v>1.751592356687898E-2</v>
      </c>
      <c r="AS173" s="74">
        <f t="shared" ref="AS173:AS181" si="397">BB173/$BD$181</f>
        <v>2.0700636942675158E-2</v>
      </c>
      <c r="AT173" s="74">
        <f t="shared" ref="AT173:AT181" si="398">BC173/$BD$181</f>
        <v>3.1847133757961785E-3</v>
      </c>
      <c r="AU173" s="74">
        <f t="shared" ref="AU173:AU181" si="399">BD173/$BD$181</f>
        <v>0.11464968152866242</v>
      </c>
      <c r="AV173" s="18">
        <f>COUNTIFS('ENCUESTA CONDUCTORES'!$AL$7:$AL$459,"X",'ENCUESTA CONDUCTORES'!$BJ$7:$BJ$459,"X",'ENCUESTA CONDUCTORES'!$AX$7:$AX$459,"&lt;1.6")</f>
        <v>2</v>
      </c>
      <c r="AW173" s="18">
        <f>COUNTIFS('ENCUESTA CONDUCTORES'!$AL$7:$AL$459,"X",'ENCUESTA CONDUCTORES'!$BJ$7:$BJ$459,"X",'ENCUESTA CONDUCTORES'!$AX$7:$AX$459,"&lt;1.91")-AV173</f>
        <v>12</v>
      </c>
      <c r="AX173" s="18">
        <f>COUNTIFS('ENCUESTA CONDUCTORES'!$AL$7:$AL$459,"X",'ENCUESTA CONDUCTORES'!$BJ$7:$BJ$459,"X",'ENCUESTA CONDUCTORES'!$AX$7:$AX$459,"&lt;2.01")-AW173-AV173</f>
        <v>6</v>
      </c>
      <c r="AY173" s="18">
        <f>COUNTIFS('ENCUESTA CONDUCTORES'!$AL$7:$AL$459,"X",'ENCUESTA CONDUCTORES'!$BJ$7:$BJ$459,"X",'ENCUESTA CONDUCTORES'!$AX$7:$AX$459,"&lt;2.21")-AX173-AW173-AV173</f>
        <v>5</v>
      </c>
      <c r="AZ173" s="18">
        <f>COUNTIFS('ENCUESTA CONDUCTORES'!$AL$7:$AL$459,"X",'ENCUESTA CONDUCTORES'!$BJ$7:$BJ$459,"X",'ENCUESTA CONDUCTORES'!$AX$7:$AX$459,"&lt;2.51")-AY173-AX173-AW173-AV173</f>
        <v>21</v>
      </c>
      <c r="BA173" s="18">
        <f>COUNTIFS('ENCUESTA CONDUCTORES'!$AL$7:$AL$459,"X",'ENCUESTA CONDUCTORES'!$BJ$7:$BJ$459,"X",'ENCUESTA CONDUCTORES'!$AX$7:$AX$459,"&lt;3.01")-AZ173-AY173-AX173-AW173-AV173</f>
        <v>11</v>
      </c>
      <c r="BB173" s="18">
        <f>COUNTIFS('ENCUESTA CONDUCTORES'!$AL$7:$AL$459,"X",'ENCUESTA CONDUCTORES'!$BJ$7:$BJ$459,"X",'ENCUESTA CONDUCTORES'!$AX$7:$AX$459,"&lt;4.01")-BA173-AZ173-AY173-AX173-AW173-AV173</f>
        <v>13</v>
      </c>
      <c r="BC173" s="18">
        <f>COUNTIFS('ENCUESTA CONDUCTORES'!$AL$7:$AL$459,"X",'ENCUESTA CONDUCTORES'!$BJ$7:$BJ$459,"X",'ENCUESTA CONDUCTORES'!$AX$7:$AX$459,"&gt;4")</f>
        <v>2</v>
      </c>
      <c r="BD173" s="18">
        <f>SUM(AV173:BC173)</f>
        <v>72</v>
      </c>
      <c r="BF173" s="75" t="s">
        <v>48</v>
      </c>
      <c r="BG173" s="74">
        <f>BP173/$BX$181</f>
        <v>0</v>
      </c>
      <c r="BH173" s="74">
        <f t="shared" ref="BH173:BH181" si="400">BQ173/$BX$181</f>
        <v>6.369426751592357E-3</v>
      </c>
      <c r="BI173" s="74">
        <f t="shared" ref="BI173:BI181" si="401">BR173/$BX$181</f>
        <v>9.5541401273885346E-3</v>
      </c>
      <c r="BJ173" s="74">
        <f t="shared" ref="BJ173:BJ181" si="402">BS173/$BX$181</f>
        <v>7.9617834394904458E-3</v>
      </c>
      <c r="BK173" s="74">
        <f t="shared" ref="BK173:BK181" si="403">BT173/$BX$181</f>
        <v>1.1146496815286623E-2</v>
      </c>
      <c r="BL173" s="74">
        <f t="shared" ref="BL173:BL181" si="404">BU173/$BX$181</f>
        <v>3.8216560509554139E-2</v>
      </c>
      <c r="BM173" s="74">
        <f t="shared" ref="BM173:BM181" si="405">BV173/$BX$181</f>
        <v>3.3439490445859872E-2</v>
      </c>
      <c r="BN173" s="74">
        <f t="shared" ref="BN173:BN181" si="406">BW173/$BX$181</f>
        <v>7.9617834394904458E-3</v>
      </c>
      <c r="BO173" s="74">
        <f t="shared" ref="BO173:BO181" si="407">BX173/$BX$181</f>
        <v>0.11464968152866242</v>
      </c>
      <c r="BP173" s="18">
        <f>COUNTIFS('ENCUESTA CONDUCTORES'!$AL$7:$AL$459,"X",'ENCUESTA CONDUCTORES'!$BJ$7:$BJ$459,"X",'ENCUESTA CONDUCTORES'!$AW$7:$AW$459,"&lt;1.6")</f>
        <v>0</v>
      </c>
      <c r="BQ173" s="18">
        <f>COUNTIFS('ENCUESTA CONDUCTORES'!$AL$7:$AL$459,"X",'ENCUESTA CONDUCTORES'!$BJ$7:$BJ$459,"X",'ENCUESTA CONDUCTORES'!$AW$7:$AW$459,"&lt;1.91")-BP173</f>
        <v>4</v>
      </c>
      <c r="BR173" s="18">
        <f>COUNTIFS('ENCUESTA CONDUCTORES'!$AL$7:$AL$459,"X",'ENCUESTA CONDUCTORES'!$BJ$7:$BJ$459,"X",'ENCUESTA CONDUCTORES'!$AW$7:$AW$459,"&lt;2.01")-BQ173-BP173</f>
        <v>6</v>
      </c>
      <c r="BS173" s="18">
        <f>COUNTIFS('ENCUESTA CONDUCTORES'!$AL$7:$AL$459,"X",'ENCUESTA CONDUCTORES'!$BJ$7:$BJ$459,"X",'ENCUESTA CONDUCTORES'!$AW$7:$AW$459,"&lt;2.21")-BR173-BQ173-BP173</f>
        <v>5</v>
      </c>
      <c r="BT173" s="18">
        <f>COUNTIFS('ENCUESTA CONDUCTORES'!$AL$7:$AL$459,"X",'ENCUESTA CONDUCTORES'!$BJ$7:$BJ$459,"X",'ENCUESTA CONDUCTORES'!$AW$7:$AW$459,"&lt;2.51")-BS173-BR173-BQ173-BP173</f>
        <v>7</v>
      </c>
      <c r="BU173" s="18">
        <f>COUNTIFS('ENCUESTA CONDUCTORES'!$AL$7:$AL$459,"X",'ENCUESTA CONDUCTORES'!$BJ$7:$BJ$459,"X",'ENCUESTA CONDUCTORES'!$AW$7:$AW$459,"&lt;3.01")-BT173-BS173-BR173-BQ173-BP173</f>
        <v>24</v>
      </c>
      <c r="BV173" s="18">
        <f>COUNTIFS('ENCUESTA CONDUCTORES'!$AL$7:$AL$459,"X",'ENCUESTA CONDUCTORES'!$BJ$7:$BJ$459,"X",'ENCUESTA CONDUCTORES'!$AW$7:$AW$459,"&lt;4.01")-BU173-BT173-BS173-BR173-BQ173-BP173</f>
        <v>21</v>
      </c>
      <c r="BW173" s="18">
        <f>COUNTIFS('ENCUESTA CONDUCTORES'!$AL$7:$AL$459,"X",'ENCUESTA CONDUCTORES'!$BJ$7:$BJ$459,"X",'ENCUESTA CONDUCTORES'!$AW$7:$AW$459,"&gt;4")</f>
        <v>5</v>
      </c>
      <c r="BX173" s="18">
        <f>SUM(BP173:BW173)</f>
        <v>72</v>
      </c>
      <c r="CX173" s="11" t="s">
        <v>1385</v>
      </c>
      <c r="CY173" s="74">
        <f t="shared" si="389"/>
        <v>9.8039215686274508E-3</v>
      </c>
      <c r="CZ173" s="18">
        <f t="shared" si="390"/>
        <v>1</v>
      </c>
      <c r="DA173" s="74"/>
      <c r="DC173" s="74"/>
      <c r="DD173" s="74"/>
      <c r="DE173" s="74"/>
      <c r="DF173" s="74"/>
      <c r="DG173" s="18"/>
      <c r="DH173" s="18"/>
      <c r="DI173" s="18"/>
      <c r="DK173" s="18"/>
      <c r="DL173" s="18"/>
      <c r="DM173" s="18"/>
      <c r="DN173" s="18"/>
    </row>
    <row r="174" spans="1:118" x14ac:dyDescent="0.25">
      <c r="A174" s="17" t="s">
        <v>1533</v>
      </c>
      <c r="AL174" s="75" t="s">
        <v>49</v>
      </c>
      <c r="AM174" s="74">
        <f t="shared" ref="AM174:AM181" si="408">AV174/$BD$181</f>
        <v>7.9617834394904458E-3</v>
      </c>
      <c r="AN174" s="74">
        <f t="shared" si="392"/>
        <v>7.9617834394904458E-3</v>
      </c>
      <c r="AO174" s="74">
        <f t="shared" si="393"/>
        <v>4.7770700636942673E-3</v>
      </c>
      <c r="AP174" s="74">
        <f t="shared" si="394"/>
        <v>3.1847133757961785E-3</v>
      </c>
      <c r="AQ174" s="74">
        <f t="shared" si="395"/>
        <v>4.9363057324840767E-2</v>
      </c>
      <c r="AR174" s="74">
        <f t="shared" si="396"/>
        <v>6.369426751592357E-3</v>
      </c>
      <c r="AS174" s="74">
        <f t="shared" si="397"/>
        <v>2.2292993630573247E-2</v>
      </c>
      <c r="AT174" s="74">
        <f t="shared" si="398"/>
        <v>4.7770700636942673E-3</v>
      </c>
      <c r="AU174" s="74">
        <f t="shared" si="399"/>
        <v>0.10668789808917198</v>
      </c>
      <c r="AV174" s="18">
        <f>COUNTIFS('ENCUESTA CONDUCTORES'!$AL$7:$AL$459,"X",'ENCUESTA CONDUCTORES'!$BK$7:$BK$459,"X",'ENCUESTA CONDUCTORES'!$AX$7:$AX$459,"&lt;1.6")</f>
        <v>5</v>
      </c>
      <c r="AW174" s="18">
        <f>COUNTIFS('ENCUESTA CONDUCTORES'!$AL$7:$AL$459,"X",'ENCUESTA CONDUCTORES'!$BK$7:$BK$459,"X",'ENCUESTA CONDUCTORES'!$AX$7:$AX$459,"&lt;1.91")-AV174</f>
        <v>5</v>
      </c>
      <c r="AX174" s="18">
        <f>COUNTIFS('ENCUESTA CONDUCTORES'!$AL$7:$AL$459,"X",'ENCUESTA CONDUCTORES'!$BK$7:$BK$459,"X",'ENCUESTA CONDUCTORES'!$AX$7:$AX$459,"&lt;2.01")-AW174-AV174</f>
        <v>3</v>
      </c>
      <c r="AY174" s="18">
        <f>COUNTIFS('ENCUESTA CONDUCTORES'!$AL$7:$AL$459,"X",'ENCUESTA CONDUCTORES'!$BK$7:$BK$459,"X",'ENCUESTA CONDUCTORES'!$AX$7:$AX$459,"&lt;2.21")-AX174-AW174-AV174</f>
        <v>2</v>
      </c>
      <c r="AZ174" s="18">
        <f>COUNTIFS('ENCUESTA CONDUCTORES'!$AL$7:$AL$459,"X",'ENCUESTA CONDUCTORES'!$BK$7:$BK$459,"X",'ENCUESTA CONDUCTORES'!$AX$7:$AX$459,"&lt;2.51")-AY174-AX174-AW174-AV174</f>
        <v>31</v>
      </c>
      <c r="BA174" s="18">
        <f>COUNTIFS('ENCUESTA CONDUCTORES'!$AL$7:$AL$459,"X",'ENCUESTA CONDUCTORES'!$BK$7:$BK$459,"X",'ENCUESTA CONDUCTORES'!$AX$7:$AX$459,"&lt;3.01")-AZ174-AY174-AX174-AW174-AV174</f>
        <v>4</v>
      </c>
      <c r="BB174" s="18">
        <f>COUNTIFS('ENCUESTA CONDUCTORES'!$AL$7:$AL$459,"X",'ENCUESTA CONDUCTORES'!$BK$7:$BK$459,"X",'ENCUESTA CONDUCTORES'!$AX$7:$AX$459,"&lt;4.01")-BA174-AZ174-AY174-AX174-AW174-AV174</f>
        <v>14</v>
      </c>
      <c r="BC174" s="18">
        <f>COUNTIFS('ENCUESTA CONDUCTORES'!$AL$7:$AL$459,"X",'ENCUESTA CONDUCTORES'!$BK$7:$BK$459,"X",'ENCUESTA CONDUCTORES'!$AX$7:$AX$459,"&gt;4")</f>
        <v>3</v>
      </c>
      <c r="BD174" s="18">
        <f t="shared" ref="BD174:BD180" si="409">SUM(AV174:BC174)</f>
        <v>67</v>
      </c>
      <c r="BF174" s="75" t="s">
        <v>49</v>
      </c>
      <c r="BG174" s="74">
        <f t="shared" ref="BG174:BG181" si="410">BP174/$BX$181</f>
        <v>1.5923566878980893E-3</v>
      </c>
      <c r="BH174" s="74">
        <f t="shared" si="400"/>
        <v>7.9617834394904458E-3</v>
      </c>
      <c r="BI174" s="74">
        <f t="shared" si="401"/>
        <v>0</v>
      </c>
      <c r="BJ174" s="74">
        <f t="shared" si="402"/>
        <v>6.369426751592357E-3</v>
      </c>
      <c r="BK174" s="74">
        <f t="shared" si="403"/>
        <v>1.5923566878980893E-3</v>
      </c>
      <c r="BL174" s="74">
        <f t="shared" si="404"/>
        <v>5.5732484076433123E-2</v>
      </c>
      <c r="BM174" s="74">
        <f t="shared" si="405"/>
        <v>2.7070063694267517E-2</v>
      </c>
      <c r="BN174" s="74">
        <f t="shared" si="406"/>
        <v>6.369426751592357E-3</v>
      </c>
      <c r="BO174" s="74">
        <f t="shared" si="407"/>
        <v>0.10668789808917198</v>
      </c>
      <c r="BP174" s="18">
        <f>COUNTIFS('ENCUESTA CONDUCTORES'!$AL$7:$AL$459,"X",'ENCUESTA CONDUCTORES'!$BK$7:$BK$459,"X",'ENCUESTA CONDUCTORES'!$AW$7:$AW$459,"&lt;1.6")</f>
        <v>1</v>
      </c>
      <c r="BQ174" s="18">
        <f>COUNTIFS('ENCUESTA CONDUCTORES'!$AL$7:$AL$459,"X",'ENCUESTA CONDUCTORES'!$BK$7:$BK$459,"X",'ENCUESTA CONDUCTORES'!$AW$7:$AW$459,"&lt;1.91")-BP174</f>
        <v>5</v>
      </c>
      <c r="BR174" s="18">
        <f>COUNTIFS('ENCUESTA CONDUCTORES'!$AL$7:$AL$459,"X",'ENCUESTA CONDUCTORES'!$BK$7:$BK$459,"X",'ENCUESTA CONDUCTORES'!$AW$7:$AW$459,"&lt;2.01")-BQ174-BP174</f>
        <v>0</v>
      </c>
      <c r="BS174" s="18">
        <f>COUNTIFS('ENCUESTA CONDUCTORES'!$AL$7:$AL$459,"X",'ENCUESTA CONDUCTORES'!$BK$7:$BK$459,"X",'ENCUESTA CONDUCTORES'!$AW$7:$AW$459,"&lt;2.21")-BR174-BQ174-BP174</f>
        <v>4</v>
      </c>
      <c r="BT174" s="18">
        <f>COUNTIFS('ENCUESTA CONDUCTORES'!$AL$7:$AL$459,"X",'ENCUESTA CONDUCTORES'!$BK$7:$BK$459,"X",'ENCUESTA CONDUCTORES'!$AW$7:$AW$459,"&lt;2.51")-BS174-BR174-BQ174-BP174</f>
        <v>1</v>
      </c>
      <c r="BU174" s="18">
        <f>COUNTIFS('ENCUESTA CONDUCTORES'!$AL$7:$AL$459,"X",'ENCUESTA CONDUCTORES'!$BK$7:$BK$459,"X",'ENCUESTA CONDUCTORES'!$AW$7:$AW$459,"&lt;3.01")-BT174-BS174-BR174-BQ174-BP174</f>
        <v>35</v>
      </c>
      <c r="BV174" s="18">
        <f>COUNTIFS('ENCUESTA CONDUCTORES'!$AL$7:$AL$459,"X",'ENCUESTA CONDUCTORES'!$BK$7:$BK$459,"X",'ENCUESTA CONDUCTORES'!$AW$7:$AW$459,"&lt;4.01")-BU174-BT174-BS174-BR174-BQ174-BP174</f>
        <v>17</v>
      </c>
      <c r="BW174" s="18">
        <f>COUNTIFS('ENCUESTA CONDUCTORES'!$AL$7:$AL$459,"X",'ENCUESTA CONDUCTORES'!$BK$7:$BK$459,"X",'ENCUESTA CONDUCTORES'!$AW$7:$AW$459,"&gt;4")</f>
        <v>4</v>
      </c>
      <c r="BX174" s="18">
        <f t="shared" ref="BX174:BX180" si="411">SUM(BP174:BW174)</f>
        <v>67</v>
      </c>
      <c r="CX174" s="11" t="s">
        <v>429</v>
      </c>
      <c r="CY174" s="74">
        <f t="shared" si="389"/>
        <v>1</v>
      </c>
      <c r="CZ174" s="18">
        <f t="shared" si="390"/>
        <v>102</v>
      </c>
      <c r="DA174" s="74"/>
      <c r="DC174" s="74"/>
      <c r="DD174" s="74"/>
      <c r="DE174" s="74"/>
      <c r="DF174" s="74"/>
      <c r="DG174" s="18"/>
      <c r="DH174" s="18"/>
      <c r="DI174" s="18"/>
      <c r="DK174" s="18"/>
      <c r="DL174" s="18"/>
      <c r="DM174" s="18"/>
      <c r="DN174" s="18"/>
    </row>
    <row r="175" spans="1:118" x14ac:dyDescent="0.25">
      <c r="C175" s="187" t="s">
        <v>431</v>
      </c>
      <c r="D175" s="187"/>
      <c r="E175" s="187"/>
      <c r="F175" s="187"/>
      <c r="G175" s="187"/>
      <c r="H175" s="187" t="s">
        <v>430</v>
      </c>
      <c r="I175" s="187"/>
      <c r="J175" s="187"/>
      <c r="K175" s="187"/>
      <c r="L175" s="187"/>
      <c r="AL175" s="75" t="s">
        <v>1356</v>
      </c>
      <c r="AM175" s="74">
        <f t="shared" si="408"/>
        <v>4.7770700636942673E-3</v>
      </c>
      <c r="AN175" s="74">
        <f t="shared" si="392"/>
        <v>1.751592356687898E-2</v>
      </c>
      <c r="AO175" s="74">
        <f t="shared" si="393"/>
        <v>3.1847133757961785E-3</v>
      </c>
      <c r="AP175" s="74">
        <f t="shared" si="394"/>
        <v>9.5541401273885346E-3</v>
      </c>
      <c r="AQ175" s="74">
        <f t="shared" si="395"/>
        <v>4.9363057324840767E-2</v>
      </c>
      <c r="AR175" s="74">
        <f t="shared" si="396"/>
        <v>1.9108280254777069E-2</v>
      </c>
      <c r="AS175" s="74">
        <f t="shared" si="397"/>
        <v>1.5923566878980892E-2</v>
      </c>
      <c r="AT175" s="74">
        <f t="shared" si="398"/>
        <v>3.1847133757961785E-3</v>
      </c>
      <c r="AU175" s="74">
        <f t="shared" si="399"/>
        <v>0.12261146496815287</v>
      </c>
      <c r="AV175" s="18">
        <f>COUNTIFS('ENCUESTA CONDUCTORES'!$AL$7:$AL$459,"X",'ENCUESTA CONDUCTORES'!$BL$7:$BL$459,"X",'ENCUESTA CONDUCTORES'!$AX$7:$AX$459,"&lt;1.6")+COUNTIFS('ENCUESTA CONDUCTORES'!$AR$7:$AR$459,"X",'ENCUESTA CONDUCTORES'!$BL$7:$BL$459,"X",'ENCUESTA CONDUCTORES'!$AX$7:$AX$459,"&lt;1.6")</f>
        <v>3</v>
      </c>
      <c r="AW175" s="18">
        <f>COUNTIFS('ENCUESTA CONDUCTORES'!$AL$7:$AL$459,"X",'ENCUESTA CONDUCTORES'!$BL$7:$BL$459,"X",'ENCUESTA CONDUCTORES'!$AX$7:$AX$459,"&lt;1.91")+COUNTIFS('ENCUESTA CONDUCTORES'!$AL$7:$AL$459,"X",'ENCUESTA CONDUCTORES'!$BR$7:$BR$459,"X",'ENCUESTA CONDUCTORES'!$AX$7:$AX$459,"&lt;1.91")-AV175</f>
        <v>11</v>
      </c>
      <c r="AX175" s="18">
        <f>COUNTIFS('ENCUESTA CONDUCTORES'!$AL$7:$AL$459,"X",'ENCUESTA CONDUCTORES'!$BL$7:$BL$459,"X",'ENCUESTA CONDUCTORES'!$AX$7:$AX$459,"&lt;2.01")+COUNTIFS('ENCUESTA CONDUCTORES'!$AL$7:$AL$459,"X",'ENCUESTA CONDUCTORES'!$BR$7:$BR$459,"X",'ENCUESTA CONDUCTORES'!$AX$7:$AX$459,"&lt;2.01")-AW175-AV175</f>
        <v>2</v>
      </c>
      <c r="AY175" s="18">
        <f>COUNTIFS('ENCUESTA CONDUCTORES'!$AL$7:$AL$459,"X",'ENCUESTA CONDUCTORES'!$BL$7:$BL$459,"X",'ENCUESTA CONDUCTORES'!$AX$7:$AX$459,"&lt;2.21")+COUNTIFS('ENCUESTA CONDUCTORES'!$AL$7:$AL$459,"X",'ENCUESTA CONDUCTORES'!$BR$7:$BR$459,"X",'ENCUESTA CONDUCTORES'!$AX$7:$AX$459,"&lt;2.21")-AX175-AW175-AV175</f>
        <v>6</v>
      </c>
      <c r="AZ175" s="18">
        <f>COUNTIFS('ENCUESTA CONDUCTORES'!$AL$7:$AL$459,"X",'ENCUESTA CONDUCTORES'!$BL$7:$BL$459,"X",'ENCUESTA CONDUCTORES'!$AX$7:$AX$459,"&lt;2.51")+COUNTIFS('ENCUESTA CONDUCTORES'!$AL$7:$AL$459,"X",'ENCUESTA CONDUCTORES'!$BR$7:$BR$459,"X",'ENCUESTA CONDUCTORES'!$AX$7:$AX$459,"&lt;2.51")-AY175-AX175-AW175-AV175</f>
        <v>31</v>
      </c>
      <c r="BA175" s="18">
        <f>COUNTIFS('ENCUESTA CONDUCTORES'!$AL$7:$AL$459,"X",'ENCUESTA CONDUCTORES'!$BL$7:$BL$459,"X",'ENCUESTA CONDUCTORES'!$AX$7:$AX$459,"&lt;3.01")+COUNTIFS('ENCUESTA CONDUCTORES'!$AL$7:$AL$459,"X",'ENCUESTA CONDUCTORES'!$BR$7:$BR$459,"X",'ENCUESTA CONDUCTORES'!$AX$7:$AX$459,"&lt;3.01")-AZ175-AY175-AX175-AW175-AV175</f>
        <v>12</v>
      </c>
      <c r="BB175" s="18">
        <f>COUNTIFS('ENCUESTA CONDUCTORES'!$AL$7:$AL$459,"X",'ENCUESTA CONDUCTORES'!$BL$7:$BL$459,"X",'ENCUESTA CONDUCTORES'!$AX$7:$AX$459,"&lt;4.01")+COUNTIFS('ENCUESTA CONDUCTORES'!$AL$7:$AL$459,"X",'ENCUESTA CONDUCTORES'!$BR$7:$BR$459,"X",'ENCUESTA CONDUCTORES'!$AX$7:$AX$459,"&lt;4.01")-BA175-AZ175-AY175-AX175-AW175-AV175</f>
        <v>10</v>
      </c>
      <c r="BC175" s="18">
        <f>COUNTIFS('ENCUESTA CONDUCTORES'!$AL$7:$AL$459,"X",'ENCUESTA CONDUCTORES'!$BL$7:$BL$459,"X",'ENCUESTA CONDUCTORES'!$AX$7:$AX$459,"&gt;4")+COUNTIFS('ENCUESTA CONDUCTORES'!$AL$7:$AL$459,"X",'ENCUESTA CONDUCTORES'!$BR$7:$BR$459,"X",'ENCUESTA CONDUCTORES'!$AX$7:$AX$459,"&gt;4")</f>
        <v>2</v>
      </c>
      <c r="BD175" s="18">
        <f t="shared" si="409"/>
        <v>77</v>
      </c>
      <c r="BF175" s="75" t="s">
        <v>1356</v>
      </c>
      <c r="BG175" s="74">
        <f t="shared" si="410"/>
        <v>0</v>
      </c>
      <c r="BH175" s="74">
        <f t="shared" si="400"/>
        <v>1.1146496815286623E-2</v>
      </c>
      <c r="BI175" s="74">
        <f t="shared" si="401"/>
        <v>0</v>
      </c>
      <c r="BJ175" s="74">
        <f t="shared" si="402"/>
        <v>7.9617834394904458E-3</v>
      </c>
      <c r="BK175" s="74">
        <f t="shared" si="403"/>
        <v>4.7770700636942673E-3</v>
      </c>
      <c r="BL175" s="74">
        <f t="shared" si="404"/>
        <v>6.5286624203821655E-2</v>
      </c>
      <c r="BM175" s="74">
        <f t="shared" si="405"/>
        <v>3.0254777070063694E-2</v>
      </c>
      <c r="BN175" s="74">
        <f t="shared" si="406"/>
        <v>3.1847133757961785E-3</v>
      </c>
      <c r="BO175" s="74">
        <f t="shared" si="407"/>
        <v>0.12261146496815287</v>
      </c>
      <c r="BP175" s="18">
        <f>COUNTIFS('ENCUESTA CONDUCTORES'!$AL$7:$AL$459,"X",'ENCUESTA CONDUCTORES'!$BL$7:$BL$459,"X",'ENCUESTA CONDUCTORES'!$AW$7:$AW$459,"&lt;1.6")+COUNTIFS('ENCUESTA CONDUCTORES'!$AR$7:$AR$459,"X",'ENCUESTA CONDUCTORES'!$BL$7:$BL$459,"X",'ENCUESTA CONDUCTORES'!$AW$7:$AW$459,"&lt;1.6")</f>
        <v>0</v>
      </c>
      <c r="BQ175" s="18">
        <f>COUNTIFS('ENCUESTA CONDUCTORES'!$AL$7:$AL$459,"X",'ENCUESTA CONDUCTORES'!$BL$7:$BL$459,"X",'ENCUESTA CONDUCTORES'!$AW$7:$AW$459,"&lt;1.91")+COUNTIFS('ENCUESTA CONDUCTORES'!$AL$7:$AL$459,"X",'ENCUESTA CONDUCTORES'!$BR$7:$BR$459,"X",'ENCUESTA CONDUCTORES'!$AW$7:$AW$459,"&lt;1.91")-BP175</f>
        <v>7</v>
      </c>
      <c r="BR175" s="18">
        <f>COUNTIFS('ENCUESTA CONDUCTORES'!$AL$7:$AL$459,"X",'ENCUESTA CONDUCTORES'!$BL$7:$BL$459,"X",'ENCUESTA CONDUCTORES'!$AW$7:$AW$459,"&lt;2.01")+COUNTIFS('ENCUESTA CONDUCTORES'!$AL$7:$AL$459,"X",'ENCUESTA CONDUCTORES'!$BR$7:$BR$459,"X",'ENCUESTA CONDUCTORES'!$AW$7:$AW$459,"&lt;2.01")-BQ175-BP175</f>
        <v>0</v>
      </c>
      <c r="BS175" s="18">
        <f>COUNTIFS('ENCUESTA CONDUCTORES'!$AL$7:$AL$459,"X",'ENCUESTA CONDUCTORES'!$BL$7:$BL$459,"X",'ENCUESTA CONDUCTORES'!$AW$7:$AW$459,"&lt;2.21")+COUNTIFS('ENCUESTA CONDUCTORES'!$AL$7:$AL$459,"X",'ENCUESTA CONDUCTORES'!$BR$7:$BR$459,"X",'ENCUESTA CONDUCTORES'!$AW$7:$AW$459,"&lt;2.21")-BR175-BQ175-BP175</f>
        <v>5</v>
      </c>
      <c r="BT175" s="18">
        <f>COUNTIFS('ENCUESTA CONDUCTORES'!$AL$7:$AL$459,"X",'ENCUESTA CONDUCTORES'!$BL$7:$BL$459,"X",'ENCUESTA CONDUCTORES'!$AW$7:$AW$459,"&lt;2.51")+COUNTIFS('ENCUESTA CONDUCTORES'!$AL$7:$AL$459,"X",'ENCUESTA CONDUCTORES'!$BR$7:$BR$459,"X",'ENCUESTA CONDUCTORES'!$AW$7:$AW$459,"&lt;2.51")-BS175-BR175-BQ175-BP175</f>
        <v>3</v>
      </c>
      <c r="BU175" s="18">
        <f>COUNTIFS('ENCUESTA CONDUCTORES'!$AL$7:$AL$459,"X",'ENCUESTA CONDUCTORES'!$BL$7:$BL$459,"X",'ENCUESTA CONDUCTORES'!$AW$7:$AW$459,"&lt;3.01")+COUNTIFS('ENCUESTA CONDUCTORES'!$AL$7:$AL$459,"X",'ENCUESTA CONDUCTORES'!$BR$7:$BR$459,"X",'ENCUESTA CONDUCTORES'!$AW$7:$AW$459,"&lt;3.01")-BT175-BS175-BR175-BQ175-BP175</f>
        <v>41</v>
      </c>
      <c r="BV175" s="18">
        <f>COUNTIFS('ENCUESTA CONDUCTORES'!$AL$7:$AL$459,"X",'ENCUESTA CONDUCTORES'!$BL$7:$BL$459,"X",'ENCUESTA CONDUCTORES'!$AW$7:$AW$459,"&lt;4.01")+COUNTIFS('ENCUESTA CONDUCTORES'!$AL$7:$AL$459,"X",'ENCUESTA CONDUCTORES'!$BR$7:$BR$459,"X",'ENCUESTA CONDUCTORES'!$AW$7:$AW$459,"&lt;4.01")-BU175-BT175-BS175-BR175-BQ175-BP175</f>
        <v>19</v>
      </c>
      <c r="BW175" s="18">
        <f>COUNTIFS('ENCUESTA CONDUCTORES'!$AL$7:$AL$459,"X",'ENCUESTA CONDUCTORES'!$BL$7:$BL$459,"X",'ENCUESTA CONDUCTORES'!$AW$7:$AW$459,"&gt;4")+COUNTIFS('ENCUESTA CONDUCTORES'!$AL$7:$AL$459,"X",'ENCUESTA CONDUCTORES'!$BR$7:$BR$459,"X",'ENCUESTA CONDUCTORES'!$AW$7:$AW$459,"&gt;4")</f>
        <v>2</v>
      </c>
      <c r="BX175" s="18">
        <f t="shared" si="411"/>
        <v>77</v>
      </c>
      <c r="CX175" s="17" t="s">
        <v>193</v>
      </c>
      <c r="CY175" s="18"/>
      <c r="CZ175" s="18">
        <f t="shared" si="390"/>
        <v>1</v>
      </c>
      <c r="DA175" s="18"/>
      <c r="DB175" s="18"/>
      <c r="DC175" s="18"/>
      <c r="DD175" s="18"/>
      <c r="DE175" s="18"/>
      <c r="DF175" s="18"/>
      <c r="DG175" s="18"/>
      <c r="DH175" s="18"/>
      <c r="DI175" s="18"/>
      <c r="DK175" s="18"/>
      <c r="DL175" s="18"/>
      <c r="DM175" s="18"/>
      <c r="DN175" s="18"/>
    </row>
    <row r="176" spans="1:118" x14ac:dyDescent="0.25">
      <c r="C176" s="17" t="s">
        <v>425</v>
      </c>
      <c r="D176" s="17" t="s">
        <v>426</v>
      </c>
      <c r="E176" s="17" t="s">
        <v>1336</v>
      </c>
      <c r="F176" s="17" t="s">
        <v>1337</v>
      </c>
      <c r="G176" s="17" t="s">
        <v>429</v>
      </c>
      <c r="H176" s="17" t="s">
        <v>425</v>
      </c>
      <c r="I176" s="17" t="s">
        <v>426</v>
      </c>
      <c r="J176" s="17" t="s">
        <v>1336</v>
      </c>
      <c r="K176" s="17" t="s">
        <v>1337</v>
      </c>
      <c r="L176" s="17" t="s">
        <v>429</v>
      </c>
      <c r="AL176" s="75" t="s">
        <v>51</v>
      </c>
      <c r="AM176" s="74">
        <f t="shared" si="408"/>
        <v>1.1146496815286623E-2</v>
      </c>
      <c r="AN176" s="74">
        <f t="shared" si="392"/>
        <v>1.751592356687898E-2</v>
      </c>
      <c r="AO176" s="74">
        <f t="shared" si="393"/>
        <v>7.9617834394904458E-3</v>
      </c>
      <c r="AP176" s="74">
        <f t="shared" si="394"/>
        <v>6.369426751592357E-3</v>
      </c>
      <c r="AQ176" s="74">
        <f t="shared" si="395"/>
        <v>3.8216560509554139E-2</v>
      </c>
      <c r="AR176" s="74">
        <f t="shared" si="396"/>
        <v>1.751592356687898E-2</v>
      </c>
      <c r="AS176" s="74">
        <f t="shared" si="397"/>
        <v>0</v>
      </c>
      <c r="AT176" s="74">
        <f t="shared" si="398"/>
        <v>0</v>
      </c>
      <c r="AU176" s="74">
        <f t="shared" si="399"/>
        <v>9.8726114649681534E-2</v>
      </c>
      <c r="AV176" s="18">
        <f>COUNTIFS('ENCUESTA CONDUCTORES'!$AL$7:$AL$459,"X",'ENCUESTA CONDUCTORES'!$BM$7:$BM$459,"X",'ENCUESTA CONDUCTORES'!$AX$7:$AX$459,"&lt;1.6")</f>
        <v>7</v>
      </c>
      <c r="AW176" s="18">
        <f>COUNTIFS('ENCUESTA CONDUCTORES'!$AL$7:$AL$459,"X",'ENCUESTA CONDUCTORES'!$BM$7:$BM$459,"X",'ENCUESTA CONDUCTORES'!$AX$7:$AX$459,"&lt;1.91")-AV176</f>
        <v>11</v>
      </c>
      <c r="AX176" s="18">
        <f>COUNTIFS('ENCUESTA CONDUCTORES'!$AL$7:$AL$459,"X",'ENCUESTA CONDUCTORES'!$BM$7:$BM$459,"X",'ENCUESTA CONDUCTORES'!$AX$7:$AX$459,"&lt;2.01")-AW176-AV176</f>
        <v>5</v>
      </c>
      <c r="AY176" s="18">
        <f>COUNTIFS('ENCUESTA CONDUCTORES'!$AL$7:$AL$459,"X",'ENCUESTA CONDUCTORES'!$BM$7:$BM$459,"X",'ENCUESTA CONDUCTORES'!$AX$7:$AX$459,"&lt;2.21")-AX176-AW176-AV176</f>
        <v>4</v>
      </c>
      <c r="AZ176" s="18">
        <f>COUNTIFS('ENCUESTA CONDUCTORES'!$AL$7:$AL$459,"X",'ENCUESTA CONDUCTORES'!$BM$7:$BM$459,"X",'ENCUESTA CONDUCTORES'!$AX$7:$AX$459,"&lt;2.51")-AY176-AX176-AW176-AV176</f>
        <v>24</v>
      </c>
      <c r="BA176" s="18">
        <f>COUNTIFS('ENCUESTA CONDUCTORES'!$AL$7:$AL$459,"X",'ENCUESTA CONDUCTORES'!$BM$7:$BM$459,"X",'ENCUESTA CONDUCTORES'!$AX$7:$AX$459,"&lt;3.01")-AZ176-AY176-AX176-AW176-AV176</f>
        <v>11</v>
      </c>
      <c r="BB176" s="18">
        <f>COUNTIFS('ENCUESTA CONDUCTORES'!$AL$7:$AL$459,"X",'ENCUESTA CONDUCTORES'!$BM$7:$BM$459,"X",'ENCUESTA CONDUCTORES'!$AX$7:$AX$459,"&lt;4.01")-BA176-AZ176-AY176-AX176-AW176-AV176</f>
        <v>0</v>
      </c>
      <c r="BC176" s="18">
        <f>COUNTIFS('ENCUESTA CONDUCTORES'!$AL$7:$AL$459,"X",'ENCUESTA CONDUCTORES'!$BM$7:$BM$459,"X",'ENCUESTA CONDUCTORES'!$AX$7:$AX$459,"&gt;4")</f>
        <v>0</v>
      </c>
      <c r="BD176" s="18">
        <f t="shared" si="409"/>
        <v>62</v>
      </c>
      <c r="BF176" s="75" t="s">
        <v>51</v>
      </c>
      <c r="BG176" s="74">
        <f t="shared" si="410"/>
        <v>0</v>
      </c>
      <c r="BH176" s="74">
        <f t="shared" si="400"/>
        <v>7.9617834394904458E-3</v>
      </c>
      <c r="BI176" s="74">
        <f t="shared" si="401"/>
        <v>6.369426751592357E-3</v>
      </c>
      <c r="BJ176" s="74">
        <f t="shared" si="402"/>
        <v>9.5541401273885346E-3</v>
      </c>
      <c r="BK176" s="74">
        <f t="shared" si="403"/>
        <v>1.751592356687898E-2</v>
      </c>
      <c r="BL176" s="74">
        <f t="shared" si="404"/>
        <v>4.9363057324840767E-2</v>
      </c>
      <c r="BM176" s="74">
        <f t="shared" si="405"/>
        <v>7.9617834394904458E-3</v>
      </c>
      <c r="BN176" s="74">
        <f t="shared" si="406"/>
        <v>0</v>
      </c>
      <c r="BO176" s="74">
        <f t="shared" si="407"/>
        <v>9.8726114649681534E-2</v>
      </c>
      <c r="BP176" s="18">
        <f>COUNTIFS('ENCUESTA CONDUCTORES'!$AL$7:$AL$459,"X",'ENCUESTA CONDUCTORES'!$BM$7:$BM$459,"X",'ENCUESTA CONDUCTORES'!$AW$7:$AW$459,"&lt;1.6")</f>
        <v>0</v>
      </c>
      <c r="BQ176" s="18">
        <f>COUNTIFS('ENCUESTA CONDUCTORES'!$AL$7:$AL$459,"X",'ENCUESTA CONDUCTORES'!$BM$7:$BM$459,"X",'ENCUESTA CONDUCTORES'!$AW$7:$AW$459,"&lt;1.91")-BP176</f>
        <v>5</v>
      </c>
      <c r="BR176" s="18">
        <f>COUNTIFS('ENCUESTA CONDUCTORES'!$AL$7:$AL$459,"X",'ENCUESTA CONDUCTORES'!$BM$7:$BM$459,"X",'ENCUESTA CONDUCTORES'!$AW$7:$AW$459,"&lt;2.01")-BQ176-BP176</f>
        <v>4</v>
      </c>
      <c r="BS176" s="18">
        <f>COUNTIFS('ENCUESTA CONDUCTORES'!$AL$7:$AL$459,"X",'ENCUESTA CONDUCTORES'!$BM$7:$BM$459,"X",'ENCUESTA CONDUCTORES'!$AW$7:$AW$459,"&lt;2.21")-BR176-BQ176-BP176</f>
        <v>6</v>
      </c>
      <c r="BT176" s="18">
        <f>COUNTIFS('ENCUESTA CONDUCTORES'!$AL$7:$AL$459,"X",'ENCUESTA CONDUCTORES'!$BM$7:$BM$459,"X",'ENCUESTA CONDUCTORES'!$AW$7:$AW$459,"&lt;2.51")-BS176-BR176-BQ176-BP176</f>
        <v>11</v>
      </c>
      <c r="BU176" s="18">
        <f>COUNTIFS('ENCUESTA CONDUCTORES'!$AL$7:$AL$459,"X",'ENCUESTA CONDUCTORES'!$BM$7:$BM$459,"X",'ENCUESTA CONDUCTORES'!$AW$7:$AW$459,"&lt;3.01")-BT176-BS176-BR176-BQ176-BP176</f>
        <v>31</v>
      </c>
      <c r="BV176" s="18">
        <f>COUNTIFS('ENCUESTA CONDUCTORES'!$AL$7:$AL$459,"X",'ENCUESTA CONDUCTORES'!$BM$7:$BM$459,"X",'ENCUESTA CONDUCTORES'!$AW$7:$AW$459,"&lt;4.01")-BU176-BT176-BS176-BR176-BQ176-BP176</f>
        <v>5</v>
      </c>
      <c r="BW176" s="18">
        <f>COUNTIFS('ENCUESTA CONDUCTORES'!$AL$7:$AL$459,"X",'ENCUESTA CONDUCTORES'!$BM$7:$BM$459,"X",'ENCUESTA CONDUCTORES'!$AW$7:$AW$459,"&gt;4")</f>
        <v>0</v>
      </c>
      <c r="BX176" s="18">
        <f t="shared" si="411"/>
        <v>62</v>
      </c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</row>
    <row r="177" spans="1:118" ht="25.5" x14ac:dyDescent="0.25">
      <c r="B177" s="75" t="s">
        <v>48</v>
      </c>
      <c r="C177" s="74">
        <f>+H177/H$185</f>
        <v>0.19130434782608696</v>
      </c>
      <c r="D177" s="74">
        <f t="shared" ref="D177:D185" si="412">+I177/I$185</f>
        <v>0.13761467889908258</v>
      </c>
      <c r="E177" s="74">
        <f t="shared" ref="E177:E185" si="413">+J177/J$185</f>
        <v>0.11969111969111969</v>
      </c>
      <c r="F177" s="74">
        <f t="shared" ref="F177:F185" si="414">+K177/K$185</f>
        <v>6.6666666666666666E-2</v>
      </c>
      <c r="G177" s="74">
        <f t="shared" ref="G177:G185" si="415">+L177/L$185</f>
        <v>0.12066365007541478</v>
      </c>
      <c r="H177" s="18">
        <f>COUNTIFS('ENCUESTA CONDUCTORES'!E$7:E$459,"X",'ENCUESTA CONDUCTORES'!$BJ$7:$BJ$459,"X")</f>
        <v>22</v>
      </c>
      <c r="I177" s="18">
        <f>COUNTIFS('ENCUESTA CONDUCTORES'!F$7:F$459,"X",'ENCUESTA CONDUCTORES'!$BJ$7:$BJ$459,"X")</f>
        <v>15</v>
      </c>
      <c r="J177" s="18">
        <f>COUNTIFS('ENCUESTA CONDUCTORES'!G$7:G$459,"X",'ENCUESTA CONDUCTORES'!$BJ$7:$BJ$459,"X")</f>
        <v>31</v>
      </c>
      <c r="K177" s="18">
        <f>COUNTIFS('ENCUESTA CONDUCTORES'!H$7:H$459,"X",'ENCUESTA CONDUCTORES'!$BJ$7:$BJ$459,"X")</f>
        <v>12</v>
      </c>
      <c r="L177" s="18">
        <f>SUM(H177:K177)</f>
        <v>80</v>
      </c>
      <c r="AL177" s="75" t="s">
        <v>1357</v>
      </c>
      <c r="AM177" s="74">
        <f t="shared" si="408"/>
        <v>9.5541401273885346E-3</v>
      </c>
      <c r="AN177" s="74">
        <f t="shared" si="392"/>
        <v>2.2292993630573247E-2</v>
      </c>
      <c r="AO177" s="74">
        <f t="shared" si="393"/>
        <v>2.0700636942675158E-2</v>
      </c>
      <c r="AP177" s="74">
        <f t="shared" si="394"/>
        <v>3.1847133757961785E-3</v>
      </c>
      <c r="AQ177" s="74">
        <f t="shared" si="395"/>
        <v>0.18949044585987262</v>
      </c>
      <c r="AR177" s="74">
        <f t="shared" si="396"/>
        <v>1.5923566878980892E-2</v>
      </c>
      <c r="AS177" s="74">
        <f t="shared" si="397"/>
        <v>9.5541401273885346E-3</v>
      </c>
      <c r="AT177" s="74">
        <f t="shared" si="398"/>
        <v>1.5923566878980893E-3</v>
      </c>
      <c r="AU177" s="74">
        <f t="shared" si="399"/>
        <v>0.27229299363057324</v>
      </c>
      <c r="AV177" s="18">
        <f>COUNTIFS('ENCUESTA CONDUCTORES'!$AL$7:$AL$459,"X",'ENCUESTA CONDUCTORES'!$BN$7:$BN$459,"X",'ENCUESTA CONDUCTORES'!$AX$7:$AX$459,"&lt;1.6")+COUNTIFS('ENCUESTA CONDUCTORES'!$AR$7:$AR$459,"X",'ENCUESTA CONDUCTORES'!$BP$7:$BP$459,"X",'ENCUESTA CONDUCTORES'!$AX$7:$AX$459,"&lt;1.6")</f>
        <v>6</v>
      </c>
      <c r="AW177" s="18">
        <f>COUNTIFS('ENCUESTA CONDUCTORES'!$AL$7:$AL$459,"X",'ENCUESTA CONDUCTORES'!$BN$7:$BN$459,"X",'ENCUESTA CONDUCTORES'!$AX$7:$AX$459,"&lt;1.91")+COUNTIFS('ENCUESTA CONDUCTORES'!$AL$7:$AL$459,"X",'ENCUESTA CONDUCTORES'!$BP$7:$BP$459,"X",'ENCUESTA CONDUCTORES'!$AX$7:$AX$459,"&lt;1.91")-AV177</f>
        <v>14</v>
      </c>
      <c r="AX177" s="18">
        <f>COUNTIFS('ENCUESTA CONDUCTORES'!$AL$7:$AL$459,"X",'ENCUESTA CONDUCTORES'!$BN$7:$BN$459,"X",'ENCUESTA CONDUCTORES'!$AX$7:$AX$459,"&lt;2.01")+COUNTIFS('ENCUESTA CONDUCTORES'!$AL$7:$AL$459,"X",'ENCUESTA CONDUCTORES'!$BP$7:$BP$459,"X",'ENCUESTA CONDUCTORES'!$AX$7:$AX$459,"&lt;2.01")-AW177-AV177</f>
        <v>13</v>
      </c>
      <c r="AY177" s="18">
        <f>COUNTIFS('ENCUESTA CONDUCTORES'!$AL$7:$AL$459,"X",'ENCUESTA CONDUCTORES'!$BN$7:$BN$459,"X",'ENCUESTA CONDUCTORES'!$AX$7:$AX$459,"&lt;2.21")+COUNTIFS('ENCUESTA CONDUCTORES'!$AL$7:$AL$459,"X",'ENCUESTA CONDUCTORES'!$BP$7:$BP$459,"X",'ENCUESTA CONDUCTORES'!$AX$7:$AX$459,"&lt;2.21")-AX177-AW177-AV177</f>
        <v>2</v>
      </c>
      <c r="AZ177" s="18">
        <f>COUNTIFS('ENCUESTA CONDUCTORES'!$AL$7:$AL$459,"X",'ENCUESTA CONDUCTORES'!$BN$7:$BN$459,"X",'ENCUESTA CONDUCTORES'!$AX$7:$AX$459,"&lt;2.51")+COUNTIFS('ENCUESTA CONDUCTORES'!$AL$7:$AL$459,"X",'ENCUESTA CONDUCTORES'!$BP$7:$BP$459,"X",'ENCUESTA CONDUCTORES'!$AX$7:$AX$459,"&lt;2.51")-AY177-AX177-AW177-AV177</f>
        <v>119</v>
      </c>
      <c r="BA177" s="18">
        <f>COUNTIFS('ENCUESTA CONDUCTORES'!$AL$7:$AL$459,"X",'ENCUESTA CONDUCTORES'!$BN$7:$BN$459,"X",'ENCUESTA CONDUCTORES'!$AX$7:$AX$459,"&lt;3.01")+COUNTIFS('ENCUESTA CONDUCTORES'!$AL$7:$AL$459,"X",'ENCUESTA CONDUCTORES'!$BP$7:$BP$459,"X",'ENCUESTA CONDUCTORES'!$AX$7:$AX$459,"&lt;3.01")-AZ177-AY177-AX177-AW177-AV177</f>
        <v>10</v>
      </c>
      <c r="BB177" s="18">
        <f>COUNTIFS('ENCUESTA CONDUCTORES'!$AL$7:$AL$459,"X",'ENCUESTA CONDUCTORES'!$BN$7:$BN$459,"X",'ENCUESTA CONDUCTORES'!$AX$7:$AX$459,"&lt;4.01")+COUNTIFS('ENCUESTA CONDUCTORES'!$AL$7:$AL$459,"X",'ENCUESTA CONDUCTORES'!$BP$7:$BP$459,"X",'ENCUESTA CONDUCTORES'!$AX$7:$AX$459,"&lt;4.01")-BA177-AZ177-AY177-AX177-AW177-AV177</f>
        <v>6</v>
      </c>
      <c r="BC177" s="18">
        <f>COUNTIFS('ENCUESTA CONDUCTORES'!$AL$7:$AL$459,"X",'ENCUESTA CONDUCTORES'!$BN$7:$BN$459,"X",'ENCUESTA CONDUCTORES'!$AX$7:$AX$459,"&gt;4")+COUNTIFS('ENCUESTA CONDUCTORES'!$AL$7:$AL$459,"X",'ENCUESTA CONDUCTORES'!$BP$7:$BP$459,"X",'ENCUESTA CONDUCTORES'!$AX$7:$AX$459,"&gt;4")</f>
        <v>1</v>
      </c>
      <c r="BD177" s="18">
        <f t="shared" si="409"/>
        <v>171</v>
      </c>
      <c r="BF177" s="75" t="s">
        <v>1357</v>
      </c>
      <c r="BG177" s="74">
        <f t="shared" si="410"/>
        <v>1.5923566878980893E-3</v>
      </c>
      <c r="BH177" s="74">
        <f t="shared" si="400"/>
        <v>1.751592356687898E-2</v>
      </c>
      <c r="BI177" s="74">
        <f t="shared" si="401"/>
        <v>1.5923566878980893E-3</v>
      </c>
      <c r="BJ177" s="74">
        <f t="shared" si="402"/>
        <v>1.2738853503184714E-2</v>
      </c>
      <c r="BK177" s="74">
        <f t="shared" si="403"/>
        <v>1.5923566878980892E-2</v>
      </c>
      <c r="BL177" s="74">
        <f t="shared" si="404"/>
        <v>0.20859872611464969</v>
      </c>
      <c r="BM177" s="74">
        <f t="shared" si="405"/>
        <v>1.2738853503184714E-2</v>
      </c>
      <c r="BN177" s="74">
        <f t="shared" si="406"/>
        <v>1.5923566878980893E-3</v>
      </c>
      <c r="BO177" s="74">
        <f t="shared" si="407"/>
        <v>0.27229299363057324</v>
      </c>
      <c r="BP177" s="18">
        <f>COUNTIFS('ENCUESTA CONDUCTORES'!$AL$7:$AL$459,"X",'ENCUESTA CONDUCTORES'!$BN$7:$BN$459,"X",'ENCUESTA CONDUCTORES'!$AW$7:$AW$459,"&lt;1.6")+COUNTIFS('ENCUESTA CONDUCTORES'!$AR$7:$AR$459,"X",'ENCUESTA CONDUCTORES'!$BP$7:$BP$459,"X",'ENCUESTA CONDUCTORES'!$AW$7:$AW$459,"&lt;1.6")</f>
        <v>1</v>
      </c>
      <c r="BQ177" s="18">
        <f>COUNTIFS('ENCUESTA CONDUCTORES'!$AL$7:$AL$459,"X",'ENCUESTA CONDUCTORES'!$BN$7:$BN$459,"X",'ENCUESTA CONDUCTORES'!$AW$7:$AW$459,"&lt;1.91")+COUNTIFS('ENCUESTA CONDUCTORES'!$AL$7:$AL$459,"X",'ENCUESTA CONDUCTORES'!$BP$7:$BP$459,"X",'ENCUESTA CONDUCTORES'!$AW$7:$AW$459,"&lt;1.91")-BP177</f>
        <v>11</v>
      </c>
      <c r="BR177" s="18">
        <f>COUNTIFS('ENCUESTA CONDUCTORES'!$AL$7:$AL$459,"X",'ENCUESTA CONDUCTORES'!$BN$7:$BN$459,"X",'ENCUESTA CONDUCTORES'!$AW$7:$AW$459,"&lt;2.01")+COUNTIFS('ENCUESTA CONDUCTORES'!$AL$7:$AL$459,"X",'ENCUESTA CONDUCTORES'!$BP$7:$BP$459,"X",'ENCUESTA CONDUCTORES'!$AW$7:$AW$459,"&lt;2.01")-BQ177-BP177</f>
        <v>1</v>
      </c>
      <c r="BS177" s="18">
        <f>COUNTIFS('ENCUESTA CONDUCTORES'!$AL$7:$AL$459,"X",'ENCUESTA CONDUCTORES'!$BN$7:$BN$459,"X",'ENCUESTA CONDUCTORES'!$AW$7:$AW$459,"&lt;2.21")+COUNTIFS('ENCUESTA CONDUCTORES'!$AL$7:$AL$459,"X",'ENCUESTA CONDUCTORES'!$BP$7:$BP$459,"X",'ENCUESTA CONDUCTORES'!$AW$7:$AW$459,"&lt;2.21")-BR177-BQ177-BP177</f>
        <v>8</v>
      </c>
      <c r="BT177" s="18">
        <f>COUNTIFS('ENCUESTA CONDUCTORES'!$AL$7:$AL$459,"X",'ENCUESTA CONDUCTORES'!$BN$7:$BN$459,"X",'ENCUESTA CONDUCTORES'!$AW$7:$AW$459,"&lt;2.51")+COUNTIFS('ENCUESTA CONDUCTORES'!$AL$7:$AL$459,"X",'ENCUESTA CONDUCTORES'!$BP$7:$BP$459,"X",'ENCUESTA CONDUCTORES'!$AW$7:$AW$459,"&lt;2.51")-BS177-BR177-BQ177-BP177</f>
        <v>10</v>
      </c>
      <c r="BU177" s="18">
        <f>COUNTIFS('ENCUESTA CONDUCTORES'!$AL$7:$AL$459,"X",'ENCUESTA CONDUCTORES'!$BN$7:$BN$459,"X",'ENCUESTA CONDUCTORES'!$AW$7:$AW$459,"&lt;3.01")+COUNTIFS('ENCUESTA CONDUCTORES'!$AL$7:$AL$459,"X",'ENCUESTA CONDUCTORES'!$BP$7:$BP$459,"X",'ENCUESTA CONDUCTORES'!$AW$7:$AW$459,"&lt;3.01")-BT177-BS177-BR177-BQ177-BP177</f>
        <v>131</v>
      </c>
      <c r="BV177" s="18">
        <f>COUNTIFS('ENCUESTA CONDUCTORES'!$AL$7:$AL$459,"X",'ENCUESTA CONDUCTORES'!$BN$7:$BN$459,"X",'ENCUESTA CONDUCTORES'!$AW$7:$AW$459,"&lt;4.01")+COUNTIFS('ENCUESTA CONDUCTORES'!$AL$7:$AL$459,"X",'ENCUESTA CONDUCTORES'!$BP$7:$BP$459,"X",'ENCUESTA CONDUCTORES'!$AW$7:$AW$459,"&lt;4.01")-BU177-BT177-BS177-BR177-BQ177-BP177</f>
        <v>8</v>
      </c>
      <c r="BW177" s="18">
        <f>COUNTIFS('ENCUESTA CONDUCTORES'!$AL$7:$AL$459,"X",'ENCUESTA CONDUCTORES'!$BN$7:$BN$459,"X",'ENCUESTA CONDUCTORES'!$AW$7:$AW$459,"&gt;4")+COUNTIFS('ENCUESTA CONDUCTORES'!$AL$7:$AL$459,"X",'ENCUESTA CONDUCTORES'!$BP$7:$BP$459,"X",'ENCUESTA CONDUCTORES'!$AW$7:$AW$459,"&gt;4")</f>
        <v>1</v>
      </c>
      <c r="BX177" s="18">
        <f t="shared" si="411"/>
        <v>171</v>
      </c>
      <c r="CX177" s="57" t="s">
        <v>1454</v>
      </c>
      <c r="CY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</row>
    <row r="178" spans="1:118" x14ac:dyDescent="0.25">
      <c r="B178" s="75" t="s">
        <v>49</v>
      </c>
      <c r="C178" s="74">
        <f t="shared" ref="C178:C185" si="416">+H178/H$185</f>
        <v>0.19130434782608696</v>
      </c>
      <c r="D178" s="74">
        <f t="shared" si="412"/>
        <v>8.2568807339449546E-2</v>
      </c>
      <c r="E178" s="74">
        <f t="shared" si="413"/>
        <v>9.6525096525096526E-2</v>
      </c>
      <c r="F178" s="74">
        <f t="shared" si="414"/>
        <v>8.8888888888888892E-2</v>
      </c>
      <c r="G178" s="74">
        <f t="shared" si="415"/>
        <v>0.10859728506787331</v>
      </c>
      <c r="H178" s="18">
        <f>COUNTIFS('ENCUESTA CONDUCTORES'!E$7:E$459,"X",'ENCUESTA CONDUCTORES'!$BK$7:$BK$459,"X")</f>
        <v>22</v>
      </c>
      <c r="I178" s="18">
        <f>COUNTIFS('ENCUESTA CONDUCTORES'!F$7:F$459,"X",'ENCUESTA CONDUCTORES'!$BK$7:$BK$459,"X")</f>
        <v>9</v>
      </c>
      <c r="J178" s="18">
        <f>COUNTIFS('ENCUESTA CONDUCTORES'!G$7:G$459,"X",'ENCUESTA CONDUCTORES'!$BK$7:$BK$459,"X")</f>
        <v>25</v>
      </c>
      <c r="K178" s="18">
        <f>COUNTIFS('ENCUESTA CONDUCTORES'!H$7:H$459,"X",'ENCUESTA CONDUCTORES'!$BK$7:$BK$459,"X")</f>
        <v>16</v>
      </c>
      <c r="L178" s="18">
        <f t="shared" ref="L178:L184" si="417">SUM(H178:K178)</f>
        <v>72</v>
      </c>
      <c r="AL178" s="75" t="s">
        <v>131</v>
      </c>
      <c r="AM178" s="74">
        <f t="shared" si="408"/>
        <v>7.9617834394904458E-3</v>
      </c>
      <c r="AN178" s="74">
        <f t="shared" si="392"/>
        <v>1.1146496815286623E-2</v>
      </c>
      <c r="AO178" s="74">
        <f t="shared" si="393"/>
        <v>4.7770700636942673E-3</v>
      </c>
      <c r="AP178" s="74">
        <f t="shared" si="394"/>
        <v>6.369426751592357E-3</v>
      </c>
      <c r="AQ178" s="74">
        <f t="shared" si="395"/>
        <v>1.751592356687898E-2</v>
      </c>
      <c r="AR178" s="74">
        <f t="shared" si="396"/>
        <v>1.2738853503184714E-2</v>
      </c>
      <c r="AS178" s="74">
        <f t="shared" si="397"/>
        <v>2.7070063694267517E-2</v>
      </c>
      <c r="AT178" s="74">
        <f t="shared" si="398"/>
        <v>3.1847133757961785E-3</v>
      </c>
      <c r="AU178" s="74">
        <f t="shared" si="399"/>
        <v>9.0764331210191077E-2</v>
      </c>
      <c r="AV178" s="18">
        <f>COUNTIFS('ENCUESTA CONDUCTORES'!$AL$7:$AL$459,"X",'ENCUESTA CONDUCTORES'!$BO$7:$BO$459,"X",'ENCUESTA CONDUCTORES'!$AX$7:$AX$459,"&lt;1.6")</f>
        <v>5</v>
      </c>
      <c r="AW178" s="18">
        <f>COUNTIFS('ENCUESTA CONDUCTORES'!$AL$7:$AL$459,"X",'ENCUESTA CONDUCTORES'!$BO$7:$BO$459,"X",'ENCUESTA CONDUCTORES'!$AX$7:$AX$459,"&lt;1.91")-AV178</f>
        <v>7</v>
      </c>
      <c r="AX178" s="18">
        <f>COUNTIFS('ENCUESTA CONDUCTORES'!$AL$7:$AL$459,"X",'ENCUESTA CONDUCTORES'!$BO$7:$BO$459,"X",'ENCUESTA CONDUCTORES'!$AX$7:$AX$459,"&lt;2.01")-AW178-AV178</f>
        <v>3</v>
      </c>
      <c r="AY178" s="18">
        <f>COUNTIFS('ENCUESTA CONDUCTORES'!$AL$7:$AL$459,"X",'ENCUESTA CONDUCTORES'!$BO$7:$BO$459,"X",'ENCUESTA CONDUCTORES'!$AX$7:$AX$459,"&lt;2.21")-AX178-AW178-AV178</f>
        <v>4</v>
      </c>
      <c r="AZ178" s="18">
        <f>COUNTIFS('ENCUESTA CONDUCTORES'!$AL$7:$AL$459,"X",'ENCUESTA CONDUCTORES'!$BO$7:$BO$459,"X",'ENCUESTA CONDUCTORES'!$AX$7:$AX$459,"&lt;2.51")-AY178-AX178-AW178-AV178</f>
        <v>11</v>
      </c>
      <c r="BA178" s="18">
        <f>COUNTIFS('ENCUESTA CONDUCTORES'!$AL$7:$AL$459,"X",'ENCUESTA CONDUCTORES'!$BO$7:$BO$459,"X",'ENCUESTA CONDUCTORES'!$AX$7:$AX$459,"&lt;3.01")-AZ178-AY178-AX178-AW178-AV178</f>
        <v>8</v>
      </c>
      <c r="BB178" s="18">
        <f>COUNTIFS('ENCUESTA CONDUCTORES'!$AL$7:$AL$459,"X",'ENCUESTA CONDUCTORES'!$BO$7:$BO$459,"X",'ENCUESTA CONDUCTORES'!$AX$7:$AX$459,"&lt;4.01")-BA178-AZ178-AY178-AX178-AW178-AV178</f>
        <v>17</v>
      </c>
      <c r="BC178" s="18">
        <f>COUNTIFS('ENCUESTA CONDUCTORES'!$AL$7:$AL$459,"X",'ENCUESTA CONDUCTORES'!$BO$7:$BO$459,"X",'ENCUESTA CONDUCTORES'!$AX$7:$AX$459,"&gt;4")</f>
        <v>2</v>
      </c>
      <c r="BD178" s="18">
        <f t="shared" si="409"/>
        <v>57</v>
      </c>
      <c r="BF178" s="75" t="s">
        <v>131</v>
      </c>
      <c r="BG178" s="74">
        <f t="shared" si="410"/>
        <v>1.5923566878980893E-3</v>
      </c>
      <c r="BH178" s="74">
        <f t="shared" si="400"/>
        <v>3.1847133757961785E-3</v>
      </c>
      <c r="BI178" s="74">
        <f t="shared" si="401"/>
        <v>4.7770700636942673E-3</v>
      </c>
      <c r="BJ178" s="74">
        <f t="shared" si="402"/>
        <v>4.7770700636942673E-3</v>
      </c>
      <c r="BK178" s="74">
        <f t="shared" si="403"/>
        <v>9.5541401273885346E-3</v>
      </c>
      <c r="BL178" s="74">
        <f t="shared" si="404"/>
        <v>2.3885350318471339E-2</v>
      </c>
      <c r="BM178" s="74">
        <f t="shared" si="405"/>
        <v>3.662420382165605E-2</v>
      </c>
      <c r="BN178" s="74">
        <f t="shared" si="406"/>
        <v>6.369426751592357E-3</v>
      </c>
      <c r="BO178" s="74">
        <f t="shared" si="407"/>
        <v>9.0764331210191077E-2</v>
      </c>
      <c r="BP178" s="18">
        <f>COUNTIFS('ENCUESTA CONDUCTORES'!$AL$7:$AL$459,"X",'ENCUESTA CONDUCTORES'!$BO$7:$BO$459,"X",'ENCUESTA CONDUCTORES'!$AW$7:$AW$459,"&lt;1.6")</f>
        <v>1</v>
      </c>
      <c r="BQ178" s="18">
        <f>COUNTIFS('ENCUESTA CONDUCTORES'!$AL$7:$AL$459,"X",'ENCUESTA CONDUCTORES'!$BO$7:$BO$459,"X",'ENCUESTA CONDUCTORES'!$AW$7:$AW$459,"&lt;1.91")-BP178</f>
        <v>2</v>
      </c>
      <c r="BR178" s="18">
        <f>COUNTIFS('ENCUESTA CONDUCTORES'!$AL$7:$AL$459,"X",'ENCUESTA CONDUCTORES'!$BO$7:$BO$459,"X",'ENCUESTA CONDUCTORES'!$AW$7:$AW$459,"&lt;2.01")-BQ178-BP178</f>
        <v>3</v>
      </c>
      <c r="BS178" s="18">
        <f>COUNTIFS('ENCUESTA CONDUCTORES'!$AL$7:$AL$459,"X",'ENCUESTA CONDUCTORES'!$BO$7:$BO$459,"X",'ENCUESTA CONDUCTORES'!$AW$7:$AW$459,"&lt;2.21")-BR178-BQ178-BP178</f>
        <v>3</v>
      </c>
      <c r="BT178" s="18">
        <f>COUNTIFS('ENCUESTA CONDUCTORES'!$AL$7:$AL$459,"X",'ENCUESTA CONDUCTORES'!$BO$7:$BO$459,"X",'ENCUESTA CONDUCTORES'!$AW$7:$AW$459,"&lt;2.51")-BS178-BR178-BQ178-BP178</f>
        <v>6</v>
      </c>
      <c r="BU178" s="18">
        <f>COUNTIFS('ENCUESTA CONDUCTORES'!$AL$7:$AL$459,"X",'ENCUESTA CONDUCTORES'!$BO$7:$BO$459,"X",'ENCUESTA CONDUCTORES'!$AW$7:$AW$459,"&lt;3.01")-BT178-BS178-BR178-BQ178-BP178</f>
        <v>15</v>
      </c>
      <c r="BV178" s="18">
        <f>COUNTIFS('ENCUESTA CONDUCTORES'!$AL$7:$AL$459,"X",'ENCUESTA CONDUCTORES'!$BO$7:$BO$459,"X",'ENCUESTA CONDUCTORES'!$AW$7:$AW$459,"&lt;4.01")-BU178-BT178-BS178-BR178-BQ178-BP178</f>
        <v>23</v>
      </c>
      <c r="BW178" s="18">
        <f>COUNTIFS('ENCUESTA CONDUCTORES'!$AL$7:$AL$459,"X",'ENCUESTA CONDUCTORES'!$BO$7:$BO$459,"X",'ENCUESTA CONDUCTORES'!$AW$7:$AW$459,"&gt;4")</f>
        <v>4</v>
      </c>
      <c r="BX178" s="18">
        <f t="shared" si="411"/>
        <v>57</v>
      </c>
      <c r="CY178" s="17" t="s">
        <v>1427</v>
      </c>
      <c r="CZ178" s="17" t="s">
        <v>1427</v>
      </c>
    </row>
    <row r="179" spans="1:118" x14ac:dyDescent="0.25">
      <c r="B179" s="75" t="s">
        <v>1356</v>
      </c>
      <c r="C179" s="74">
        <f t="shared" si="416"/>
        <v>6.0869565217391307E-2</v>
      </c>
      <c r="D179" s="74">
        <f t="shared" si="412"/>
        <v>0.16513761467889909</v>
      </c>
      <c r="E179" s="74">
        <f t="shared" si="413"/>
        <v>0.11583011583011583</v>
      </c>
      <c r="F179" s="74">
        <f t="shared" si="414"/>
        <v>0.13333333333333333</v>
      </c>
      <c r="G179" s="74">
        <f t="shared" si="415"/>
        <v>0.1191553544494721</v>
      </c>
      <c r="H179" s="18">
        <f>COUNTIFS('ENCUESTA CONDUCTORES'!E$7:E$459,"X",'ENCUESTA CONDUCTORES'!$BL$7:$BL$459,"X")+COUNTIFS('ENCUESTA CONDUCTORES'!E$7:E$459,"X",'ENCUESTA CONDUCTORES'!$BR$7:$BR$459,"X")</f>
        <v>7</v>
      </c>
      <c r="I179" s="18">
        <f>COUNTIFS('ENCUESTA CONDUCTORES'!F$7:F$459,"X",'ENCUESTA CONDUCTORES'!$BL$7:$BL$459,"X")+COUNTIFS('ENCUESTA CONDUCTORES'!F$7:F$459,"X",'ENCUESTA CONDUCTORES'!$BR$7:$BR$459,"X")</f>
        <v>18</v>
      </c>
      <c r="J179" s="18">
        <f>COUNTIFS('ENCUESTA CONDUCTORES'!G$7:G$459,"X",'ENCUESTA CONDUCTORES'!$BL$7:$BL$459,"X")+COUNTIFS('ENCUESTA CONDUCTORES'!G$7:G$459,"X",'ENCUESTA CONDUCTORES'!$BR$7:$BR$459,"X")</f>
        <v>30</v>
      </c>
      <c r="K179" s="18">
        <f>COUNTIFS('ENCUESTA CONDUCTORES'!H$7:H$459,"X",'ENCUESTA CONDUCTORES'!$BL$7:$BL$459,"X")+COUNTIFS('ENCUESTA CONDUCTORES'!H$7:H$459,"X",'ENCUESTA CONDUCTORES'!$BR$7:$BR$459,"X")</f>
        <v>24</v>
      </c>
      <c r="L179" s="18">
        <f t="shared" si="417"/>
        <v>79</v>
      </c>
      <c r="AL179" s="75" t="s">
        <v>55</v>
      </c>
      <c r="AM179" s="74">
        <f t="shared" si="408"/>
        <v>0</v>
      </c>
      <c r="AN179" s="74">
        <f t="shared" si="392"/>
        <v>6.369426751592357E-3</v>
      </c>
      <c r="AO179" s="74">
        <f t="shared" si="393"/>
        <v>3.1847133757961785E-3</v>
      </c>
      <c r="AP179" s="74">
        <f t="shared" si="394"/>
        <v>3.1847133757961785E-3</v>
      </c>
      <c r="AQ179" s="74">
        <f t="shared" si="395"/>
        <v>1.9108280254777069E-2</v>
      </c>
      <c r="AR179" s="74">
        <f t="shared" si="396"/>
        <v>7.9617834394904458E-3</v>
      </c>
      <c r="AS179" s="74">
        <f t="shared" si="397"/>
        <v>0</v>
      </c>
      <c r="AT179" s="74">
        <f t="shared" si="398"/>
        <v>0</v>
      </c>
      <c r="AU179" s="74">
        <f t="shared" si="399"/>
        <v>3.9808917197452227E-2</v>
      </c>
      <c r="AV179" s="18">
        <f>COUNTIFS('ENCUESTA CONDUCTORES'!$AL$7:$AL$459,"X",'ENCUESTA CONDUCTORES'!$BQ$7:$BQ$459,"X",'ENCUESTA CONDUCTORES'!$AX$7:$AX$459,"&lt;1.6")</f>
        <v>0</v>
      </c>
      <c r="AW179" s="18">
        <f>COUNTIFS('ENCUESTA CONDUCTORES'!$AL$7:$AL$459,"X",'ENCUESTA CONDUCTORES'!$BQ$7:$BQ$459,"X",'ENCUESTA CONDUCTORES'!$AX$7:$AX$459,"&lt;1.91")-AV179</f>
        <v>4</v>
      </c>
      <c r="AX179" s="18">
        <f>COUNTIFS('ENCUESTA CONDUCTORES'!$AL$7:$AL$459,"X",'ENCUESTA CONDUCTORES'!$BQ$7:$BQ$459,"X",'ENCUESTA CONDUCTORES'!$AX$7:$AX$459,"&lt;2.01")-AW179-AV179</f>
        <v>2</v>
      </c>
      <c r="AY179" s="18">
        <f>COUNTIFS('ENCUESTA CONDUCTORES'!$AL$7:$AL$459,"X",'ENCUESTA CONDUCTORES'!$BQ$7:$BQ$459,"X",'ENCUESTA CONDUCTORES'!$AX$7:$AX$459,"&lt;2.21")-AX179-AW179-AV179</f>
        <v>2</v>
      </c>
      <c r="AZ179" s="18">
        <f>COUNTIFS('ENCUESTA CONDUCTORES'!$AL$7:$AL$459,"X",'ENCUESTA CONDUCTORES'!$BQ$7:$BQ$459,"X",'ENCUESTA CONDUCTORES'!$AX$7:$AX$459,"&lt;2.51")-AY179-AX179-AW179-AV179</f>
        <v>12</v>
      </c>
      <c r="BA179" s="18">
        <f>COUNTIFS('ENCUESTA CONDUCTORES'!$AL$7:$AL$459,"X",'ENCUESTA CONDUCTORES'!$BQ$7:$BQ$459,"X",'ENCUESTA CONDUCTORES'!$AX$7:$AX$459,"&lt;3.01")-AZ179-AY179-AX179-AW179-AV179</f>
        <v>5</v>
      </c>
      <c r="BB179" s="18">
        <f>COUNTIFS('ENCUESTA CONDUCTORES'!$AL$7:$AL$459,"X",'ENCUESTA CONDUCTORES'!$BQ$7:$BQ$459,"X",'ENCUESTA CONDUCTORES'!$AX$7:$AX$459,"&lt;4.01")-BA179-AZ179-AY179-AX179-AW179-AV179</f>
        <v>0</v>
      </c>
      <c r="BC179" s="18">
        <f>COUNTIFS('ENCUESTA CONDUCTORES'!$AL$7:$AL$459,"X",'ENCUESTA CONDUCTORES'!$BQ$7:$BQ$459,"X",'ENCUESTA CONDUCTORES'!$AX$7:$AX$459,"&gt;4")</f>
        <v>0</v>
      </c>
      <c r="BD179" s="18">
        <f t="shared" si="409"/>
        <v>25</v>
      </c>
      <c r="BF179" s="75" t="s">
        <v>55</v>
      </c>
      <c r="BG179" s="74">
        <f t="shared" si="410"/>
        <v>0</v>
      </c>
      <c r="BH179" s="74">
        <f t="shared" si="400"/>
        <v>0</v>
      </c>
      <c r="BI179" s="74">
        <f t="shared" si="401"/>
        <v>1.5923566878980893E-3</v>
      </c>
      <c r="BJ179" s="74">
        <f t="shared" si="402"/>
        <v>4.7770700636942673E-3</v>
      </c>
      <c r="BK179" s="74">
        <f t="shared" si="403"/>
        <v>4.7770700636942673E-3</v>
      </c>
      <c r="BL179" s="74">
        <f t="shared" si="404"/>
        <v>2.0700636942675158E-2</v>
      </c>
      <c r="BM179" s="74">
        <f t="shared" si="405"/>
        <v>7.9617834394904458E-3</v>
      </c>
      <c r="BN179" s="74">
        <f t="shared" si="406"/>
        <v>0</v>
      </c>
      <c r="BO179" s="74">
        <f t="shared" si="407"/>
        <v>3.9808917197452227E-2</v>
      </c>
      <c r="BP179" s="18">
        <f>COUNTIFS('ENCUESTA CONDUCTORES'!$AL$7:$AL$459,"X",'ENCUESTA CONDUCTORES'!$BQ$7:$BQ$459,"X",'ENCUESTA CONDUCTORES'!$AW$7:$AW$459,"&lt;1.6")</f>
        <v>0</v>
      </c>
      <c r="BQ179" s="18">
        <f>COUNTIFS('ENCUESTA CONDUCTORES'!$AL$7:$AL$459,"X",'ENCUESTA CONDUCTORES'!$BQ$7:$BQ$459,"X",'ENCUESTA CONDUCTORES'!$AW$7:$AW$459,"&lt;1.91")-BP179</f>
        <v>0</v>
      </c>
      <c r="BR179" s="18">
        <f>COUNTIFS('ENCUESTA CONDUCTORES'!$AL$7:$AL$459,"X",'ENCUESTA CONDUCTORES'!$BQ$7:$BQ$459,"X",'ENCUESTA CONDUCTORES'!$AW$7:$AW$459,"&lt;2.01")-BQ179-BP179</f>
        <v>1</v>
      </c>
      <c r="BS179" s="18">
        <f>COUNTIFS('ENCUESTA CONDUCTORES'!$AL$7:$AL$459,"X",'ENCUESTA CONDUCTORES'!$BQ$7:$BQ$459,"X",'ENCUESTA CONDUCTORES'!$AW$7:$AW$459,"&lt;2.21")-BR179-BQ179-BP179</f>
        <v>3</v>
      </c>
      <c r="BT179" s="18">
        <f>COUNTIFS('ENCUESTA CONDUCTORES'!$AL$7:$AL$459,"X",'ENCUESTA CONDUCTORES'!$BQ$7:$BQ$459,"X",'ENCUESTA CONDUCTORES'!$AW$7:$AW$459,"&lt;2.51")-BS179-BR179-BQ179-BP179</f>
        <v>3</v>
      </c>
      <c r="BU179" s="18">
        <f>COUNTIFS('ENCUESTA CONDUCTORES'!$AL$7:$AL$459,"X",'ENCUESTA CONDUCTORES'!$BQ$7:$BQ$459,"X",'ENCUESTA CONDUCTORES'!$AW$7:$AW$459,"&lt;3.01")-BT179-BS179-BR179-BQ179-BP179</f>
        <v>13</v>
      </c>
      <c r="BV179" s="18">
        <f>COUNTIFS('ENCUESTA CONDUCTORES'!$AL$7:$AL$459,"X",'ENCUESTA CONDUCTORES'!$BQ$7:$BQ$459,"X",'ENCUESTA CONDUCTORES'!$AW$7:$AW$459,"&lt;4.01")-BU179-BT179-BS179-BR179-BQ179-BP179</f>
        <v>5</v>
      </c>
      <c r="BW179" s="18">
        <f>COUNTIFS('ENCUESTA CONDUCTORES'!$AL$7:$AL$459,"X",'ENCUESTA CONDUCTORES'!$BQ$7:$BQ$459,"X",'ENCUESTA CONDUCTORES'!$AW$7:$AW$459,"&gt;4")</f>
        <v>0</v>
      </c>
      <c r="BX179" s="18">
        <f t="shared" si="411"/>
        <v>25</v>
      </c>
      <c r="CX179" s="11" t="s">
        <v>1306</v>
      </c>
      <c r="CY179" s="74">
        <f>+CZ179/$CZ$187</f>
        <v>0</v>
      </c>
      <c r="CZ179" s="18">
        <f>+DK19</f>
        <v>0</v>
      </c>
      <c r="DA179" s="74"/>
      <c r="DB179" s="74"/>
      <c r="DD179" s="74"/>
      <c r="DE179" s="74"/>
      <c r="DF179" s="74"/>
      <c r="DG179" s="18"/>
      <c r="DH179" s="18"/>
      <c r="DI179" s="18"/>
      <c r="DJ179" s="18"/>
      <c r="DL179" s="18"/>
      <c r="DM179" s="18"/>
      <c r="DN179" s="18"/>
    </row>
    <row r="180" spans="1:118" x14ac:dyDescent="0.25">
      <c r="B180" s="75" t="s">
        <v>51</v>
      </c>
      <c r="C180" s="74">
        <f t="shared" si="416"/>
        <v>3.4782608695652174E-2</v>
      </c>
      <c r="D180" s="74">
        <f t="shared" si="412"/>
        <v>9.1743119266055051E-2</v>
      </c>
      <c r="E180" s="74">
        <f t="shared" si="413"/>
        <v>0.11196911196911197</v>
      </c>
      <c r="F180" s="74">
        <f t="shared" si="414"/>
        <v>0.1111111111111111</v>
      </c>
      <c r="G180" s="74">
        <f t="shared" si="415"/>
        <v>9.5022624434389136E-2</v>
      </c>
      <c r="H180" s="18">
        <f>COUNTIFS('ENCUESTA CONDUCTORES'!E$7:E$459,"X",'ENCUESTA CONDUCTORES'!$BM$7:$BM$459,"X")</f>
        <v>4</v>
      </c>
      <c r="I180" s="18">
        <f>COUNTIFS('ENCUESTA CONDUCTORES'!F$7:F$459,"X",'ENCUESTA CONDUCTORES'!$BM$7:$BM$459,"X")</f>
        <v>10</v>
      </c>
      <c r="J180" s="18">
        <f>COUNTIFS('ENCUESTA CONDUCTORES'!G$7:G$459,"X",'ENCUESTA CONDUCTORES'!$BM$7:$BM$459,"X")</f>
        <v>29</v>
      </c>
      <c r="K180" s="18">
        <f>COUNTIFS('ENCUESTA CONDUCTORES'!H$7:H$459,"X",'ENCUESTA CONDUCTORES'!$BM$7:$BM$459,"X")</f>
        <v>20</v>
      </c>
      <c r="L180" s="18">
        <f t="shared" si="417"/>
        <v>63</v>
      </c>
      <c r="AL180" s="75" t="s">
        <v>1358</v>
      </c>
      <c r="AM180" s="74">
        <f t="shared" si="408"/>
        <v>9.5541401273885346E-3</v>
      </c>
      <c r="AN180" s="74">
        <f t="shared" si="392"/>
        <v>2.0700636942675158E-2</v>
      </c>
      <c r="AO180" s="74">
        <f t="shared" si="393"/>
        <v>1.751592356687898E-2</v>
      </c>
      <c r="AP180" s="74">
        <f t="shared" si="394"/>
        <v>1.5923566878980892E-2</v>
      </c>
      <c r="AQ180" s="74">
        <f t="shared" si="395"/>
        <v>4.7770700636942678E-2</v>
      </c>
      <c r="AR180" s="74">
        <f t="shared" si="396"/>
        <v>3.0254777070063694E-2</v>
      </c>
      <c r="AS180" s="74">
        <f t="shared" si="397"/>
        <v>1.1146496815286623E-2</v>
      </c>
      <c r="AT180" s="74">
        <f t="shared" si="398"/>
        <v>1.5923566878980893E-3</v>
      </c>
      <c r="AU180" s="74">
        <f t="shared" si="399"/>
        <v>0.15445859872611464</v>
      </c>
      <c r="AV180" s="90">
        <f>COUNTIFS('ENCUESTA CONDUCTORES'!$AL$7:$AL$459,"X",'ENCUESTA CONDUCTORES'!$BS$7:$BS$459,"CARRITOS DE GOLF",'ENCUESTA CONDUCTORES'!$AX$7:$AX$459,"&lt;1.6")+COUNTIFS('ENCUESTA CONDUCTORES'!$AL$7:$AL$459,"X",'ENCUESTA CONDUCTORES'!$BS$7:$BS$459,"MERCANCIA SECA",'ENCUESTA CONDUCTORES'!$AX$7:$AX$459,"&lt;1.6")+COUNTIFS('ENCUESTA CONDUCTORES'!$AL$7:$AL$459,"X",'ENCUESTA CONDUCTORES'!$BS$7:$BS$459,"PAPELERIA",'ENCUESTA CONDUCTORES'!$AX$7:$AX$459,"&lt;1.6")+COUNTIFS('ENCUESTA CONDUCTORES'!$AL$7:$AL$459,"X",'ENCUESTA CONDUCTORES'!$BS$7:$BS$459,"GENERAL",'ENCUESTA CONDUCTORES'!$AX$7:$AX$459,"&lt;1.6")+COUNTIFS('ENCUESTA CONDUCTORES'!$AL$7:$AL$459,"X",'ENCUESTA CONDUCTORES'!$BS$7:$BS$459,"MAQUINARIA",'ENCUESTA CONDUCTORES'!$AX$7:$AX$459,"&lt;1.6")+COUNTIFS('ENCUESTA CONDUCTORES'!$AL$7:$AL$459,"X",'ENCUESTA CONDUCTORES'!$BS$7:$BS$459,"CONTENEDOR",'ENCUESTA CONDUCTORES'!$AX$7:$AX$459,"&lt;1.6")+COUNTIFS('ENCUESTA CONDUCTORES'!$AL$7:$AL$459,"X",'ENCUESTA CONDUCTORES'!$BS$7:$BS$459,"MEDICAMENTOS",'ENCUESTA CONDUCTORES'!$AX$7:$AX$459,"&lt;1.6")+COUNTIFS('ENCUESTA CONDUCTORES'!$AL$7:$AL$459,"X",'ENCUESTA CONDUCTORES'!$BS$7:$BS$459,"AGUA POTABLE",'ENCUESTA CONDUCTORES'!$AX$7:$AX$459,"&lt;1.6")+COUNTIFS('ENCUESTA CONDUCTORES'!$AL$7:$AL$459,"X",'ENCUESTA CONDUCTORES'!$BS$7:$BS$459,"MUDANZAS",'ENCUESTA CONDUCTORES'!$AX$7:$AX$459,"&lt;1.6")+COUNTIFS('ENCUESTA CONDUCTORES'!$AL$7:$AL$459,"X",'ENCUESTA CONDUCTORES'!$BS$7:$BS$459,"JABON",'ENCUESTA CONDUCTORES'!$AX$7:$AX$459,"&lt;1.6")+COUNTIFS('ENCUESTA CONDUCTORES'!$AL$7:$AL$459,"X",'ENCUESTA CONDUCTORES'!$BS$7:$BS$459,"ACEITE",'ENCUESTA CONDUCTORES'!$AX$7:$AX$459,"&lt;1.6")+COUNTIFS('ENCUESTA CONDUCTORES'!$AL$7:$AL$459,"X",'ENCUESTA CONDUCTORES'!$BS$7:$BS$459,"POLIETILENO",'ENCUESTA CONDUCTORES'!$AX$7:$AX$459,"&lt;1.6")+COUNTIFS('ENCUESTA CONDUCTORES'!$AL$7:$AL$459,"X",'ENCUESTA CONDUCTORES'!$BS$7:$BS$459,"ELECTRODOMÉSTICOS",'ENCUESTA CONDUCTORES'!$AX$7:$AX$459,"&lt;1.6")+COUNTIFS('ENCUESTA CONDUCTORES'!$AL$7:$AL$459,"X",'ENCUESTA CONDUCTORES'!$BS$7:$BS$459,"MUEBLES",'ENCUESTA CONDUCTORES'!$AX$7:$AX$459,"&lt;1.6")+COUNTIFS('ENCUESTA CONDUCTORES'!$AL$7:$AL$459,"X",'ENCUESTA CONDUCTORES'!$BS$7:$BS$459,"CHATARRA",'ENCUESTA CONDUCTORES'!$AX$7:$AX$459,"&lt;1.6")+COUNTIFS('ENCUESTA CONDUCTORES'!$AL$7:$AL$459,"X",'ENCUESTA CONDUCTORES'!$BS$7:$BS$459,"LLANTAS",'ENCUESTA CONDUCTORES'!$AX$7:$AX$459,"&lt;1.6")+COUNTIFS('ENCUESTA CONDUCTORES'!$AL$7:$AL$459,"X",'ENCUESTA CONDUCTORES'!$BS$7:$BS$459,"AGUA",'ENCUESTA CONDUCTORES'!$AX$7:$AX$459,"&lt;1.6")+COUNTIFS('ENCUESTA CONDUCTORES'!$AL$7:$AL$459,"X",'ENCUESTA CONDUCTORES'!$BS$7:$BS$459,"ANIMALES",'ENCUESTA CONDUCTORES'!$AX$7:$AX$459,"&lt;1.6")+COUNTIFS('ENCUESTA CONDUCTORES'!$AL$7:$AL$459,"X",'ENCUESTA CONDUCTORES'!$BS$7:$BS$459,"TV REFRIGERADORES",'ENCUESTA CONDUCTORES'!$AX$7:$AX$459,"&lt;1.6")+COUNTIFS('ENCUESTA CONDUCTORES'!$AL$7:$AL$459,"X",'ENCUESTA CONDUCTORES'!$BS$7:$BS$459,"LÍNEA BLANCA",'ENCUESTA CONDUCTORES'!$AX$7:$AX$459,"&lt;1.6")+COUNTIFS('ENCUESTA CONDUCTORES'!$AL$7:$AL$459,"X",'ENCUESTA CONDUCTORES'!$BS$7:$BS$459,"IMPORTACIÓN / EXPORTACIÓN",'ENCUESTA CONDUCTORES'!$AX$7:$AX$459,"&lt;1.6")+COUNTIFS('ENCUESTA CONDUCTORES'!$AL$7:$AL$459,"X",'ENCUESTA CONDUCTORES'!$BS$7:$BS$459,"PLASTICO",'ENCUESTA CONDUCTORES'!$AX$7:$AX$459,"&lt;1.6")+COUNTIFS('ENCUESTA CONDUCTORES'!$AL$7:$AL$459,"X",'ENCUESTA CONDUCTORES'!$BS$7:$BS$459,"ROPA",'ENCUESTA CONDUCTORES'!$AX$7:$AX$459,"&lt;1.6")+COUNTIFS('ENCUESTA CONDUCTORES'!$AL$7:$AL$459,"X",'ENCUESTA CONDUCTORES'!$BS$7:$BS$459,"CHATARRA",'ENCUESTA CONDUCTORES'!$AX$7:$AX$459,"&lt;1.6")+COUNTIFS('ENCUESTA CONDUCTORES'!$AL$7:$AL$459,"X",'ENCUESTA CONDUCTORES'!$BS$7:$BS$459,"MEDICAMENTO NUTRICIONAL",'ENCUESTA CONDUCTORES'!$AX$7:$AX$459,"&lt;1.6")+COUNTIFS('ENCUESTA CONDUCTORES'!$AL$7:$AL$459,"X",'ENCUESTA CONDUCTORES'!$BS$7:$BS$459,"PRODUCTOS DE BELLEZA",'ENCUESTA CONDUCTORES'!$AX$7:$AX$459,"&lt;1.6")+COUNTIFS('ENCUESTA CONDUCTORES'!$AL$7:$AL$459,"X",'ENCUESTA CONDUCTORES'!$BS$7:$BS$459,"FORRAJE",'ENCUESTA CONDUCTORES'!$AX$7:$AX$459,"&lt;1.6")+COUNTIFS('ENCUESTA CONDUCTORES'!$AL$7:$AL$459,"X",'ENCUESTA CONDUCTORES'!$BS$7:$BS$459,"VALORES",'ENCUESTA CONDUCTORES'!$AX$7:$AX$459,"&lt;1.6")+COUNTIFS('ENCUESTA CONDUCTORES'!$AL$7:$AL$459,"X",'ENCUESTA CONDUCTORES'!$BS$7:$BS$459,"PAQUETERIA",'ENCUESTA CONDUCTORES'!$AX$7:$AX$459,"&lt;1.6")+COUNTIFS('ENCUESTA CONDUCTORES'!$AL$7:$AL$459,"X",'ENCUESTA CONDUCTORES'!$BS$7:$BS$459,"SECOS",'ENCUESTA CONDUCTORES'!$AX$7:$AX$459,"&lt;1.6")+COUNTIFS('ENCUESTA CONDUCTORES'!$AL$7:$AL$459,"X",'ENCUESTA CONDUCTORES'!$BS$7:$BS$459,"PANTALLAS",'ENCUESTA CONDUCTORES'!$AX$7:$AX$459,"&lt;1.6")+COUNTIFS('ENCUESTA CONDUCTORES'!$AL$7:$AL$459,"X",'ENCUESTA CONDUCTORES'!$BS$7:$BS$459,"BOTELLAS",'ENCUESTA CONDUCTORES'!$AX$7:$AX$459,"&lt;1.6")+COUNTIFS('ENCUESTA CONDUCTORES'!$AL$7:$AL$459,"X",'ENCUESTA CONDUCTORES'!$BS$7:$BS$459,"PRODUCTOS DE HIGIENE PERSONAL",'ENCUESTA CONDUCTORES'!$AX$7:$AX$459,"&lt;1.6")+COUNTIFS('ENCUESTA CONDUCTORES'!$AL$7:$AL$459,"X",'ENCUESTA CONDUCTORES'!$BS$7:$BS$459,"ELECTRONICA, LINEA BLANCA",'ENCUESTA CONDUCTORES'!$AX$7:$AX$459,"&lt;1.6")+COUNTIFS('ENCUESTA CONDUCTORES'!$AL$7:$AL$459,"X",'ENCUESTA CONDUCTORES'!$BS$7:$BS$459,"CONTENEDORES",'ENCUESTA CONDUCTORES'!$AX$7:$AX$459,"&lt;1.6")</f>
        <v>6</v>
      </c>
      <c r="AW180" s="90">
        <f>COUNTIFS('ENCUESTA CONDUCTORES'!$AL$7:$AL$459,"X",'ENCUESTA CONDUCTORES'!$BS$7:$BS$459,"CARRITOS DE GOLF",'ENCUESTA CONDUCTORES'!$AX$7:$AX$459,"&lt;1.91")+COUNTIFS('ENCUESTA CONDUCTORES'!$AL$7:$AL$459,"X",'ENCUESTA CONDUCTORES'!$BS$7:$BS$459,"MERCANCIA SECA",'ENCUESTA CONDUCTORES'!$AX$7:$AX$459,"&lt;1.91")+COUNTIFS('ENCUESTA CONDUCTORES'!$AL$7:$AL$459,"X",'ENCUESTA CONDUCTORES'!$BS$7:$BS$459,"PAPELERIA",'ENCUESTA CONDUCTORES'!$AX$7:$AX$459,"&lt;1.91")+COUNTIFS('ENCUESTA CONDUCTORES'!$AL$7:$AL$459,"X",'ENCUESTA CONDUCTORES'!$BS$7:$BS$459,"GENERAL",'ENCUESTA CONDUCTORES'!$AX$7:$AX$459,"&lt;1.91")+COUNTIFS('ENCUESTA CONDUCTORES'!$AL$7:$AL$459,"X",'ENCUESTA CONDUCTORES'!$BS$7:$BS$459,"MAQUINARIA",'ENCUESTA CONDUCTORES'!$AX$7:$AX$459,"&lt;1.91")+COUNTIFS('ENCUESTA CONDUCTORES'!$AL$7:$AL$459,"X",'ENCUESTA CONDUCTORES'!$BS$7:$BS$459,"CONTENEDOR",'ENCUESTA CONDUCTORES'!$AX$7:$AX$459,"&lt;1.91")+COUNTIFS('ENCUESTA CONDUCTORES'!$AL$7:$AL$459,"X",'ENCUESTA CONDUCTORES'!$BS$7:$BS$459,"MEDICAMENTOS",'ENCUESTA CONDUCTORES'!$AX$7:$AX$459,"&lt;1.91")+COUNTIFS('ENCUESTA CONDUCTORES'!$AL$7:$AL$459,"X",'ENCUESTA CONDUCTORES'!$BS$7:$BS$459,"AGUA POTABLE",'ENCUESTA CONDUCTORES'!$AX$7:$AX$459,"&lt;1.91")+COUNTIFS('ENCUESTA CONDUCTORES'!$AL$7:$AL$459,"X",'ENCUESTA CONDUCTORES'!$BS$7:$BS$459,"MUDANZAS",'ENCUESTA CONDUCTORES'!$AX$7:$AX$459,"&lt;1.91")+COUNTIFS('ENCUESTA CONDUCTORES'!$AL$7:$AL$459,"X",'ENCUESTA CONDUCTORES'!$BS$7:$BS$459,"JABON",'ENCUESTA CONDUCTORES'!$AX$7:$AX$459,"&lt;1.91")+COUNTIFS('ENCUESTA CONDUCTORES'!$AL$7:$AL$459,"X",'ENCUESTA CONDUCTORES'!$BS$7:$BS$459,"ACEITE",'ENCUESTA CONDUCTORES'!$AX$7:$AX$459,"&lt;1.91")+COUNTIFS('ENCUESTA CONDUCTORES'!$AL$7:$AL$459,"X",'ENCUESTA CONDUCTORES'!$BS$7:$BS$459,"POLIETILENO",'ENCUESTA CONDUCTORES'!$AX$7:$AX$459,"&lt;1.91")+COUNTIFS('ENCUESTA CONDUCTORES'!$AL$7:$AL$459,"X",'ENCUESTA CONDUCTORES'!$BS$7:$BS$459,"ELECTRODOMÉSTICOS",'ENCUESTA CONDUCTORES'!$AX$7:$AX$459,"&lt;1.91")+COUNTIFS('ENCUESTA CONDUCTORES'!$AL$7:$AL$459,"X",'ENCUESTA CONDUCTORES'!$BS$7:$BS$459,"MUEBLES",'ENCUESTA CONDUCTORES'!$AX$7:$AX$459,"&lt;1.91")+COUNTIFS('ENCUESTA CONDUCTORES'!$AL$7:$AL$459,"X",'ENCUESTA CONDUCTORES'!$BS$7:$BS$459,"CHATARRA",'ENCUESTA CONDUCTORES'!$AX$7:$AX$459,"&lt;1.91")+COUNTIFS('ENCUESTA CONDUCTORES'!$AL$7:$AL$459,"X",'ENCUESTA CONDUCTORES'!$BS$7:$BS$459,"LLANTAS",'ENCUESTA CONDUCTORES'!$AX$7:$AX$459,"&lt;1.91")+COUNTIFS('ENCUESTA CONDUCTORES'!$AL$7:$AL$459,"X",'ENCUESTA CONDUCTORES'!$BS$7:$BS$459,"AGUA",'ENCUESTA CONDUCTORES'!$AX$7:$AX$459,"&lt;1.91")+COUNTIFS('ENCUESTA CONDUCTORES'!$AL$7:$AL$459,"X",'ENCUESTA CONDUCTORES'!$BS$7:$BS$459,"ANIMALES",'ENCUESTA CONDUCTORES'!$AX$7:$AX$459,"&lt;1.91")+COUNTIFS('ENCUESTA CONDUCTORES'!$AL$7:$AL$459,"X",'ENCUESTA CONDUCTORES'!$BS$7:$BS$459,"TV REFRIGERADORES",'ENCUESTA CONDUCTORES'!$AX$7:$AX$459,"&lt;1.91")+COUNTIFS('ENCUESTA CONDUCTORES'!$AL$7:$AL$459,"X",'ENCUESTA CONDUCTORES'!$BS$7:$BS$459,"LÍNEA BLANCA",'ENCUESTA CONDUCTORES'!$AX$7:$AX$459,"&lt;1.91")+COUNTIFS('ENCUESTA CONDUCTORES'!$AL$7:$AL$459,"X",'ENCUESTA CONDUCTORES'!$BS$7:$BS$459,"IMPORTACIÓN / EXPORTACIÓN",'ENCUESTA CONDUCTORES'!$AX$7:$AX$459,"&lt;1.91")+COUNTIFS('ENCUESTA CONDUCTORES'!$AL$7:$AL$459,"X",'ENCUESTA CONDUCTORES'!$BS$7:$BS$459,"PLASTICO",'ENCUESTA CONDUCTORES'!$AX$7:$AX$459,"&lt;1.91")+COUNTIFS('ENCUESTA CONDUCTORES'!$AL$7:$AL$459,"X",'ENCUESTA CONDUCTORES'!$BS$7:$BS$459,"ROPA",'ENCUESTA CONDUCTORES'!$AX$7:$AX$459,"&lt;1.91")+COUNTIFS('ENCUESTA CONDUCTORES'!$AL$7:$AL$459,"X",'ENCUESTA CONDUCTORES'!$BS$7:$BS$459,"CHATARRA",'ENCUESTA CONDUCTORES'!$AX$7:$AX$459,"&lt;1.91")+COUNTIFS('ENCUESTA CONDUCTORES'!$AL$7:$AL$459,"X",'ENCUESTA CONDUCTORES'!$BS$7:$BS$459,"MEDICAMENTO NUTRICIONAL",'ENCUESTA CONDUCTORES'!$AX$7:$AX$459,"&lt;1.91")+COUNTIFS('ENCUESTA CONDUCTORES'!$AL$7:$AL$459,"X",'ENCUESTA CONDUCTORES'!$BS$7:$BS$459,"PRODUCTOS DE BELLEZA",'ENCUESTA CONDUCTORES'!$AX$7:$AX$459,"&lt;1.91")+COUNTIFS('ENCUESTA CONDUCTORES'!$AL$7:$AL$459,"X",'ENCUESTA CONDUCTORES'!$BS$7:$BS$459,"FORRAJE",'ENCUESTA CONDUCTORES'!$AX$7:$AX$459,"&lt;1.91")+COUNTIFS('ENCUESTA CONDUCTORES'!$AL$7:$AL$459,"X",'ENCUESTA CONDUCTORES'!$BS$7:$BS$459,"VALORES",'ENCUESTA CONDUCTORES'!$AX$7:$AX$459,"&lt;1.91")+COUNTIFS('ENCUESTA CONDUCTORES'!$AL$7:$AL$459,"X",'ENCUESTA CONDUCTORES'!$BS$7:$BS$459,"PAQUETERIA",'ENCUESTA CONDUCTORES'!$AX$7:$AX$459,"&lt;1.91")+COUNTIFS('ENCUESTA CONDUCTORES'!$AL$7:$AL$459,"X",'ENCUESTA CONDUCTORES'!$BS$7:$BS$459,"SECOS",'ENCUESTA CONDUCTORES'!$AX$7:$AX$459,"&lt;1.91")+COUNTIFS('ENCUESTA CONDUCTORES'!$AL$7:$AL$459,"X",'ENCUESTA CONDUCTORES'!$BS$7:$BS$459,"PANTALLAS",'ENCUESTA CONDUCTORES'!$AX$7:$AX$459,"&lt;1.91")+COUNTIFS('ENCUESTA CONDUCTORES'!$AL$7:$AL$459,"X",'ENCUESTA CONDUCTORES'!$BS$7:$BS$459,"BOTELLAS",'ENCUESTA CONDUCTORES'!$AX$7:$AX$459,"&lt;1.91")+COUNTIFS('ENCUESTA CONDUCTORES'!$AL$7:$AL$459,"X",'ENCUESTA CONDUCTORES'!$BS$7:$BS$459,"PRODUCTOS DE HIGIENE PERSONAL",'ENCUESTA CONDUCTORES'!$AX$7:$AX$459,"&lt;1.91")+COUNTIFS('ENCUESTA CONDUCTORES'!$AL$7:$AL$459,"X",'ENCUESTA CONDUCTORES'!$BS$7:$BS$459,"ELECTRONICA, LINEA BLANCA",'ENCUESTA CONDUCTORES'!$AX$7:$AX$459,"&lt;1.91")+COUNTIFS('ENCUESTA CONDUCTORES'!$AL$7:$AL$459,"X",'ENCUESTA CONDUCTORES'!$BS$7:$BS$459,"CONTENEDORES",'ENCUESTA CONDUCTORES'!$AX$7:$AX$459,"&lt;1.91")-AV180</f>
        <v>13</v>
      </c>
      <c r="AX180" s="90">
        <f>COUNTIFS('ENCUESTA CONDUCTORES'!$AL$7:$AL$459,"X",'ENCUESTA CONDUCTORES'!$BS$7:$BS$459,"CARRITOS DE GOLF",'ENCUESTA CONDUCTORES'!$AX$7:$AX$459,"&lt;2.01")+COUNTIFS('ENCUESTA CONDUCTORES'!$AL$7:$AL$459,"X",'ENCUESTA CONDUCTORES'!$BS$7:$BS$459,"MERCANCIA SECA",'ENCUESTA CONDUCTORES'!$AX$7:$AX$459,"&lt;2.01")+COUNTIFS('ENCUESTA CONDUCTORES'!$AL$7:$AL$459,"X",'ENCUESTA CONDUCTORES'!$BS$7:$BS$459,"PAPELERIA",'ENCUESTA CONDUCTORES'!$AX$7:$AX$459,"&lt;2.01")+COUNTIFS('ENCUESTA CONDUCTORES'!$AL$7:$AL$459,"X",'ENCUESTA CONDUCTORES'!$BS$7:$BS$459,"GENERAL",'ENCUESTA CONDUCTORES'!$AX$7:$AX$459,"&lt;2.01")+COUNTIFS('ENCUESTA CONDUCTORES'!$AL$7:$AL$459,"X",'ENCUESTA CONDUCTORES'!$BS$7:$BS$459,"MAQUINARIA",'ENCUESTA CONDUCTORES'!$AX$7:$AX$459,"&lt;2.01")+COUNTIFS('ENCUESTA CONDUCTORES'!$AL$7:$AL$459,"X",'ENCUESTA CONDUCTORES'!$BS$7:$BS$459,"CONTENEDOR",'ENCUESTA CONDUCTORES'!$AX$7:$AX$459,"&lt;2.01")+COUNTIFS('ENCUESTA CONDUCTORES'!$AL$7:$AL$459,"X",'ENCUESTA CONDUCTORES'!$BS$7:$BS$459,"MEDICAMENTOS",'ENCUESTA CONDUCTORES'!$AX$7:$AX$459,"&lt;2.01")+COUNTIFS('ENCUESTA CONDUCTORES'!$AL$7:$AL$459,"X",'ENCUESTA CONDUCTORES'!$BS$7:$BS$459,"AGUA POTABLE",'ENCUESTA CONDUCTORES'!$AX$7:$AX$459,"&lt;2.01")+COUNTIFS('ENCUESTA CONDUCTORES'!$AL$7:$AL$459,"X",'ENCUESTA CONDUCTORES'!$BS$7:$BS$459,"MUDANZAS",'ENCUESTA CONDUCTORES'!$AX$7:$AX$459,"&lt;2.01")+COUNTIFS('ENCUESTA CONDUCTORES'!$AL$7:$AL$459,"X",'ENCUESTA CONDUCTORES'!$BS$7:$BS$459,"JABON",'ENCUESTA CONDUCTORES'!$AX$7:$AX$459,"&lt;2.01")+COUNTIFS('ENCUESTA CONDUCTORES'!$AL$7:$AL$459,"X",'ENCUESTA CONDUCTORES'!$BS$7:$BS$459,"ACEITE",'ENCUESTA CONDUCTORES'!$AX$7:$AX$459,"&lt;2.01")+COUNTIFS('ENCUESTA CONDUCTORES'!$AL$7:$AL$459,"X",'ENCUESTA CONDUCTORES'!$BS$7:$BS$459,"POLIETILENO",'ENCUESTA CONDUCTORES'!$AX$7:$AX$459,"&lt;2.01")+COUNTIFS('ENCUESTA CONDUCTORES'!$AL$7:$AL$459,"X",'ENCUESTA CONDUCTORES'!$BS$7:$BS$459,"ELECTRODOMÉSTICOS",'ENCUESTA CONDUCTORES'!$AX$7:$AX$459,"&lt;2.01")+COUNTIFS('ENCUESTA CONDUCTORES'!$AL$7:$AL$459,"X",'ENCUESTA CONDUCTORES'!$BS$7:$BS$459,"MUEBLES",'ENCUESTA CONDUCTORES'!$AX$7:$AX$459,"&lt;2.01")+COUNTIFS('ENCUESTA CONDUCTORES'!$AL$7:$AL$459,"X",'ENCUESTA CONDUCTORES'!$BS$7:$BS$459,"CHATARRA",'ENCUESTA CONDUCTORES'!$AX$7:$AX$459,"&lt;2.01")+COUNTIFS('ENCUESTA CONDUCTORES'!$AL$7:$AL$459,"X",'ENCUESTA CONDUCTORES'!$BS$7:$BS$459,"LLANTAS",'ENCUESTA CONDUCTORES'!$AX$7:$AX$459,"&lt;2.01")+COUNTIFS('ENCUESTA CONDUCTORES'!$AL$7:$AL$459,"X",'ENCUESTA CONDUCTORES'!$BS$7:$BS$459,"AGUA",'ENCUESTA CONDUCTORES'!$AX$7:$AX$459,"&lt;2.01")+COUNTIFS('ENCUESTA CONDUCTORES'!$AL$7:$AL$459,"X",'ENCUESTA CONDUCTORES'!$BS$7:$BS$459,"ANIMALES",'ENCUESTA CONDUCTORES'!$AX$7:$AX$459,"&lt;2.01")+COUNTIFS('ENCUESTA CONDUCTORES'!$AL$7:$AL$459,"X",'ENCUESTA CONDUCTORES'!$BS$7:$BS$459,"TV REFRIGERADORES",'ENCUESTA CONDUCTORES'!$AX$7:$AX$459,"&lt;2.01")+COUNTIFS('ENCUESTA CONDUCTORES'!$AL$7:$AL$459,"X",'ENCUESTA CONDUCTORES'!$BS$7:$BS$459,"LÍNEA BLANCA",'ENCUESTA CONDUCTORES'!$AX$7:$AX$459,"&lt;2.01")+COUNTIFS('ENCUESTA CONDUCTORES'!$AL$7:$AL$459,"X",'ENCUESTA CONDUCTORES'!$BS$7:$BS$459,"IMPORTACIÓN / EXPORTACIÓN",'ENCUESTA CONDUCTORES'!$AX$7:$AX$459,"&lt;2.01")+COUNTIFS('ENCUESTA CONDUCTORES'!$AL$7:$AL$459,"X",'ENCUESTA CONDUCTORES'!$BS$7:$BS$459,"PLASTICO",'ENCUESTA CONDUCTORES'!$AX$7:$AX$459,"&lt;2.01")+COUNTIFS('ENCUESTA CONDUCTORES'!$AL$7:$AL$459,"X",'ENCUESTA CONDUCTORES'!$BS$7:$BS$459,"ROPA",'ENCUESTA CONDUCTORES'!$AX$7:$AX$459,"&lt;2.01")+COUNTIFS('ENCUESTA CONDUCTORES'!$AL$7:$AL$459,"X",'ENCUESTA CONDUCTORES'!$BS$7:$BS$459,"CHATARRA",'ENCUESTA CONDUCTORES'!$AX$7:$AX$459,"&lt;2.01")+COUNTIFS('ENCUESTA CONDUCTORES'!$AL$7:$AL$459,"X",'ENCUESTA CONDUCTORES'!$BS$7:$BS$459,"MEDICAMENTO NUTRICIONAL",'ENCUESTA CONDUCTORES'!$AX$7:$AX$459,"&lt;2.01")+COUNTIFS('ENCUESTA CONDUCTORES'!$AL$7:$AL$459,"X",'ENCUESTA CONDUCTORES'!$BS$7:$BS$459,"PRODUCTOS DE BELLEZA",'ENCUESTA CONDUCTORES'!$AX$7:$AX$459,"&lt;2.01")+COUNTIFS('ENCUESTA CONDUCTORES'!$AL$7:$AL$459,"X",'ENCUESTA CONDUCTORES'!$BS$7:$BS$459,"FORRAJE",'ENCUESTA CONDUCTORES'!$AX$7:$AX$459,"&lt;2.01")+COUNTIFS('ENCUESTA CONDUCTORES'!$AL$7:$AL$459,"X",'ENCUESTA CONDUCTORES'!$BS$7:$BS$459,"VALORES",'ENCUESTA CONDUCTORES'!$AX$7:$AX$459,"&lt;2.01")+COUNTIFS('ENCUESTA CONDUCTORES'!$AL$7:$AL$459,"X",'ENCUESTA CONDUCTORES'!$BS$7:$BS$459,"PAQUETERIA",'ENCUESTA CONDUCTORES'!$AX$7:$AX$459,"&lt;2.01")+COUNTIFS('ENCUESTA CONDUCTORES'!$AL$7:$AL$459,"X",'ENCUESTA CONDUCTORES'!$BS$7:$BS$459,"SECOS",'ENCUESTA CONDUCTORES'!$AX$7:$AX$459,"&lt;2.01")+COUNTIFS('ENCUESTA CONDUCTORES'!$AL$7:$AL$459,"X",'ENCUESTA CONDUCTORES'!$BS$7:$BS$459,"PANTALLAS",'ENCUESTA CONDUCTORES'!$AX$7:$AX$459,"&lt;2.01")+COUNTIFS('ENCUESTA CONDUCTORES'!$AL$7:$AL$459,"X",'ENCUESTA CONDUCTORES'!$BS$7:$BS$459,"BOTELLAS",'ENCUESTA CONDUCTORES'!$AX$7:$AX$459,"&lt;2.01")+COUNTIFS('ENCUESTA CONDUCTORES'!$AL$7:$AL$459,"X",'ENCUESTA CONDUCTORES'!$BS$7:$BS$459,"PRODUCTOS DE HIGIENE PERSONAL",'ENCUESTA CONDUCTORES'!$AX$7:$AX$459,"&lt;2.01")+COUNTIFS('ENCUESTA CONDUCTORES'!$AL$7:$AL$459,"X",'ENCUESTA CONDUCTORES'!$BS$7:$BS$459,"ELECTRONICA, LINEA BLANCA",'ENCUESTA CONDUCTORES'!$AX$7:$AX$459,"&lt;2.01")+COUNTIFS('ENCUESTA CONDUCTORES'!$AL$7:$AL$459,"X",'ENCUESTA CONDUCTORES'!$BS$7:$BS$459,"CONTENEDORES",'ENCUESTA CONDUCTORES'!$AX$7:$AX$459,"&lt;2.01")-AW180-AV180</f>
        <v>11</v>
      </c>
      <c r="AY180" s="90">
        <f>COUNTIFS('ENCUESTA CONDUCTORES'!$AL$7:$AL$459,"X",'ENCUESTA CONDUCTORES'!$BS$7:$BS$459,"CARRITOS DE GOLF",'ENCUESTA CONDUCTORES'!$AX$7:$AX$459,"&lt;2.21")+COUNTIFS('ENCUESTA CONDUCTORES'!$AL$7:$AL$459,"X",'ENCUESTA CONDUCTORES'!$BS$7:$BS$459,"MERCANCIA SECA",'ENCUESTA CONDUCTORES'!$AX$7:$AX$459,"&lt;2.21")+COUNTIFS('ENCUESTA CONDUCTORES'!$AL$7:$AL$459,"X",'ENCUESTA CONDUCTORES'!$BS$7:$BS$459,"PAPELERIA",'ENCUESTA CONDUCTORES'!$AX$7:$AX$459,"&lt;2.21")+COUNTIFS('ENCUESTA CONDUCTORES'!$AL$7:$AL$459,"X",'ENCUESTA CONDUCTORES'!$BS$7:$BS$459,"GENERAL",'ENCUESTA CONDUCTORES'!$AX$7:$AX$459,"&lt;2.21")+COUNTIFS('ENCUESTA CONDUCTORES'!$AL$7:$AL$459,"X",'ENCUESTA CONDUCTORES'!$BS$7:$BS$459,"MAQUINARIA",'ENCUESTA CONDUCTORES'!$AX$7:$AX$459,"&lt;2.21")+COUNTIFS('ENCUESTA CONDUCTORES'!$AL$7:$AL$459,"X",'ENCUESTA CONDUCTORES'!$BS$7:$BS$459,"CONTENEDOR",'ENCUESTA CONDUCTORES'!$AX$7:$AX$459,"&lt;2.21")+COUNTIFS('ENCUESTA CONDUCTORES'!$AL$7:$AL$459,"X",'ENCUESTA CONDUCTORES'!$BS$7:$BS$459,"MEDICAMENTOS",'ENCUESTA CONDUCTORES'!$AX$7:$AX$459,"&lt;2.21")+COUNTIFS('ENCUESTA CONDUCTORES'!$AL$7:$AL$459,"X",'ENCUESTA CONDUCTORES'!$BS$7:$BS$459,"AGUA POTABLE",'ENCUESTA CONDUCTORES'!$AX$7:$AX$459,"&lt;2.21")+COUNTIFS('ENCUESTA CONDUCTORES'!$AL$7:$AL$459,"X",'ENCUESTA CONDUCTORES'!$BS$7:$BS$459,"MUDANZAS",'ENCUESTA CONDUCTORES'!$AX$7:$AX$459,"&lt;2.21")+COUNTIFS('ENCUESTA CONDUCTORES'!$AL$7:$AL$459,"X",'ENCUESTA CONDUCTORES'!$BS$7:$BS$459,"JABON",'ENCUESTA CONDUCTORES'!$AX$7:$AX$459,"&lt;2.21")+COUNTIFS('ENCUESTA CONDUCTORES'!$AL$7:$AL$459,"X",'ENCUESTA CONDUCTORES'!$BS$7:$BS$459,"ACEITE",'ENCUESTA CONDUCTORES'!$AX$7:$AX$459,"&lt;2.21")+COUNTIFS('ENCUESTA CONDUCTORES'!$AL$7:$AL$459,"X",'ENCUESTA CONDUCTORES'!$BS$7:$BS$459,"POLIETILENO",'ENCUESTA CONDUCTORES'!$AX$7:$AX$459,"&lt;2.21")+COUNTIFS('ENCUESTA CONDUCTORES'!$AL$7:$AL$459,"X",'ENCUESTA CONDUCTORES'!$BS$7:$BS$459,"ELECTRODOMÉSTICOS",'ENCUESTA CONDUCTORES'!$AX$7:$AX$459,"&lt;2.21")+COUNTIFS('ENCUESTA CONDUCTORES'!$AL$7:$AL$459,"X",'ENCUESTA CONDUCTORES'!$BS$7:$BS$459,"MUEBLES",'ENCUESTA CONDUCTORES'!$AX$7:$AX$459,"&lt;2.21")+COUNTIFS('ENCUESTA CONDUCTORES'!$AL$7:$AL$459,"X",'ENCUESTA CONDUCTORES'!$BS$7:$BS$459,"CHATARRA",'ENCUESTA CONDUCTORES'!$AX$7:$AX$459,"&lt;2.21")+COUNTIFS('ENCUESTA CONDUCTORES'!$AL$7:$AL$459,"X",'ENCUESTA CONDUCTORES'!$BS$7:$BS$459,"LLANTAS",'ENCUESTA CONDUCTORES'!$AX$7:$AX$459,"&lt;2.21")+COUNTIFS('ENCUESTA CONDUCTORES'!$AL$7:$AL$459,"X",'ENCUESTA CONDUCTORES'!$BS$7:$BS$459,"AGUA",'ENCUESTA CONDUCTORES'!$AX$7:$AX$459,"&lt;2.21")+COUNTIFS('ENCUESTA CONDUCTORES'!$AL$7:$AL$459,"X",'ENCUESTA CONDUCTORES'!$BS$7:$BS$459,"ANIMALES",'ENCUESTA CONDUCTORES'!$AX$7:$AX$459,"&lt;2.21")+COUNTIFS('ENCUESTA CONDUCTORES'!$AL$7:$AL$459,"X",'ENCUESTA CONDUCTORES'!$BS$7:$BS$459,"TV REFRIGERADORES",'ENCUESTA CONDUCTORES'!$AX$7:$AX$459,"&lt;2.21")+COUNTIFS('ENCUESTA CONDUCTORES'!$AL$7:$AL$459,"X",'ENCUESTA CONDUCTORES'!$BS$7:$BS$459,"LÍNEA BLANCA",'ENCUESTA CONDUCTORES'!$AX$7:$AX$459,"&lt;2.21")+COUNTIFS('ENCUESTA CONDUCTORES'!$AL$7:$AL$459,"X",'ENCUESTA CONDUCTORES'!$BS$7:$BS$459,"IMPORTACIÓN / EXPORTACIÓN",'ENCUESTA CONDUCTORES'!$AX$7:$AX$459,"&lt;2.21")+COUNTIFS('ENCUESTA CONDUCTORES'!$AL$7:$AL$459,"X",'ENCUESTA CONDUCTORES'!$BS$7:$BS$459,"PLASTICO",'ENCUESTA CONDUCTORES'!$AX$7:$AX$459,"&lt;2.21")+COUNTIFS('ENCUESTA CONDUCTORES'!$AL$7:$AL$459,"X",'ENCUESTA CONDUCTORES'!$BS$7:$BS$459,"ROPA",'ENCUESTA CONDUCTORES'!$AX$7:$AX$459,"&lt;2.21")+COUNTIFS('ENCUESTA CONDUCTORES'!$AL$7:$AL$459,"X",'ENCUESTA CONDUCTORES'!$BS$7:$BS$459,"CHATARRA",'ENCUESTA CONDUCTORES'!$AX$7:$AX$459,"&lt;2.21")+COUNTIFS('ENCUESTA CONDUCTORES'!$AL$7:$AL$459,"X",'ENCUESTA CONDUCTORES'!$BS$7:$BS$459,"MEDICAMENTO NUTRICIONAL",'ENCUESTA CONDUCTORES'!$AX$7:$AX$459,"&lt;2.21")+COUNTIFS('ENCUESTA CONDUCTORES'!$AL$7:$AL$459,"X",'ENCUESTA CONDUCTORES'!$BS$7:$BS$459,"PRODUCTOS DE BELLEZA",'ENCUESTA CONDUCTORES'!$AX$7:$AX$459,"&lt;2.21")+COUNTIFS('ENCUESTA CONDUCTORES'!$AL$7:$AL$459,"X",'ENCUESTA CONDUCTORES'!$BS$7:$BS$459,"FORRAJE",'ENCUESTA CONDUCTORES'!$AX$7:$AX$459,"&lt;2.21")+COUNTIFS('ENCUESTA CONDUCTORES'!$AL$7:$AL$459,"X",'ENCUESTA CONDUCTORES'!$BS$7:$BS$459,"VALORES",'ENCUESTA CONDUCTORES'!$AX$7:$AX$459,"&lt;2.21")+COUNTIFS('ENCUESTA CONDUCTORES'!$AL$7:$AL$459,"X",'ENCUESTA CONDUCTORES'!$BS$7:$BS$459,"PAQUETERIA",'ENCUESTA CONDUCTORES'!$AX$7:$AX$459,"&lt;2.21")+COUNTIFS('ENCUESTA CONDUCTORES'!$AL$7:$AL$459,"X",'ENCUESTA CONDUCTORES'!$BS$7:$BS$459,"SECOS",'ENCUESTA CONDUCTORES'!$AX$7:$AX$459,"&lt;2.21")+COUNTIFS('ENCUESTA CONDUCTORES'!$AL$7:$AL$459,"X",'ENCUESTA CONDUCTORES'!$BS$7:$BS$459,"PANTALLAS",'ENCUESTA CONDUCTORES'!$AX$7:$AX$459,"&lt;2.21")+COUNTIFS('ENCUESTA CONDUCTORES'!$AL$7:$AL$459,"X",'ENCUESTA CONDUCTORES'!$BS$7:$BS$459,"BOTELLAS",'ENCUESTA CONDUCTORES'!$AX$7:$AX$459,"&lt;2.21")+COUNTIFS('ENCUESTA CONDUCTORES'!$AL$7:$AL$459,"X",'ENCUESTA CONDUCTORES'!$BS$7:$BS$459,"PRODUCTOS DE HIGIENE PERSONAL",'ENCUESTA CONDUCTORES'!$AX$7:$AX$459,"&lt;2.21")+COUNTIFS('ENCUESTA CONDUCTORES'!$AL$7:$AL$459,"X",'ENCUESTA CONDUCTORES'!$BS$7:$BS$459,"ELECTRONICA, LINEA BLANCA",'ENCUESTA CONDUCTORES'!$AX$7:$AX$459,"&lt;2.21")+COUNTIFS('ENCUESTA CONDUCTORES'!$AL$7:$AL$459,"X",'ENCUESTA CONDUCTORES'!$BS$7:$BS$459,"CONTENEDORES",'ENCUESTA CONDUCTORES'!$AX$7:$AX$459,"&lt;2.21")-AX180-AW180-AV180</f>
        <v>10</v>
      </c>
      <c r="AZ180" s="90">
        <f>COUNTIFS('ENCUESTA CONDUCTORES'!$AL$7:$AL$459,"X",'ENCUESTA CONDUCTORES'!$BS$7:$BS$459,"CARRITOS DE GOLF",'ENCUESTA CONDUCTORES'!$AX$7:$AX$459,"&lt;2.51")+COUNTIFS('ENCUESTA CONDUCTORES'!$AL$7:$AL$459,"X",'ENCUESTA CONDUCTORES'!$BS$7:$BS$459,"MERCANCIA SECA",'ENCUESTA CONDUCTORES'!$AX$7:$AX$459,"&lt;2.51")+COUNTIFS('ENCUESTA CONDUCTORES'!$AL$7:$AL$459,"X",'ENCUESTA CONDUCTORES'!$BS$7:$BS$459,"PAPELERIA",'ENCUESTA CONDUCTORES'!$AX$7:$AX$459,"&lt;2.51")+COUNTIFS('ENCUESTA CONDUCTORES'!$AL$7:$AL$459,"X",'ENCUESTA CONDUCTORES'!$BS$7:$BS$459,"GENERAL",'ENCUESTA CONDUCTORES'!$AX$7:$AX$459,"&lt;2.51")+COUNTIFS('ENCUESTA CONDUCTORES'!$AL$7:$AL$459,"X",'ENCUESTA CONDUCTORES'!$BS$7:$BS$459,"MAQUINARIA",'ENCUESTA CONDUCTORES'!$AX$7:$AX$459,"&lt;2.51")+COUNTIFS('ENCUESTA CONDUCTORES'!$AL$7:$AL$459,"X",'ENCUESTA CONDUCTORES'!$BS$7:$BS$459,"CONTENEDOR",'ENCUESTA CONDUCTORES'!$AX$7:$AX$459,"&lt;2.51")+COUNTIFS('ENCUESTA CONDUCTORES'!$AL$7:$AL$459,"X",'ENCUESTA CONDUCTORES'!$BS$7:$BS$459,"MEDICAMENTOS",'ENCUESTA CONDUCTORES'!$AX$7:$AX$459,"&lt;2.51")+COUNTIFS('ENCUESTA CONDUCTORES'!$AL$7:$AL$459,"X",'ENCUESTA CONDUCTORES'!$BS$7:$BS$459,"AGUA POTABLE",'ENCUESTA CONDUCTORES'!$AX$7:$AX$459,"&lt;2.51")+COUNTIFS('ENCUESTA CONDUCTORES'!$AL$7:$AL$459,"X",'ENCUESTA CONDUCTORES'!$BS$7:$BS$459,"MUDANZAS",'ENCUESTA CONDUCTORES'!$AX$7:$AX$459,"&lt;2.51")+COUNTIFS('ENCUESTA CONDUCTORES'!$AL$7:$AL$459,"X",'ENCUESTA CONDUCTORES'!$BS$7:$BS$459,"JABON",'ENCUESTA CONDUCTORES'!$AX$7:$AX$459,"&lt;2.51")+COUNTIFS('ENCUESTA CONDUCTORES'!$AL$7:$AL$459,"X",'ENCUESTA CONDUCTORES'!$BS$7:$BS$459,"ACEITE",'ENCUESTA CONDUCTORES'!$AX$7:$AX$459,"&lt;2.51")+COUNTIFS('ENCUESTA CONDUCTORES'!$AL$7:$AL$459,"X",'ENCUESTA CONDUCTORES'!$BS$7:$BS$459,"POLIETILENO",'ENCUESTA CONDUCTORES'!$AX$7:$AX$459,"&lt;2.51")+COUNTIFS('ENCUESTA CONDUCTORES'!$AL$7:$AL$459,"X",'ENCUESTA CONDUCTORES'!$BS$7:$BS$459,"ELECTRODOMÉSTICOS",'ENCUESTA CONDUCTORES'!$AX$7:$AX$459,"&lt;2.51")+COUNTIFS('ENCUESTA CONDUCTORES'!$AL$7:$AL$459,"X",'ENCUESTA CONDUCTORES'!$BS$7:$BS$459,"MUEBLES",'ENCUESTA CONDUCTORES'!$AX$7:$AX$459,"&lt;2.51")+COUNTIFS('ENCUESTA CONDUCTORES'!$AL$7:$AL$459,"X",'ENCUESTA CONDUCTORES'!$BS$7:$BS$459,"CHATARRA",'ENCUESTA CONDUCTORES'!$AX$7:$AX$459,"&lt;2.51")+COUNTIFS('ENCUESTA CONDUCTORES'!$AL$7:$AL$459,"X",'ENCUESTA CONDUCTORES'!$BS$7:$BS$459,"LLANTAS",'ENCUESTA CONDUCTORES'!$AX$7:$AX$459,"&lt;2.51")+COUNTIFS('ENCUESTA CONDUCTORES'!$AL$7:$AL$459,"X",'ENCUESTA CONDUCTORES'!$BS$7:$BS$459,"AGUA",'ENCUESTA CONDUCTORES'!$AX$7:$AX$459,"&lt;2.51")+COUNTIFS('ENCUESTA CONDUCTORES'!$AL$7:$AL$459,"X",'ENCUESTA CONDUCTORES'!$BS$7:$BS$459,"ANIMALES",'ENCUESTA CONDUCTORES'!$AX$7:$AX$459,"&lt;2.51")+COUNTIFS('ENCUESTA CONDUCTORES'!$AL$7:$AL$459,"X",'ENCUESTA CONDUCTORES'!$BS$7:$BS$459,"TV REFRIGERADORES",'ENCUESTA CONDUCTORES'!$AX$7:$AX$459,"&lt;2.51")+COUNTIFS('ENCUESTA CONDUCTORES'!$AL$7:$AL$459,"X",'ENCUESTA CONDUCTORES'!$BS$7:$BS$459,"LÍNEA BLANCA",'ENCUESTA CONDUCTORES'!$AX$7:$AX$459,"&lt;2.51")+COUNTIFS('ENCUESTA CONDUCTORES'!$AL$7:$AL$459,"X",'ENCUESTA CONDUCTORES'!$BS$7:$BS$459,"IMPORTACIÓN / EXPORTACIÓN",'ENCUESTA CONDUCTORES'!$AX$7:$AX$459,"&lt;2.51")+COUNTIFS('ENCUESTA CONDUCTORES'!$AL$7:$AL$459,"X",'ENCUESTA CONDUCTORES'!$BS$7:$BS$459,"PLASTICO",'ENCUESTA CONDUCTORES'!$AX$7:$AX$459,"&lt;2.51")+COUNTIFS('ENCUESTA CONDUCTORES'!$AL$7:$AL$459,"X",'ENCUESTA CONDUCTORES'!$BS$7:$BS$459,"ROPA",'ENCUESTA CONDUCTORES'!$AX$7:$AX$459,"&lt;2.51")+COUNTIFS('ENCUESTA CONDUCTORES'!$AL$7:$AL$459,"X",'ENCUESTA CONDUCTORES'!$BS$7:$BS$459,"CHATARRA",'ENCUESTA CONDUCTORES'!$AX$7:$AX$459,"&lt;2.51")+COUNTIFS('ENCUESTA CONDUCTORES'!$AL$7:$AL$459,"X",'ENCUESTA CONDUCTORES'!$BS$7:$BS$459,"MEDICAMENTO NUTRICIONAL",'ENCUESTA CONDUCTORES'!$AX$7:$AX$459,"&lt;2.51")+COUNTIFS('ENCUESTA CONDUCTORES'!$AL$7:$AL$459,"X",'ENCUESTA CONDUCTORES'!$BS$7:$BS$459,"PRODUCTOS DE BELLEZA",'ENCUESTA CONDUCTORES'!$AX$7:$AX$459,"&lt;2.51")+COUNTIFS('ENCUESTA CONDUCTORES'!$AL$7:$AL$459,"X",'ENCUESTA CONDUCTORES'!$BS$7:$BS$459,"FORRAJE",'ENCUESTA CONDUCTORES'!$AX$7:$AX$459,"&lt;2.51")+COUNTIFS('ENCUESTA CONDUCTORES'!$AL$7:$AL$459,"X",'ENCUESTA CONDUCTORES'!$BS$7:$BS$459,"VALORES",'ENCUESTA CONDUCTORES'!$AX$7:$AX$459,"&lt;2.51")+COUNTIFS('ENCUESTA CONDUCTORES'!$AL$7:$AL$459,"X",'ENCUESTA CONDUCTORES'!$BS$7:$BS$459,"PAQUETERIA",'ENCUESTA CONDUCTORES'!$AX$7:$AX$459,"&lt;2.51")+COUNTIFS('ENCUESTA CONDUCTORES'!$AL$7:$AL$459,"X",'ENCUESTA CONDUCTORES'!$BS$7:$BS$459,"SECOS",'ENCUESTA CONDUCTORES'!$AX$7:$AX$459,"&lt;2.51")+COUNTIFS('ENCUESTA CONDUCTORES'!$AL$7:$AL$459,"X",'ENCUESTA CONDUCTORES'!$BS$7:$BS$459,"PANTALLAS",'ENCUESTA CONDUCTORES'!$AX$7:$AX$459,"&lt;2.51")+COUNTIFS('ENCUESTA CONDUCTORES'!$AL$7:$AL$459,"X",'ENCUESTA CONDUCTORES'!$BS$7:$BS$459,"BOTELLAS",'ENCUESTA CONDUCTORES'!$AX$7:$AX$459,"&lt;2.51")+COUNTIFS('ENCUESTA CONDUCTORES'!$AL$7:$AL$459,"X",'ENCUESTA CONDUCTORES'!$BS$7:$BS$459,"PRODUCTOS DE HIGIENE PERSONAL",'ENCUESTA CONDUCTORES'!$AX$7:$AX$459,"&lt;2.51")+COUNTIFS('ENCUESTA CONDUCTORES'!$AL$7:$AL$459,"X",'ENCUESTA CONDUCTORES'!$BS$7:$BS$459,"ELECTRONICA, LINEA BLANCA",'ENCUESTA CONDUCTORES'!$AX$7:$AX$459,"&lt;2.51")+COUNTIFS('ENCUESTA CONDUCTORES'!$AL$7:$AL$459,"X",'ENCUESTA CONDUCTORES'!$BS$7:$BS$459,"CONTENEDORES",'ENCUESTA CONDUCTORES'!$AX$7:$AX$459,"&lt;2.51")-AY180-AX180-AW180-AV180</f>
        <v>30</v>
      </c>
      <c r="BA180" s="90">
        <f>COUNTIFS('ENCUESTA CONDUCTORES'!$AL$7:$AL$459,"X",'ENCUESTA CONDUCTORES'!$BS$7:$BS$459,"CARRITOS DE GOLF",'ENCUESTA CONDUCTORES'!$AX$7:$AX$459,"&lt;3.01")+COUNTIFS('ENCUESTA CONDUCTORES'!$AL$7:$AL$459,"X",'ENCUESTA CONDUCTORES'!$BS$7:$BS$459,"MERCANCIA SECA",'ENCUESTA CONDUCTORES'!$AX$7:$AX$459,"&lt;3.01")+COUNTIFS('ENCUESTA CONDUCTORES'!$AL$7:$AL$459,"X",'ENCUESTA CONDUCTORES'!$BS$7:$BS$459,"PAPELERIA",'ENCUESTA CONDUCTORES'!$AX$7:$AX$459,"&lt;3.01")+COUNTIFS('ENCUESTA CONDUCTORES'!$AL$7:$AL$459,"X",'ENCUESTA CONDUCTORES'!$BS$7:$BS$459,"GENERAL",'ENCUESTA CONDUCTORES'!$AX$7:$AX$459,"&lt;3.01")+COUNTIFS('ENCUESTA CONDUCTORES'!$AL$7:$AL$459,"X",'ENCUESTA CONDUCTORES'!$BS$7:$BS$459,"MAQUINARIA",'ENCUESTA CONDUCTORES'!$AX$7:$AX$459,"&lt;3.01")+COUNTIFS('ENCUESTA CONDUCTORES'!$AL$7:$AL$459,"X",'ENCUESTA CONDUCTORES'!$BS$7:$BS$459,"CONTENEDOR",'ENCUESTA CONDUCTORES'!$AX$7:$AX$459,"&lt;3.01")+COUNTIFS('ENCUESTA CONDUCTORES'!$AL$7:$AL$459,"X",'ENCUESTA CONDUCTORES'!$BS$7:$BS$459,"MEDICAMENTOS",'ENCUESTA CONDUCTORES'!$AX$7:$AX$459,"&lt;3.01")+COUNTIFS('ENCUESTA CONDUCTORES'!$AL$7:$AL$459,"X",'ENCUESTA CONDUCTORES'!$BS$7:$BS$459,"AGUA POTABLE",'ENCUESTA CONDUCTORES'!$AX$7:$AX$459,"&lt;3.01")+COUNTIFS('ENCUESTA CONDUCTORES'!$AL$7:$AL$459,"X",'ENCUESTA CONDUCTORES'!$BS$7:$BS$459,"MUDANZAS",'ENCUESTA CONDUCTORES'!$AX$7:$AX$459,"&lt;3.01")+COUNTIFS('ENCUESTA CONDUCTORES'!$AL$7:$AL$459,"X",'ENCUESTA CONDUCTORES'!$BS$7:$BS$459,"JABON",'ENCUESTA CONDUCTORES'!$AX$7:$AX$459,"&lt;3.01")+COUNTIFS('ENCUESTA CONDUCTORES'!$AL$7:$AL$459,"X",'ENCUESTA CONDUCTORES'!$BS$7:$BS$459,"ACEITE",'ENCUESTA CONDUCTORES'!$AX$7:$AX$459,"&lt;3.01")+COUNTIFS('ENCUESTA CONDUCTORES'!$AL$7:$AL$459,"X",'ENCUESTA CONDUCTORES'!$BS$7:$BS$459,"POLIETILENO",'ENCUESTA CONDUCTORES'!$AX$7:$AX$459,"&lt;3.01")+COUNTIFS('ENCUESTA CONDUCTORES'!$AL$7:$AL$459,"X",'ENCUESTA CONDUCTORES'!$BS$7:$BS$459,"ELECTRODOMÉSTICOS",'ENCUESTA CONDUCTORES'!$AX$7:$AX$459,"&lt;3.01")+COUNTIFS('ENCUESTA CONDUCTORES'!$AL$7:$AL$459,"X",'ENCUESTA CONDUCTORES'!$BS$7:$BS$459,"MUEBLES",'ENCUESTA CONDUCTORES'!$AX$7:$AX$459,"&lt;3.01")+COUNTIFS('ENCUESTA CONDUCTORES'!$AL$7:$AL$459,"X",'ENCUESTA CONDUCTORES'!$BS$7:$BS$459,"CHATARRA",'ENCUESTA CONDUCTORES'!$AX$7:$AX$459,"&lt;3.01")+COUNTIFS('ENCUESTA CONDUCTORES'!$AL$7:$AL$459,"X",'ENCUESTA CONDUCTORES'!$BS$7:$BS$459,"LLANTAS",'ENCUESTA CONDUCTORES'!$AX$7:$AX$459,"&lt;3.01")+COUNTIFS('ENCUESTA CONDUCTORES'!$AL$7:$AL$459,"X",'ENCUESTA CONDUCTORES'!$BS$7:$BS$459,"AGUA",'ENCUESTA CONDUCTORES'!$AX$7:$AX$459,"&lt;3.01")+COUNTIFS('ENCUESTA CONDUCTORES'!$AL$7:$AL$459,"X",'ENCUESTA CONDUCTORES'!$BS$7:$BS$459,"ANIMALES",'ENCUESTA CONDUCTORES'!$AX$7:$AX$459,"&lt;3.01")+COUNTIFS('ENCUESTA CONDUCTORES'!$AL$7:$AL$459,"X",'ENCUESTA CONDUCTORES'!$BS$7:$BS$459,"TV REFRIGERADORES",'ENCUESTA CONDUCTORES'!$AX$7:$AX$459,"&lt;3.01")+COUNTIFS('ENCUESTA CONDUCTORES'!$AL$7:$AL$459,"X",'ENCUESTA CONDUCTORES'!$BS$7:$BS$459,"LÍNEA BLANCA",'ENCUESTA CONDUCTORES'!$AX$7:$AX$459,"&lt;3.01")+COUNTIFS('ENCUESTA CONDUCTORES'!$AL$7:$AL$459,"X",'ENCUESTA CONDUCTORES'!$BS$7:$BS$459,"IMPORTACIÓN / EXPORTACIÓN",'ENCUESTA CONDUCTORES'!$AX$7:$AX$459,"&lt;3.01")+COUNTIFS('ENCUESTA CONDUCTORES'!$AL$7:$AL$459,"X",'ENCUESTA CONDUCTORES'!$BS$7:$BS$459,"PLASTICO",'ENCUESTA CONDUCTORES'!$AX$7:$AX$459,"&lt;3.01")+COUNTIFS('ENCUESTA CONDUCTORES'!$AL$7:$AL$459,"X",'ENCUESTA CONDUCTORES'!$BS$7:$BS$459,"ROPA",'ENCUESTA CONDUCTORES'!$AX$7:$AX$459,"&lt;3.01")+COUNTIFS('ENCUESTA CONDUCTORES'!$AL$7:$AL$459,"X",'ENCUESTA CONDUCTORES'!$BS$7:$BS$459,"CHATARRA",'ENCUESTA CONDUCTORES'!$AX$7:$AX$459,"&lt;3.01")+COUNTIFS('ENCUESTA CONDUCTORES'!$AL$7:$AL$459,"X",'ENCUESTA CONDUCTORES'!$BS$7:$BS$459,"MEDICAMENTO NUTRICIONAL",'ENCUESTA CONDUCTORES'!$AX$7:$AX$459,"&lt;3.01")+COUNTIFS('ENCUESTA CONDUCTORES'!$AL$7:$AL$459,"X",'ENCUESTA CONDUCTORES'!$BS$7:$BS$459,"PRODUCTOS DE BELLEZA",'ENCUESTA CONDUCTORES'!$AX$7:$AX$459,"&lt;3.01")+COUNTIFS('ENCUESTA CONDUCTORES'!$AL$7:$AL$459,"X",'ENCUESTA CONDUCTORES'!$BS$7:$BS$459,"FORRAJE",'ENCUESTA CONDUCTORES'!$AX$7:$AX$459,"&lt;3.01")+COUNTIFS('ENCUESTA CONDUCTORES'!$AL$7:$AL$459,"X",'ENCUESTA CONDUCTORES'!$BS$7:$BS$459,"VALORES",'ENCUESTA CONDUCTORES'!$AX$7:$AX$459,"&lt;3.01")+COUNTIFS('ENCUESTA CONDUCTORES'!$AL$7:$AL$459,"X",'ENCUESTA CONDUCTORES'!$BS$7:$BS$459,"PAQUETERIA",'ENCUESTA CONDUCTORES'!$AX$7:$AX$459,"&lt;3.01")+COUNTIFS('ENCUESTA CONDUCTORES'!$AL$7:$AL$459,"X",'ENCUESTA CONDUCTORES'!$BS$7:$BS$459,"SECOS",'ENCUESTA CONDUCTORES'!$AX$7:$AX$459,"&lt;3.01")+COUNTIFS('ENCUESTA CONDUCTORES'!$AL$7:$AL$459,"X",'ENCUESTA CONDUCTORES'!$BS$7:$BS$459,"PANTALLAS",'ENCUESTA CONDUCTORES'!$AX$7:$AX$459,"&lt;3.01")+COUNTIFS('ENCUESTA CONDUCTORES'!$AL$7:$AL$459,"X",'ENCUESTA CONDUCTORES'!$BS$7:$BS$459,"BOTELLAS",'ENCUESTA CONDUCTORES'!$AX$7:$AX$459,"&lt;3.01")+COUNTIFS('ENCUESTA CONDUCTORES'!$AL$7:$AL$459,"X",'ENCUESTA CONDUCTORES'!$BS$7:$BS$459,"PRODUCTOS DE HIGIENE PERSONAL",'ENCUESTA CONDUCTORES'!$AX$7:$AX$459,"&lt;3.01")+COUNTIFS('ENCUESTA CONDUCTORES'!$AL$7:$AL$459,"X",'ENCUESTA CONDUCTORES'!$BS$7:$BS$459,"ELECTRONICA, LINEA BLANCA",'ENCUESTA CONDUCTORES'!$AX$7:$AX$459,"&lt;3.01")+COUNTIFS('ENCUESTA CONDUCTORES'!$AL$7:$AL$459,"X",'ENCUESTA CONDUCTORES'!$BS$7:$BS$459,"CONTENEDORES",'ENCUESTA CONDUCTORES'!$AX$7:$AX$459,"&lt;3.01")-AZ180-AY180-AX180-AW180-AV180</f>
        <v>19</v>
      </c>
      <c r="BB180" s="90">
        <f>COUNTIFS('ENCUESTA CONDUCTORES'!$AL$7:$AL$459,"X",'ENCUESTA CONDUCTORES'!$BS$7:$BS$459,"CARRITOS DE GOLF",'ENCUESTA CONDUCTORES'!$AX$7:$AX$459,"&lt;4.01")+COUNTIFS('ENCUESTA CONDUCTORES'!$AL$7:$AL$459,"X",'ENCUESTA CONDUCTORES'!$BS$7:$BS$459,"MERCANCIA SECA",'ENCUESTA CONDUCTORES'!$AX$7:$AX$459,"&lt;4.01")+COUNTIFS('ENCUESTA CONDUCTORES'!$AL$7:$AL$459,"X",'ENCUESTA CONDUCTORES'!$BS$7:$BS$459,"PAPELERIA",'ENCUESTA CONDUCTORES'!$AX$7:$AX$459,"&lt;4.01")+COUNTIFS('ENCUESTA CONDUCTORES'!$AL$7:$AL$459,"X",'ENCUESTA CONDUCTORES'!$BS$7:$BS$459,"GENERAL",'ENCUESTA CONDUCTORES'!$AX$7:$AX$459,"&lt;4.01")+COUNTIFS('ENCUESTA CONDUCTORES'!$AL$7:$AL$459,"X",'ENCUESTA CONDUCTORES'!$BS$7:$BS$459,"MAQUINARIA",'ENCUESTA CONDUCTORES'!$AX$7:$AX$459,"&lt;4.01")+COUNTIFS('ENCUESTA CONDUCTORES'!$AL$7:$AL$459,"X",'ENCUESTA CONDUCTORES'!$BS$7:$BS$459,"CONTENEDOR",'ENCUESTA CONDUCTORES'!$AX$7:$AX$459,"&lt;4.01")+COUNTIFS('ENCUESTA CONDUCTORES'!$AL$7:$AL$459,"X",'ENCUESTA CONDUCTORES'!$BS$7:$BS$459,"MEDICAMENTOS",'ENCUESTA CONDUCTORES'!$AX$7:$AX$459,"&lt;4.01")+COUNTIFS('ENCUESTA CONDUCTORES'!$AL$7:$AL$459,"X",'ENCUESTA CONDUCTORES'!$BS$7:$BS$459,"AGUA POTABLE",'ENCUESTA CONDUCTORES'!$AX$7:$AX$459,"&lt;4.01")+COUNTIFS('ENCUESTA CONDUCTORES'!$AL$7:$AL$459,"X",'ENCUESTA CONDUCTORES'!$BS$7:$BS$459,"MUDANZAS",'ENCUESTA CONDUCTORES'!$AX$7:$AX$459,"&lt;4.01")+COUNTIFS('ENCUESTA CONDUCTORES'!$AL$7:$AL$459,"X",'ENCUESTA CONDUCTORES'!$BS$7:$BS$459,"JABON",'ENCUESTA CONDUCTORES'!$AX$7:$AX$459,"&lt;4.01")+COUNTIFS('ENCUESTA CONDUCTORES'!$AL$7:$AL$459,"X",'ENCUESTA CONDUCTORES'!$BS$7:$BS$459,"ACEITE",'ENCUESTA CONDUCTORES'!$AX$7:$AX$459,"&lt;4.01")+COUNTIFS('ENCUESTA CONDUCTORES'!$AL$7:$AL$459,"X",'ENCUESTA CONDUCTORES'!$BS$7:$BS$459,"POLIETILENO",'ENCUESTA CONDUCTORES'!$AX$7:$AX$459,"&lt;4.01")+COUNTIFS('ENCUESTA CONDUCTORES'!$AL$7:$AL$459,"X",'ENCUESTA CONDUCTORES'!$BS$7:$BS$459,"ELECTRODOMÉSTICOS",'ENCUESTA CONDUCTORES'!$AX$7:$AX$459,"&lt;4.01")+COUNTIFS('ENCUESTA CONDUCTORES'!$AL$7:$AL$459,"X",'ENCUESTA CONDUCTORES'!$BS$7:$BS$459,"MUEBLES",'ENCUESTA CONDUCTORES'!$AX$7:$AX$459,"&lt;4.01")+COUNTIFS('ENCUESTA CONDUCTORES'!$AL$7:$AL$459,"X",'ENCUESTA CONDUCTORES'!$BS$7:$BS$459,"CHATARRA",'ENCUESTA CONDUCTORES'!$AX$7:$AX$459,"&lt;4.01")+COUNTIFS('ENCUESTA CONDUCTORES'!$AL$7:$AL$459,"X",'ENCUESTA CONDUCTORES'!$BS$7:$BS$459,"LLANTAS",'ENCUESTA CONDUCTORES'!$AX$7:$AX$459,"&lt;4.01")+COUNTIFS('ENCUESTA CONDUCTORES'!$AL$7:$AL$459,"X",'ENCUESTA CONDUCTORES'!$BS$7:$BS$459,"AGUA",'ENCUESTA CONDUCTORES'!$AX$7:$AX$459,"&lt;4.01")+COUNTIFS('ENCUESTA CONDUCTORES'!$AL$7:$AL$459,"X",'ENCUESTA CONDUCTORES'!$BS$7:$BS$459,"ANIMALES",'ENCUESTA CONDUCTORES'!$AX$7:$AX$459,"&lt;4.01")+COUNTIFS('ENCUESTA CONDUCTORES'!$AL$7:$AL$459,"X",'ENCUESTA CONDUCTORES'!$BS$7:$BS$459,"TV REFRIGERADORES",'ENCUESTA CONDUCTORES'!$AX$7:$AX$459,"&lt;4.01")+COUNTIFS('ENCUESTA CONDUCTORES'!$AL$7:$AL$459,"X",'ENCUESTA CONDUCTORES'!$BS$7:$BS$459,"LÍNEA BLANCA",'ENCUESTA CONDUCTORES'!$AX$7:$AX$459,"&lt;4.01")+COUNTIFS('ENCUESTA CONDUCTORES'!$AL$7:$AL$459,"X",'ENCUESTA CONDUCTORES'!$BS$7:$BS$459,"IMPORTACIÓN / EXPORTACIÓN",'ENCUESTA CONDUCTORES'!$AX$7:$AX$459,"&lt;4.01")+COUNTIFS('ENCUESTA CONDUCTORES'!$AL$7:$AL$459,"X",'ENCUESTA CONDUCTORES'!$BS$7:$BS$459,"PLASTICO",'ENCUESTA CONDUCTORES'!$AX$7:$AX$459,"&lt;4.01")+COUNTIFS('ENCUESTA CONDUCTORES'!$AL$7:$AL$459,"X",'ENCUESTA CONDUCTORES'!$BS$7:$BS$459,"ROPA",'ENCUESTA CONDUCTORES'!$AX$7:$AX$459,"&lt;4.01")+COUNTIFS('ENCUESTA CONDUCTORES'!$AL$7:$AL$459,"X",'ENCUESTA CONDUCTORES'!$BS$7:$BS$459,"CHATARRA",'ENCUESTA CONDUCTORES'!$AX$7:$AX$459,"&lt;4.01")+COUNTIFS('ENCUESTA CONDUCTORES'!$AL$7:$AL$459,"X",'ENCUESTA CONDUCTORES'!$BS$7:$BS$459,"MEDICAMENTO NUTRICIONAL",'ENCUESTA CONDUCTORES'!$AX$7:$AX$459,"&lt;4.01")+COUNTIFS('ENCUESTA CONDUCTORES'!$AL$7:$AL$459,"X",'ENCUESTA CONDUCTORES'!$BS$7:$BS$459,"PRODUCTOS DE BELLEZA",'ENCUESTA CONDUCTORES'!$AX$7:$AX$459,"&lt;4.01")+COUNTIFS('ENCUESTA CONDUCTORES'!$AL$7:$AL$459,"X",'ENCUESTA CONDUCTORES'!$BS$7:$BS$459,"FORRAJE",'ENCUESTA CONDUCTORES'!$AX$7:$AX$459,"&lt;4.01")+COUNTIFS('ENCUESTA CONDUCTORES'!$AL$7:$AL$459,"X",'ENCUESTA CONDUCTORES'!$BS$7:$BS$459,"VALORES",'ENCUESTA CONDUCTORES'!$AX$7:$AX$459,"&lt;4.01")+COUNTIFS('ENCUESTA CONDUCTORES'!$AL$7:$AL$459,"X",'ENCUESTA CONDUCTORES'!$BS$7:$BS$459,"PAQUETERIA",'ENCUESTA CONDUCTORES'!$AX$7:$AX$459,"&lt;4.01")+COUNTIFS('ENCUESTA CONDUCTORES'!$AL$7:$AL$459,"X",'ENCUESTA CONDUCTORES'!$BS$7:$BS$459,"SECOS",'ENCUESTA CONDUCTORES'!$AX$7:$AX$459,"&lt;4.01")+COUNTIFS('ENCUESTA CONDUCTORES'!$AL$7:$AL$459,"X",'ENCUESTA CONDUCTORES'!$BS$7:$BS$459,"PANTALLAS",'ENCUESTA CONDUCTORES'!$AX$7:$AX$459,"&lt;4.01")+COUNTIFS('ENCUESTA CONDUCTORES'!$AL$7:$AL$459,"X",'ENCUESTA CONDUCTORES'!$BS$7:$BS$459,"BOTELLAS",'ENCUESTA CONDUCTORES'!$AX$7:$AX$459,"&lt;4.01")+COUNTIFS('ENCUESTA CONDUCTORES'!$AL$7:$AL$459,"X",'ENCUESTA CONDUCTORES'!$BS$7:$BS$459,"PRODUCTOS DE HIGIENE PERSONAL",'ENCUESTA CONDUCTORES'!$AX$7:$AX$459,"&lt;4.01")+COUNTIFS('ENCUESTA CONDUCTORES'!$AL$7:$AL$459,"X",'ENCUESTA CONDUCTORES'!$BS$7:$BS$459,"ELECTRONICA, LINEA BLANCA",'ENCUESTA CONDUCTORES'!$AX$7:$AX$459,"&lt;4.01")+COUNTIFS('ENCUESTA CONDUCTORES'!$AL$7:$AL$459,"X",'ENCUESTA CONDUCTORES'!$BS$7:$BS$459,"CONTENEDORES",'ENCUESTA CONDUCTORES'!$AX$7:$AX$459,"&lt;4.01")-BA180-AZ180-AY180-AX180-AW180-AV180</f>
        <v>7</v>
      </c>
      <c r="BC180" s="90">
        <f>COUNTIFS('ENCUESTA CONDUCTORES'!$AL$7:$AL$459,"X",'ENCUESTA CONDUCTORES'!$BS$7:$BS$459,"CARRITOS DE GOLF",'ENCUESTA CONDUCTORES'!$AX$7:$AX$459,"&gt;4")+COUNTIFS('ENCUESTA CONDUCTORES'!$AL$7:$AL$459,"X",'ENCUESTA CONDUCTORES'!$BS$7:$BS$459,"MERCANCIA SECA",'ENCUESTA CONDUCTORES'!$AX$7:$AX$459,"&gt;4")+COUNTIFS('ENCUESTA CONDUCTORES'!$AL$7:$AL$459,"X",'ENCUESTA CONDUCTORES'!$BS$7:$BS$459,"PAPELERIA",'ENCUESTA CONDUCTORES'!$AX$7:$AX$459,"&gt;4")+COUNTIFS('ENCUESTA CONDUCTORES'!$AL$7:$AL$459,"X",'ENCUESTA CONDUCTORES'!$BS$7:$BS$459,"GENERAL",'ENCUESTA CONDUCTORES'!$AX$7:$AX$459,"&gt;4")+COUNTIFS('ENCUESTA CONDUCTORES'!$AL$7:$AL$459,"X",'ENCUESTA CONDUCTORES'!$BS$7:$BS$459,"MAQUINARIA",'ENCUESTA CONDUCTORES'!$AX$7:$AX$459,"&gt;4")+COUNTIFS('ENCUESTA CONDUCTORES'!$AL$7:$AL$459,"X",'ENCUESTA CONDUCTORES'!$BS$7:$BS$459,"CONTENEDOR",'ENCUESTA CONDUCTORES'!$AX$7:$AX$459,"&gt;4")+COUNTIFS('ENCUESTA CONDUCTORES'!$AL$7:$AL$459,"X",'ENCUESTA CONDUCTORES'!$BS$7:$BS$459,"MEDICAMENTOS",'ENCUESTA CONDUCTORES'!$AX$7:$AX$459,"&gt;4")+COUNTIFS('ENCUESTA CONDUCTORES'!$AL$7:$AL$459,"X",'ENCUESTA CONDUCTORES'!$BS$7:$BS$459,"AGUA POTABLE",'ENCUESTA CONDUCTORES'!$AX$7:$AX$459,"&gt;4")+COUNTIFS('ENCUESTA CONDUCTORES'!$AL$7:$AL$459,"X",'ENCUESTA CONDUCTORES'!$BS$7:$BS$459,"MUDANZAS",'ENCUESTA CONDUCTORES'!$AX$7:$AX$459,"&gt;4")+COUNTIFS('ENCUESTA CONDUCTORES'!$AL$7:$AL$459,"X",'ENCUESTA CONDUCTORES'!$BS$7:$BS$459,"JABON",'ENCUESTA CONDUCTORES'!$AX$7:$AX$459,"&gt;4")+COUNTIFS('ENCUESTA CONDUCTORES'!$AL$7:$AL$459,"X",'ENCUESTA CONDUCTORES'!$BS$7:$BS$459,"ACEITE",'ENCUESTA CONDUCTORES'!$AX$7:$AX$459,"&gt;4")+COUNTIFS('ENCUESTA CONDUCTORES'!$AL$7:$AL$459,"X",'ENCUESTA CONDUCTORES'!$BS$7:$BS$459,"POLIETILENO",'ENCUESTA CONDUCTORES'!$AX$7:$AX$459,"&gt;4")+COUNTIFS('ENCUESTA CONDUCTORES'!$AL$7:$AL$459,"X",'ENCUESTA CONDUCTORES'!$BS$7:$BS$459,"ELECTRODOMÉSTICOS",'ENCUESTA CONDUCTORES'!$AX$7:$AX$459,"&gt;4")+COUNTIFS('ENCUESTA CONDUCTORES'!$AL$7:$AL$459,"X",'ENCUESTA CONDUCTORES'!$BS$7:$BS$459,"MUEBLES",'ENCUESTA CONDUCTORES'!$AX$7:$AX$459,"&gt;4")+COUNTIFS('ENCUESTA CONDUCTORES'!$AL$7:$AL$459,"X",'ENCUESTA CONDUCTORES'!$BS$7:$BS$459,"CHATARRA",'ENCUESTA CONDUCTORES'!$AX$7:$AX$459,"&gt;4")+COUNTIFS('ENCUESTA CONDUCTORES'!$AL$7:$AL$459,"X",'ENCUESTA CONDUCTORES'!$BS$7:$BS$459,"LLANTAS",'ENCUESTA CONDUCTORES'!$AX$7:$AX$459,"&gt;4")+COUNTIFS('ENCUESTA CONDUCTORES'!$AL$7:$AL$459,"X",'ENCUESTA CONDUCTORES'!$BS$7:$BS$459,"AGUA",'ENCUESTA CONDUCTORES'!$AX$7:$AX$459,"&gt;4")+COUNTIFS('ENCUESTA CONDUCTORES'!$AL$7:$AL$459,"X",'ENCUESTA CONDUCTORES'!$BS$7:$BS$459,"ANIMALES",'ENCUESTA CONDUCTORES'!$AX$7:$AX$459,"&gt;4")+COUNTIFS('ENCUESTA CONDUCTORES'!$AL$7:$AL$459,"X",'ENCUESTA CONDUCTORES'!$BS$7:$BS$459,"TV REFRIGERADORES",'ENCUESTA CONDUCTORES'!$AX$7:$AX$459,"&gt;4")+COUNTIFS('ENCUESTA CONDUCTORES'!$AL$7:$AL$459,"X",'ENCUESTA CONDUCTORES'!$BS$7:$BS$459,"LÍNEA BLANCA",'ENCUESTA CONDUCTORES'!$AX$7:$AX$459,"&gt;4")+COUNTIFS('ENCUESTA CONDUCTORES'!$AL$7:$AL$459,"X",'ENCUESTA CONDUCTORES'!$BS$7:$BS$459,"IMPORTACIÓN / EXPORTACIÓN",'ENCUESTA CONDUCTORES'!$AX$7:$AX$459,"&gt;4")+COUNTIFS('ENCUESTA CONDUCTORES'!$AL$7:$AL$459,"X",'ENCUESTA CONDUCTORES'!$BS$7:$BS$459,"PLASTICO",'ENCUESTA CONDUCTORES'!$AX$7:$AX$459,"&gt;4")+COUNTIFS('ENCUESTA CONDUCTORES'!$AL$7:$AL$459,"X",'ENCUESTA CONDUCTORES'!$BS$7:$BS$459,"ROPA",'ENCUESTA CONDUCTORES'!$AX$7:$AX$459,"&gt;4")+COUNTIFS('ENCUESTA CONDUCTORES'!$AL$7:$AL$459,"X",'ENCUESTA CONDUCTORES'!$BS$7:$BS$459,"CHATARRA",'ENCUESTA CONDUCTORES'!$AX$7:$AX$459,"&gt;4")+COUNTIFS('ENCUESTA CONDUCTORES'!$AL$7:$AL$459,"X",'ENCUESTA CONDUCTORES'!$BS$7:$BS$459,"MEDICAMENTO NUTRICIONAL",'ENCUESTA CONDUCTORES'!$AX$7:$AX$459,"&gt;4")+COUNTIFS('ENCUESTA CONDUCTORES'!$AL$7:$AL$459,"X",'ENCUESTA CONDUCTORES'!$BS$7:$BS$459,"PRODUCTOS DE BELLEZA",'ENCUESTA CONDUCTORES'!$AX$7:$AX$459,"&gt;4")+COUNTIFS('ENCUESTA CONDUCTORES'!$AL$7:$AL$459,"X",'ENCUESTA CONDUCTORES'!$BS$7:$BS$459,"FORRAJE",'ENCUESTA CONDUCTORES'!$AX$7:$AX$459,"&gt;4")+COUNTIFS('ENCUESTA CONDUCTORES'!$AL$7:$AL$459,"X",'ENCUESTA CONDUCTORES'!$BS$7:$BS$459,"VALORES",'ENCUESTA CONDUCTORES'!$AX$7:$AX$459,"&gt;4")+COUNTIFS('ENCUESTA CONDUCTORES'!$AL$7:$AL$459,"X",'ENCUESTA CONDUCTORES'!$BS$7:$BS$459,"PAQUETERIA",'ENCUESTA CONDUCTORES'!$AX$7:$AX$459,"&gt;4")+COUNTIFS('ENCUESTA CONDUCTORES'!$AL$7:$AL$459,"X",'ENCUESTA CONDUCTORES'!$BS$7:$BS$459,"SECOS",'ENCUESTA CONDUCTORES'!$AX$7:$AX$459,"&gt;4")+COUNTIFS('ENCUESTA CONDUCTORES'!$AL$7:$AL$459,"X",'ENCUESTA CONDUCTORES'!$BS$7:$BS$459,"PANTALLAS",'ENCUESTA CONDUCTORES'!$AX$7:$AX$459,"&gt;4")+COUNTIFS('ENCUESTA CONDUCTORES'!$AL$7:$AL$459,"X",'ENCUESTA CONDUCTORES'!$BS$7:$BS$459,"BOTELLAS",'ENCUESTA CONDUCTORES'!$AX$7:$AX$459,"&gt;4")+COUNTIFS('ENCUESTA CONDUCTORES'!$AL$7:$AL$459,"X",'ENCUESTA CONDUCTORES'!$BS$7:$BS$459,"PRODUCTOS DE HIGIENE PERSONAL",'ENCUESTA CONDUCTORES'!$AX$7:$AX$459,"&gt;4")+COUNTIFS('ENCUESTA CONDUCTORES'!$AL$7:$AL$459,"X",'ENCUESTA CONDUCTORES'!$BS$7:$BS$459,"ELECTRONICA, LINEA BLANCA",'ENCUESTA CONDUCTORES'!$AX$7:$AX$459,"&gt;4")+COUNTIFS('ENCUESTA CONDUCTORES'!$AL$7:$AL$459,"X",'ENCUESTA CONDUCTORES'!$BS$7:$BS$459,"CONTENEDORES",'ENCUESTA CONDUCTORES'!$AX$7:$AX$459,"&gt;4")</f>
        <v>1</v>
      </c>
      <c r="BD180" s="18">
        <f t="shared" si="409"/>
        <v>97</v>
      </c>
      <c r="BF180" s="75" t="s">
        <v>1358</v>
      </c>
      <c r="BG180" s="74">
        <f t="shared" si="410"/>
        <v>0</v>
      </c>
      <c r="BH180" s="74">
        <f t="shared" si="400"/>
        <v>7.9617834394904458E-3</v>
      </c>
      <c r="BI180" s="74">
        <f t="shared" si="401"/>
        <v>1.1146496815286623E-2</v>
      </c>
      <c r="BJ180" s="74">
        <f t="shared" si="402"/>
        <v>6.369426751592357E-3</v>
      </c>
      <c r="BK180" s="74">
        <f t="shared" si="403"/>
        <v>2.3885350318471339E-2</v>
      </c>
      <c r="BL180" s="74">
        <f t="shared" si="404"/>
        <v>7.9617834394904455E-2</v>
      </c>
      <c r="BM180" s="74">
        <f t="shared" si="405"/>
        <v>1.9108280254777069E-2</v>
      </c>
      <c r="BN180" s="74">
        <f t="shared" si="406"/>
        <v>6.369426751592357E-3</v>
      </c>
      <c r="BO180" s="74">
        <f t="shared" si="407"/>
        <v>0.15445859872611464</v>
      </c>
      <c r="BP180" s="90">
        <f>COUNTIFS('ENCUESTA CONDUCTORES'!$AL$7:$AL$459,"X",'ENCUESTA CONDUCTORES'!$BS$7:$BS$459,"CARRITOS DE GOLF",'ENCUESTA CONDUCTORES'!$AW$7:$AW$459,"&lt;1.6")+COUNTIFS('ENCUESTA CONDUCTORES'!$AL$7:$AL$459,"X",'ENCUESTA CONDUCTORES'!$BS$7:$BS$459,"MERCANCIA SECA",'ENCUESTA CONDUCTORES'!$AW$7:$AW$459,"&lt;1.6")+COUNTIFS('ENCUESTA CONDUCTORES'!$AL$7:$AL$459,"X",'ENCUESTA CONDUCTORES'!$BS$7:$BS$459,"PAPELERIA",'ENCUESTA CONDUCTORES'!$AW$7:$AW$459,"&lt;1.6")+COUNTIFS('ENCUESTA CONDUCTORES'!$AL$7:$AL$459,"X",'ENCUESTA CONDUCTORES'!$BS$7:$BS$459,"GENERAL",'ENCUESTA CONDUCTORES'!$AW$7:$AW$459,"&lt;1.6")+COUNTIFS('ENCUESTA CONDUCTORES'!$AL$7:$AL$459,"X",'ENCUESTA CONDUCTORES'!$BS$7:$BS$459,"MAQUINARIA",'ENCUESTA CONDUCTORES'!$AW$7:$AW$459,"&lt;1.6")+COUNTIFS('ENCUESTA CONDUCTORES'!$AL$7:$AL$459,"X",'ENCUESTA CONDUCTORES'!$BS$7:$BS$459,"CONTENEDOR",'ENCUESTA CONDUCTORES'!$AW$7:$AW$459,"&lt;1.6")+COUNTIFS('ENCUESTA CONDUCTORES'!$AL$7:$AL$459,"X",'ENCUESTA CONDUCTORES'!$BS$7:$BS$459,"MEDICAMENTOS",'ENCUESTA CONDUCTORES'!$AW$7:$AW$459,"&lt;1.6")+COUNTIFS('ENCUESTA CONDUCTORES'!$AL$7:$AL$459,"X",'ENCUESTA CONDUCTORES'!$BS$7:$BS$459,"AGUA POTABLE",'ENCUESTA CONDUCTORES'!$AW$7:$AW$459,"&lt;1.6")+COUNTIFS('ENCUESTA CONDUCTORES'!$AL$7:$AL$459,"X",'ENCUESTA CONDUCTORES'!$BS$7:$BS$459,"MUDANZAS",'ENCUESTA CONDUCTORES'!$AW$7:$AW$459,"&lt;1.6")+COUNTIFS('ENCUESTA CONDUCTORES'!$AL$7:$AL$459,"X",'ENCUESTA CONDUCTORES'!$BS$7:$BS$459,"JABON",'ENCUESTA CONDUCTORES'!$AW$7:$AW$459,"&lt;1.6")+COUNTIFS('ENCUESTA CONDUCTORES'!$AL$7:$AL$459,"X",'ENCUESTA CONDUCTORES'!$BS$7:$BS$459,"ACEITE",'ENCUESTA CONDUCTORES'!$AW$7:$AW$459,"&lt;1.6")+COUNTIFS('ENCUESTA CONDUCTORES'!$AL$7:$AL$459,"X",'ENCUESTA CONDUCTORES'!$BS$7:$BS$459,"POLIETILENO",'ENCUESTA CONDUCTORES'!$AW$7:$AW$459,"&lt;1.6")+COUNTIFS('ENCUESTA CONDUCTORES'!$AL$7:$AL$459,"X",'ENCUESTA CONDUCTORES'!$BS$7:$BS$459,"ELECTRODOMÉSTICOS",'ENCUESTA CONDUCTORES'!$AW$7:$AW$459,"&lt;1.6")+COUNTIFS('ENCUESTA CONDUCTORES'!$AL$7:$AL$459,"X",'ENCUESTA CONDUCTORES'!$BS$7:$BS$459,"MUEBLES",'ENCUESTA CONDUCTORES'!$AW$7:$AW$459,"&lt;1.6")+COUNTIFS('ENCUESTA CONDUCTORES'!$AL$7:$AL$459,"X",'ENCUESTA CONDUCTORES'!$BS$7:$BS$459,"CHATARRA",'ENCUESTA CONDUCTORES'!$AW$7:$AW$459,"&lt;1.6")+COUNTIFS('ENCUESTA CONDUCTORES'!$AL$7:$AL$459,"X",'ENCUESTA CONDUCTORES'!$BS$7:$BS$459,"LLANTAS",'ENCUESTA CONDUCTORES'!$AW$7:$AW$459,"&lt;1.6")+COUNTIFS('ENCUESTA CONDUCTORES'!$AL$7:$AL$459,"X",'ENCUESTA CONDUCTORES'!$BS$7:$BS$459,"AGUA",'ENCUESTA CONDUCTORES'!$AW$7:$AW$459,"&lt;1.6")+COUNTIFS('ENCUESTA CONDUCTORES'!$AL$7:$AL$459,"X",'ENCUESTA CONDUCTORES'!$BS$7:$BS$459,"ANIMALES",'ENCUESTA CONDUCTORES'!$AW$7:$AW$459,"&lt;1.6")+COUNTIFS('ENCUESTA CONDUCTORES'!$AL$7:$AL$459,"X",'ENCUESTA CONDUCTORES'!$BS$7:$BS$459,"TV REFRIGERADORES",'ENCUESTA CONDUCTORES'!$AW$7:$AW$459,"&lt;1.6")+COUNTIFS('ENCUESTA CONDUCTORES'!$AL$7:$AL$459,"X",'ENCUESTA CONDUCTORES'!$BS$7:$BS$459,"LÍNEA BLANCA",'ENCUESTA CONDUCTORES'!$AW$7:$AW$459,"&lt;1.6")+COUNTIFS('ENCUESTA CONDUCTORES'!$AL$7:$AL$459,"X",'ENCUESTA CONDUCTORES'!$BS$7:$BS$459,"IMPORTACIÓN / EXPORTACIÓN",'ENCUESTA CONDUCTORES'!$AW$7:$AW$459,"&lt;1.6")+COUNTIFS('ENCUESTA CONDUCTORES'!$AL$7:$AL$459,"X",'ENCUESTA CONDUCTORES'!$BS$7:$BS$459,"PLASTICO",'ENCUESTA CONDUCTORES'!$AW$7:$AW$459,"&lt;1.6")+COUNTIFS('ENCUESTA CONDUCTORES'!$AL$7:$AL$459,"X",'ENCUESTA CONDUCTORES'!$BS$7:$BS$459,"ROPA",'ENCUESTA CONDUCTORES'!$AW$7:$AW$459,"&lt;1.6")+COUNTIFS('ENCUESTA CONDUCTORES'!$AL$7:$AL$459,"X",'ENCUESTA CONDUCTORES'!$BS$7:$BS$459,"CHATARRA",'ENCUESTA CONDUCTORES'!$AW$7:$AW$459,"&lt;1.6")+COUNTIFS('ENCUESTA CONDUCTORES'!$AL$7:$AL$459,"X",'ENCUESTA CONDUCTORES'!$BS$7:$BS$459,"MEDICAMENTO NUTRICIONAL",'ENCUESTA CONDUCTORES'!$AW$7:$AW$459,"&lt;1.6")+COUNTIFS('ENCUESTA CONDUCTORES'!$AL$7:$AL$459,"X",'ENCUESTA CONDUCTORES'!$BS$7:$BS$459,"PRODUCTOS DE BELLEZA",'ENCUESTA CONDUCTORES'!$AW$7:$AW$459,"&lt;1.6")+COUNTIFS('ENCUESTA CONDUCTORES'!$AL$7:$AL$459,"X",'ENCUESTA CONDUCTORES'!$BS$7:$BS$459,"FORRAJE",'ENCUESTA CONDUCTORES'!$AW$7:$AW$459,"&lt;1.6")+COUNTIFS('ENCUESTA CONDUCTORES'!$AL$7:$AL$459,"X",'ENCUESTA CONDUCTORES'!$BS$7:$BS$459,"VALORES",'ENCUESTA CONDUCTORES'!$AW$7:$AW$459,"&lt;1.6")+COUNTIFS('ENCUESTA CONDUCTORES'!$AL$7:$AL$459,"X",'ENCUESTA CONDUCTORES'!$BS$7:$BS$459,"PAQUETERIA",'ENCUESTA CONDUCTORES'!$AW$7:$AW$459,"&lt;1.6")+COUNTIFS('ENCUESTA CONDUCTORES'!$AL$7:$AL$459,"X",'ENCUESTA CONDUCTORES'!$BS$7:$BS$459,"SECOS",'ENCUESTA CONDUCTORES'!$AW$7:$AW$459,"&lt;1.6")+COUNTIFS('ENCUESTA CONDUCTORES'!$AL$7:$AL$459,"X",'ENCUESTA CONDUCTORES'!$BS$7:$BS$459,"PANTALLAS",'ENCUESTA CONDUCTORES'!$AW$7:$AW$459,"&lt;1.6")+COUNTIFS('ENCUESTA CONDUCTORES'!$AL$7:$AL$459,"X",'ENCUESTA CONDUCTORES'!$BS$7:$BS$459,"BOTELLAS",'ENCUESTA CONDUCTORES'!$AW$7:$AW$459,"&lt;1.6")+COUNTIFS('ENCUESTA CONDUCTORES'!$AL$7:$AL$459,"X",'ENCUESTA CONDUCTORES'!$BS$7:$BS$459,"PRODUCTOS DE HIGIENE PERSONAL",'ENCUESTA CONDUCTORES'!$AW$7:$AW$459,"&lt;1.6")+COUNTIFS('ENCUESTA CONDUCTORES'!$AL$7:$AL$459,"X",'ENCUESTA CONDUCTORES'!$BS$7:$BS$459,"ELECTRONICA, LINEA BLANCA",'ENCUESTA CONDUCTORES'!$AW$7:$AW$459,"&lt;1.6")+COUNTIFS('ENCUESTA CONDUCTORES'!$AL$7:$AL$459,"X",'ENCUESTA CONDUCTORES'!$BS$7:$BS$459,"CONTENEDORES",'ENCUESTA CONDUCTORES'!$AW$7:$AW$459,"&lt;1.6")</f>
        <v>0</v>
      </c>
      <c r="BQ180" s="90">
        <f>COUNTIFS('ENCUESTA CONDUCTORES'!$AL$7:$AL$459,"X",'ENCUESTA CONDUCTORES'!$BS$7:$BS$459,"CARRITOS DE GOLF",'ENCUESTA CONDUCTORES'!$AW$7:$AW$459,"&lt;1.91")+COUNTIFS('ENCUESTA CONDUCTORES'!$AL$7:$AL$459,"X",'ENCUESTA CONDUCTORES'!$BS$7:$BS$459,"MERCANCIA SECA",'ENCUESTA CONDUCTORES'!$AW$7:$AW$459,"&lt;1.91")+COUNTIFS('ENCUESTA CONDUCTORES'!$AL$7:$AL$459,"X",'ENCUESTA CONDUCTORES'!$BS$7:$BS$459,"PAPELERIA",'ENCUESTA CONDUCTORES'!$AW$7:$AW$459,"&lt;1.91")+COUNTIFS('ENCUESTA CONDUCTORES'!$AL$7:$AL$459,"X",'ENCUESTA CONDUCTORES'!$BS$7:$BS$459,"GENERAL",'ENCUESTA CONDUCTORES'!$AW$7:$AW$459,"&lt;1.91")+COUNTIFS('ENCUESTA CONDUCTORES'!$AL$7:$AL$459,"X",'ENCUESTA CONDUCTORES'!$BS$7:$BS$459,"MAQUINARIA",'ENCUESTA CONDUCTORES'!$AW$7:$AW$459,"&lt;1.91")+COUNTIFS('ENCUESTA CONDUCTORES'!$AL$7:$AL$459,"X",'ENCUESTA CONDUCTORES'!$BS$7:$BS$459,"CONTENEDOR",'ENCUESTA CONDUCTORES'!$AW$7:$AW$459,"&lt;1.91")+COUNTIFS('ENCUESTA CONDUCTORES'!$AL$7:$AL$459,"X",'ENCUESTA CONDUCTORES'!$BS$7:$BS$459,"MEDICAMENTOS",'ENCUESTA CONDUCTORES'!$AW$7:$AW$459,"&lt;1.91")+COUNTIFS('ENCUESTA CONDUCTORES'!$AL$7:$AL$459,"X",'ENCUESTA CONDUCTORES'!$BS$7:$BS$459,"AGUA POTABLE",'ENCUESTA CONDUCTORES'!$AW$7:$AW$459,"&lt;1.91")+COUNTIFS('ENCUESTA CONDUCTORES'!$AL$7:$AL$459,"X",'ENCUESTA CONDUCTORES'!$BS$7:$BS$459,"MUDANZAS",'ENCUESTA CONDUCTORES'!$AW$7:$AW$459,"&lt;1.91")+COUNTIFS('ENCUESTA CONDUCTORES'!$AL$7:$AL$459,"X",'ENCUESTA CONDUCTORES'!$BS$7:$BS$459,"JABON",'ENCUESTA CONDUCTORES'!$AW$7:$AW$459,"&lt;1.91")+COUNTIFS('ENCUESTA CONDUCTORES'!$AL$7:$AL$459,"X",'ENCUESTA CONDUCTORES'!$BS$7:$BS$459,"ACEITE",'ENCUESTA CONDUCTORES'!$AW$7:$AW$459,"&lt;1.91")+COUNTIFS('ENCUESTA CONDUCTORES'!$AL$7:$AL$459,"X",'ENCUESTA CONDUCTORES'!$BS$7:$BS$459,"POLIETILENO",'ENCUESTA CONDUCTORES'!$AW$7:$AW$459,"&lt;1.91")+COUNTIFS('ENCUESTA CONDUCTORES'!$AL$7:$AL$459,"X",'ENCUESTA CONDUCTORES'!$BS$7:$BS$459,"ELECTRODOMÉSTICOS",'ENCUESTA CONDUCTORES'!$AW$7:$AW$459,"&lt;1.91")+COUNTIFS('ENCUESTA CONDUCTORES'!$AL$7:$AL$459,"X",'ENCUESTA CONDUCTORES'!$BS$7:$BS$459,"MUEBLES",'ENCUESTA CONDUCTORES'!$AW$7:$AW$459,"&lt;1.91")+COUNTIFS('ENCUESTA CONDUCTORES'!$AL$7:$AL$459,"X",'ENCUESTA CONDUCTORES'!$BS$7:$BS$459,"CHATARRA",'ENCUESTA CONDUCTORES'!$AW$7:$AW$459,"&lt;1.91")+COUNTIFS('ENCUESTA CONDUCTORES'!$AL$7:$AL$459,"X",'ENCUESTA CONDUCTORES'!$BS$7:$BS$459,"LLANTAS",'ENCUESTA CONDUCTORES'!$AW$7:$AW$459,"&lt;1.91")+COUNTIFS('ENCUESTA CONDUCTORES'!$AL$7:$AL$459,"X",'ENCUESTA CONDUCTORES'!$BS$7:$BS$459,"AGUA",'ENCUESTA CONDUCTORES'!$AW$7:$AW$459,"&lt;1.91")+COUNTIFS('ENCUESTA CONDUCTORES'!$AL$7:$AL$459,"X",'ENCUESTA CONDUCTORES'!$BS$7:$BS$459,"ANIMALES",'ENCUESTA CONDUCTORES'!$AW$7:$AW$459,"&lt;1.91")+COUNTIFS('ENCUESTA CONDUCTORES'!$AL$7:$AL$459,"X",'ENCUESTA CONDUCTORES'!$BS$7:$BS$459,"TV REFRIGERADORES",'ENCUESTA CONDUCTORES'!$AW$7:$AW$459,"&lt;1.91")+COUNTIFS('ENCUESTA CONDUCTORES'!$AL$7:$AL$459,"X",'ENCUESTA CONDUCTORES'!$BS$7:$BS$459,"LÍNEA BLANCA",'ENCUESTA CONDUCTORES'!$AW$7:$AW$459,"&lt;1.91")+COUNTIFS('ENCUESTA CONDUCTORES'!$AL$7:$AL$459,"X",'ENCUESTA CONDUCTORES'!$BS$7:$BS$459,"IMPORTACIÓN / EXPORTACIÓN",'ENCUESTA CONDUCTORES'!$AW$7:$AW$459,"&lt;1.91")+COUNTIFS('ENCUESTA CONDUCTORES'!$AL$7:$AL$459,"X",'ENCUESTA CONDUCTORES'!$BS$7:$BS$459,"PLASTICO",'ENCUESTA CONDUCTORES'!$AW$7:$AW$459,"&lt;1.91")+COUNTIFS('ENCUESTA CONDUCTORES'!$AL$7:$AL$459,"X",'ENCUESTA CONDUCTORES'!$BS$7:$BS$459,"ROPA",'ENCUESTA CONDUCTORES'!$AW$7:$AW$459,"&lt;1.91")+COUNTIFS('ENCUESTA CONDUCTORES'!$AL$7:$AL$459,"X",'ENCUESTA CONDUCTORES'!$BS$7:$BS$459,"CHATARRA",'ENCUESTA CONDUCTORES'!$AW$7:$AW$459,"&lt;1.91")+COUNTIFS('ENCUESTA CONDUCTORES'!$AL$7:$AL$459,"X",'ENCUESTA CONDUCTORES'!$BS$7:$BS$459,"MEDICAMENTO NUTRICIONAL",'ENCUESTA CONDUCTORES'!$AW$7:$AW$459,"&lt;1.91")+COUNTIFS('ENCUESTA CONDUCTORES'!$AL$7:$AL$459,"X",'ENCUESTA CONDUCTORES'!$BS$7:$BS$459,"PRODUCTOS DE BELLEZA",'ENCUESTA CONDUCTORES'!$AW$7:$AW$459,"&lt;1.91")+COUNTIFS('ENCUESTA CONDUCTORES'!$AL$7:$AL$459,"X",'ENCUESTA CONDUCTORES'!$BS$7:$BS$459,"FORRAJE",'ENCUESTA CONDUCTORES'!$AW$7:$AW$459,"&lt;1.91")+COUNTIFS('ENCUESTA CONDUCTORES'!$AL$7:$AL$459,"X",'ENCUESTA CONDUCTORES'!$BS$7:$BS$459,"VALORES",'ENCUESTA CONDUCTORES'!$AW$7:$AW$459,"&lt;1.91")+COUNTIFS('ENCUESTA CONDUCTORES'!$AL$7:$AL$459,"X",'ENCUESTA CONDUCTORES'!$BS$7:$BS$459,"PAQUETERIA",'ENCUESTA CONDUCTORES'!$AW$7:$AW$459,"&lt;1.91")+COUNTIFS('ENCUESTA CONDUCTORES'!$AL$7:$AL$459,"X",'ENCUESTA CONDUCTORES'!$BS$7:$BS$459,"SECOS",'ENCUESTA CONDUCTORES'!$AW$7:$AW$459,"&lt;1.91")+COUNTIFS('ENCUESTA CONDUCTORES'!$AL$7:$AL$459,"X",'ENCUESTA CONDUCTORES'!$BS$7:$BS$459,"PANTALLAS",'ENCUESTA CONDUCTORES'!$AW$7:$AW$459,"&lt;1.91")+COUNTIFS('ENCUESTA CONDUCTORES'!$AL$7:$AL$459,"X",'ENCUESTA CONDUCTORES'!$BS$7:$BS$459,"BOTELLAS",'ENCUESTA CONDUCTORES'!$AW$7:$AW$459,"&lt;1.91")+COUNTIFS('ENCUESTA CONDUCTORES'!$AL$7:$AL$459,"X",'ENCUESTA CONDUCTORES'!$BS$7:$BS$459,"PRODUCTOS DE HIGIENE PERSONAL",'ENCUESTA CONDUCTORES'!$AW$7:$AW$459,"&lt;1.91")+COUNTIFS('ENCUESTA CONDUCTORES'!$AL$7:$AL$459,"X",'ENCUESTA CONDUCTORES'!$BS$7:$BS$459,"ELECTRONICA, LINEA BLANCA",'ENCUESTA CONDUCTORES'!$AW$7:$AW$459,"&lt;1.91")+COUNTIFS('ENCUESTA CONDUCTORES'!$AL$7:$AL$459,"X",'ENCUESTA CONDUCTORES'!$BS$7:$BS$459,"CONTENEDORES",'ENCUESTA CONDUCTORES'!$AW$7:$AW$459,"&lt;1.91")-BP180</f>
        <v>5</v>
      </c>
      <c r="BR180" s="90">
        <f>COUNTIFS('ENCUESTA CONDUCTORES'!$AL$7:$AL$459,"X",'ENCUESTA CONDUCTORES'!$BS$7:$BS$459,"CARRITOS DE GOLF",'ENCUESTA CONDUCTORES'!$AW$7:$AW$459,"&lt;2.01")+COUNTIFS('ENCUESTA CONDUCTORES'!$AL$7:$AL$459,"X",'ENCUESTA CONDUCTORES'!$BS$7:$BS$459,"MERCANCIA SECA",'ENCUESTA CONDUCTORES'!$AW$7:$AW$459,"&lt;2.01")+COUNTIFS('ENCUESTA CONDUCTORES'!$AL$7:$AL$459,"X",'ENCUESTA CONDUCTORES'!$BS$7:$BS$459,"PAPELERIA",'ENCUESTA CONDUCTORES'!$AW$7:$AW$459,"&lt;2.01")+COUNTIFS('ENCUESTA CONDUCTORES'!$AL$7:$AL$459,"X",'ENCUESTA CONDUCTORES'!$BS$7:$BS$459,"GENERAL",'ENCUESTA CONDUCTORES'!$AW$7:$AW$459,"&lt;2.01")+COUNTIFS('ENCUESTA CONDUCTORES'!$AL$7:$AL$459,"X",'ENCUESTA CONDUCTORES'!$BS$7:$BS$459,"MAQUINARIA",'ENCUESTA CONDUCTORES'!$AW$7:$AW$459,"&lt;2.01")+COUNTIFS('ENCUESTA CONDUCTORES'!$AL$7:$AL$459,"X",'ENCUESTA CONDUCTORES'!$BS$7:$BS$459,"CONTENEDOR",'ENCUESTA CONDUCTORES'!$AW$7:$AW$459,"&lt;2.01")+COUNTIFS('ENCUESTA CONDUCTORES'!$AL$7:$AL$459,"X",'ENCUESTA CONDUCTORES'!$BS$7:$BS$459,"MEDICAMENTOS",'ENCUESTA CONDUCTORES'!$AW$7:$AW$459,"&lt;2.01")+COUNTIFS('ENCUESTA CONDUCTORES'!$AL$7:$AL$459,"X",'ENCUESTA CONDUCTORES'!$BS$7:$BS$459,"AGUA POTABLE",'ENCUESTA CONDUCTORES'!$AW$7:$AW$459,"&lt;2.01")+COUNTIFS('ENCUESTA CONDUCTORES'!$AL$7:$AL$459,"X",'ENCUESTA CONDUCTORES'!$BS$7:$BS$459,"MUDANZAS",'ENCUESTA CONDUCTORES'!$AW$7:$AW$459,"&lt;2.01")+COUNTIFS('ENCUESTA CONDUCTORES'!$AL$7:$AL$459,"X",'ENCUESTA CONDUCTORES'!$BS$7:$BS$459,"JABON",'ENCUESTA CONDUCTORES'!$AW$7:$AW$459,"&lt;2.01")+COUNTIFS('ENCUESTA CONDUCTORES'!$AL$7:$AL$459,"X",'ENCUESTA CONDUCTORES'!$BS$7:$BS$459,"ACEITE",'ENCUESTA CONDUCTORES'!$AW$7:$AW$459,"&lt;2.01")+COUNTIFS('ENCUESTA CONDUCTORES'!$AL$7:$AL$459,"X",'ENCUESTA CONDUCTORES'!$BS$7:$BS$459,"POLIETILENO",'ENCUESTA CONDUCTORES'!$AW$7:$AW$459,"&lt;2.01")+COUNTIFS('ENCUESTA CONDUCTORES'!$AL$7:$AL$459,"X",'ENCUESTA CONDUCTORES'!$BS$7:$BS$459,"ELECTRODOMÉSTICOS",'ENCUESTA CONDUCTORES'!$AW$7:$AW$459,"&lt;2.01")+COUNTIFS('ENCUESTA CONDUCTORES'!$AL$7:$AL$459,"X",'ENCUESTA CONDUCTORES'!$BS$7:$BS$459,"MUEBLES",'ENCUESTA CONDUCTORES'!$AW$7:$AW$459,"&lt;2.01")+COUNTIFS('ENCUESTA CONDUCTORES'!$AL$7:$AL$459,"X",'ENCUESTA CONDUCTORES'!$BS$7:$BS$459,"CHATARRA",'ENCUESTA CONDUCTORES'!$AW$7:$AW$459,"&lt;2.01")+COUNTIFS('ENCUESTA CONDUCTORES'!$AL$7:$AL$459,"X",'ENCUESTA CONDUCTORES'!$BS$7:$BS$459,"LLANTAS",'ENCUESTA CONDUCTORES'!$AW$7:$AW$459,"&lt;2.01")+COUNTIFS('ENCUESTA CONDUCTORES'!$AL$7:$AL$459,"X",'ENCUESTA CONDUCTORES'!$BS$7:$BS$459,"AGUA",'ENCUESTA CONDUCTORES'!$AW$7:$AW$459,"&lt;2.01")+COUNTIFS('ENCUESTA CONDUCTORES'!$AL$7:$AL$459,"X",'ENCUESTA CONDUCTORES'!$BS$7:$BS$459,"ANIMALES",'ENCUESTA CONDUCTORES'!$AW$7:$AW$459,"&lt;2.01")+COUNTIFS('ENCUESTA CONDUCTORES'!$AL$7:$AL$459,"X",'ENCUESTA CONDUCTORES'!$BS$7:$BS$459,"TV REFRIGERADORES",'ENCUESTA CONDUCTORES'!$AW$7:$AW$459,"&lt;2.01")+COUNTIFS('ENCUESTA CONDUCTORES'!$AL$7:$AL$459,"X",'ENCUESTA CONDUCTORES'!$BS$7:$BS$459,"LÍNEA BLANCA",'ENCUESTA CONDUCTORES'!$AW$7:$AW$459,"&lt;2.01")+COUNTIFS('ENCUESTA CONDUCTORES'!$AL$7:$AL$459,"X",'ENCUESTA CONDUCTORES'!$BS$7:$BS$459,"IMPORTACIÓN / EXPORTACIÓN",'ENCUESTA CONDUCTORES'!$AW$7:$AW$459,"&lt;2.01")+COUNTIFS('ENCUESTA CONDUCTORES'!$AL$7:$AL$459,"X",'ENCUESTA CONDUCTORES'!$BS$7:$BS$459,"PLASTICO",'ENCUESTA CONDUCTORES'!$AW$7:$AW$459,"&lt;2.01")+COUNTIFS('ENCUESTA CONDUCTORES'!$AL$7:$AL$459,"X",'ENCUESTA CONDUCTORES'!$BS$7:$BS$459,"ROPA",'ENCUESTA CONDUCTORES'!$AW$7:$AW$459,"&lt;2.01")+COUNTIFS('ENCUESTA CONDUCTORES'!$AL$7:$AL$459,"X",'ENCUESTA CONDUCTORES'!$BS$7:$BS$459,"CHATARRA",'ENCUESTA CONDUCTORES'!$AW$7:$AW$459,"&lt;2.01")+COUNTIFS('ENCUESTA CONDUCTORES'!$AL$7:$AL$459,"X",'ENCUESTA CONDUCTORES'!$BS$7:$BS$459,"MEDICAMENTO NUTRICIONAL",'ENCUESTA CONDUCTORES'!$AW$7:$AW$459,"&lt;2.01")+COUNTIFS('ENCUESTA CONDUCTORES'!$AL$7:$AL$459,"X",'ENCUESTA CONDUCTORES'!$BS$7:$BS$459,"PRODUCTOS DE BELLEZA",'ENCUESTA CONDUCTORES'!$AW$7:$AW$459,"&lt;2.01")+COUNTIFS('ENCUESTA CONDUCTORES'!$AL$7:$AL$459,"X",'ENCUESTA CONDUCTORES'!$BS$7:$BS$459,"FORRAJE",'ENCUESTA CONDUCTORES'!$AW$7:$AW$459,"&lt;2.01")+COUNTIFS('ENCUESTA CONDUCTORES'!$AL$7:$AL$459,"X",'ENCUESTA CONDUCTORES'!$BS$7:$BS$459,"VALORES",'ENCUESTA CONDUCTORES'!$AW$7:$AW$459,"&lt;2.01")+COUNTIFS('ENCUESTA CONDUCTORES'!$AL$7:$AL$459,"X",'ENCUESTA CONDUCTORES'!$BS$7:$BS$459,"PAQUETERIA",'ENCUESTA CONDUCTORES'!$AW$7:$AW$459,"&lt;2.01")+COUNTIFS('ENCUESTA CONDUCTORES'!$AL$7:$AL$459,"X",'ENCUESTA CONDUCTORES'!$BS$7:$BS$459,"SECOS",'ENCUESTA CONDUCTORES'!$AW$7:$AW$459,"&lt;2.01")+COUNTIFS('ENCUESTA CONDUCTORES'!$AL$7:$AL$459,"X",'ENCUESTA CONDUCTORES'!$BS$7:$BS$459,"PANTALLAS",'ENCUESTA CONDUCTORES'!$AW$7:$AW$459,"&lt;2.01")+COUNTIFS('ENCUESTA CONDUCTORES'!$AL$7:$AL$459,"X",'ENCUESTA CONDUCTORES'!$BS$7:$BS$459,"BOTELLAS",'ENCUESTA CONDUCTORES'!$AW$7:$AW$459,"&lt;2.01")+COUNTIFS('ENCUESTA CONDUCTORES'!$AL$7:$AL$459,"X",'ENCUESTA CONDUCTORES'!$BS$7:$BS$459,"PRODUCTOS DE HIGIENE PERSONAL",'ENCUESTA CONDUCTORES'!$AW$7:$AW$459,"&lt;2.01")+COUNTIFS('ENCUESTA CONDUCTORES'!$AL$7:$AL$459,"X",'ENCUESTA CONDUCTORES'!$BS$7:$BS$459,"ELECTRONICA, LINEA BLANCA",'ENCUESTA CONDUCTORES'!$AW$7:$AW$459,"&lt;2.01")+COUNTIFS('ENCUESTA CONDUCTORES'!$AL$7:$AL$459,"X",'ENCUESTA CONDUCTORES'!$BS$7:$BS$459,"CONTENEDORES",'ENCUESTA CONDUCTORES'!$AW$7:$AW$459,"&lt;2.01")-BQ180-BP180</f>
        <v>7</v>
      </c>
      <c r="BS180" s="90">
        <f>COUNTIFS('ENCUESTA CONDUCTORES'!$AL$7:$AL$459,"X",'ENCUESTA CONDUCTORES'!$BS$7:$BS$459,"CARRITOS DE GOLF",'ENCUESTA CONDUCTORES'!$AW$7:$AW$459,"&lt;2.21")+COUNTIFS('ENCUESTA CONDUCTORES'!$AL$7:$AL$459,"X",'ENCUESTA CONDUCTORES'!$BS$7:$BS$459,"MERCANCIA SECA",'ENCUESTA CONDUCTORES'!$AW$7:$AW$459,"&lt;2.21")+COUNTIFS('ENCUESTA CONDUCTORES'!$AL$7:$AL$459,"X",'ENCUESTA CONDUCTORES'!$BS$7:$BS$459,"PAPELERIA",'ENCUESTA CONDUCTORES'!$AW$7:$AW$459,"&lt;2.21")+COUNTIFS('ENCUESTA CONDUCTORES'!$AL$7:$AL$459,"X",'ENCUESTA CONDUCTORES'!$BS$7:$BS$459,"GENERAL",'ENCUESTA CONDUCTORES'!$AW$7:$AW$459,"&lt;2.21")+COUNTIFS('ENCUESTA CONDUCTORES'!$AL$7:$AL$459,"X",'ENCUESTA CONDUCTORES'!$BS$7:$BS$459,"MAQUINARIA",'ENCUESTA CONDUCTORES'!$AW$7:$AW$459,"&lt;2.21")+COUNTIFS('ENCUESTA CONDUCTORES'!$AL$7:$AL$459,"X",'ENCUESTA CONDUCTORES'!$BS$7:$BS$459,"CONTENEDOR",'ENCUESTA CONDUCTORES'!$AW$7:$AW$459,"&lt;2.21")+COUNTIFS('ENCUESTA CONDUCTORES'!$AL$7:$AL$459,"X",'ENCUESTA CONDUCTORES'!$BS$7:$BS$459,"MEDICAMENTOS",'ENCUESTA CONDUCTORES'!$AW$7:$AW$459,"&lt;2.21")+COUNTIFS('ENCUESTA CONDUCTORES'!$AL$7:$AL$459,"X",'ENCUESTA CONDUCTORES'!$BS$7:$BS$459,"AGUA POTABLE",'ENCUESTA CONDUCTORES'!$AW$7:$AW$459,"&lt;2.21")+COUNTIFS('ENCUESTA CONDUCTORES'!$AL$7:$AL$459,"X",'ENCUESTA CONDUCTORES'!$BS$7:$BS$459,"MUDANZAS",'ENCUESTA CONDUCTORES'!$AW$7:$AW$459,"&lt;2.21")+COUNTIFS('ENCUESTA CONDUCTORES'!$AL$7:$AL$459,"X",'ENCUESTA CONDUCTORES'!$BS$7:$BS$459,"JABON",'ENCUESTA CONDUCTORES'!$AW$7:$AW$459,"&lt;2.21")+COUNTIFS('ENCUESTA CONDUCTORES'!$AL$7:$AL$459,"X",'ENCUESTA CONDUCTORES'!$BS$7:$BS$459,"ACEITE",'ENCUESTA CONDUCTORES'!$AW$7:$AW$459,"&lt;2.21")+COUNTIFS('ENCUESTA CONDUCTORES'!$AL$7:$AL$459,"X",'ENCUESTA CONDUCTORES'!$BS$7:$BS$459,"POLIETILENO",'ENCUESTA CONDUCTORES'!$AW$7:$AW$459,"&lt;2.21")+COUNTIFS('ENCUESTA CONDUCTORES'!$AL$7:$AL$459,"X",'ENCUESTA CONDUCTORES'!$BS$7:$BS$459,"ELECTRODOMÉSTICOS",'ENCUESTA CONDUCTORES'!$AW$7:$AW$459,"&lt;2.21")+COUNTIFS('ENCUESTA CONDUCTORES'!$AL$7:$AL$459,"X",'ENCUESTA CONDUCTORES'!$BS$7:$BS$459,"MUEBLES",'ENCUESTA CONDUCTORES'!$AW$7:$AW$459,"&lt;2.21")+COUNTIFS('ENCUESTA CONDUCTORES'!$AL$7:$AL$459,"X",'ENCUESTA CONDUCTORES'!$BS$7:$BS$459,"CHATARRA",'ENCUESTA CONDUCTORES'!$AW$7:$AW$459,"&lt;2.21")+COUNTIFS('ENCUESTA CONDUCTORES'!$AL$7:$AL$459,"X",'ENCUESTA CONDUCTORES'!$BS$7:$BS$459,"LLANTAS",'ENCUESTA CONDUCTORES'!$AW$7:$AW$459,"&lt;2.21")+COUNTIFS('ENCUESTA CONDUCTORES'!$AL$7:$AL$459,"X",'ENCUESTA CONDUCTORES'!$BS$7:$BS$459,"AGUA",'ENCUESTA CONDUCTORES'!$AW$7:$AW$459,"&lt;2.21")+COUNTIFS('ENCUESTA CONDUCTORES'!$AL$7:$AL$459,"X",'ENCUESTA CONDUCTORES'!$BS$7:$BS$459,"ANIMALES",'ENCUESTA CONDUCTORES'!$AW$7:$AW$459,"&lt;2.21")+COUNTIFS('ENCUESTA CONDUCTORES'!$AL$7:$AL$459,"X",'ENCUESTA CONDUCTORES'!$BS$7:$BS$459,"TV REFRIGERADORES",'ENCUESTA CONDUCTORES'!$AW$7:$AW$459,"&lt;2.21")+COUNTIFS('ENCUESTA CONDUCTORES'!$AL$7:$AL$459,"X",'ENCUESTA CONDUCTORES'!$BS$7:$BS$459,"LÍNEA BLANCA",'ENCUESTA CONDUCTORES'!$AW$7:$AW$459,"&lt;2.21")+COUNTIFS('ENCUESTA CONDUCTORES'!$AL$7:$AL$459,"X",'ENCUESTA CONDUCTORES'!$BS$7:$BS$459,"IMPORTACIÓN / EXPORTACIÓN",'ENCUESTA CONDUCTORES'!$AW$7:$AW$459,"&lt;2.21")+COUNTIFS('ENCUESTA CONDUCTORES'!$AL$7:$AL$459,"X",'ENCUESTA CONDUCTORES'!$BS$7:$BS$459,"PLASTICO",'ENCUESTA CONDUCTORES'!$AW$7:$AW$459,"&lt;2.21")+COUNTIFS('ENCUESTA CONDUCTORES'!$AL$7:$AL$459,"X",'ENCUESTA CONDUCTORES'!$BS$7:$BS$459,"ROPA",'ENCUESTA CONDUCTORES'!$AW$7:$AW$459,"&lt;2.21")+COUNTIFS('ENCUESTA CONDUCTORES'!$AL$7:$AL$459,"X",'ENCUESTA CONDUCTORES'!$BS$7:$BS$459,"CHATARRA",'ENCUESTA CONDUCTORES'!$AW$7:$AW$459,"&lt;2.21")+COUNTIFS('ENCUESTA CONDUCTORES'!$AL$7:$AL$459,"X",'ENCUESTA CONDUCTORES'!$BS$7:$BS$459,"MEDICAMENTO NUTRICIONAL",'ENCUESTA CONDUCTORES'!$AW$7:$AW$459,"&lt;2.21")+COUNTIFS('ENCUESTA CONDUCTORES'!$AL$7:$AL$459,"X",'ENCUESTA CONDUCTORES'!$BS$7:$BS$459,"PRODUCTOS DE BELLEZA",'ENCUESTA CONDUCTORES'!$AW$7:$AW$459,"&lt;2.21")+COUNTIFS('ENCUESTA CONDUCTORES'!$AL$7:$AL$459,"X",'ENCUESTA CONDUCTORES'!$BS$7:$BS$459,"FORRAJE",'ENCUESTA CONDUCTORES'!$AW$7:$AW$459,"&lt;2.21")+COUNTIFS('ENCUESTA CONDUCTORES'!$AL$7:$AL$459,"X",'ENCUESTA CONDUCTORES'!$BS$7:$BS$459,"VALORES",'ENCUESTA CONDUCTORES'!$AW$7:$AW$459,"&lt;2.21")+COUNTIFS('ENCUESTA CONDUCTORES'!$AL$7:$AL$459,"X",'ENCUESTA CONDUCTORES'!$BS$7:$BS$459,"PAQUETERIA",'ENCUESTA CONDUCTORES'!$AW$7:$AW$459,"&lt;2.21")+COUNTIFS('ENCUESTA CONDUCTORES'!$AL$7:$AL$459,"X",'ENCUESTA CONDUCTORES'!$BS$7:$BS$459,"SECOS",'ENCUESTA CONDUCTORES'!$AW$7:$AW$459,"&lt;2.21")+COUNTIFS('ENCUESTA CONDUCTORES'!$AL$7:$AL$459,"X",'ENCUESTA CONDUCTORES'!$BS$7:$BS$459,"PANTALLAS",'ENCUESTA CONDUCTORES'!$AW$7:$AW$459,"&lt;2.21")+COUNTIFS('ENCUESTA CONDUCTORES'!$AL$7:$AL$459,"X",'ENCUESTA CONDUCTORES'!$BS$7:$BS$459,"BOTELLAS",'ENCUESTA CONDUCTORES'!$AW$7:$AW$459,"&lt;2.21")+COUNTIFS('ENCUESTA CONDUCTORES'!$AL$7:$AL$459,"X",'ENCUESTA CONDUCTORES'!$BS$7:$BS$459,"PRODUCTOS DE HIGIENE PERSONAL",'ENCUESTA CONDUCTORES'!$AW$7:$AW$459,"&lt;2.21")+COUNTIFS('ENCUESTA CONDUCTORES'!$AL$7:$AL$459,"X",'ENCUESTA CONDUCTORES'!$BS$7:$BS$459,"ELECTRONICA, LINEA BLANCA",'ENCUESTA CONDUCTORES'!$AW$7:$AW$459,"&lt;2.21")+COUNTIFS('ENCUESTA CONDUCTORES'!$AL$7:$AL$459,"X",'ENCUESTA CONDUCTORES'!$BS$7:$BS$459,"CONTENEDORES",'ENCUESTA CONDUCTORES'!$AW$7:$AW$459,"&lt;2.21")-BR180-BQ180-BP180</f>
        <v>4</v>
      </c>
      <c r="BT180" s="90">
        <f>COUNTIFS('ENCUESTA CONDUCTORES'!$AL$7:$AL$459,"X",'ENCUESTA CONDUCTORES'!$BS$7:$BS$459,"CARRITOS DE GOLF",'ENCUESTA CONDUCTORES'!$AW$7:$AW$459,"&lt;2.51")+COUNTIFS('ENCUESTA CONDUCTORES'!$AL$7:$AL$459,"X",'ENCUESTA CONDUCTORES'!$BS$7:$BS$459,"MERCANCIA SECA",'ENCUESTA CONDUCTORES'!$AW$7:$AW$459,"&lt;2.51")+COUNTIFS('ENCUESTA CONDUCTORES'!$AL$7:$AL$459,"X",'ENCUESTA CONDUCTORES'!$BS$7:$BS$459,"PAPELERIA",'ENCUESTA CONDUCTORES'!$AW$7:$AW$459,"&lt;2.51")+COUNTIFS('ENCUESTA CONDUCTORES'!$AL$7:$AL$459,"X",'ENCUESTA CONDUCTORES'!$BS$7:$BS$459,"GENERAL",'ENCUESTA CONDUCTORES'!$AW$7:$AW$459,"&lt;2.51")+COUNTIFS('ENCUESTA CONDUCTORES'!$AL$7:$AL$459,"X",'ENCUESTA CONDUCTORES'!$BS$7:$BS$459,"MAQUINARIA",'ENCUESTA CONDUCTORES'!$AW$7:$AW$459,"&lt;2.51")+COUNTIFS('ENCUESTA CONDUCTORES'!$AL$7:$AL$459,"X",'ENCUESTA CONDUCTORES'!$BS$7:$BS$459,"CONTENEDOR",'ENCUESTA CONDUCTORES'!$AW$7:$AW$459,"&lt;2.51")+COUNTIFS('ENCUESTA CONDUCTORES'!$AL$7:$AL$459,"X",'ENCUESTA CONDUCTORES'!$BS$7:$BS$459,"MEDICAMENTOS",'ENCUESTA CONDUCTORES'!$AW$7:$AW$459,"&lt;2.51")+COUNTIFS('ENCUESTA CONDUCTORES'!$AL$7:$AL$459,"X",'ENCUESTA CONDUCTORES'!$BS$7:$BS$459,"AGUA POTABLE",'ENCUESTA CONDUCTORES'!$AW$7:$AW$459,"&lt;2.51")+COUNTIFS('ENCUESTA CONDUCTORES'!$AL$7:$AL$459,"X",'ENCUESTA CONDUCTORES'!$BS$7:$BS$459,"MUDANZAS",'ENCUESTA CONDUCTORES'!$AW$7:$AW$459,"&lt;2.51")+COUNTIFS('ENCUESTA CONDUCTORES'!$AL$7:$AL$459,"X",'ENCUESTA CONDUCTORES'!$BS$7:$BS$459,"JABON",'ENCUESTA CONDUCTORES'!$AW$7:$AW$459,"&lt;2.51")+COUNTIFS('ENCUESTA CONDUCTORES'!$AL$7:$AL$459,"X",'ENCUESTA CONDUCTORES'!$BS$7:$BS$459,"ACEITE",'ENCUESTA CONDUCTORES'!$AW$7:$AW$459,"&lt;2.51")+COUNTIFS('ENCUESTA CONDUCTORES'!$AL$7:$AL$459,"X",'ENCUESTA CONDUCTORES'!$BS$7:$BS$459,"POLIETILENO",'ENCUESTA CONDUCTORES'!$AW$7:$AW$459,"&lt;2.51")+COUNTIFS('ENCUESTA CONDUCTORES'!$AL$7:$AL$459,"X",'ENCUESTA CONDUCTORES'!$BS$7:$BS$459,"ELECTRODOMÉSTICOS",'ENCUESTA CONDUCTORES'!$AW$7:$AW$459,"&lt;2.51")+COUNTIFS('ENCUESTA CONDUCTORES'!$AL$7:$AL$459,"X",'ENCUESTA CONDUCTORES'!$BS$7:$BS$459,"MUEBLES",'ENCUESTA CONDUCTORES'!$AW$7:$AW$459,"&lt;2.51")+COUNTIFS('ENCUESTA CONDUCTORES'!$AL$7:$AL$459,"X",'ENCUESTA CONDUCTORES'!$BS$7:$BS$459,"CHATARRA",'ENCUESTA CONDUCTORES'!$AW$7:$AW$459,"&lt;2.51")+COUNTIFS('ENCUESTA CONDUCTORES'!$AL$7:$AL$459,"X",'ENCUESTA CONDUCTORES'!$BS$7:$BS$459,"LLANTAS",'ENCUESTA CONDUCTORES'!$AW$7:$AW$459,"&lt;2.51")+COUNTIFS('ENCUESTA CONDUCTORES'!$AL$7:$AL$459,"X",'ENCUESTA CONDUCTORES'!$BS$7:$BS$459,"AGUA",'ENCUESTA CONDUCTORES'!$AW$7:$AW$459,"&lt;2.51")+COUNTIFS('ENCUESTA CONDUCTORES'!$AL$7:$AL$459,"X",'ENCUESTA CONDUCTORES'!$BS$7:$BS$459,"ANIMALES",'ENCUESTA CONDUCTORES'!$AW$7:$AW$459,"&lt;2.51")+COUNTIFS('ENCUESTA CONDUCTORES'!$AL$7:$AL$459,"X",'ENCUESTA CONDUCTORES'!$BS$7:$BS$459,"TV REFRIGERADORES",'ENCUESTA CONDUCTORES'!$AW$7:$AW$459,"&lt;2.51")+COUNTIFS('ENCUESTA CONDUCTORES'!$AL$7:$AL$459,"X",'ENCUESTA CONDUCTORES'!$BS$7:$BS$459,"LÍNEA BLANCA",'ENCUESTA CONDUCTORES'!$AW$7:$AW$459,"&lt;2.51")+COUNTIFS('ENCUESTA CONDUCTORES'!$AL$7:$AL$459,"X",'ENCUESTA CONDUCTORES'!$BS$7:$BS$459,"IMPORTACIÓN / EXPORTACIÓN",'ENCUESTA CONDUCTORES'!$AW$7:$AW$459,"&lt;2.51")+COUNTIFS('ENCUESTA CONDUCTORES'!$AL$7:$AL$459,"X",'ENCUESTA CONDUCTORES'!$BS$7:$BS$459,"PLASTICO",'ENCUESTA CONDUCTORES'!$AW$7:$AW$459,"&lt;2.51")+COUNTIFS('ENCUESTA CONDUCTORES'!$AL$7:$AL$459,"X",'ENCUESTA CONDUCTORES'!$BS$7:$BS$459,"ROPA",'ENCUESTA CONDUCTORES'!$AW$7:$AW$459,"&lt;2.51")+COUNTIFS('ENCUESTA CONDUCTORES'!$AL$7:$AL$459,"X",'ENCUESTA CONDUCTORES'!$BS$7:$BS$459,"CHATARRA",'ENCUESTA CONDUCTORES'!$AW$7:$AW$459,"&lt;2.51")+COUNTIFS('ENCUESTA CONDUCTORES'!$AL$7:$AL$459,"X",'ENCUESTA CONDUCTORES'!$BS$7:$BS$459,"MEDICAMENTO NUTRICIONAL",'ENCUESTA CONDUCTORES'!$AW$7:$AW$459,"&lt;2.51")+COUNTIFS('ENCUESTA CONDUCTORES'!$AL$7:$AL$459,"X",'ENCUESTA CONDUCTORES'!$BS$7:$BS$459,"PRODUCTOS DE BELLEZA",'ENCUESTA CONDUCTORES'!$AW$7:$AW$459,"&lt;2.51")+COUNTIFS('ENCUESTA CONDUCTORES'!$AL$7:$AL$459,"X",'ENCUESTA CONDUCTORES'!$BS$7:$BS$459,"FORRAJE",'ENCUESTA CONDUCTORES'!$AW$7:$AW$459,"&lt;2.51")+COUNTIFS('ENCUESTA CONDUCTORES'!$AL$7:$AL$459,"X",'ENCUESTA CONDUCTORES'!$BS$7:$BS$459,"VALORES",'ENCUESTA CONDUCTORES'!$AW$7:$AW$459,"&lt;2.51")+COUNTIFS('ENCUESTA CONDUCTORES'!$AL$7:$AL$459,"X",'ENCUESTA CONDUCTORES'!$BS$7:$BS$459,"PAQUETERIA",'ENCUESTA CONDUCTORES'!$AW$7:$AW$459,"&lt;2.51")+COUNTIFS('ENCUESTA CONDUCTORES'!$AL$7:$AL$459,"X",'ENCUESTA CONDUCTORES'!$BS$7:$BS$459,"SECOS",'ENCUESTA CONDUCTORES'!$AW$7:$AW$459,"&lt;2.51")+COUNTIFS('ENCUESTA CONDUCTORES'!$AL$7:$AL$459,"X",'ENCUESTA CONDUCTORES'!$BS$7:$BS$459,"PANTALLAS",'ENCUESTA CONDUCTORES'!$AW$7:$AW$459,"&lt;2.51")+COUNTIFS('ENCUESTA CONDUCTORES'!$AL$7:$AL$459,"X",'ENCUESTA CONDUCTORES'!$BS$7:$BS$459,"BOTELLAS",'ENCUESTA CONDUCTORES'!$AW$7:$AW$459,"&lt;2.51")+COUNTIFS('ENCUESTA CONDUCTORES'!$AL$7:$AL$459,"X",'ENCUESTA CONDUCTORES'!$BS$7:$BS$459,"PRODUCTOS DE HIGIENE PERSONAL",'ENCUESTA CONDUCTORES'!$AW$7:$AW$459,"&lt;2.51")+COUNTIFS('ENCUESTA CONDUCTORES'!$AL$7:$AL$459,"X",'ENCUESTA CONDUCTORES'!$BS$7:$BS$459,"ELECTRONICA, LINEA BLANCA",'ENCUESTA CONDUCTORES'!$AW$7:$AW$459,"&lt;2.51")+COUNTIFS('ENCUESTA CONDUCTORES'!$AL$7:$AL$459,"X",'ENCUESTA CONDUCTORES'!$BS$7:$BS$459,"CONTENEDORES",'ENCUESTA CONDUCTORES'!$AW$7:$AW$459,"&lt;2.51")-BS180-BR180-BQ180-BP180</f>
        <v>15</v>
      </c>
      <c r="BU180" s="90">
        <f>COUNTIFS('ENCUESTA CONDUCTORES'!$AL$7:$AL$459,"X",'ENCUESTA CONDUCTORES'!$BS$7:$BS$459,"CARRITOS DE GOLF",'ENCUESTA CONDUCTORES'!$AW$7:$AW$459,"&lt;3.01")+COUNTIFS('ENCUESTA CONDUCTORES'!$AL$7:$AL$459,"X",'ENCUESTA CONDUCTORES'!$BS$7:$BS$459,"MERCANCIA SECA",'ENCUESTA CONDUCTORES'!$AW$7:$AW$459,"&lt;3.01")+COUNTIFS('ENCUESTA CONDUCTORES'!$AL$7:$AL$459,"X",'ENCUESTA CONDUCTORES'!$BS$7:$BS$459,"PAPELERIA",'ENCUESTA CONDUCTORES'!$AW$7:$AW$459,"&lt;3.01")+COUNTIFS('ENCUESTA CONDUCTORES'!$AL$7:$AL$459,"X",'ENCUESTA CONDUCTORES'!$BS$7:$BS$459,"GENERAL",'ENCUESTA CONDUCTORES'!$AW$7:$AW$459,"&lt;3.01")+COUNTIFS('ENCUESTA CONDUCTORES'!$AL$7:$AL$459,"X",'ENCUESTA CONDUCTORES'!$BS$7:$BS$459,"MAQUINARIA",'ENCUESTA CONDUCTORES'!$AW$7:$AW$459,"&lt;3.01")+COUNTIFS('ENCUESTA CONDUCTORES'!$AL$7:$AL$459,"X",'ENCUESTA CONDUCTORES'!$BS$7:$BS$459,"CONTENEDOR",'ENCUESTA CONDUCTORES'!$AW$7:$AW$459,"&lt;3.01")+COUNTIFS('ENCUESTA CONDUCTORES'!$AL$7:$AL$459,"X",'ENCUESTA CONDUCTORES'!$BS$7:$BS$459,"MEDICAMENTOS",'ENCUESTA CONDUCTORES'!$AW$7:$AW$459,"&lt;3.01")+COUNTIFS('ENCUESTA CONDUCTORES'!$AL$7:$AL$459,"X",'ENCUESTA CONDUCTORES'!$BS$7:$BS$459,"AGUA POTABLE",'ENCUESTA CONDUCTORES'!$AW$7:$AW$459,"&lt;3.01")+COUNTIFS('ENCUESTA CONDUCTORES'!$AL$7:$AL$459,"X",'ENCUESTA CONDUCTORES'!$BS$7:$BS$459,"MUDANZAS",'ENCUESTA CONDUCTORES'!$AW$7:$AW$459,"&lt;3.01")+COUNTIFS('ENCUESTA CONDUCTORES'!$AL$7:$AL$459,"X",'ENCUESTA CONDUCTORES'!$BS$7:$BS$459,"JABON",'ENCUESTA CONDUCTORES'!$AW$7:$AW$459,"&lt;3.01")+COUNTIFS('ENCUESTA CONDUCTORES'!$AL$7:$AL$459,"X",'ENCUESTA CONDUCTORES'!$BS$7:$BS$459,"ACEITE",'ENCUESTA CONDUCTORES'!$AW$7:$AW$459,"&lt;3.01")+COUNTIFS('ENCUESTA CONDUCTORES'!$AL$7:$AL$459,"X",'ENCUESTA CONDUCTORES'!$BS$7:$BS$459,"POLIETILENO",'ENCUESTA CONDUCTORES'!$AW$7:$AW$459,"&lt;3.01")+COUNTIFS('ENCUESTA CONDUCTORES'!$AL$7:$AL$459,"X",'ENCUESTA CONDUCTORES'!$BS$7:$BS$459,"ELECTRODOMÉSTICOS",'ENCUESTA CONDUCTORES'!$AW$7:$AW$459,"&lt;3.01")+COUNTIFS('ENCUESTA CONDUCTORES'!$AL$7:$AL$459,"X",'ENCUESTA CONDUCTORES'!$BS$7:$BS$459,"MUEBLES",'ENCUESTA CONDUCTORES'!$AW$7:$AW$459,"&lt;3.01")+COUNTIFS('ENCUESTA CONDUCTORES'!$AL$7:$AL$459,"X",'ENCUESTA CONDUCTORES'!$BS$7:$BS$459,"CHATARRA",'ENCUESTA CONDUCTORES'!$AW$7:$AW$459,"&lt;3.01")+COUNTIFS('ENCUESTA CONDUCTORES'!$AL$7:$AL$459,"X",'ENCUESTA CONDUCTORES'!$BS$7:$BS$459,"LLANTAS",'ENCUESTA CONDUCTORES'!$AW$7:$AW$459,"&lt;3.01")+COUNTIFS('ENCUESTA CONDUCTORES'!$AL$7:$AL$459,"X",'ENCUESTA CONDUCTORES'!$BS$7:$BS$459,"AGUA",'ENCUESTA CONDUCTORES'!$AW$7:$AW$459,"&lt;3.01")+COUNTIFS('ENCUESTA CONDUCTORES'!$AL$7:$AL$459,"X",'ENCUESTA CONDUCTORES'!$BS$7:$BS$459,"ANIMALES",'ENCUESTA CONDUCTORES'!$AW$7:$AW$459,"&lt;3.01")+COUNTIFS('ENCUESTA CONDUCTORES'!$AL$7:$AL$459,"X",'ENCUESTA CONDUCTORES'!$BS$7:$BS$459,"TV REFRIGERADORES",'ENCUESTA CONDUCTORES'!$AW$7:$AW$459,"&lt;3.01")+COUNTIFS('ENCUESTA CONDUCTORES'!$AL$7:$AL$459,"X",'ENCUESTA CONDUCTORES'!$BS$7:$BS$459,"LÍNEA BLANCA",'ENCUESTA CONDUCTORES'!$AW$7:$AW$459,"&lt;3.01")+COUNTIFS('ENCUESTA CONDUCTORES'!$AL$7:$AL$459,"X",'ENCUESTA CONDUCTORES'!$BS$7:$BS$459,"IMPORTACIÓN / EXPORTACIÓN",'ENCUESTA CONDUCTORES'!$AW$7:$AW$459,"&lt;3.01")+COUNTIFS('ENCUESTA CONDUCTORES'!$AL$7:$AL$459,"X",'ENCUESTA CONDUCTORES'!$BS$7:$BS$459,"PLASTICO",'ENCUESTA CONDUCTORES'!$AW$7:$AW$459,"&lt;3.01")+COUNTIFS('ENCUESTA CONDUCTORES'!$AL$7:$AL$459,"X",'ENCUESTA CONDUCTORES'!$BS$7:$BS$459,"ROPA",'ENCUESTA CONDUCTORES'!$AW$7:$AW$459,"&lt;3.01")+COUNTIFS('ENCUESTA CONDUCTORES'!$AL$7:$AL$459,"X",'ENCUESTA CONDUCTORES'!$BS$7:$BS$459,"CHATARRA",'ENCUESTA CONDUCTORES'!$AW$7:$AW$459,"&lt;3.01")+COUNTIFS('ENCUESTA CONDUCTORES'!$AL$7:$AL$459,"X",'ENCUESTA CONDUCTORES'!$BS$7:$BS$459,"MEDICAMENTO NUTRICIONAL",'ENCUESTA CONDUCTORES'!$AW$7:$AW$459,"&lt;3.01")+COUNTIFS('ENCUESTA CONDUCTORES'!$AL$7:$AL$459,"X",'ENCUESTA CONDUCTORES'!$BS$7:$BS$459,"PRODUCTOS DE BELLEZA",'ENCUESTA CONDUCTORES'!$AW$7:$AW$459,"&lt;3.01")+COUNTIFS('ENCUESTA CONDUCTORES'!$AL$7:$AL$459,"X",'ENCUESTA CONDUCTORES'!$BS$7:$BS$459,"FORRAJE",'ENCUESTA CONDUCTORES'!$AW$7:$AW$459,"&lt;3.01")+COUNTIFS('ENCUESTA CONDUCTORES'!$AL$7:$AL$459,"X",'ENCUESTA CONDUCTORES'!$BS$7:$BS$459,"VALORES",'ENCUESTA CONDUCTORES'!$AW$7:$AW$459,"&lt;3.01")+COUNTIFS('ENCUESTA CONDUCTORES'!$AL$7:$AL$459,"X",'ENCUESTA CONDUCTORES'!$BS$7:$BS$459,"PAQUETERIA",'ENCUESTA CONDUCTORES'!$AW$7:$AW$459,"&lt;3.01")+COUNTIFS('ENCUESTA CONDUCTORES'!$AL$7:$AL$459,"X",'ENCUESTA CONDUCTORES'!$BS$7:$BS$459,"SECOS",'ENCUESTA CONDUCTORES'!$AW$7:$AW$459,"&lt;3.01")+COUNTIFS('ENCUESTA CONDUCTORES'!$AL$7:$AL$459,"X",'ENCUESTA CONDUCTORES'!$BS$7:$BS$459,"PANTALLAS",'ENCUESTA CONDUCTORES'!$AW$7:$AW$459,"&lt;3.01")+COUNTIFS('ENCUESTA CONDUCTORES'!$AL$7:$AL$459,"X",'ENCUESTA CONDUCTORES'!$BS$7:$BS$459,"BOTELLAS",'ENCUESTA CONDUCTORES'!$AW$7:$AW$459,"&lt;3.01")+COUNTIFS('ENCUESTA CONDUCTORES'!$AL$7:$AL$459,"X",'ENCUESTA CONDUCTORES'!$BS$7:$BS$459,"PRODUCTOS DE HIGIENE PERSONAL",'ENCUESTA CONDUCTORES'!$AW$7:$AW$459,"&lt;3.01")+COUNTIFS('ENCUESTA CONDUCTORES'!$AL$7:$AL$459,"X",'ENCUESTA CONDUCTORES'!$BS$7:$BS$459,"ELECTRONICA, LINEA BLANCA",'ENCUESTA CONDUCTORES'!$AW$7:$AW$459,"&lt;3.01")+COUNTIFS('ENCUESTA CONDUCTORES'!$AL$7:$AL$459,"X",'ENCUESTA CONDUCTORES'!$BS$7:$BS$459,"CONTENEDORES",'ENCUESTA CONDUCTORES'!$AW$7:$AW$459,"&lt;3.01")-BT180-BS180-BR180-BQ180-BP180</f>
        <v>50</v>
      </c>
      <c r="BV180" s="90">
        <f>COUNTIFS('ENCUESTA CONDUCTORES'!$AL$7:$AL$459,"X",'ENCUESTA CONDUCTORES'!$BS$7:$BS$459,"CARRITOS DE GOLF",'ENCUESTA CONDUCTORES'!$AW$7:$AW$459,"&lt;4.01")+COUNTIFS('ENCUESTA CONDUCTORES'!$AL$7:$AL$459,"X",'ENCUESTA CONDUCTORES'!$BS$7:$BS$459,"MERCANCIA SECA",'ENCUESTA CONDUCTORES'!$AW$7:$AW$459,"&lt;4.01")+COUNTIFS('ENCUESTA CONDUCTORES'!$AL$7:$AL$459,"X",'ENCUESTA CONDUCTORES'!$BS$7:$BS$459,"PAPELERIA",'ENCUESTA CONDUCTORES'!$AW$7:$AW$459,"&lt;4.01")+COUNTIFS('ENCUESTA CONDUCTORES'!$AL$7:$AL$459,"X",'ENCUESTA CONDUCTORES'!$BS$7:$BS$459,"GENERAL",'ENCUESTA CONDUCTORES'!$AW$7:$AW$459,"&lt;4.01")+COUNTIFS('ENCUESTA CONDUCTORES'!$AL$7:$AL$459,"X",'ENCUESTA CONDUCTORES'!$BS$7:$BS$459,"MAQUINARIA",'ENCUESTA CONDUCTORES'!$AW$7:$AW$459,"&lt;4.01")+COUNTIFS('ENCUESTA CONDUCTORES'!$AL$7:$AL$459,"X",'ENCUESTA CONDUCTORES'!$BS$7:$BS$459,"CONTENEDOR",'ENCUESTA CONDUCTORES'!$AW$7:$AW$459,"&lt;4.01")+COUNTIFS('ENCUESTA CONDUCTORES'!$AL$7:$AL$459,"X",'ENCUESTA CONDUCTORES'!$BS$7:$BS$459,"MEDICAMENTOS",'ENCUESTA CONDUCTORES'!$AW$7:$AW$459,"&lt;4.01")+COUNTIFS('ENCUESTA CONDUCTORES'!$AL$7:$AL$459,"X",'ENCUESTA CONDUCTORES'!$BS$7:$BS$459,"AGUA POTABLE",'ENCUESTA CONDUCTORES'!$AW$7:$AW$459,"&lt;4.01")+COUNTIFS('ENCUESTA CONDUCTORES'!$AL$7:$AL$459,"X",'ENCUESTA CONDUCTORES'!$BS$7:$BS$459,"MUDANZAS",'ENCUESTA CONDUCTORES'!$AW$7:$AW$459,"&lt;4.01")+COUNTIFS('ENCUESTA CONDUCTORES'!$AL$7:$AL$459,"X",'ENCUESTA CONDUCTORES'!$BS$7:$BS$459,"JABON",'ENCUESTA CONDUCTORES'!$AW$7:$AW$459,"&lt;4.01")+COUNTIFS('ENCUESTA CONDUCTORES'!$AL$7:$AL$459,"X",'ENCUESTA CONDUCTORES'!$BS$7:$BS$459,"ACEITE",'ENCUESTA CONDUCTORES'!$AW$7:$AW$459,"&lt;4.01")+COUNTIFS('ENCUESTA CONDUCTORES'!$AL$7:$AL$459,"X",'ENCUESTA CONDUCTORES'!$BS$7:$BS$459,"POLIETILENO",'ENCUESTA CONDUCTORES'!$AW$7:$AW$459,"&lt;4.01")+COUNTIFS('ENCUESTA CONDUCTORES'!$AL$7:$AL$459,"X",'ENCUESTA CONDUCTORES'!$BS$7:$BS$459,"ELECTRODOMÉSTICOS",'ENCUESTA CONDUCTORES'!$AW$7:$AW$459,"&lt;4.01")+COUNTIFS('ENCUESTA CONDUCTORES'!$AL$7:$AL$459,"X",'ENCUESTA CONDUCTORES'!$BS$7:$BS$459,"MUEBLES",'ENCUESTA CONDUCTORES'!$AW$7:$AW$459,"&lt;4.01")+COUNTIFS('ENCUESTA CONDUCTORES'!$AL$7:$AL$459,"X",'ENCUESTA CONDUCTORES'!$BS$7:$BS$459,"CHATARRA",'ENCUESTA CONDUCTORES'!$AW$7:$AW$459,"&lt;4.01")+COUNTIFS('ENCUESTA CONDUCTORES'!$AL$7:$AL$459,"X",'ENCUESTA CONDUCTORES'!$BS$7:$BS$459,"LLANTAS",'ENCUESTA CONDUCTORES'!$AW$7:$AW$459,"&lt;4.01")+COUNTIFS('ENCUESTA CONDUCTORES'!$AL$7:$AL$459,"X",'ENCUESTA CONDUCTORES'!$BS$7:$BS$459,"AGUA",'ENCUESTA CONDUCTORES'!$AW$7:$AW$459,"&lt;4.01")+COUNTIFS('ENCUESTA CONDUCTORES'!$AL$7:$AL$459,"X",'ENCUESTA CONDUCTORES'!$BS$7:$BS$459,"ANIMALES",'ENCUESTA CONDUCTORES'!$AW$7:$AW$459,"&lt;4.01")+COUNTIFS('ENCUESTA CONDUCTORES'!$AL$7:$AL$459,"X",'ENCUESTA CONDUCTORES'!$BS$7:$BS$459,"TV REFRIGERADORES",'ENCUESTA CONDUCTORES'!$AW$7:$AW$459,"&lt;4.01")+COUNTIFS('ENCUESTA CONDUCTORES'!$AL$7:$AL$459,"X",'ENCUESTA CONDUCTORES'!$BS$7:$BS$459,"LÍNEA BLANCA",'ENCUESTA CONDUCTORES'!$AW$7:$AW$459,"&lt;4.01")+COUNTIFS('ENCUESTA CONDUCTORES'!$AL$7:$AL$459,"X",'ENCUESTA CONDUCTORES'!$BS$7:$BS$459,"IMPORTACIÓN / EXPORTACIÓN",'ENCUESTA CONDUCTORES'!$AW$7:$AW$459,"&lt;4.01")+COUNTIFS('ENCUESTA CONDUCTORES'!$AL$7:$AL$459,"X",'ENCUESTA CONDUCTORES'!$BS$7:$BS$459,"PLASTICO",'ENCUESTA CONDUCTORES'!$AW$7:$AW$459,"&lt;4.01")+COUNTIFS('ENCUESTA CONDUCTORES'!$AL$7:$AL$459,"X",'ENCUESTA CONDUCTORES'!$BS$7:$BS$459,"ROPA",'ENCUESTA CONDUCTORES'!$AW$7:$AW$459,"&lt;4.01")+COUNTIFS('ENCUESTA CONDUCTORES'!$AL$7:$AL$459,"X",'ENCUESTA CONDUCTORES'!$BS$7:$BS$459,"CHATARRA",'ENCUESTA CONDUCTORES'!$AW$7:$AW$459,"&lt;4.01")+COUNTIFS('ENCUESTA CONDUCTORES'!$AL$7:$AL$459,"X",'ENCUESTA CONDUCTORES'!$BS$7:$BS$459,"MEDICAMENTO NUTRICIONAL",'ENCUESTA CONDUCTORES'!$AW$7:$AW$459,"&lt;4.01")+COUNTIFS('ENCUESTA CONDUCTORES'!$AL$7:$AL$459,"X",'ENCUESTA CONDUCTORES'!$BS$7:$BS$459,"PRODUCTOS DE BELLEZA",'ENCUESTA CONDUCTORES'!$AW$7:$AW$459,"&lt;4.01")+COUNTIFS('ENCUESTA CONDUCTORES'!$AL$7:$AL$459,"X",'ENCUESTA CONDUCTORES'!$BS$7:$BS$459,"FORRAJE",'ENCUESTA CONDUCTORES'!$AW$7:$AW$459,"&lt;4.01")+COUNTIFS('ENCUESTA CONDUCTORES'!$AL$7:$AL$459,"X",'ENCUESTA CONDUCTORES'!$BS$7:$BS$459,"VALORES",'ENCUESTA CONDUCTORES'!$AW$7:$AW$459,"&lt;4.01")+COUNTIFS('ENCUESTA CONDUCTORES'!$AL$7:$AL$459,"X",'ENCUESTA CONDUCTORES'!$BS$7:$BS$459,"PAQUETERIA",'ENCUESTA CONDUCTORES'!$AW$7:$AW$459,"&lt;4.01")+COUNTIFS('ENCUESTA CONDUCTORES'!$AL$7:$AL$459,"X",'ENCUESTA CONDUCTORES'!$BS$7:$BS$459,"SECOS",'ENCUESTA CONDUCTORES'!$AW$7:$AW$459,"&lt;4.01")+COUNTIFS('ENCUESTA CONDUCTORES'!$AL$7:$AL$459,"X",'ENCUESTA CONDUCTORES'!$BS$7:$BS$459,"PANTALLAS",'ENCUESTA CONDUCTORES'!$AW$7:$AW$459,"&lt;4.01")+COUNTIFS('ENCUESTA CONDUCTORES'!$AL$7:$AL$459,"X",'ENCUESTA CONDUCTORES'!$BS$7:$BS$459,"BOTELLAS",'ENCUESTA CONDUCTORES'!$AW$7:$AW$459,"&lt;4.01")+COUNTIFS('ENCUESTA CONDUCTORES'!$AL$7:$AL$459,"X",'ENCUESTA CONDUCTORES'!$BS$7:$BS$459,"PRODUCTOS DE HIGIENE PERSONAL",'ENCUESTA CONDUCTORES'!$AW$7:$AW$459,"&lt;4.01")+COUNTIFS('ENCUESTA CONDUCTORES'!$AL$7:$AL$459,"X",'ENCUESTA CONDUCTORES'!$BS$7:$BS$459,"ELECTRONICA, LINEA BLANCA",'ENCUESTA CONDUCTORES'!$AW$7:$AW$459,"&lt;4.01")+COUNTIFS('ENCUESTA CONDUCTORES'!$AL$7:$AL$459,"X",'ENCUESTA CONDUCTORES'!$BS$7:$BS$459,"CONTENEDORES",'ENCUESTA CONDUCTORES'!$AW$7:$AW$459,"&lt;4.01")-BU180-BT180-BS180-BR180-BQ180-BP180</f>
        <v>12</v>
      </c>
      <c r="BW180" s="90">
        <f>COUNTIFS('ENCUESTA CONDUCTORES'!$AL$7:$AL$459,"X",'ENCUESTA CONDUCTORES'!$BS$7:$BS$459,"CARRITOS DE GOLF",'ENCUESTA CONDUCTORES'!$AW$7:$AW$459,"&gt;4")+COUNTIFS('ENCUESTA CONDUCTORES'!$AL$7:$AL$459,"X",'ENCUESTA CONDUCTORES'!$BS$7:$BS$459,"MERCANCIA SECA",'ENCUESTA CONDUCTORES'!$AW$7:$AW$459,"&gt;4")+COUNTIFS('ENCUESTA CONDUCTORES'!$AL$7:$AL$459,"X",'ENCUESTA CONDUCTORES'!$BS$7:$BS$459,"PAPELERIA",'ENCUESTA CONDUCTORES'!$AW$7:$AW$459,"&gt;4")+COUNTIFS('ENCUESTA CONDUCTORES'!$AL$7:$AL$459,"X",'ENCUESTA CONDUCTORES'!$BS$7:$BS$459,"GENERAL",'ENCUESTA CONDUCTORES'!$AW$7:$AW$459,"&gt;4")+COUNTIFS('ENCUESTA CONDUCTORES'!$AL$7:$AL$459,"X",'ENCUESTA CONDUCTORES'!$BS$7:$BS$459,"MAQUINARIA",'ENCUESTA CONDUCTORES'!$AW$7:$AW$459,"&gt;4")+COUNTIFS('ENCUESTA CONDUCTORES'!$AL$7:$AL$459,"X",'ENCUESTA CONDUCTORES'!$BS$7:$BS$459,"CONTENEDOR",'ENCUESTA CONDUCTORES'!$AW$7:$AW$459,"&gt;4")+COUNTIFS('ENCUESTA CONDUCTORES'!$AL$7:$AL$459,"X",'ENCUESTA CONDUCTORES'!$BS$7:$BS$459,"MEDICAMENTOS",'ENCUESTA CONDUCTORES'!$AW$7:$AW$459,"&gt;4")+COUNTIFS('ENCUESTA CONDUCTORES'!$AL$7:$AL$459,"X",'ENCUESTA CONDUCTORES'!$BS$7:$BS$459,"AGUA POTABLE",'ENCUESTA CONDUCTORES'!$AW$7:$AW$459,"&gt;4")+COUNTIFS('ENCUESTA CONDUCTORES'!$AL$7:$AL$459,"X",'ENCUESTA CONDUCTORES'!$BS$7:$BS$459,"MUDANZAS",'ENCUESTA CONDUCTORES'!$AW$7:$AW$459,"&gt;4")+COUNTIFS('ENCUESTA CONDUCTORES'!$AL$7:$AL$459,"X",'ENCUESTA CONDUCTORES'!$BS$7:$BS$459,"JABON",'ENCUESTA CONDUCTORES'!$AW$7:$AW$459,"&gt;4")+COUNTIFS('ENCUESTA CONDUCTORES'!$AL$7:$AL$459,"X",'ENCUESTA CONDUCTORES'!$BS$7:$BS$459,"ACEITE",'ENCUESTA CONDUCTORES'!$AW$7:$AW$459,"&gt;4")+COUNTIFS('ENCUESTA CONDUCTORES'!$AL$7:$AL$459,"X",'ENCUESTA CONDUCTORES'!$BS$7:$BS$459,"POLIETILENO",'ENCUESTA CONDUCTORES'!$AW$7:$AW$459,"&gt;4")+COUNTIFS('ENCUESTA CONDUCTORES'!$AL$7:$AL$459,"X",'ENCUESTA CONDUCTORES'!$BS$7:$BS$459,"ELECTRODOMÉSTICOS",'ENCUESTA CONDUCTORES'!$AW$7:$AW$459,"&gt;4")+COUNTIFS('ENCUESTA CONDUCTORES'!$AL$7:$AL$459,"X",'ENCUESTA CONDUCTORES'!$BS$7:$BS$459,"MUEBLES",'ENCUESTA CONDUCTORES'!$AW$7:$AW$459,"&gt;4")+COUNTIFS('ENCUESTA CONDUCTORES'!$AL$7:$AL$459,"X",'ENCUESTA CONDUCTORES'!$BS$7:$BS$459,"CHATARRA",'ENCUESTA CONDUCTORES'!$AW$7:$AW$459,"&gt;4")+COUNTIFS('ENCUESTA CONDUCTORES'!$AL$7:$AL$459,"X",'ENCUESTA CONDUCTORES'!$BS$7:$BS$459,"LLANTAS",'ENCUESTA CONDUCTORES'!$AW$7:$AW$459,"&gt;4")+COUNTIFS('ENCUESTA CONDUCTORES'!$AL$7:$AL$459,"X",'ENCUESTA CONDUCTORES'!$BS$7:$BS$459,"AGUA",'ENCUESTA CONDUCTORES'!$AW$7:$AW$459,"&gt;4")+COUNTIFS('ENCUESTA CONDUCTORES'!$AL$7:$AL$459,"X",'ENCUESTA CONDUCTORES'!$BS$7:$BS$459,"ANIMALES",'ENCUESTA CONDUCTORES'!$AW$7:$AW$459,"&gt;4")+COUNTIFS('ENCUESTA CONDUCTORES'!$AL$7:$AL$459,"X",'ENCUESTA CONDUCTORES'!$BS$7:$BS$459,"TV REFRIGERADORES",'ENCUESTA CONDUCTORES'!$AW$7:$AW$459,"&gt;4")+COUNTIFS('ENCUESTA CONDUCTORES'!$AL$7:$AL$459,"X",'ENCUESTA CONDUCTORES'!$BS$7:$BS$459,"LÍNEA BLANCA",'ENCUESTA CONDUCTORES'!$AW$7:$AW$459,"&gt;4")+COUNTIFS('ENCUESTA CONDUCTORES'!$AL$7:$AL$459,"X",'ENCUESTA CONDUCTORES'!$BS$7:$BS$459,"IMPORTACIÓN / EXPORTACIÓN",'ENCUESTA CONDUCTORES'!$AW$7:$AW$459,"&gt;4")+COUNTIFS('ENCUESTA CONDUCTORES'!$AL$7:$AL$459,"X",'ENCUESTA CONDUCTORES'!$BS$7:$BS$459,"PLASTICO",'ENCUESTA CONDUCTORES'!$AW$7:$AW$459,"&gt;4")+COUNTIFS('ENCUESTA CONDUCTORES'!$AL$7:$AL$459,"X",'ENCUESTA CONDUCTORES'!$BS$7:$BS$459,"ROPA",'ENCUESTA CONDUCTORES'!$AW$7:$AW$459,"&gt;4")+COUNTIFS('ENCUESTA CONDUCTORES'!$AL$7:$AL$459,"X",'ENCUESTA CONDUCTORES'!$BS$7:$BS$459,"CHATARRA",'ENCUESTA CONDUCTORES'!$AW$7:$AW$459,"&gt;4")+COUNTIFS('ENCUESTA CONDUCTORES'!$AL$7:$AL$459,"X",'ENCUESTA CONDUCTORES'!$BS$7:$BS$459,"MEDICAMENTO NUTRICIONAL",'ENCUESTA CONDUCTORES'!$AW$7:$AW$459,"&gt;4")+COUNTIFS('ENCUESTA CONDUCTORES'!$AL$7:$AL$459,"X",'ENCUESTA CONDUCTORES'!$BS$7:$BS$459,"PRODUCTOS DE BELLEZA",'ENCUESTA CONDUCTORES'!$AW$7:$AW$459,"&gt;4")+COUNTIFS('ENCUESTA CONDUCTORES'!$AL$7:$AL$459,"X",'ENCUESTA CONDUCTORES'!$BS$7:$BS$459,"FORRAJE",'ENCUESTA CONDUCTORES'!$AW$7:$AW$459,"&gt;4")+COUNTIFS('ENCUESTA CONDUCTORES'!$AL$7:$AL$459,"X",'ENCUESTA CONDUCTORES'!$BS$7:$BS$459,"VALORES",'ENCUESTA CONDUCTORES'!$AW$7:$AW$459,"&gt;4")+COUNTIFS('ENCUESTA CONDUCTORES'!$AL$7:$AL$459,"X",'ENCUESTA CONDUCTORES'!$BS$7:$BS$459,"PAQUETERIA",'ENCUESTA CONDUCTORES'!$AW$7:$AW$459,"&gt;4")+COUNTIFS('ENCUESTA CONDUCTORES'!$AL$7:$AL$459,"X",'ENCUESTA CONDUCTORES'!$BS$7:$BS$459,"SECOS",'ENCUESTA CONDUCTORES'!$AW$7:$AW$459,"&gt;4")+COUNTIFS('ENCUESTA CONDUCTORES'!$AL$7:$AL$459,"X",'ENCUESTA CONDUCTORES'!$BS$7:$BS$459,"PANTALLAS",'ENCUESTA CONDUCTORES'!$AW$7:$AW$459,"&gt;4")+COUNTIFS('ENCUESTA CONDUCTORES'!$AL$7:$AL$459,"X",'ENCUESTA CONDUCTORES'!$BS$7:$BS$459,"BOTELLAS",'ENCUESTA CONDUCTORES'!$AW$7:$AW$459,"&gt;4")+COUNTIFS('ENCUESTA CONDUCTORES'!$AL$7:$AL$459,"X",'ENCUESTA CONDUCTORES'!$BS$7:$BS$459,"PRODUCTOS DE HIGIENE PERSONAL",'ENCUESTA CONDUCTORES'!$AW$7:$AW$459,"&gt;4")+COUNTIFS('ENCUESTA CONDUCTORES'!$AL$7:$AL$459,"X",'ENCUESTA CONDUCTORES'!$BS$7:$BS$459,"ELECTRONICA, LINEA BLANCA",'ENCUESTA CONDUCTORES'!$AW$7:$AW$459,"&gt;4")+COUNTIFS('ENCUESTA CONDUCTORES'!$AL$7:$AL$459,"X",'ENCUESTA CONDUCTORES'!$BS$7:$BS$459,"CONTENEDORES",'ENCUESTA CONDUCTORES'!$AW$7:$AW$459,"&gt;4")</f>
        <v>4</v>
      </c>
      <c r="BX180" s="18">
        <f t="shared" si="411"/>
        <v>97</v>
      </c>
      <c r="CX180" s="11" t="s">
        <v>1307</v>
      </c>
      <c r="CY180" s="74">
        <f t="shared" ref="CY180:CY187" si="418">+CZ180/$CZ$187</f>
        <v>6.097560975609756E-2</v>
      </c>
      <c r="CZ180" s="18">
        <f t="shared" ref="CZ180:CZ188" si="419">+DK20</f>
        <v>5</v>
      </c>
      <c r="DA180" s="74"/>
      <c r="DB180" s="74"/>
      <c r="DD180" s="74"/>
      <c r="DE180" s="74"/>
      <c r="DF180" s="74"/>
      <c r="DG180" s="18"/>
      <c r="DH180" s="18"/>
      <c r="DI180" s="18"/>
      <c r="DJ180" s="18"/>
      <c r="DL180" s="18"/>
      <c r="DM180" s="18"/>
      <c r="DN180" s="18"/>
    </row>
    <row r="181" spans="1:118" ht="25.5" x14ac:dyDescent="0.25">
      <c r="B181" s="75" t="s">
        <v>1357</v>
      </c>
      <c r="C181" s="74">
        <f t="shared" si="416"/>
        <v>0.19130434782608696</v>
      </c>
      <c r="D181" s="74">
        <f t="shared" si="412"/>
        <v>0.20183486238532111</v>
      </c>
      <c r="E181" s="74">
        <f t="shared" si="413"/>
        <v>0.25482625482625482</v>
      </c>
      <c r="F181" s="74">
        <f t="shared" si="414"/>
        <v>0.36666666666666664</v>
      </c>
      <c r="G181" s="74">
        <f t="shared" si="415"/>
        <v>0.26546003016591252</v>
      </c>
      <c r="H181" s="18">
        <f>COUNTIFS('ENCUESTA CONDUCTORES'!E$7:E$459,"X",'ENCUESTA CONDUCTORES'!$BN$7:$BN$459,"X")+COUNTIFS('ENCUESTA CONDUCTORES'!E$7:E$459,"X",'ENCUESTA CONDUCTORES'!$BP$7:$BP$459,"X")</f>
        <v>22</v>
      </c>
      <c r="I181" s="18">
        <f>COUNTIFS('ENCUESTA CONDUCTORES'!F$7:F$459,"X",'ENCUESTA CONDUCTORES'!$BN$7:$BN$459,"X")+COUNTIFS('ENCUESTA CONDUCTORES'!F$7:F$459,"X",'ENCUESTA CONDUCTORES'!$BP$7:$BP$459,"X")</f>
        <v>22</v>
      </c>
      <c r="J181" s="18">
        <f>COUNTIFS('ENCUESTA CONDUCTORES'!G$7:G$459,"X",'ENCUESTA CONDUCTORES'!$BN$7:$BN$459,"X")+COUNTIFS('ENCUESTA CONDUCTORES'!G$7:G$459,"X",'ENCUESTA CONDUCTORES'!$BP$7:$BP$459,"X")</f>
        <v>66</v>
      </c>
      <c r="K181" s="18">
        <f>COUNTIFS('ENCUESTA CONDUCTORES'!H$7:H$459,"X",'ENCUESTA CONDUCTORES'!$BN$7:$BN$459,"X")+COUNTIFS('ENCUESTA CONDUCTORES'!H$7:H$459,"X",'ENCUESTA CONDUCTORES'!$BP$7:$BP$459,"X")</f>
        <v>66</v>
      </c>
      <c r="L181" s="18">
        <f t="shared" si="417"/>
        <v>176</v>
      </c>
      <c r="AL181" s="75" t="s">
        <v>1333</v>
      </c>
      <c r="AM181" s="74">
        <f t="shared" si="408"/>
        <v>5.4140127388535034E-2</v>
      </c>
      <c r="AN181" s="74">
        <f t="shared" si="392"/>
        <v>0.12261146496815287</v>
      </c>
      <c r="AO181" s="74">
        <f t="shared" si="393"/>
        <v>7.1656050955414011E-2</v>
      </c>
      <c r="AP181" s="74">
        <f t="shared" si="394"/>
        <v>5.5732484076433123E-2</v>
      </c>
      <c r="AQ181" s="74">
        <f t="shared" si="395"/>
        <v>0.44426751592356689</v>
      </c>
      <c r="AR181" s="74">
        <f t="shared" si="396"/>
        <v>0.12738853503184713</v>
      </c>
      <c r="AS181" s="74">
        <f t="shared" si="397"/>
        <v>0.10668789808917198</v>
      </c>
      <c r="AT181" s="74">
        <f t="shared" si="398"/>
        <v>1.751592356687898E-2</v>
      </c>
      <c r="AU181" s="74">
        <f t="shared" si="399"/>
        <v>1</v>
      </c>
      <c r="AV181" s="18">
        <f>SUM(AV173:AV180)</f>
        <v>34</v>
      </c>
      <c r="AW181" s="18">
        <f t="shared" ref="AW181:BD181" si="420">SUM(AW173:AW180)</f>
        <v>77</v>
      </c>
      <c r="AX181" s="18">
        <f t="shared" si="420"/>
        <v>45</v>
      </c>
      <c r="AY181" s="18">
        <f t="shared" si="420"/>
        <v>35</v>
      </c>
      <c r="AZ181" s="18">
        <f t="shared" si="420"/>
        <v>279</v>
      </c>
      <c r="BA181" s="18">
        <f t="shared" si="420"/>
        <v>80</v>
      </c>
      <c r="BB181" s="18">
        <f t="shared" si="420"/>
        <v>67</v>
      </c>
      <c r="BC181" s="18">
        <f t="shared" si="420"/>
        <v>11</v>
      </c>
      <c r="BD181" s="18">
        <f t="shared" si="420"/>
        <v>628</v>
      </c>
      <c r="BF181" s="75" t="s">
        <v>1333</v>
      </c>
      <c r="BG181" s="74">
        <f t="shared" si="410"/>
        <v>4.7770700636942673E-3</v>
      </c>
      <c r="BH181" s="74">
        <f t="shared" si="400"/>
        <v>6.2101910828025478E-2</v>
      </c>
      <c r="BI181" s="74">
        <f t="shared" si="401"/>
        <v>3.5031847133757961E-2</v>
      </c>
      <c r="BJ181" s="74">
        <f t="shared" si="402"/>
        <v>6.0509554140127389E-2</v>
      </c>
      <c r="BK181" s="74">
        <f t="shared" si="403"/>
        <v>8.9171974522292988E-2</v>
      </c>
      <c r="BL181" s="74">
        <f t="shared" si="404"/>
        <v>0.54140127388535031</v>
      </c>
      <c r="BM181" s="74">
        <f t="shared" si="405"/>
        <v>0.1751592356687898</v>
      </c>
      <c r="BN181" s="74">
        <f t="shared" si="406"/>
        <v>3.1847133757961783E-2</v>
      </c>
      <c r="BO181" s="74">
        <f t="shared" si="407"/>
        <v>1</v>
      </c>
      <c r="BP181" s="18">
        <f>SUM(BP173:BP180)</f>
        <v>3</v>
      </c>
      <c r="BQ181" s="18">
        <f t="shared" ref="BQ181:BX181" si="421">SUM(BQ173:BQ180)</f>
        <v>39</v>
      </c>
      <c r="BR181" s="18">
        <f t="shared" si="421"/>
        <v>22</v>
      </c>
      <c r="BS181" s="18">
        <f t="shared" si="421"/>
        <v>38</v>
      </c>
      <c r="BT181" s="18">
        <f t="shared" si="421"/>
        <v>56</v>
      </c>
      <c r="BU181" s="18">
        <f t="shared" si="421"/>
        <v>340</v>
      </c>
      <c r="BV181" s="18">
        <f t="shared" si="421"/>
        <v>110</v>
      </c>
      <c r="BW181" s="18">
        <f t="shared" si="421"/>
        <v>20</v>
      </c>
      <c r="BX181" s="18">
        <f t="shared" si="421"/>
        <v>628</v>
      </c>
      <c r="CX181" s="17" t="s">
        <v>1308</v>
      </c>
      <c r="CY181" s="74">
        <f t="shared" si="418"/>
        <v>1.2195121951219513E-2</v>
      </c>
      <c r="CZ181" s="18">
        <f t="shared" si="419"/>
        <v>1</v>
      </c>
      <c r="DA181" s="74"/>
      <c r="DB181" s="74"/>
      <c r="DD181" s="74"/>
      <c r="DE181" s="74"/>
      <c r="DF181" s="74"/>
      <c r="DG181" s="18"/>
      <c r="DH181" s="18"/>
      <c r="DI181" s="18"/>
      <c r="DJ181" s="18"/>
      <c r="DL181" s="18"/>
      <c r="DM181" s="18"/>
      <c r="DN181" s="18"/>
    </row>
    <row r="182" spans="1:118" x14ac:dyDescent="0.25">
      <c r="B182" s="75" t="s">
        <v>131</v>
      </c>
      <c r="C182" s="74">
        <f t="shared" si="416"/>
        <v>0.20869565217391303</v>
      </c>
      <c r="D182" s="74">
        <f t="shared" si="412"/>
        <v>0.11009174311926606</v>
      </c>
      <c r="E182" s="74">
        <f t="shared" si="413"/>
        <v>0.10810810810810811</v>
      </c>
      <c r="F182" s="74">
        <f t="shared" si="414"/>
        <v>5.5555555555555558E-3</v>
      </c>
      <c r="G182" s="74">
        <f t="shared" si="415"/>
        <v>9.8039215686274508E-2</v>
      </c>
      <c r="H182" s="18">
        <f>COUNTIFS('ENCUESTA CONDUCTORES'!E$7:E$459,"X",'ENCUESTA CONDUCTORES'!$BO$7:$BO$459,"X")</f>
        <v>24</v>
      </c>
      <c r="I182" s="18">
        <f>COUNTIFS('ENCUESTA CONDUCTORES'!F$7:F$459,"X",'ENCUESTA CONDUCTORES'!$BO$7:$BO$459,"X")</f>
        <v>12</v>
      </c>
      <c r="J182" s="18">
        <f>COUNTIFS('ENCUESTA CONDUCTORES'!G$7:G$459,"X",'ENCUESTA CONDUCTORES'!$BO$7:$BO$459,"X")</f>
        <v>28</v>
      </c>
      <c r="K182" s="18">
        <f>COUNTIFS('ENCUESTA CONDUCTORES'!H$7:H$459,"X",'ENCUESTA CONDUCTORES'!$BO$7:$BO$459,"X")</f>
        <v>1</v>
      </c>
      <c r="L182" s="18">
        <f t="shared" si="417"/>
        <v>65</v>
      </c>
      <c r="AL182" s="17" t="s">
        <v>856</v>
      </c>
      <c r="AM182" s="18"/>
      <c r="AN182" s="90">
        <f>COUNTIFS('ENCUESTA CONDUCTORES'!AO$7:AO$459,"X",'ENCUESTA CONDUCTORES'!$BS$7:$BS$459,"NO CONTESTO")</f>
        <v>0</v>
      </c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>
        <f>SUM(BD173:BD180)</f>
        <v>628</v>
      </c>
      <c r="BF182" s="17" t="s">
        <v>856</v>
      </c>
      <c r="BG182" s="18"/>
      <c r="BH182" s="90">
        <f>COUNTIFS('ENCUESTA CONDUCTORES'!BI$7:BI$459,"X",'ENCUESTA CONDUCTORES'!$BS$7:$BS$459,"NO CONTESTO")</f>
        <v>0</v>
      </c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>
        <f>SUM(BX173:BX180)</f>
        <v>628</v>
      </c>
      <c r="CX182" s="11" t="s">
        <v>1334</v>
      </c>
      <c r="CY182" s="74">
        <f t="shared" si="418"/>
        <v>2.4390243902439025E-2</v>
      </c>
      <c r="CZ182" s="18">
        <f t="shared" si="419"/>
        <v>2</v>
      </c>
      <c r="DA182" s="74"/>
      <c r="DB182" s="74"/>
      <c r="DD182" s="74"/>
      <c r="DE182" s="74"/>
      <c r="DF182" s="74"/>
      <c r="DG182" s="18"/>
      <c r="DH182" s="18"/>
      <c r="DI182" s="18"/>
      <c r="DJ182" s="18"/>
      <c r="DL182" s="18"/>
      <c r="DM182" s="18"/>
      <c r="DN182" s="18"/>
    </row>
    <row r="183" spans="1:118" x14ac:dyDescent="0.25">
      <c r="B183" s="75" t="s">
        <v>55</v>
      </c>
      <c r="C183" s="74">
        <f t="shared" si="416"/>
        <v>3.4782608695652174E-2</v>
      </c>
      <c r="D183" s="74">
        <f t="shared" si="412"/>
        <v>2.7522935779816515E-2</v>
      </c>
      <c r="E183" s="74">
        <f t="shared" si="413"/>
        <v>2.7027027027027029E-2</v>
      </c>
      <c r="F183" s="74">
        <f t="shared" si="414"/>
        <v>6.1111111111111109E-2</v>
      </c>
      <c r="G183" s="74">
        <f t="shared" si="415"/>
        <v>3.7707390648567117E-2</v>
      </c>
      <c r="H183" s="18">
        <f>COUNTIFS('ENCUESTA CONDUCTORES'!E$7:E$459,"X",'ENCUESTA CONDUCTORES'!$BQ$7:$BQ$459,"X")</f>
        <v>4</v>
      </c>
      <c r="I183" s="18">
        <f>COUNTIFS('ENCUESTA CONDUCTORES'!F$7:F$459,"X",'ENCUESTA CONDUCTORES'!$BQ$7:$BQ$459,"X")</f>
        <v>3</v>
      </c>
      <c r="J183" s="18">
        <f>COUNTIFS('ENCUESTA CONDUCTORES'!G$7:G$459,"X",'ENCUESTA CONDUCTORES'!$BQ$7:$BQ$459,"X")</f>
        <v>7</v>
      </c>
      <c r="K183" s="18">
        <f>COUNTIFS('ENCUESTA CONDUCTORES'!H$7:H$459,"X",'ENCUESTA CONDUCTORES'!$BQ$7:$BQ$459,"X")</f>
        <v>11</v>
      </c>
      <c r="L183" s="18">
        <f t="shared" si="417"/>
        <v>25</v>
      </c>
      <c r="AM183" s="18"/>
      <c r="AN183" s="18"/>
      <c r="AO183" s="18"/>
      <c r="AP183" s="18"/>
      <c r="AQ183" s="18"/>
      <c r="AR183" s="18"/>
      <c r="AS183" s="18"/>
      <c r="AT183" s="18"/>
      <c r="AU183" s="18"/>
      <c r="AV183" s="18">
        <f t="shared" ref="AV183:BC183" si="422">SUM(AV179:AV182)</f>
        <v>40</v>
      </c>
      <c r="AW183" s="18">
        <f t="shared" si="422"/>
        <v>94</v>
      </c>
      <c r="AX183" s="18">
        <f t="shared" si="422"/>
        <v>58</v>
      </c>
      <c r="AY183" s="18">
        <f t="shared" si="422"/>
        <v>47</v>
      </c>
      <c r="AZ183" s="18">
        <f t="shared" si="422"/>
        <v>321</v>
      </c>
      <c r="BA183" s="18">
        <f t="shared" si="422"/>
        <v>104</v>
      </c>
      <c r="BB183" s="18">
        <f t="shared" si="422"/>
        <v>74</v>
      </c>
      <c r="BC183" s="18">
        <f t="shared" si="422"/>
        <v>12</v>
      </c>
      <c r="BD183" s="18">
        <f>663-BD182</f>
        <v>35</v>
      </c>
      <c r="BG183" s="18"/>
      <c r="BH183" s="18"/>
      <c r="BI183" s="18"/>
      <c r="BJ183" s="18"/>
      <c r="BK183" s="18"/>
      <c r="BL183" s="18"/>
      <c r="BM183" s="18"/>
      <c r="BN183" s="18"/>
      <c r="BO183" s="18"/>
      <c r="BP183" s="18">
        <f t="shared" ref="BP183" si="423">SUM(BP179:BP182)</f>
        <v>3</v>
      </c>
      <c r="BQ183" s="18">
        <f t="shared" ref="BQ183" si="424">SUM(BQ179:BQ182)</f>
        <v>44</v>
      </c>
      <c r="BR183" s="18">
        <f t="shared" ref="BR183" si="425">SUM(BR179:BR182)</f>
        <v>30</v>
      </c>
      <c r="BS183" s="18">
        <f t="shared" ref="BS183" si="426">SUM(BS179:BS182)</f>
        <v>45</v>
      </c>
      <c r="BT183" s="18">
        <f t="shared" ref="BT183" si="427">SUM(BT179:BT182)</f>
        <v>74</v>
      </c>
      <c r="BU183" s="18">
        <f t="shared" ref="BU183" si="428">SUM(BU179:BU182)</f>
        <v>403</v>
      </c>
      <c r="BV183" s="18">
        <f t="shared" ref="BV183" si="429">SUM(BV179:BV182)</f>
        <v>127</v>
      </c>
      <c r="BW183" s="18">
        <f t="shared" ref="BW183" si="430">SUM(BW179:BW182)</f>
        <v>24</v>
      </c>
      <c r="BX183" s="18">
        <f>663-BX182</f>
        <v>35</v>
      </c>
      <c r="CX183" s="11" t="s">
        <v>1309</v>
      </c>
      <c r="CY183" s="74">
        <f t="shared" si="418"/>
        <v>6.097560975609756E-2</v>
      </c>
      <c r="CZ183" s="18">
        <f t="shared" si="419"/>
        <v>5</v>
      </c>
      <c r="DA183" s="74"/>
      <c r="DB183" s="74"/>
      <c r="DD183" s="74"/>
      <c r="DE183" s="74"/>
      <c r="DF183" s="74"/>
      <c r="DG183" s="18"/>
      <c r="DH183" s="18"/>
      <c r="DI183" s="18"/>
      <c r="DJ183" s="18"/>
      <c r="DL183" s="18"/>
      <c r="DM183" s="18"/>
      <c r="DN183" s="18"/>
    </row>
    <row r="184" spans="1:118" x14ac:dyDescent="0.25">
      <c r="B184" s="75" t="s">
        <v>1358</v>
      </c>
      <c r="C184" s="74">
        <f t="shared" si="416"/>
        <v>8.6956521739130432E-2</v>
      </c>
      <c r="D184" s="74">
        <f t="shared" si="412"/>
        <v>0.1834862385321101</v>
      </c>
      <c r="E184" s="74">
        <f t="shared" si="413"/>
        <v>0.16602316602316602</v>
      </c>
      <c r="F184" s="74">
        <f t="shared" si="414"/>
        <v>0.16666666666666666</v>
      </c>
      <c r="G184" s="74">
        <f t="shared" si="415"/>
        <v>0.15535444947209653</v>
      </c>
      <c r="H184" s="90">
        <f>COUNTIFS('ENCUESTA CONDUCTORES'!E$7:E$459,"X",'ENCUESTA CONDUCTORES'!$BS$7:$BS$459,"CARRITOS DE GOLF")+COUNTIFS('ENCUESTA CONDUCTORES'!E$7:E$459,"X",'ENCUESTA CONDUCTORES'!$BS$7:$BS$459,"MERCANCIA SECA")+COUNTIFS('ENCUESTA CONDUCTORES'!E$7:E$459,"X",'ENCUESTA CONDUCTORES'!$BS$7:$BS$459,"PAPELERIA")+COUNTIFS('ENCUESTA CONDUCTORES'!E$7:E$459,"X",'ENCUESTA CONDUCTORES'!$BS$7:$BS$459,"GENERAL")+COUNTIFS('ENCUESTA CONDUCTORES'!E$7:E$459,"X",'ENCUESTA CONDUCTORES'!$BS$7:$BS$459,"MAQUINARIA")+COUNTIFS('ENCUESTA CONDUCTORES'!E$7:E$459,"X",'ENCUESTA CONDUCTORES'!$BS$7:$BS$459,"CONTENEDOR")+COUNTIFS('ENCUESTA CONDUCTORES'!E$7:E$459,"X",'ENCUESTA CONDUCTORES'!$BS$7:$BS$459,"MEDICAMENTOS")+COUNTIFS('ENCUESTA CONDUCTORES'!E$7:E$459,"X",'ENCUESTA CONDUCTORES'!$BS$7:$BS$459,"AGUA POTABLE")+COUNTIFS('ENCUESTA CONDUCTORES'!E$7:E$459,"X",'ENCUESTA CONDUCTORES'!$BS$7:$BS$459,"MUDANZAS")+COUNTIFS('ENCUESTA CONDUCTORES'!E$7:E$459,"X",'ENCUESTA CONDUCTORES'!$BS$7:$BS$459,"JABON")+COUNTIFS('ENCUESTA CONDUCTORES'!E$7:E$459,"X",'ENCUESTA CONDUCTORES'!$BS$7:$BS$459,"ACEITE")+COUNTIFS('ENCUESTA CONDUCTORES'!E$7:E$459,"X",'ENCUESTA CONDUCTORES'!$BS$7:$BS$459,"POLIETILENO")+COUNTIFS('ENCUESTA CONDUCTORES'!E$7:E$459,"X",'ENCUESTA CONDUCTORES'!$BS$7:$BS$459,"ELECTRODOMÉSTICOS")+COUNTIFS('ENCUESTA CONDUCTORES'!E$7:E$459,"X",'ENCUESTA CONDUCTORES'!$BS$7:$BS$459,"MUEBLES")+COUNTIFS('ENCUESTA CONDUCTORES'!E$7:E$459,"X",'ENCUESTA CONDUCTORES'!$BS$7:$BS$459,"CHATARRA")+COUNTIFS('ENCUESTA CONDUCTORES'!E$7:E$459,"X",'ENCUESTA CONDUCTORES'!$BS$7:$BS$459,"LLANTAS")+COUNTIFS('ENCUESTA CONDUCTORES'!E$7:E$459,"X",'ENCUESTA CONDUCTORES'!$BS$7:$BS$459,"AGUA")+COUNTIFS('ENCUESTA CONDUCTORES'!E$7:E$459,"X",'ENCUESTA CONDUCTORES'!$BS$7:$BS$459,"ANIMALES")+COUNTIFS('ENCUESTA CONDUCTORES'!E$7:E$459,"X",'ENCUESTA CONDUCTORES'!$BS$7:$BS$459,"TV REFRIGERADORES")+COUNTIFS('ENCUESTA CONDUCTORES'!E$7:E$459,"X",'ENCUESTA CONDUCTORES'!$BS$7:$BS$459,"LÍNEA BLANCA")+COUNTIFS('ENCUESTA CONDUCTORES'!E$7:E$459,"X",'ENCUESTA CONDUCTORES'!$BS$7:$BS$459,"IMPORTACIÓN / EXPORTACIÓN")+COUNTIFS('ENCUESTA CONDUCTORES'!E$7:E$459,"X",'ENCUESTA CONDUCTORES'!$BS$7:$BS$459,"PLASTICO")+COUNTIFS('ENCUESTA CONDUCTORES'!E$7:E$459,"X",'ENCUESTA CONDUCTORES'!$BS$7:$BS$459,"ROPA")+COUNTIFS('ENCUESTA CONDUCTORES'!E$7:E$459,"X",'ENCUESTA CONDUCTORES'!$BS$7:$BS$459,"CHATARRA")+COUNTIFS('ENCUESTA CONDUCTORES'!E$7:E$459,"X",'ENCUESTA CONDUCTORES'!$BS$7:$BS$459,"MEDICAMENTO NUTRICIONAL")+COUNTIFS('ENCUESTA CONDUCTORES'!E$7:E$459,"X",'ENCUESTA CONDUCTORES'!$BS$7:$BS$459,"PRODUCTOS DE BELLEZA")+COUNTIFS('ENCUESTA CONDUCTORES'!E$7:E$459,"X",'ENCUESTA CONDUCTORES'!$BS$7:$BS$459,"FORRAJE")+COUNTIFS('ENCUESTA CONDUCTORES'!E$7:E$459,"X",'ENCUESTA CONDUCTORES'!$BS$7:$BS$459,"VALORES")+COUNTIFS('ENCUESTA CONDUCTORES'!E$7:E$459,"X",'ENCUESTA CONDUCTORES'!$BS$7:$BS$459,"PAQUETERIA")+COUNTIFS('ENCUESTA CONDUCTORES'!E$7:E$459,"X",'ENCUESTA CONDUCTORES'!$BS$7:$BS$459,"SECOS")+COUNTIFS('ENCUESTA CONDUCTORES'!E$7:E$459,"X",'ENCUESTA CONDUCTORES'!$BS$7:$BS$459,"PANTALLAS")+COUNTIFS('ENCUESTA CONDUCTORES'!E$7:E$459,"X",'ENCUESTA CONDUCTORES'!$BS$7:$BS$459,"BOTELLAS")+COUNTIFS('ENCUESTA CONDUCTORES'!E$7:E$459,"X",'ENCUESTA CONDUCTORES'!$BS$7:$BS$459,"PRODUCTOS DE HIGIENE PERSONAL")+COUNTIFS('ENCUESTA CONDUCTORES'!E$7:E$459,"X",'ENCUESTA CONDUCTORES'!$BS$7:$BS$459,"ELECTRONICA, LINEA BLANCA")+COUNTIFS('ENCUESTA CONDUCTORES'!E$7:E$459,"X",'ENCUESTA CONDUCTORES'!$BS$7:$BS$459,"CONTENEDORES")</f>
        <v>10</v>
      </c>
      <c r="I184" s="90">
        <f>COUNTIFS('ENCUESTA CONDUCTORES'!F$7:F$459,"X",'ENCUESTA CONDUCTORES'!$BS$7:$BS$459,"CARRITOS DE GOLF")+COUNTIFS('ENCUESTA CONDUCTORES'!F$7:F$459,"X",'ENCUESTA CONDUCTORES'!$BS$7:$BS$459,"MERCANCIA SECA")+COUNTIFS('ENCUESTA CONDUCTORES'!F$7:F$459,"X",'ENCUESTA CONDUCTORES'!$BS$7:$BS$459,"PAPELERIA")+COUNTIFS('ENCUESTA CONDUCTORES'!F$7:F$459,"X",'ENCUESTA CONDUCTORES'!$BS$7:$BS$459,"GENERAL")+COUNTIFS('ENCUESTA CONDUCTORES'!F$7:F$459,"X",'ENCUESTA CONDUCTORES'!$BS$7:$BS$459,"MAQUINARIA")+COUNTIFS('ENCUESTA CONDUCTORES'!F$7:F$459,"X",'ENCUESTA CONDUCTORES'!$BS$7:$BS$459,"CONTENEDOR")+COUNTIFS('ENCUESTA CONDUCTORES'!F$7:F$459,"X",'ENCUESTA CONDUCTORES'!$BS$7:$BS$459,"MEDICAMENTOS")+COUNTIFS('ENCUESTA CONDUCTORES'!F$7:F$459,"X",'ENCUESTA CONDUCTORES'!$BS$7:$BS$459,"AGUA POTABLE")+COUNTIFS('ENCUESTA CONDUCTORES'!F$7:F$459,"X",'ENCUESTA CONDUCTORES'!$BS$7:$BS$459,"MUDANZAS")+COUNTIFS('ENCUESTA CONDUCTORES'!F$7:F$459,"X",'ENCUESTA CONDUCTORES'!$BS$7:$BS$459,"JABON")+COUNTIFS('ENCUESTA CONDUCTORES'!F$7:F$459,"X",'ENCUESTA CONDUCTORES'!$BS$7:$BS$459,"ACEITE")+COUNTIFS('ENCUESTA CONDUCTORES'!F$7:F$459,"X",'ENCUESTA CONDUCTORES'!$BS$7:$BS$459,"POLIETILENO")+COUNTIFS('ENCUESTA CONDUCTORES'!F$7:F$459,"X",'ENCUESTA CONDUCTORES'!$BS$7:$BS$459,"ELECTRODOMÉSTICOS")+COUNTIFS('ENCUESTA CONDUCTORES'!F$7:F$459,"X",'ENCUESTA CONDUCTORES'!$BS$7:$BS$459,"MUEBLES")+COUNTIFS('ENCUESTA CONDUCTORES'!F$7:F$459,"X",'ENCUESTA CONDUCTORES'!$BS$7:$BS$459,"CHATARRA")+COUNTIFS('ENCUESTA CONDUCTORES'!F$7:F$459,"X",'ENCUESTA CONDUCTORES'!$BS$7:$BS$459,"LLANTAS")+COUNTIFS('ENCUESTA CONDUCTORES'!F$7:F$459,"X",'ENCUESTA CONDUCTORES'!$BS$7:$BS$459,"AGUA")+COUNTIFS('ENCUESTA CONDUCTORES'!F$7:F$459,"X",'ENCUESTA CONDUCTORES'!$BS$7:$BS$459,"ANIMALES")+COUNTIFS('ENCUESTA CONDUCTORES'!F$7:F$459,"X",'ENCUESTA CONDUCTORES'!$BS$7:$BS$459,"TV REFRIGERADORES")+COUNTIFS('ENCUESTA CONDUCTORES'!F$7:F$459,"X",'ENCUESTA CONDUCTORES'!$BS$7:$BS$459,"LÍNEA BLANCA")+COUNTIFS('ENCUESTA CONDUCTORES'!F$7:F$459,"X",'ENCUESTA CONDUCTORES'!$BS$7:$BS$459,"IMPORTACIÓN / EXPORTACIÓN")+COUNTIFS('ENCUESTA CONDUCTORES'!F$7:F$459,"X",'ENCUESTA CONDUCTORES'!$BS$7:$BS$459,"PLASTICO")+COUNTIFS('ENCUESTA CONDUCTORES'!F$7:F$459,"X",'ENCUESTA CONDUCTORES'!$BS$7:$BS$459,"ROPA")+COUNTIFS('ENCUESTA CONDUCTORES'!F$7:F$459,"X",'ENCUESTA CONDUCTORES'!$BS$7:$BS$459,"CHATARRA")+COUNTIFS('ENCUESTA CONDUCTORES'!F$7:F$459,"X",'ENCUESTA CONDUCTORES'!$BS$7:$BS$459,"MEDICAMENTO NUTRICIONAL")+COUNTIFS('ENCUESTA CONDUCTORES'!F$7:F$459,"X",'ENCUESTA CONDUCTORES'!$BS$7:$BS$459,"PRODUCTOS DE BELLEZA")+COUNTIFS('ENCUESTA CONDUCTORES'!F$7:F$459,"X",'ENCUESTA CONDUCTORES'!$BS$7:$BS$459,"FORRAJE")+COUNTIFS('ENCUESTA CONDUCTORES'!F$7:F$459,"X",'ENCUESTA CONDUCTORES'!$BS$7:$BS$459,"VALORES")+COUNTIFS('ENCUESTA CONDUCTORES'!F$7:F$459,"X",'ENCUESTA CONDUCTORES'!$BS$7:$BS$459,"PAQUETERIA")+COUNTIFS('ENCUESTA CONDUCTORES'!F$7:F$459,"X",'ENCUESTA CONDUCTORES'!$BS$7:$BS$459,"SECOS")+COUNTIFS('ENCUESTA CONDUCTORES'!F$7:F$459,"X",'ENCUESTA CONDUCTORES'!$BS$7:$BS$459,"PANTALLAS")+COUNTIFS('ENCUESTA CONDUCTORES'!F$7:F$459,"X",'ENCUESTA CONDUCTORES'!$BS$7:$BS$459,"BOTELLAS")+COUNTIFS('ENCUESTA CONDUCTORES'!F$7:F$459,"X",'ENCUESTA CONDUCTORES'!$BS$7:$BS$459,"PRODUCTOS DE HIGIENE PERSONAL")+COUNTIFS('ENCUESTA CONDUCTORES'!F$7:F$459,"X",'ENCUESTA CONDUCTORES'!$BS$7:$BS$459,"ELECTRONICA, LINEA BLANCA")+COUNTIFS('ENCUESTA CONDUCTORES'!F$7:F$459,"X",'ENCUESTA CONDUCTORES'!$BS$7:$BS$459,"CONTENEDORES")</f>
        <v>20</v>
      </c>
      <c r="J184" s="90">
        <f>COUNTIFS('ENCUESTA CONDUCTORES'!G$7:G$459,"X",'ENCUESTA CONDUCTORES'!$BS$7:$BS$459,"CARRITOS DE GOLF")+COUNTIFS('ENCUESTA CONDUCTORES'!G$7:G$459,"X",'ENCUESTA CONDUCTORES'!$BS$7:$BS$459,"MERCANCIA SECA")+COUNTIFS('ENCUESTA CONDUCTORES'!G$7:G$459,"X",'ENCUESTA CONDUCTORES'!$BS$7:$BS$459,"PAPELERIA")+COUNTIFS('ENCUESTA CONDUCTORES'!G$7:G$459,"X",'ENCUESTA CONDUCTORES'!$BS$7:$BS$459,"GENERAL")+COUNTIFS('ENCUESTA CONDUCTORES'!G$7:G$459,"X",'ENCUESTA CONDUCTORES'!$BS$7:$BS$459,"MAQUINARIA")+COUNTIFS('ENCUESTA CONDUCTORES'!G$7:G$459,"X",'ENCUESTA CONDUCTORES'!$BS$7:$BS$459,"CONTENEDOR")+COUNTIFS('ENCUESTA CONDUCTORES'!G$7:G$459,"X",'ENCUESTA CONDUCTORES'!$BS$7:$BS$459,"MEDICAMENTOS")+COUNTIFS('ENCUESTA CONDUCTORES'!G$7:G$459,"X",'ENCUESTA CONDUCTORES'!$BS$7:$BS$459,"AGUA POTABLE")+COUNTIFS('ENCUESTA CONDUCTORES'!G$7:G$459,"X",'ENCUESTA CONDUCTORES'!$BS$7:$BS$459,"MUDANZAS")+COUNTIFS('ENCUESTA CONDUCTORES'!G$7:G$459,"X",'ENCUESTA CONDUCTORES'!$BS$7:$BS$459,"JABON")+COUNTIFS('ENCUESTA CONDUCTORES'!G$7:G$459,"X",'ENCUESTA CONDUCTORES'!$BS$7:$BS$459,"ACEITE")+COUNTIFS('ENCUESTA CONDUCTORES'!G$7:G$459,"X",'ENCUESTA CONDUCTORES'!$BS$7:$BS$459,"POLIETILENO")+COUNTIFS('ENCUESTA CONDUCTORES'!G$7:G$459,"X",'ENCUESTA CONDUCTORES'!$BS$7:$BS$459,"ELECTRODOMÉSTICOS")+COUNTIFS('ENCUESTA CONDUCTORES'!G$7:G$459,"X",'ENCUESTA CONDUCTORES'!$BS$7:$BS$459,"MUEBLES")+COUNTIFS('ENCUESTA CONDUCTORES'!G$7:G$459,"X",'ENCUESTA CONDUCTORES'!$BS$7:$BS$459,"CHATARRA")+COUNTIFS('ENCUESTA CONDUCTORES'!G$7:G$459,"X",'ENCUESTA CONDUCTORES'!$BS$7:$BS$459,"LLANTAS")+COUNTIFS('ENCUESTA CONDUCTORES'!G$7:G$459,"X",'ENCUESTA CONDUCTORES'!$BS$7:$BS$459,"AGUA")+COUNTIFS('ENCUESTA CONDUCTORES'!G$7:G$459,"X",'ENCUESTA CONDUCTORES'!$BS$7:$BS$459,"ANIMALES")+COUNTIFS('ENCUESTA CONDUCTORES'!G$7:G$459,"X",'ENCUESTA CONDUCTORES'!$BS$7:$BS$459,"TV REFRIGERADORES")+COUNTIFS('ENCUESTA CONDUCTORES'!G$7:G$459,"X",'ENCUESTA CONDUCTORES'!$BS$7:$BS$459,"LÍNEA BLANCA")+COUNTIFS('ENCUESTA CONDUCTORES'!G$7:G$459,"X",'ENCUESTA CONDUCTORES'!$BS$7:$BS$459,"IMPORTACIÓN / EXPORTACIÓN")+COUNTIFS('ENCUESTA CONDUCTORES'!G$7:G$459,"X",'ENCUESTA CONDUCTORES'!$BS$7:$BS$459,"PLASTICO")+COUNTIFS('ENCUESTA CONDUCTORES'!G$7:G$459,"X",'ENCUESTA CONDUCTORES'!$BS$7:$BS$459,"ROPA")+COUNTIFS('ENCUESTA CONDUCTORES'!G$7:G$459,"X",'ENCUESTA CONDUCTORES'!$BS$7:$BS$459,"CHATARRA")+COUNTIFS('ENCUESTA CONDUCTORES'!G$7:G$459,"X",'ENCUESTA CONDUCTORES'!$BS$7:$BS$459,"MEDICAMENTO NUTRICIONAL")+COUNTIFS('ENCUESTA CONDUCTORES'!G$7:G$459,"X",'ENCUESTA CONDUCTORES'!$BS$7:$BS$459,"PRODUCTOS DE BELLEZA")+COUNTIFS('ENCUESTA CONDUCTORES'!G$7:G$459,"X",'ENCUESTA CONDUCTORES'!$BS$7:$BS$459,"FORRAJE")+COUNTIFS('ENCUESTA CONDUCTORES'!G$7:G$459,"X",'ENCUESTA CONDUCTORES'!$BS$7:$BS$459,"VALORES")+COUNTIFS('ENCUESTA CONDUCTORES'!G$7:G$459,"X",'ENCUESTA CONDUCTORES'!$BS$7:$BS$459,"PAQUETERIA")+COUNTIFS('ENCUESTA CONDUCTORES'!G$7:G$459,"X",'ENCUESTA CONDUCTORES'!$BS$7:$BS$459,"SECOS")+COUNTIFS('ENCUESTA CONDUCTORES'!G$7:G$459,"X",'ENCUESTA CONDUCTORES'!$BS$7:$BS$459,"PANTALLAS")+COUNTIFS('ENCUESTA CONDUCTORES'!G$7:G$459,"X",'ENCUESTA CONDUCTORES'!$BS$7:$BS$459,"BOTELLAS")+COUNTIFS('ENCUESTA CONDUCTORES'!G$7:G$459,"X",'ENCUESTA CONDUCTORES'!$BS$7:$BS$459,"PRODUCTOS DE HIGIENE PERSONAL")+COUNTIFS('ENCUESTA CONDUCTORES'!G$7:G$459,"X",'ENCUESTA CONDUCTORES'!$BS$7:$BS$459,"ELECTRONICA, LINEA BLANCA")+COUNTIFS('ENCUESTA CONDUCTORES'!G$7:G$459,"X",'ENCUESTA CONDUCTORES'!$BS$7:$BS$459,"CONTENEDORES")</f>
        <v>43</v>
      </c>
      <c r="K184" s="90">
        <f>COUNTIFS('ENCUESTA CONDUCTORES'!H$7:H$459,"X",'ENCUESTA CONDUCTORES'!$BS$7:$BS$459,"CARRITOS DE GOLF")+COUNTIFS('ENCUESTA CONDUCTORES'!H$7:H$459,"X",'ENCUESTA CONDUCTORES'!$BS$7:$BS$459,"MERCANCIA SECA")+COUNTIFS('ENCUESTA CONDUCTORES'!H$7:H$459,"X",'ENCUESTA CONDUCTORES'!$BS$7:$BS$459,"PAPELERIA")+COUNTIFS('ENCUESTA CONDUCTORES'!H$7:H$459,"X",'ENCUESTA CONDUCTORES'!$BS$7:$BS$459,"GENERAL")+COUNTIFS('ENCUESTA CONDUCTORES'!H$7:H$459,"X",'ENCUESTA CONDUCTORES'!$BS$7:$BS$459,"MAQUINARIA")+COUNTIFS('ENCUESTA CONDUCTORES'!H$7:H$459,"X",'ENCUESTA CONDUCTORES'!$BS$7:$BS$459,"CONTENEDOR")+COUNTIFS('ENCUESTA CONDUCTORES'!H$7:H$459,"X",'ENCUESTA CONDUCTORES'!$BS$7:$BS$459,"MEDICAMENTOS")+COUNTIFS('ENCUESTA CONDUCTORES'!H$7:H$459,"X",'ENCUESTA CONDUCTORES'!$BS$7:$BS$459,"AGUA POTABLE")+COUNTIFS('ENCUESTA CONDUCTORES'!H$7:H$459,"X",'ENCUESTA CONDUCTORES'!$BS$7:$BS$459,"MUDANZAS")+COUNTIFS('ENCUESTA CONDUCTORES'!H$7:H$459,"X",'ENCUESTA CONDUCTORES'!$BS$7:$BS$459,"JABON")+COUNTIFS('ENCUESTA CONDUCTORES'!H$7:H$459,"X",'ENCUESTA CONDUCTORES'!$BS$7:$BS$459,"ACEITE")+COUNTIFS('ENCUESTA CONDUCTORES'!H$7:H$459,"X",'ENCUESTA CONDUCTORES'!$BS$7:$BS$459,"POLIETILENO")+COUNTIFS('ENCUESTA CONDUCTORES'!H$7:H$459,"X",'ENCUESTA CONDUCTORES'!$BS$7:$BS$459,"ELECTRODOMÉSTICOS")+COUNTIFS('ENCUESTA CONDUCTORES'!H$7:H$459,"X",'ENCUESTA CONDUCTORES'!$BS$7:$BS$459,"MUEBLES")+COUNTIFS('ENCUESTA CONDUCTORES'!H$7:H$459,"X",'ENCUESTA CONDUCTORES'!$BS$7:$BS$459,"CHATARRA")+COUNTIFS('ENCUESTA CONDUCTORES'!H$7:H$459,"X",'ENCUESTA CONDUCTORES'!$BS$7:$BS$459,"LLANTAS")+COUNTIFS('ENCUESTA CONDUCTORES'!H$7:H$459,"X",'ENCUESTA CONDUCTORES'!$BS$7:$BS$459,"AGUA")+COUNTIFS('ENCUESTA CONDUCTORES'!H$7:H$459,"X",'ENCUESTA CONDUCTORES'!$BS$7:$BS$459,"ANIMALES")+COUNTIFS('ENCUESTA CONDUCTORES'!H$7:H$459,"X",'ENCUESTA CONDUCTORES'!$BS$7:$BS$459,"TV REFRIGERADORES")+COUNTIFS('ENCUESTA CONDUCTORES'!H$7:H$459,"X",'ENCUESTA CONDUCTORES'!$BS$7:$BS$459,"LÍNEA BLANCA")+COUNTIFS('ENCUESTA CONDUCTORES'!H$7:H$459,"X",'ENCUESTA CONDUCTORES'!$BS$7:$BS$459,"IMPORTACIÓN / EXPORTACIÓN")+COUNTIFS('ENCUESTA CONDUCTORES'!H$7:H$459,"X",'ENCUESTA CONDUCTORES'!$BS$7:$BS$459,"PLASTICO")+COUNTIFS('ENCUESTA CONDUCTORES'!H$7:H$459,"X",'ENCUESTA CONDUCTORES'!$BS$7:$BS$459,"ROPA")+COUNTIFS('ENCUESTA CONDUCTORES'!H$7:H$459,"X",'ENCUESTA CONDUCTORES'!$BS$7:$BS$459,"CHATARRA")+COUNTIFS('ENCUESTA CONDUCTORES'!H$7:H$459,"X",'ENCUESTA CONDUCTORES'!$BS$7:$BS$459,"MEDICAMENTO NUTRICIONAL")+COUNTIFS('ENCUESTA CONDUCTORES'!H$7:H$459,"X",'ENCUESTA CONDUCTORES'!$BS$7:$BS$459,"PRODUCTOS DE BELLEZA")+COUNTIFS('ENCUESTA CONDUCTORES'!H$7:H$459,"X",'ENCUESTA CONDUCTORES'!$BS$7:$BS$459,"FORRAJE")+COUNTIFS('ENCUESTA CONDUCTORES'!H$7:H$459,"X",'ENCUESTA CONDUCTORES'!$BS$7:$BS$459,"VALORES")+COUNTIFS('ENCUESTA CONDUCTORES'!H$7:H$459,"X",'ENCUESTA CONDUCTORES'!$BS$7:$BS$459,"PAQUETERIA")+COUNTIFS('ENCUESTA CONDUCTORES'!H$7:H$459,"X",'ENCUESTA CONDUCTORES'!$BS$7:$BS$459,"SECOS")+COUNTIFS('ENCUESTA CONDUCTORES'!H$7:H$459,"X",'ENCUESTA CONDUCTORES'!$BS$7:$BS$459,"PANTALLAS")+COUNTIFS('ENCUESTA CONDUCTORES'!H$7:H$459,"X",'ENCUESTA CONDUCTORES'!$BS$7:$BS$459,"BOTELLAS")+COUNTIFS('ENCUESTA CONDUCTORES'!H$7:H$459,"X",'ENCUESTA CONDUCTORES'!$BS$7:$BS$459,"PRODUCTOS DE HIGIENE PERSONAL")+COUNTIFS('ENCUESTA CONDUCTORES'!H$7:H$459,"X",'ENCUESTA CONDUCTORES'!$BS$7:$BS$459,"ELECTRONICA, LINEA BLANCA")+COUNTIFS('ENCUESTA CONDUCTORES'!H$7:H$459,"X",'ENCUESTA CONDUCTORES'!$BS$7:$BS$459,"CONTENEDORES")</f>
        <v>30</v>
      </c>
      <c r="L184" s="18">
        <f t="shared" si="417"/>
        <v>103</v>
      </c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CX184" s="11" t="s">
        <v>1310</v>
      </c>
      <c r="CY184" s="74">
        <f t="shared" si="418"/>
        <v>0.65853658536585369</v>
      </c>
      <c r="CZ184" s="18">
        <f t="shared" si="419"/>
        <v>54</v>
      </c>
      <c r="DA184" s="74"/>
      <c r="DB184" s="74"/>
      <c r="DD184" s="74"/>
      <c r="DE184" s="74"/>
      <c r="DF184" s="74"/>
      <c r="DG184" s="18"/>
      <c r="DH184" s="18"/>
      <c r="DI184" s="18"/>
      <c r="DJ184" s="18"/>
      <c r="DL184" s="18"/>
      <c r="DM184" s="18"/>
      <c r="DN184" s="18"/>
    </row>
    <row r="185" spans="1:118" x14ac:dyDescent="0.25">
      <c r="B185" s="75" t="s">
        <v>1333</v>
      </c>
      <c r="C185" s="74">
        <f t="shared" si="416"/>
        <v>1</v>
      </c>
      <c r="D185" s="74">
        <f t="shared" si="412"/>
        <v>1</v>
      </c>
      <c r="E185" s="74">
        <f t="shared" si="413"/>
        <v>1</v>
      </c>
      <c r="F185" s="74">
        <f t="shared" si="414"/>
        <v>1</v>
      </c>
      <c r="G185" s="74">
        <f t="shared" si="415"/>
        <v>1</v>
      </c>
      <c r="H185" s="18">
        <f>SUM(H177:H184)</f>
        <v>115</v>
      </c>
      <c r="I185" s="18">
        <f t="shared" ref="I185:K185" si="431">SUM(I177:I184)</f>
        <v>109</v>
      </c>
      <c r="J185" s="18">
        <f t="shared" si="431"/>
        <v>259</v>
      </c>
      <c r="K185" s="18">
        <f t="shared" si="431"/>
        <v>180</v>
      </c>
      <c r="L185" s="19">
        <f>SUM(H185:K185)</f>
        <v>663</v>
      </c>
      <c r="AL185" s="17" t="s">
        <v>1400</v>
      </c>
      <c r="AS185" s="17" t="s">
        <v>1392</v>
      </c>
      <c r="BF185" s="17" t="s">
        <v>1407</v>
      </c>
      <c r="CX185" s="11" t="s">
        <v>1311</v>
      </c>
      <c r="CY185" s="74">
        <f t="shared" si="418"/>
        <v>0.14634146341463414</v>
      </c>
      <c r="CZ185" s="18">
        <f t="shared" si="419"/>
        <v>12</v>
      </c>
      <c r="DA185" s="74"/>
      <c r="DB185" s="74"/>
      <c r="DD185" s="74"/>
      <c r="DE185" s="74"/>
      <c r="DF185" s="74"/>
      <c r="DG185" s="18"/>
      <c r="DH185" s="18"/>
      <c r="DI185" s="18"/>
      <c r="DJ185" s="18"/>
      <c r="DL185" s="18"/>
      <c r="DM185" s="18"/>
      <c r="DN185" s="18"/>
    </row>
    <row r="186" spans="1:118" x14ac:dyDescent="0.25">
      <c r="B186" s="17" t="s">
        <v>856</v>
      </c>
      <c r="H186" s="90">
        <f>COUNTIFS('ENCUESTA CONDUCTORES'!E$7:E$459,"X",'ENCUESTA CONDUCTORES'!$BS$7:$BS$459,"NO CONTESTO")</f>
        <v>0</v>
      </c>
      <c r="I186" s="90">
        <f>COUNTIFS('ENCUESTA CONDUCTORES'!F$7:F$459,"X",'ENCUESTA CONDUCTORES'!$BS$7:$BS$459,"NO CONTESTO")</f>
        <v>0</v>
      </c>
      <c r="J186" s="90">
        <f>COUNTIFS('ENCUESTA CONDUCTORES'!G$7:G$459,"X",'ENCUESTA CONDUCTORES'!$BS$7:$BS$459,"NO CONTESTO")</f>
        <v>1</v>
      </c>
      <c r="K186" s="90">
        <f>COUNTIFS('ENCUESTA CONDUCTORES'!H$7:H$459,"X",'ENCUESTA CONDUCTORES'!$BS$7:$BS$459,"NO CONTESTO")</f>
        <v>0</v>
      </c>
      <c r="L186" s="18">
        <f t="shared" ref="L186" si="432">SUM(H186:K186)</f>
        <v>1</v>
      </c>
      <c r="AM186" s="5" t="s">
        <v>1296</v>
      </c>
      <c r="AN186" s="5" t="s">
        <v>1297</v>
      </c>
      <c r="AO186" s="5" t="s">
        <v>1298</v>
      </c>
      <c r="AP186" s="5" t="s">
        <v>1299</v>
      </c>
      <c r="AQ186" s="5" t="s">
        <v>1300</v>
      </c>
      <c r="AR186" s="5" t="s">
        <v>1301</v>
      </c>
      <c r="AS186" s="5" t="s">
        <v>1302</v>
      </c>
      <c r="AT186" s="5" t="s">
        <v>1385</v>
      </c>
      <c r="AU186" s="5"/>
      <c r="AV186" s="5" t="s">
        <v>1296</v>
      </c>
      <c r="AW186" s="5" t="s">
        <v>1297</v>
      </c>
      <c r="AX186" s="5" t="s">
        <v>1298</v>
      </c>
      <c r="AY186" s="5" t="s">
        <v>1299</v>
      </c>
      <c r="AZ186" s="5" t="s">
        <v>1300</v>
      </c>
      <c r="BA186" s="5" t="s">
        <v>1301</v>
      </c>
      <c r="BB186" s="5" t="s">
        <v>1302</v>
      </c>
      <c r="BC186" s="5" t="s">
        <v>1385</v>
      </c>
      <c r="BG186" s="5" t="s">
        <v>1296</v>
      </c>
      <c r="BH186" s="5" t="s">
        <v>1297</v>
      </c>
      <c r="BI186" s="5" t="s">
        <v>1298</v>
      </c>
      <c r="BJ186" s="5" t="s">
        <v>1299</v>
      </c>
      <c r="BK186" s="5" t="s">
        <v>1300</v>
      </c>
      <c r="BL186" s="5" t="s">
        <v>1301</v>
      </c>
      <c r="BM186" s="5" t="s">
        <v>1302</v>
      </c>
      <c r="BN186" s="5" t="s">
        <v>1385</v>
      </c>
      <c r="BO186" s="5"/>
      <c r="BP186" s="5" t="s">
        <v>1296</v>
      </c>
      <c r="BQ186" s="5" t="s">
        <v>1297</v>
      </c>
      <c r="BR186" s="5" t="s">
        <v>1298</v>
      </c>
      <c r="BS186" s="5" t="s">
        <v>1299</v>
      </c>
      <c r="BT186" s="5" t="s">
        <v>1300</v>
      </c>
      <c r="BU186" s="5" t="s">
        <v>1301</v>
      </c>
      <c r="BV186" s="5" t="s">
        <v>1302</v>
      </c>
      <c r="BW186" s="5" t="s">
        <v>1385</v>
      </c>
      <c r="CX186" s="11" t="s">
        <v>1385</v>
      </c>
      <c r="CY186" s="74">
        <f t="shared" si="418"/>
        <v>3.6585365853658534E-2</v>
      </c>
      <c r="CZ186" s="18">
        <f t="shared" si="419"/>
        <v>3</v>
      </c>
      <c r="DA186" s="74"/>
      <c r="DB186" s="74"/>
      <c r="DD186" s="74"/>
      <c r="DE186" s="74"/>
      <c r="DF186" s="74"/>
      <c r="DG186" s="18"/>
      <c r="DH186" s="18"/>
      <c r="DI186" s="18"/>
      <c r="DJ186" s="18"/>
      <c r="DL186" s="18"/>
      <c r="DM186" s="18"/>
      <c r="DN186" s="18"/>
    </row>
    <row r="187" spans="1:118" x14ac:dyDescent="0.25">
      <c r="L187" s="19">
        <f>+L186+L185</f>
        <v>664</v>
      </c>
      <c r="AL187" s="75" t="s">
        <v>48</v>
      </c>
      <c r="AM187" s="74">
        <f>+AV187/$BD$187</f>
        <v>2.7777777777777776E-2</v>
      </c>
      <c r="AN187" s="74">
        <f t="shared" ref="AN187:AU187" si="433">+AW187/$BD$187</f>
        <v>0.16666666666666666</v>
      </c>
      <c r="AO187" s="74">
        <f t="shared" si="433"/>
        <v>8.3333333333333329E-2</v>
      </c>
      <c r="AP187" s="74">
        <f t="shared" si="433"/>
        <v>6.9444444444444448E-2</v>
      </c>
      <c r="AQ187" s="74">
        <f t="shared" si="433"/>
        <v>0.29166666666666669</v>
      </c>
      <c r="AR187" s="74">
        <f t="shared" si="433"/>
        <v>0.15277777777777779</v>
      </c>
      <c r="AS187" s="74">
        <f t="shared" si="433"/>
        <v>0.18055555555555555</v>
      </c>
      <c r="AT187" s="74">
        <f t="shared" si="433"/>
        <v>2.7777777777777776E-2</v>
      </c>
      <c r="AU187" s="74">
        <f t="shared" si="433"/>
        <v>1</v>
      </c>
      <c r="AV187" s="18">
        <f>COUNTIFS('ENCUESTA CONDUCTORES'!$AL$7:$AL$459,"X",'ENCUESTA CONDUCTORES'!$BJ$7:$BJ$459,"X",'ENCUESTA CONDUCTORES'!$AX$7:$AX$459,"&lt;1.6")</f>
        <v>2</v>
      </c>
      <c r="AW187" s="18">
        <f>COUNTIFS('ENCUESTA CONDUCTORES'!$AL$7:$AL$459,"X",'ENCUESTA CONDUCTORES'!$BJ$7:$BJ$459,"X",'ENCUESTA CONDUCTORES'!$AX$7:$AX$459,"&lt;1.91")-AV187</f>
        <v>12</v>
      </c>
      <c r="AX187" s="18">
        <f>COUNTIFS('ENCUESTA CONDUCTORES'!$AL$7:$AL$459,"X",'ENCUESTA CONDUCTORES'!$BJ$7:$BJ$459,"X",'ENCUESTA CONDUCTORES'!$AX$7:$AX$459,"&lt;2.01")-AW187-AV187</f>
        <v>6</v>
      </c>
      <c r="AY187" s="18">
        <f>COUNTIFS('ENCUESTA CONDUCTORES'!$AL$7:$AL$459,"X",'ENCUESTA CONDUCTORES'!$BJ$7:$BJ$459,"X",'ENCUESTA CONDUCTORES'!$AX$7:$AX$459,"&lt;2.21")-AX187-AW187-AV187</f>
        <v>5</v>
      </c>
      <c r="AZ187" s="18">
        <f>COUNTIFS('ENCUESTA CONDUCTORES'!$AL$7:$AL$459,"X",'ENCUESTA CONDUCTORES'!$BJ$7:$BJ$459,"X",'ENCUESTA CONDUCTORES'!$AX$7:$AX$459,"&lt;2.51")-AY187-AX187-AW187-AV187</f>
        <v>21</v>
      </c>
      <c r="BA187" s="18">
        <f>COUNTIFS('ENCUESTA CONDUCTORES'!$AL$7:$AL$459,"X",'ENCUESTA CONDUCTORES'!$BJ$7:$BJ$459,"X",'ENCUESTA CONDUCTORES'!$AX$7:$AX$459,"&lt;3.01")-AZ187-AY187-AX187-AW187-AV187</f>
        <v>11</v>
      </c>
      <c r="BB187" s="18">
        <f>COUNTIFS('ENCUESTA CONDUCTORES'!$AL$7:$AL$459,"X",'ENCUESTA CONDUCTORES'!$BJ$7:$BJ$459,"X",'ENCUESTA CONDUCTORES'!$AX$7:$AX$459,"&lt;4.01")-BA187-AZ187-AY187-AX187-AW187-AV187</f>
        <v>13</v>
      </c>
      <c r="BC187" s="18">
        <f>COUNTIFS('ENCUESTA CONDUCTORES'!$AL$7:$AL$459,"X",'ENCUESTA CONDUCTORES'!$BJ$7:$BJ$459,"X",'ENCUESTA CONDUCTORES'!$AX$7:$AX$459,"&gt;4")</f>
        <v>2</v>
      </c>
      <c r="BD187" s="18">
        <f>SUM(AV187:BC187)</f>
        <v>72</v>
      </c>
      <c r="BF187" s="75" t="s">
        <v>48</v>
      </c>
      <c r="BG187" s="74">
        <f>BP187/$BX$187</f>
        <v>0</v>
      </c>
      <c r="BH187" s="74">
        <f t="shared" ref="BH187:BO187" si="434">BQ187/$BX$187</f>
        <v>5.5555555555555552E-2</v>
      </c>
      <c r="BI187" s="74">
        <f t="shared" si="434"/>
        <v>8.3333333333333329E-2</v>
      </c>
      <c r="BJ187" s="74">
        <f t="shared" si="434"/>
        <v>6.9444444444444448E-2</v>
      </c>
      <c r="BK187" s="74">
        <f t="shared" si="434"/>
        <v>9.7222222222222224E-2</v>
      </c>
      <c r="BL187" s="74">
        <f t="shared" si="434"/>
        <v>0.33333333333333331</v>
      </c>
      <c r="BM187" s="74">
        <f t="shared" si="434"/>
        <v>0.29166666666666669</v>
      </c>
      <c r="BN187" s="74">
        <f t="shared" si="434"/>
        <v>6.9444444444444448E-2</v>
      </c>
      <c r="BO187" s="74">
        <f t="shared" si="434"/>
        <v>1</v>
      </c>
      <c r="BP187" s="18">
        <f>COUNTIFS('ENCUESTA CONDUCTORES'!$AL$7:$AL$459,"X",'ENCUESTA CONDUCTORES'!$BJ$7:$BJ$459,"X",'ENCUESTA CONDUCTORES'!$AW$7:$AW$459,"&lt;1.6")</f>
        <v>0</v>
      </c>
      <c r="BQ187" s="18">
        <f>COUNTIFS('ENCUESTA CONDUCTORES'!$AL$7:$AL$459,"X",'ENCUESTA CONDUCTORES'!$BJ$7:$BJ$459,"X",'ENCUESTA CONDUCTORES'!$AW$7:$AW$459,"&lt;1.91")-BP187</f>
        <v>4</v>
      </c>
      <c r="BR187" s="18">
        <f>COUNTIFS('ENCUESTA CONDUCTORES'!$AL$7:$AL$459,"X",'ENCUESTA CONDUCTORES'!$BJ$7:$BJ$459,"X",'ENCUESTA CONDUCTORES'!$AW$7:$AW$459,"&lt;2.01")-BQ187-BP187</f>
        <v>6</v>
      </c>
      <c r="BS187" s="18">
        <f>COUNTIFS('ENCUESTA CONDUCTORES'!$AL$7:$AL$459,"X",'ENCUESTA CONDUCTORES'!$BJ$7:$BJ$459,"X",'ENCUESTA CONDUCTORES'!$AW$7:$AW$459,"&lt;2.21")-BR187-BQ187-BP187</f>
        <v>5</v>
      </c>
      <c r="BT187" s="18">
        <f>COUNTIFS('ENCUESTA CONDUCTORES'!$AL$7:$AL$459,"X",'ENCUESTA CONDUCTORES'!$BJ$7:$BJ$459,"X",'ENCUESTA CONDUCTORES'!$AW$7:$AW$459,"&lt;2.51")-BS187-BR187-BQ187-BP187</f>
        <v>7</v>
      </c>
      <c r="BU187" s="18">
        <f>COUNTIFS('ENCUESTA CONDUCTORES'!$AL$7:$AL$459,"X",'ENCUESTA CONDUCTORES'!$BJ$7:$BJ$459,"X",'ENCUESTA CONDUCTORES'!$AW$7:$AW$459,"&lt;3.01")-BT187-BS187-BR187-BQ187-BP187</f>
        <v>24</v>
      </c>
      <c r="BV187" s="18">
        <f>COUNTIFS('ENCUESTA CONDUCTORES'!$AL$7:$AL$459,"X",'ENCUESTA CONDUCTORES'!$BJ$7:$BJ$459,"X",'ENCUESTA CONDUCTORES'!$AW$7:$AW$459,"&lt;4.01")-BU187-BT187-BS187-BR187-BQ187-BP187</f>
        <v>21</v>
      </c>
      <c r="BW187" s="18">
        <f>COUNTIFS('ENCUESTA CONDUCTORES'!$AL$7:$AL$459,"X",'ENCUESTA CONDUCTORES'!$BJ$7:$BJ$459,"X",'ENCUESTA CONDUCTORES'!$AW$7:$AW$459,"&gt;4")</f>
        <v>5</v>
      </c>
      <c r="BX187" s="18">
        <f>SUM(BP187:BW187)</f>
        <v>72</v>
      </c>
      <c r="CX187" s="11" t="s">
        <v>429</v>
      </c>
      <c r="CY187" s="74">
        <f t="shared" si="418"/>
        <v>1</v>
      </c>
      <c r="CZ187" s="18">
        <f t="shared" si="419"/>
        <v>82</v>
      </c>
      <c r="DA187" s="74"/>
      <c r="DB187" s="74"/>
      <c r="DD187" s="74"/>
      <c r="DE187" s="74"/>
      <c r="DF187" s="74"/>
      <c r="DG187" s="18"/>
      <c r="DH187" s="18"/>
      <c r="DI187" s="18"/>
      <c r="DJ187" s="18"/>
      <c r="DL187" s="18"/>
      <c r="DM187" s="18"/>
      <c r="DN187" s="18"/>
    </row>
    <row r="188" spans="1:118" x14ac:dyDescent="0.25">
      <c r="AL188" s="75"/>
      <c r="AM188" s="74"/>
      <c r="AN188" s="74"/>
      <c r="AO188" s="74"/>
      <c r="AP188" s="74"/>
      <c r="AQ188" s="74"/>
      <c r="AR188" s="74"/>
      <c r="AS188" s="74"/>
      <c r="AT188" s="74"/>
      <c r="AU188" s="74"/>
      <c r="AV188" s="18"/>
      <c r="AW188" s="18"/>
      <c r="AX188" s="18"/>
      <c r="AY188" s="18"/>
      <c r="AZ188" s="18"/>
      <c r="BA188" s="18"/>
      <c r="BB188" s="18"/>
      <c r="BC188" s="18"/>
      <c r="BD188" s="18"/>
      <c r="CX188" s="17" t="s">
        <v>193</v>
      </c>
      <c r="CY188" s="18"/>
      <c r="CZ188" s="18">
        <f t="shared" si="419"/>
        <v>0</v>
      </c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L188" s="18"/>
      <c r="DM188" s="18"/>
      <c r="DN188" s="18"/>
    </row>
    <row r="189" spans="1:118" x14ac:dyDescent="0.25">
      <c r="AL189" s="17" t="s">
        <v>1401</v>
      </c>
      <c r="AM189" s="74"/>
      <c r="AN189" s="74"/>
      <c r="AO189" s="74"/>
      <c r="AP189" s="74"/>
      <c r="AQ189" s="74"/>
      <c r="AR189" s="74"/>
      <c r="AS189" s="74"/>
      <c r="AT189" s="74"/>
      <c r="AU189" s="74"/>
      <c r="AV189" s="18"/>
      <c r="AW189" s="18"/>
      <c r="AX189" s="18"/>
      <c r="AY189" s="18"/>
      <c r="AZ189" s="18"/>
      <c r="BA189" s="18"/>
      <c r="BB189" s="18"/>
      <c r="BC189" s="18"/>
      <c r="BD189" s="18"/>
      <c r="BF189" s="17" t="s">
        <v>1409</v>
      </c>
      <c r="BG189" s="74"/>
      <c r="BH189" s="74"/>
      <c r="BI189" s="74"/>
      <c r="BJ189" s="74"/>
      <c r="BK189" s="74"/>
      <c r="BL189" s="74"/>
      <c r="BM189" s="74"/>
      <c r="BN189" s="74"/>
      <c r="BO189" s="74"/>
      <c r="BP189" s="18"/>
      <c r="BQ189" s="18"/>
      <c r="BR189" s="18"/>
      <c r="BS189" s="18"/>
      <c r="BT189" s="18"/>
      <c r="BU189" s="18"/>
      <c r="BV189" s="18"/>
      <c r="BW189" s="18"/>
      <c r="B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</row>
    <row r="190" spans="1:118" x14ac:dyDescent="0.25">
      <c r="A190" s="17" t="s">
        <v>1533</v>
      </c>
      <c r="AM190" s="5" t="s">
        <v>1296</v>
      </c>
      <c r="AN190" s="5" t="s">
        <v>1297</v>
      </c>
      <c r="AO190" s="5" t="s">
        <v>1298</v>
      </c>
      <c r="AP190" s="5" t="s">
        <v>1299</v>
      </c>
      <c r="AQ190" s="5" t="s">
        <v>1300</v>
      </c>
      <c r="AR190" s="5" t="s">
        <v>1301</v>
      </c>
      <c r="AS190" s="5" t="s">
        <v>1302</v>
      </c>
      <c r="AT190" s="5" t="s">
        <v>1385</v>
      </c>
      <c r="AU190" s="5"/>
      <c r="AV190" s="5" t="s">
        <v>1296</v>
      </c>
      <c r="AW190" s="5" t="s">
        <v>1297</v>
      </c>
      <c r="AX190" s="5" t="s">
        <v>1298</v>
      </c>
      <c r="AY190" s="5" t="s">
        <v>1299</v>
      </c>
      <c r="AZ190" s="5" t="s">
        <v>1300</v>
      </c>
      <c r="BA190" s="5" t="s">
        <v>1301</v>
      </c>
      <c r="BB190" s="5" t="s">
        <v>1302</v>
      </c>
      <c r="BC190" s="5" t="s">
        <v>1385</v>
      </c>
      <c r="BG190" s="5" t="s">
        <v>1296</v>
      </c>
      <c r="BH190" s="5" t="s">
        <v>1297</v>
      </c>
      <c r="BI190" s="5" t="s">
        <v>1298</v>
      </c>
      <c r="BJ190" s="5" t="s">
        <v>1299</v>
      </c>
      <c r="BK190" s="5" t="s">
        <v>1300</v>
      </c>
      <c r="BL190" s="5" t="s">
        <v>1301</v>
      </c>
      <c r="BM190" s="5" t="s">
        <v>1302</v>
      </c>
      <c r="BN190" s="5" t="s">
        <v>1385</v>
      </c>
      <c r="BO190" s="5"/>
      <c r="BP190" s="5" t="s">
        <v>1296</v>
      </c>
      <c r="BQ190" s="5" t="s">
        <v>1297</v>
      </c>
      <c r="BR190" s="5" t="s">
        <v>1298</v>
      </c>
      <c r="BS190" s="5" t="s">
        <v>1299</v>
      </c>
      <c r="BT190" s="5" t="s">
        <v>1300</v>
      </c>
      <c r="BU190" s="5" t="s">
        <v>1301</v>
      </c>
      <c r="BV190" s="5" t="s">
        <v>1302</v>
      </c>
      <c r="BW190" s="5" t="s">
        <v>1385</v>
      </c>
      <c r="CX190" s="57" t="s">
        <v>1455</v>
      </c>
      <c r="CY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</row>
    <row r="191" spans="1:118" x14ac:dyDescent="0.25">
      <c r="C191" s="187" t="s">
        <v>430</v>
      </c>
      <c r="D191" s="187"/>
      <c r="E191" s="187"/>
      <c r="F191" s="187"/>
      <c r="G191" s="187"/>
      <c r="AL191" s="75" t="s">
        <v>49</v>
      </c>
      <c r="AM191" s="74">
        <f>+AV191/$BD$191</f>
        <v>7.4626865671641784E-2</v>
      </c>
      <c r="AN191" s="74">
        <f t="shared" ref="AN191:AU191" si="435">+AW191/$BD$191</f>
        <v>7.4626865671641784E-2</v>
      </c>
      <c r="AO191" s="74">
        <f t="shared" si="435"/>
        <v>4.4776119402985072E-2</v>
      </c>
      <c r="AP191" s="74">
        <f t="shared" si="435"/>
        <v>2.9850746268656716E-2</v>
      </c>
      <c r="AQ191" s="74">
        <f t="shared" si="435"/>
        <v>0.46268656716417911</v>
      </c>
      <c r="AR191" s="74">
        <f t="shared" si="435"/>
        <v>5.9701492537313432E-2</v>
      </c>
      <c r="AS191" s="74">
        <f t="shared" si="435"/>
        <v>0.20895522388059701</v>
      </c>
      <c r="AT191" s="74">
        <f t="shared" si="435"/>
        <v>4.4776119402985072E-2</v>
      </c>
      <c r="AU191" s="74">
        <f t="shared" si="435"/>
        <v>1</v>
      </c>
      <c r="AV191" s="18">
        <f>COUNTIFS('ENCUESTA CONDUCTORES'!$AL$7:$AL$459,"X",'ENCUESTA CONDUCTORES'!$BK$7:$BK$459,"X",'ENCUESTA CONDUCTORES'!$AX$7:$AX$459,"&lt;1.6")</f>
        <v>5</v>
      </c>
      <c r="AW191" s="18">
        <f>COUNTIFS('ENCUESTA CONDUCTORES'!$AL$7:$AL$459,"X",'ENCUESTA CONDUCTORES'!$BK$7:$BK$459,"X",'ENCUESTA CONDUCTORES'!$AX$7:$AX$459,"&lt;1.91")-AV191</f>
        <v>5</v>
      </c>
      <c r="AX191" s="18">
        <f>COUNTIFS('ENCUESTA CONDUCTORES'!$AL$7:$AL$459,"X",'ENCUESTA CONDUCTORES'!$BK$7:$BK$459,"X",'ENCUESTA CONDUCTORES'!$AX$7:$AX$459,"&lt;2.01")-AW191-AV191</f>
        <v>3</v>
      </c>
      <c r="AY191" s="18">
        <f>COUNTIFS('ENCUESTA CONDUCTORES'!$AL$7:$AL$459,"X",'ENCUESTA CONDUCTORES'!$BK$7:$BK$459,"X",'ENCUESTA CONDUCTORES'!$AX$7:$AX$459,"&lt;2.21")-AX191-AW191-AV191</f>
        <v>2</v>
      </c>
      <c r="AZ191" s="18">
        <f>COUNTIFS('ENCUESTA CONDUCTORES'!$AL$7:$AL$459,"X",'ENCUESTA CONDUCTORES'!$BK$7:$BK$459,"X",'ENCUESTA CONDUCTORES'!$AX$7:$AX$459,"&lt;2.51")-AY191-AX191-AW191-AV191</f>
        <v>31</v>
      </c>
      <c r="BA191" s="18">
        <f>COUNTIFS('ENCUESTA CONDUCTORES'!$AL$7:$AL$459,"X",'ENCUESTA CONDUCTORES'!$BK$7:$BK$459,"X",'ENCUESTA CONDUCTORES'!$AX$7:$AX$459,"&lt;3.01")-AZ191-AY191-AX191-AW191-AV191</f>
        <v>4</v>
      </c>
      <c r="BB191" s="18">
        <f>COUNTIFS('ENCUESTA CONDUCTORES'!$AL$7:$AL$459,"X",'ENCUESTA CONDUCTORES'!$BK$7:$BK$459,"X",'ENCUESTA CONDUCTORES'!$AX$7:$AX$459,"&lt;4.01")-BA191-AZ191-AY191-AX191-AW191-AV191</f>
        <v>14</v>
      </c>
      <c r="BC191" s="18">
        <f>COUNTIFS('ENCUESTA CONDUCTORES'!$AL$7:$AL$459,"X",'ENCUESTA CONDUCTORES'!$BK$7:$BK$459,"X",'ENCUESTA CONDUCTORES'!$AX$7:$AX$459,"&gt;4")</f>
        <v>3</v>
      </c>
      <c r="BD191" s="18">
        <f>SUM(AV191:BC191)</f>
        <v>67</v>
      </c>
      <c r="BF191" s="75" t="s">
        <v>49</v>
      </c>
      <c r="BG191" s="74">
        <f>+BP191/$BX$191</f>
        <v>1.4925373134328358E-2</v>
      </c>
      <c r="BH191" s="74">
        <f t="shared" ref="BH191:BO191" si="436">+BQ191/$BX$191</f>
        <v>7.4626865671641784E-2</v>
      </c>
      <c r="BI191" s="74">
        <f t="shared" si="436"/>
        <v>0</v>
      </c>
      <c r="BJ191" s="74">
        <f t="shared" si="436"/>
        <v>5.9701492537313432E-2</v>
      </c>
      <c r="BK191" s="74">
        <f t="shared" si="436"/>
        <v>1.4925373134328358E-2</v>
      </c>
      <c r="BL191" s="74">
        <f t="shared" si="436"/>
        <v>0.52238805970149249</v>
      </c>
      <c r="BM191" s="74">
        <f t="shared" si="436"/>
        <v>0.2537313432835821</v>
      </c>
      <c r="BN191" s="74">
        <f t="shared" si="436"/>
        <v>5.9701492537313432E-2</v>
      </c>
      <c r="BO191" s="74">
        <f t="shared" si="436"/>
        <v>1</v>
      </c>
      <c r="BP191" s="18">
        <f>COUNTIFS('ENCUESTA CONDUCTORES'!$AL$7:$AL$459,"X",'ENCUESTA CONDUCTORES'!$BK$7:$BK$459,"X",'ENCUESTA CONDUCTORES'!$AW$7:$AW$459,"&lt;1.6")</f>
        <v>1</v>
      </c>
      <c r="BQ191" s="18">
        <f>COUNTIFS('ENCUESTA CONDUCTORES'!$AL$7:$AL$459,"X",'ENCUESTA CONDUCTORES'!$BK$7:$BK$459,"X",'ENCUESTA CONDUCTORES'!$AW$7:$AW$459,"&lt;1.91")-BP191</f>
        <v>5</v>
      </c>
      <c r="BR191" s="18">
        <f>COUNTIFS('ENCUESTA CONDUCTORES'!$AL$7:$AL$459,"X",'ENCUESTA CONDUCTORES'!$BK$7:$BK$459,"X",'ENCUESTA CONDUCTORES'!$AW$7:$AW$459,"&lt;2.01")-BQ191-BP191</f>
        <v>0</v>
      </c>
      <c r="BS191" s="18">
        <f>COUNTIFS('ENCUESTA CONDUCTORES'!$AL$7:$AL$459,"X",'ENCUESTA CONDUCTORES'!$BK$7:$BK$459,"X",'ENCUESTA CONDUCTORES'!$AW$7:$AW$459,"&lt;2.21")-BR191-BQ191-BP191</f>
        <v>4</v>
      </c>
      <c r="BT191" s="18">
        <f>COUNTIFS('ENCUESTA CONDUCTORES'!$AL$7:$AL$459,"X",'ENCUESTA CONDUCTORES'!$BK$7:$BK$459,"X",'ENCUESTA CONDUCTORES'!$AW$7:$AW$459,"&lt;2.51")-BS191-BR191-BQ191-BP191</f>
        <v>1</v>
      </c>
      <c r="BU191" s="18">
        <f>COUNTIFS('ENCUESTA CONDUCTORES'!$AL$7:$AL$459,"X",'ENCUESTA CONDUCTORES'!$BK$7:$BK$459,"X",'ENCUESTA CONDUCTORES'!$AW$7:$AW$459,"&lt;3.01")-BT191-BS191-BR191-BQ191-BP191</f>
        <v>35</v>
      </c>
      <c r="BV191" s="18">
        <f>COUNTIFS('ENCUESTA CONDUCTORES'!$AL$7:$AL$459,"X",'ENCUESTA CONDUCTORES'!$BK$7:$BK$459,"X",'ENCUESTA CONDUCTORES'!$AW$7:$AW$459,"&lt;4.01")-BU191-BT191-BS191-BR191-BQ191-BP191</f>
        <v>17</v>
      </c>
      <c r="BW191" s="18">
        <f>COUNTIFS('ENCUESTA CONDUCTORES'!$AL$7:$AL$459,"X",'ENCUESTA CONDUCTORES'!$BK$7:$BK$459,"X",'ENCUESTA CONDUCTORES'!$AW$7:$AW$459,"&gt;4")</f>
        <v>4</v>
      </c>
      <c r="BX191" s="18">
        <f t="shared" ref="BX191" si="437">SUM(BP191:BW191)</f>
        <v>67</v>
      </c>
      <c r="CY191" s="17" t="s">
        <v>1428</v>
      </c>
      <c r="CZ191" s="17" t="s">
        <v>1428</v>
      </c>
    </row>
    <row r="192" spans="1:118" x14ac:dyDescent="0.25">
      <c r="C192" s="17" t="s">
        <v>425</v>
      </c>
      <c r="D192" s="17" t="s">
        <v>426</v>
      </c>
      <c r="E192" s="17" t="s">
        <v>1336</v>
      </c>
      <c r="F192" s="17" t="s">
        <v>1337</v>
      </c>
      <c r="G192" s="17" t="s">
        <v>429</v>
      </c>
      <c r="CX192" s="11" t="s">
        <v>1306</v>
      </c>
      <c r="CY192" s="74">
        <f>+CZ192/$CZ$200</f>
        <v>0</v>
      </c>
      <c r="CZ192" s="18">
        <f>+DL19</f>
        <v>0</v>
      </c>
      <c r="DA192" s="74"/>
      <c r="DB192" s="74"/>
      <c r="DC192" s="74"/>
      <c r="DE192" s="74"/>
      <c r="DF192" s="74"/>
      <c r="DG192" s="18"/>
      <c r="DH192" s="18"/>
      <c r="DI192" s="18"/>
      <c r="DJ192" s="18"/>
      <c r="DK192" s="18"/>
      <c r="DM192" s="18"/>
      <c r="DN192" s="18"/>
    </row>
    <row r="193" spans="2:118" x14ac:dyDescent="0.25">
      <c r="B193" s="75" t="s">
        <v>48</v>
      </c>
      <c r="C193" s="18">
        <f>COUNTIFS('ENCUESTA CONDUCTORES'!E$7:E$459,"X",'ENCUESTA CONDUCTORES'!$BJ$7:$BJ$459,"X")</f>
        <v>22</v>
      </c>
      <c r="D193" s="18">
        <f>COUNTIFS('ENCUESTA CONDUCTORES'!F$7:F$459,"X",'ENCUESTA CONDUCTORES'!$BJ$7:$BJ$459,"X")</f>
        <v>15</v>
      </c>
      <c r="E193" s="18">
        <f>COUNTIFS('ENCUESTA CONDUCTORES'!G$7:G$459,"X",'ENCUESTA CONDUCTORES'!$BJ$7:$BJ$459,"X")</f>
        <v>31</v>
      </c>
      <c r="F193" s="18">
        <f>COUNTIFS('ENCUESTA CONDUCTORES'!H$7:H$459,"X",'ENCUESTA CONDUCTORES'!$BJ$7:$BJ$459,"X")</f>
        <v>12</v>
      </c>
      <c r="G193" s="18">
        <f>SUM(C193:F193)</f>
        <v>80</v>
      </c>
      <c r="AL193" s="17" t="s">
        <v>1402</v>
      </c>
      <c r="AM193" s="74"/>
      <c r="AN193" s="74"/>
      <c r="AO193" s="74"/>
      <c r="AP193" s="74"/>
      <c r="AQ193" s="74"/>
      <c r="AR193" s="74"/>
      <c r="AS193" s="74"/>
      <c r="AT193" s="74"/>
      <c r="AU193" s="74"/>
      <c r="AV193" s="18"/>
      <c r="AW193" s="18"/>
      <c r="AX193" s="18"/>
      <c r="AY193" s="18"/>
      <c r="AZ193" s="18"/>
      <c r="BA193" s="18"/>
      <c r="BB193" s="18"/>
      <c r="BC193" s="18"/>
      <c r="BD193" s="18"/>
      <c r="BF193" s="17" t="s">
        <v>1410</v>
      </c>
      <c r="BG193" s="74"/>
      <c r="BH193" s="74"/>
      <c r="BI193" s="74"/>
      <c r="BJ193" s="74"/>
      <c r="BK193" s="74"/>
      <c r="BL193" s="74"/>
      <c r="BM193" s="74"/>
      <c r="BN193" s="74"/>
      <c r="BO193" s="74"/>
      <c r="BP193" s="18"/>
      <c r="BQ193" s="18"/>
      <c r="BR193" s="18"/>
      <c r="BS193" s="18"/>
      <c r="BT193" s="18"/>
      <c r="BU193" s="18"/>
      <c r="BV193" s="18"/>
      <c r="BW193" s="18"/>
      <c r="BX193" s="18"/>
      <c r="CX193" s="11" t="s">
        <v>1307</v>
      </c>
      <c r="CY193" s="74">
        <f t="shared" ref="CY193:CY200" si="438">+CZ193/$CZ$200</f>
        <v>7.6190476190476197E-2</v>
      </c>
      <c r="CZ193" s="18">
        <f t="shared" ref="CZ193:CZ201" si="439">+DL20</f>
        <v>8</v>
      </c>
      <c r="DA193" s="74"/>
      <c r="DB193" s="74"/>
      <c r="DC193" s="74"/>
      <c r="DE193" s="74"/>
      <c r="DF193" s="74"/>
      <c r="DG193" s="18"/>
      <c r="DH193" s="18"/>
      <c r="DI193" s="18"/>
      <c r="DJ193" s="18"/>
      <c r="DK193" s="18"/>
      <c r="DM193" s="18"/>
      <c r="DN193" s="18"/>
    </row>
    <row r="194" spans="2:118" x14ac:dyDescent="0.25">
      <c r="B194" s="75" t="s">
        <v>49</v>
      </c>
      <c r="C194" s="18">
        <f>COUNTIFS('ENCUESTA CONDUCTORES'!E$7:E$459,"X",'ENCUESTA CONDUCTORES'!$BK$7:$BK$459,"X")</f>
        <v>22</v>
      </c>
      <c r="D194" s="18">
        <f>COUNTIFS('ENCUESTA CONDUCTORES'!F$7:F$459,"X",'ENCUESTA CONDUCTORES'!$BK$7:$BK$459,"X")</f>
        <v>9</v>
      </c>
      <c r="E194" s="18">
        <f>COUNTIFS('ENCUESTA CONDUCTORES'!G$7:G$459,"X",'ENCUESTA CONDUCTORES'!$BK$7:$BK$459,"X")</f>
        <v>25</v>
      </c>
      <c r="F194" s="18">
        <f>COUNTIFS('ENCUESTA CONDUCTORES'!H$7:H$459,"X",'ENCUESTA CONDUCTORES'!$BK$7:$BK$459,"X")</f>
        <v>16</v>
      </c>
      <c r="G194" s="18">
        <f t="shared" ref="G194:G200" si="440">SUM(C194:F194)</f>
        <v>72</v>
      </c>
      <c r="AM194" s="5" t="s">
        <v>1296</v>
      </c>
      <c r="AN194" s="5" t="s">
        <v>1297</v>
      </c>
      <c r="AO194" s="5" t="s">
        <v>1298</v>
      </c>
      <c r="AP194" s="5" t="s">
        <v>1299</v>
      </c>
      <c r="AQ194" s="5" t="s">
        <v>1300</v>
      </c>
      <c r="AR194" s="5" t="s">
        <v>1301</v>
      </c>
      <c r="AS194" s="5" t="s">
        <v>1302</v>
      </c>
      <c r="AT194" s="5" t="s">
        <v>1385</v>
      </c>
      <c r="AU194" s="5"/>
      <c r="AV194" s="5" t="s">
        <v>1296</v>
      </c>
      <c r="AW194" s="5" t="s">
        <v>1297</v>
      </c>
      <c r="AX194" s="5" t="s">
        <v>1298</v>
      </c>
      <c r="AY194" s="5" t="s">
        <v>1299</v>
      </c>
      <c r="AZ194" s="5" t="s">
        <v>1300</v>
      </c>
      <c r="BA194" s="5" t="s">
        <v>1301</v>
      </c>
      <c r="BB194" s="5" t="s">
        <v>1302</v>
      </c>
      <c r="BC194" s="5" t="s">
        <v>1385</v>
      </c>
      <c r="BG194" s="5" t="s">
        <v>1296</v>
      </c>
      <c r="BH194" s="5" t="s">
        <v>1297</v>
      </c>
      <c r="BI194" s="5" t="s">
        <v>1298</v>
      </c>
      <c r="BJ194" s="5" t="s">
        <v>1299</v>
      </c>
      <c r="BK194" s="5" t="s">
        <v>1300</v>
      </c>
      <c r="BL194" s="5" t="s">
        <v>1301</v>
      </c>
      <c r="BM194" s="5" t="s">
        <v>1302</v>
      </c>
      <c r="BN194" s="5" t="s">
        <v>1385</v>
      </c>
      <c r="BO194" s="5"/>
      <c r="BP194" s="5" t="s">
        <v>1296</v>
      </c>
      <c r="BQ194" s="5" t="s">
        <v>1297</v>
      </c>
      <c r="BR194" s="5" t="s">
        <v>1298</v>
      </c>
      <c r="BS194" s="5" t="s">
        <v>1299</v>
      </c>
      <c r="BT194" s="5" t="s">
        <v>1300</v>
      </c>
      <c r="BU194" s="5" t="s">
        <v>1301</v>
      </c>
      <c r="BV194" s="5" t="s">
        <v>1302</v>
      </c>
      <c r="BW194" s="5" t="s">
        <v>1385</v>
      </c>
      <c r="CX194" s="17" t="s">
        <v>1308</v>
      </c>
      <c r="CY194" s="74">
        <f t="shared" si="438"/>
        <v>2.8571428571428571E-2</v>
      </c>
      <c r="CZ194" s="18">
        <f t="shared" si="439"/>
        <v>3</v>
      </c>
      <c r="DA194" s="74"/>
      <c r="DB194" s="74"/>
      <c r="DC194" s="74"/>
      <c r="DE194" s="74"/>
      <c r="DF194" s="74"/>
      <c r="DG194" s="18"/>
      <c r="DH194" s="18"/>
      <c r="DI194" s="18"/>
      <c r="DJ194" s="18"/>
      <c r="DK194" s="18"/>
      <c r="DM194" s="18"/>
      <c r="DN194" s="18"/>
    </row>
    <row r="195" spans="2:118" x14ac:dyDescent="0.25">
      <c r="B195" s="75" t="s">
        <v>1356</v>
      </c>
      <c r="C195" s="18">
        <f>COUNTIFS('ENCUESTA CONDUCTORES'!E$7:E$459,"X",'ENCUESTA CONDUCTORES'!$BL$7:$BL$459,"X")+COUNTIFS('ENCUESTA CONDUCTORES'!E$7:E$459,"X",'ENCUESTA CONDUCTORES'!$BR$7:$BR$459,"X")</f>
        <v>7</v>
      </c>
      <c r="D195" s="18">
        <f>COUNTIFS('ENCUESTA CONDUCTORES'!F$7:F$459,"X",'ENCUESTA CONDUCTORES'!$BL$7:$BL$459,"X")+COUNTIFS('ENCUESTA CONDUCTORES'!F$7:F$459,"X",'ENCUESTA CONDUCTORES'!$BR$7:$BR$459,"X")</f>
        <v>18</v>
      </c>
      <c r="E195" s="18">
        <f>COUNTIFS('ENCUESTA CONDUCTORES'!G$7:G$459,"X",'ENCUESTA CONDUCTORES'!$BL$7:$BL$459,"X")+COUNTIFS('ENCUESTA CONDUCTORES'!G$7:G$459,"X",'ENCUESTA CONDUCTORES'!$BR$7:$BR$459,"X")</f>
        <v>30</v>
      </c>
      <c r="F195" s="18">
        <f>COUNTIFS('ENCUESTA CONDUCTORES'!H$7:H$459,"X",'ENCUESTA CONDUCTORES'!$BL$7:$BL$459,"X")+COUNTIFS('ENCUESTA CONDUCTORES'!H$7:H$459,"X",'ENCUESTA CONDUCTORES'!$BR$7:$BR$459,"X")</f>
        <v>24</v>
      </c>
      <c r="G195" s="18">
        <f t="shared" si="440"/>
        <v>79</v>
      </c>
      <c r="AL195" s="75" t="s">
        <v>1356</v>
      </c>
      <c r="AM195" s="74">
        <f>+AV195/$BD$195</f>
        <v>3.896103896103896E-2</v>
      </c>
      <c r="AN195" s="74">
        <f t="shared" ref="AN195:AU195" si="441">+AW195/$BD$195</f>
        <v>0.14285714285714285</v>
      </c>
      <c r="AO195" s="74">
        <f t="shared" si="441"/>
        <v>2.5974025974025976E-2</v>
      </c>
      <c r="AP195" s="74">
        <f t="shared" si="441"/>
        <v>7.792207792207792E-2</v>
      </c>
      <c r="AQ195" s="74">
        <f t="shared" si="441"/>
        <v>0.40259740259740262</v>
      </c>
      <c r="AR195" s="74">
        <f t="shared" si="441"/>
        <v>0.15584415584415584</v>
      </c>
      <c r="AS195" s="74">
        <f t="shared" si="441"/>
        <v>0.12987012987012986</v>
      </c>
      <c r="AT195" s="74">
        <f t="shared" si="441"/>
        <v>2.5974025974025976E-2</v>
      </c>
      <c r="AU195" s="74">
        <f t="shared" si="441"/>
        <v>1</v>
      </c>
      <c r="AV195" s="18">
        <f>COUNTIFS('ENCUESTA CONDUCTORES'!$AL$7:$AL$459,"X",'ENCUESTA CONDUCTORES'!$BL$7:$BL$459,"X",'ENCUESTA CONDUCTORES'!$AX$7:$AX$459,"&lt;1.6")+COUNTIFS('ENCUESTA CONDUCTORES'!$AR$7:$AR$459,"X",'ENCUESTA CONDUCTORES'!$BL$7:$BL$459,"X",'ENCUESTA CONDUCTORES'!$AX$7:$AX$459,"&lt;1.6")</f>
        <v>3</v>
      </c>
      <c r="AW195" s="18">
        <f>COUNTIFS('ENCUESTA CONDUCTORES'!$AL$7:$AL$459,"X",'ENCUESTA CONDUCTORES'!$BL$7:$BL$459,"X",'ENCUESTA CONDUCTORES'!$AX$7:$AX$459,"&lt;1.91")+COUNTIFS('ENCUESTA CONDUCTORES'!$AL$7:$AL$459,"X",'ENCUESTA CONDUCTORES'!$BR$7:$BR$459,"X",'ENCUESTA CONDUCTORES'!$AX$7:$AX$459,"&lt;1.91")-AV195</f>
        <v>11</v>
      </c>
      <c r="AX195" s="18">
        <f>COUNTIFS('ENCUESTA CONDUCTORES'!$AL$7:$AL$459,"X",'ENCUESTA CONDUCTORES'!$BL$7:$BL$459,"X",'ENCUESTA CONDUCTORES'!$AX$7:$AX$459,"&lt;2.01")+COUNTIFS('ENCUESTA CONDUCTORES'!$AL$7:$AL$459,"X",'ENCUESTA CONDUCTORES'!$BR$7:$BR$459,"X",'ENCUESTA CONDUCTORES'!$AX$7:$AX$459,"&lt;2.01")-AW195-AV195</f>
        <v>2</v>
      </c>
      <c r="AY195" s="18">
        <f>COUNTIFS('ENCUESTA CONDUCTORES'!$AL$7:$AL$459,"X",'ENCUESTA CONDUCTORES'!$BL$7:$BL$459,"X",'ENCUESTA CONDUCTORES'!$AX$7:$AX$459,"&lt;2.21")+COUNTIFS('ENCUESTA CONDUCTORES'!$AL$7:$AL$459,"X",'ENCUESTA CONDUCTORES'!$BR$7:$BR$459,"X",'ENCUESTA CONDUCTORES'!$AX$7:$AX$459,"&lt;2.21")-AX195-AW195-AV195</f>
        <v>6</v>
      </c>
      <c r="AZ195" s="18">
        <f>COUNTIFS('ENCUESTA CONDUCTORES'!$AL$7:$AL$459,"X",'ENCUESTA CONDUCTORES'!$BL$7:$BL$459,"X",'ENCUESTA CONDUCTORES'!$AX$7:$AX$459,"&lt;2.51")+COUNTIFS('ENCUESTA CONDUCTORES'!$AL$7:$AL$459,"X",'ENCUESTA CONDUCTORES'!$BR$7:$BR$459,"X",'ENCUESTA CONDUCTORES'!$AX$7:$AX$459,"&lt;2.51")-AY195-AX195-AW195-AV195</f>
        <v>31</v>
      </c>
      <c r="BA195" s="18">
        <f>COUNTIFS('ENCUESTA CONDUCTORES'!$AL$7:$AL$459,"X",'ENCUESTA CONDUCTORES'!$BL$7:$BL$459,"X",'ENCUESTA CONDUCTORES'!$AX$7:$AX$459,"&lt;3.01")+COUNTIFS('ENCUESTA CONDUCTORES'!$AL$7:$AL$459,"X",'ENCUESTA CONDUCTORES'!$BR$7:$BR$459,"X",'ENCUESTA CONDUCTORES'!$AX$7:$AX$459,"&lt;3.01")-AZ195-AY195-AX195-AW195-AV195</f>
        <v>12</v>
      </c>
      <c r="BB195" s="18">
        <f>COUNTIFS('ENCUESTA CONDUCTORES'!$AL$7:$AL$459,"X",'ENCUESTA CONDUCTORES'!$BL$7:$BL$459,"X",'ENCUESTA CONDUCTORES'!$AX$7:$AX$459,"&lt;4.01")+COUNTIFS('ENCUESTA CONDUCTORES'!$AL$7:$AL$459,"X",'ENCUESTA CONDUCTORES'!$BR$7:$BR$459,"X",'ENCUESTA CONDUCTORES'!$AX$7:$AX$459,"&lt;4.01")-BA195-AZ195-AY195-AX195-AW195-AV195</f>
        <v>10</v>
      </c>
      <c r="BC195" s="18">
        <f>COUNTIFS('ENCUESTA CONDUCTORES'!$AL$7:$AL$459,"X",'ENCUESTA CONDUCTORES'!$BL$7:$BL$459,"X",'ENCUESTA CONDUCTORES'!$AX$7:$AX$459,"&gt;4")+COUNTIFS('ENCUESTA CONDUCTORES'!$AL$7:$AL$459,"X",'ENCUESTA CONDUCTORES'!$BR$7:$BR$459,"X",'ENCUESTA CONDUCTORES'!$AX$7:$AX$459,"&gt;4")</f>
        <v>2</v>
      </c>
      <c r="BD195" s="18">
        <f t="shared" ref="BD195" si="442">SUM(AV195:BC195)</f>
        <v>77</v>
      </c>
      <c r="BF195" s="75" t="s">
        <v>1356</v>
      </c>
      <c r="BG195" s="74">
        <f>BP195/$BX$195</f>
        <v>0</v>
      </c>
      <c r="BH195" s="74">
        <f t="shared" ref="BH195:BO195" si="443">BQ195/$BX$195</f>
        <v>9.0909090909090912E-2</v>
      </c>
      <c r="BI195" s="74">
        <f t="shared" si="443"/>
        <v>0</v>
      </c>
      <c r="BJ195" s="74">
        <f t="shared" si="443"/>
        <v>6.4935064935064929E-2</v>
      </c>
      <c r="BK195" s="74">
        <f t="shared" si="443"/>
        <v>3.896103896103896E-2</v>
      </c>
      <c r="BL195" s="74">
        <f t="shared" si="443"/>
        <v>0.53246753246753242</v>
      </c>
      <c r="BM195" s="74">
        <f t="shared" si="443"/>
        <v>0.24675324675324675</v>
      </c>
      <c r="BN195" s="74">
        <f t="shared" si="443"/>
        <v>2.5974025974025976E-2</v>
      </c>
      <c r="BO195" s="74">
        <f t="shared" si="443"/>
        <v>1</v>
      </c>
      <c r="BP195" s="18">
        <f>COUNTIFS('ENCUESTA CONDUCTORES'!$AL$7:$AL$459,"X",'ENCUESTA CONDUCTORES'!$BL$7:$BL$459,"X",'ENCUESTA CONDUCTORES'!$AW$7:$AW$459,"&lt;1.6")+COUNTIFS('ENCUESTA CONDUCTORES'!$AR$7:$AR$459,"X",'ENCUESTA CONDUCTORES'!$BL$7:$BL$459,"X",'ENCUESTA CONDUCTORES'!$AW$7:$AW$459,"&lt;1.6")</f>
        <v>0</v>
      </c>
      <c r="BQ195" s="18">
        <f>COUNTIFS('ENCUESTA CONDUCTORES'!$AL$7:$AL$459,"X",'ENCUESTA CONDUCTORES'!$BL$7:$BL$459,"X",'ENCUESTA CONDUCTORES'!$AW$7:$AW$459,"&lt;1.91")+COUNTIFS('ENCUESTA CONDUCTORES'!$AL$7:$AL$459,"X",'ENCUESTA CONDUCTORES'!$BR$7:$BR$459,"X",'ENCUESTA CONDUCTORES'!$AW$7:$AW$459,"&lt;1.91")-BP195</f>
        <v>7</v>
      </c>
      <c r="BR195" s="18">
        <f>COUNTIFS('ENCUESTA CONDUCTORES'!$AL$7:$AL$459,"X",'ENCUESTA CONDUCTORES'!$BL$7:$BL$459,"X",'ENCUESTA CONDUCTORES'!$AW$7:$AW$459,"&lt;2.01")+COUNTIFS('ENCUESTA CONDUCTORES'!$AL$7:$AL$459,"X",'ENCUESTA CONDUCTORES'!$BR$7:$BR$459,"X",'ENCUESTA CONDUCTORES'!$AW$7:$AW$459,"&lt;2.01")-BQ195-BP195</f>
        <v>0</v>
      </c>
      <c r="BS195" s="18">
        <f>COUNTIFS('ENCUESTA CONDUCTORES'!$AL$7:$AL$459,"X",'ENCUESTA CONDUCTORES'!$BL$7:$BL$459,"X",'ENCUESTA CONDUCTORES'!$AW$7:$AW$459,"&lt;2.21")+COUNTIFS('ENCUESTA CONDUCTORES'!$AL$7:$AL$459,"X",'ENCUESTA CONDUCTORES'!$BR$7:$BR$459,"X",'ENCUESTA CONDUCTORES'!$AW$7:$AW$459,"&lt;2.21")-BR195-BQ195-BP195</f>
        <v>5</v>
      </c>
      <c r="BT195" s="18">
        <f>COUNTIFS('ENCUESTA CONDUCTORES'!$AL$7:$AL$459,"X",'ENCUESTA CONDUCTORES'!$BL$7:$BL$459,"X",'ENCUESTA CONDUCTORES'!$AW$7:$AW$459,"&lt;2.51")+COUNTIFS('ENCUESTA CONDUCTORES'!$AL$7:$AL$459,"X",'ENCUESTA CONDUCTORES'!$BR$7:$BR$459,"X",'ENCUESTA CONDUCTORES'!$AW$7:$AW$459,"&lt;2.51")-BS195-BR195-BQ195-BP195</f>
        <v>3</v>
      </c>
      <c r="BU195" s="18">
        <f>COUNTIFS('ENCUESTA CONDUCTORES'!$AL$7:$AL$459,"X",'ENCUESTA CONDUCTORES'!$BL$7:$BL$459,"X",'ENCUESTA CONDUCTORES'!$AW$7:$AW$459,"&lt;3.01")+COUNTIFS('ENCUESTA CONDUCTORES'!$AL$7:$AL$459,"X",'ENCUESTA CONDUCTORES'!$BR$7:$BR$459,"X",'ENCUESTA CONDUCTORES'!$AW$7:$AW$459,"&lt;3.01")-BT195-BS195-BR195-BQ195-BP195</f>
        <v>41</v>
      </c>
      <c r="BV195" s="18">
        <f>COUNTIFS('ENCUESTA CONDUCTORES'!$AL$7:$AL$459,"X",'ENCUESTA CONDUCTORES'!$BL$7:$BL$459,"X",'ENCUESTA CONDUCTORES'!$AW$7:$AW$459,"&lt;4.01")+COUNTIFS('ENCUESTA CONDUCTORES'!$AL$7:$AL$459,"X",'ENCUESTA CONDUCTORES'!$BR$7:$BR$459,"X",'ENCUESTA CONDUCTORES'!$AW$7:$AW$459,"&lt;4.01")-BU195-BT195-BS195-BR195-BQ195-BP195</f>
        <v>19</v>
      </c>
      <c r="BW195" s="18">
        <f>COUNTIFS('ENCUESTA CONDUCTORES'!$AL$7:$AL$459,"X",'ENCUESTA CONDUCTORES'!$BL$7:$BL$459,"X",'ENCUESTA CONDUCTORES'!$AW$7:$AW$459,"&gt;4")+COUNTIFS('ENCUESTA CONDUCTORES'!$AL$7:$AL$459,"X",'ENCUESTA CONDUCTORES'!$BR$7:$BR$459,"X",'ENCUESTA CONDUCTORES'!$AW$7:$AW$459,"&gt;4")</f>
        <v>2</v>
      </c>
      <c r="BX195" s="18">
        <f t="shared" ref="BX195" si="444">SUM(BP195:BW195)</f>
        <v>77</v>
      </c>
      <c r="CX195" s="11" t="s">
        <v>1334</v>
      </c>
      <c r="CY195" s="74">
        <f t="shared" si="438"/>
        <v>5.7142857142857141E-2</v>
      </c>
      <c r="CZ195" s="18">
        <f t="shared" si="439"/>
        <v>6</v>
      </c>
      <c r="DA195" s="74"/>
      <c r="DB195" s="74"/>
      <c r="DC195" s="74"/>
      <c r="DE195" s="74"/>
      <c r="DF195" s="74"/>
      <c r="DG195" s="18"/>
      <c r="DH195" s="18"/>
      <c r="DI195" s="18"/>
      <c r="DJ195" s="18"/>
      <c r="DK195" s="18"/>
      <c r="DM195" s="18"/>
      <c r="DN195" s="18"/>
    </row>
    <row r="196" spans="2:118" x14ac:dyDescent="0.25">
      <c r="B196" s="75" t="s">
        <v>51</v>
      </c>
      <c r="C196" s="18">
        <f>COUNTIFS('ENCUESTA CONDUCTORES'!E$7:E$459,"X",'ENCUESTA CONDUCTORES'!$BM$7:$BM$459,"X")</f>
        <v>4</v>
      </c>
      <c r="D196" s="18">
        <f>COUNTIFS('ENCUESTA CONDUCTORES'!F$7:F$459,"X",'ENCUESTA CONDUCTORES'!$BM$7:$BM$459,"X")</f>
        <v>10</v>
      </c>
      <c r="E196" s="18">
        <f>COUNTIFS('ENCUESTA CONDUCTORES'!G$7:G$459,"X",'ENCUESTA CONDUCTORES'!$BM$7:$BM$459,"X")</f>
        <v>29</v>
      </c>
      <c r="F196" s="18">
        <f>COUNTIFS('ENCUESTA CONDUCTORES'!H$7:H$459,"X",'ENCUESTA CONDUCTORES'!$BM$7:$BM$459,"X")</f>
        <v>20</v>
      </c>
      <c r="G196" s="18">
        <f t="shared" si="440"/>
        <v>63</v>
      </c>
      <c r="AL196" s="75"/>
      <c r="AM196" s="74"/>
      <c r="AN196" s="74"/>
      <c r="AO196" s="74"/>
      <c r="AP196" s="74"/>
      <c r="AQ196" s="74"/>
      <c r="AR196" s="74"/>
      <c r="AS196" s="74"/>
      <c r="AT196" s="74"/>
      <c r="AU196" s="74"/>
      <c r="AV196" s="18"/>
      <c r="AW196" s="18"/>
      <c r="AX196" s="18"/>
      <c r="AY196" s="18"/>
      <c r="AZ196" s="18"/>
      <c r="BA196" s="18"/>
      <c r="BB196" s="18"/>
      <c r="BC196" s="18"/>
      <c r="BD196" s="18"/>
      <c r="BF196" s="75"/>
      <c r="BG196" s="74"/>
      <c r="BH196" s="74"/>
      <c r="BI196" s="74"/>
      <c r="BJ196" s="74"/>
      <c r="BK196" s="74"/>
      <c r="BL196" s="74"/>
      <c r="BM196" s="74"/>
      <c r="BN196" s="74"/>
      <c r="BO196" s="74"/>
      <c r="BP196" s="18"/>
      <c r="BQ196" s="18"/>
      <c r="BR196" s="18"/>
      <c r="BS196" s="18"/>
      <c r="BT196" s="18"/>
      <c r="BU196" s="18"/>
      <c r="BV196" s="18"/>
      <c r="BW196" s="18"/>
      <c r="BX196" s="18"/>
      <c r="CX196" s="11" t="s">
        <v>1309</v>
      </c>
      <c r="CY196" s="74">
        <f t="shared" si="438"/>
        <v>5.7142857142857141E-2</v>
      </c>
      <c r="CZ196" s="18">
        <f t="shared" si="439"/>
        <v>6</v>
      </c>
      <c r="DA196" s="74"/>
      <c r="DB196" s="74"/>
      <c r="DC196" s="74"/>
      <c r="DE196" s="74"/>
      <c r="DF196" s="74"/>
      <c r="DG196" s="18"/>
      <c r="DH196" s="18"/>
      <c r="DI196" s="18"/>
      <c r="DJ196" s="18"/>
      <c r="DK196" s="18"/>
      <c r="DM196" s="18"/>
      <c r="DN196" s="18"/>
    </row>
    <row r="197" spans="2:118" ht="25.5" x14ac:dyDescent="0.25">
      <c r="B197" s="75" t="s">
        <v>1357</v>
      </c>
      <c r="C197" s="18">
        <f>COUNTIFS('ENCUESTA CONDUCTORES'!E$7:E$459,"X",'ENCUESTA CONDUCTORES'!$BN$7:$BN$459,"X")+COUNTIFS('ENCUESTA CONDUCTORES'!E$7:E$459,"X",'ENCUESTA CONDUCTORES'!$BP$7:$BP$459,"X")</f>
        <v>22</v>
      </c>
      <c r="D197" s="18">
        <f>COUNTIFS('ENCUESTA CONDUCTORES'!F$7:F$459,"X",'ENCUESTA CONDUCTORES'!$BN$7:$BN$459,"X")+COUNTIFS('ENCUESTA CONDUCTORES'!F$7:F$459,"X",'ENCUESTA CONDUCTORES'!$BP$7:$BP$459,"X")</f>
        <v>22</v>
      </c>
      <c r="E197" s="18">
        <f>COUNTIFS('ENCUESTA CONDUCTORES'!G$7:G$459,"X",'ENCUESTA CONDUCTORES'!$BN$7:$BN$459,"X")+COUNTIFS('ENCUESTA CONDUCTORES'!G$7:G$459,"X",'ENCUESTA CONDUCTORES'!$BP$7:$BP$459,"X")</f>
        <v>66</v>
      </c>
      <c r="F197" s="18">
        <f>COUNTIFS('ENCUESTA CONDUCTORES'!H$7:H$459,"X",'ENCUESTA CONDUCTORES'!$BN$7:$BN$459,"X")+COUNTIFS('ENCUESTA CONDUCTORES'!H$7:H$459,"X",'ENCUESTA CONDUCTORES'!$BP$7:$BP$459,"X")</f>
        <v>66</v>
      </c>
      <c r="G197" s="18">
        <f t="shared" si="440"/>
        <v>176</v>
      </c>
      <c r="AL197" s="17" t="s">
        <v>1513</v>
      </c>
      <c r="AM197" s="74"/>
      <c r="AN197" s="74"/>
      <c r="AO197" s="74"/>
      <c r="AP197" s="74"/>
      <c r="AQ197" s="74"/>
      <c r="AR197" s="74"/>
      <c r="AS197" s="74"/>
      <c r="AT197" s="74"/>
      <c r="AU197" s="74"/>
      <c r="AV197" s="18"/>
      <c r="AW197" s="18"/>
      <c r="AX197" s="18"/>
      <c r="AY197" s="18"/>
      <c r="AZ197" s="18"/>
      <c r="BA197" s="18"/>
      <c r="BB197" s="18"/>
      <c r="BC197" s="18"/>
      <c r="BD197" s="18"/>
      <c r="BF197" s="17" t="s">
        <v>1514</v>
      </c>
      <c r="BG197" s="74"/>
      <c r="BH197" s="74"/>
      <c r="BI197" s="74"/>
      <c r="BJ197" s="74"/>
      <c r="BK197" s="74"/>
      <c r="BL197" s="74"/>
      <c r="BM197" s="74"/>
      <c r="BN197" s="74"/>
      <c r="BO197" s="74"/>
      <c r="BP197" s="18"/>
      <c r="BQ197" s="18"/>
      <c r="BR197" s="18"/>
      <c r="BS197" s="18"/>
      <c r="BT197" s="18"/>
      <c r="BU197" s="18"/>
      <c r="BV197" s="18"/>
      <c r="BW197" s="18"/>
      <c r="BX197" s="18"/>
      <c r="CX197" s="11" t="s">
        <v>1310</v>
      </c>
      <c r="CY197" s="74">
        <f t="shared" si="438"/>
        <v>0.62857142857142856</v>
      </c>
      <c r="CZ197" s="18">
        <f t="shared" si="439"/>
        <v>66</v>
      </c>
      <c r="DA197" s="74"/>
      <c r="DB197" s="74"/>
      <c r="DC197" s="74"/>
      <c r="DE197" s="74"/>
      <c r="DF197" s="74"/>
      <c r="DG197" s="18"/>
      <c r="DH197" s="18"/>
      <c r="DI197" s="18"/>
      <c r="DJ197" s="18"/>
      <c r="DK197" s="18"/>
      <c r="DM197" s="18"/>
      <c r="DN197" s="18"/>
    </row>
    <row r="198" spans="2:118" x14ac:dyDescent="0.25">
      <c r="B198" s="75" t="s">
        <v>131</v>
      </c>
      <c r="C198" s="18">
        <f>COUNTIFS('ENCUESTA CONDUCTORES'!E$7:E$459,"X",'ENCUESTA CONDUCTORES'!$BO$7:$BO$459,"X")</f>
        <v>24</v>
      </c>
      <c r="D198" s="18">
        <f>COUNTIFS('ENCUESTA CONDUCTORES'!F$7:F$459,"X",'ENCUESTA CONDUCTORES'!$BO$7:$BO$459,"X")</f>
        <v>12</v>
      </c>
      <c r="E198" s="18">
        <f>COUNTIFS('ENCUESTA CONDUCTORES'!G$7:G$459,"X",'ENCUESTA CONDUCTORES'!$BO$7:$BO$459,"X")</f>
        <v>28</v>
      </c>
      <c r="F198" s="18">
        <f>COUNTIFS('ENCUESTA CONDUCTORES'!H$7:H$459,"X",'ENCUESTA CONDUCTORES'!$BO$7:$BO$459,"X")</f>
        <v>1</v>
      </c>
      <c r="G198" s="18">
        <f t="shared" si="440"/>
        <v>65</v>
      </c>
      <c r="AM198" s="5" t="s">
        <v>1296</v>
      </c>
      <c r="AN198" s="5" t="s">
        <v>1297</v>
      </c>
      <c r="AO198" s="5" t="s">
        <v>1298</v>
      </c>
      <c r="AP198" s="5" t="s">
        <v>1299</v>
      </c>
      <c r="AQ198" s="5" t="s">
        <v>1300</v>
      </c>
      <c r="AR198" s="5" t="s">
        <v>1301</v>
      </c>
      <c r="AS198" s="5" t="s">
        <v>1302</v>
      </c>
      <c r="AT198" s="5" t="s">
        <v>1385</v>
      </c>
      <c r="AU198" s="5"/>
      <c r="AV198" s="5" t="s">
        <v>1296</v>
      </c>
      <c r="AW198" s="5" t="s">
        <v>1297</v>
      </c>
      <c r="AX198" s="5" t="s">
        <v>1298</v>
      </c>
      <c r="AY198" s="5" t="s">
        <v>1299</v>
      </c>
      <c r="AZ198" s="5" t="s">
        <v>1300</v>
      </c>
      <c r="BA198" s="5" t="s">
        <v>1301</v>
      </c>
      <c r="BB198" s="5" t="s">
        <v>1302</v>
      </c>
      <c r="BC198" s="5" t="s">
        <v>1385</v>
      </c>
      <c r="BG198" s="5" t="s">
        <v>1296</v>
      </c>
      <c r="BH198" s="5" t="s">
        <v>1297</v>
      </c>
      <c r="BI198" s="5" t="s">
        <v>1298</v>
      </c>
      <c r="BJ198" s="5" t="s">
        <v>1299</v>
      </c>
      <c r="BK198" s="5" t="s">
        <v>1300</v>
      </c>
      <c r="BL198" s="5" t="s">
        <v>1301</v>
      </c>
      <c r="BM198" s="5" t="s">
        <v>1302</v>
      </c>
      <c r="BN198" s="5" t="s">
        <v>1385</v>
      </c>
      <c r="BO198" s="5"/>
      <c r="BP198" s="5" t="s">
        <v>1296</v>
      </c>
      <c r="BQ198" s="5" t="s">
        <v>1297</v>
      </c>
      <c r="BR198" s="5" t="s">
        <v>1298</v>
      </c>
      <c r="BS198" s="5" t="s">
        <v>1299</v>
      </c>
      <c r="BT198" s="5" t="s">
        <v>1300</v>
      </c>
      <c r="BU198" s="5" t="s">
        <v>1301</v>
      </c>
      <c r="BV198" s="5" t="s">
        <v>1302</v>
      </c>
      <c r="BW198" s="5" t="s">
        <v>1385</v>
      </c>
      <c r="CX198" s="11" t="s">
        <v>1311</v>
      </c>
      <c r="CY198" s="74">
        <f t="shared" si="438"/>
        <v>0.12380952380952381</v>
      </c>
      <c r="CZ198" s="18">
        <f t="shared" si="439"/>
        <v>13</v>
      </c>
      <c r="DA198" s="74"/>
      <c r="DB198" s="74"/>
      <c r="DC198" s="74"/>
      <c r="DE198" s="74"/>
      <c r="DF198" s="74"/>
      <c r="DG198" s="18"/>
      <c r="DH198" s="18"/>
      <c r="DI198" s="18"/>
      <c r="DJ198" s="18"/>
      <c r="DK198" s="18"/>
      <c r="DM198" s="18"/>
      <c r="DN198" s="18"/>
    </row>
    <row r="199" spans="2:118" x14ac:dyDescent="0.25">
      <c r="B199" s="75" t="s">
        <v>55</v>
      </c>
      <c r="C199" s="18">
        <f>COUNTIFS('ENCUESTA CONDUCTORES'!E$7:E$459,"X",'ENCUESTA CONDUCTORES'!$BQ$7:$BQ$459,"X")</f>
        <v>4</v>
      </c>
      <c r="D199" s="18">
        <f>COUNTIFS('ENCUESTA CONDUCTORES'!F$7:F$459,"X",'ENCUESTA CONDUCTORES'!$BQ$7:$BQ$459,"X")</f>
        <v>3</v>
      </c>
      <c r="E199" s="18">
        <f>COUNTIFS('ENCUESTA CONDUCTORES'!G$7:G$459,"X",'ENCUESTA CONDUCTORES'!$BQ$7:$BQ$459,"X")</f>
        <v>7</v>
      </c>
      <c r="F199" s="18">
        <f>COUNTIFS('ENCUESTA CONDUCTORES'!H$7:H$459,"X",'ENCUESTA CONDUCTORES'!$BQ$7:$BQ$459,"X")</f>
        <v>11</v>
      </c>
      <c r="G199" s="18">
        <f t="shared" si="440"/>
        <v>25</v>
      </c>
      <c r="AL199" s="75" t="s">
        <v>51</v>
      </c>
      <c r="AM199" s="74">
        <f>+AV199/$BD$199</f>
        <v>0.11290322580645161</v>
      </c>
      <c r="AN199" s="74">
        <f t="shared" ref="AN199:AU199" si="445">+AW199/$BD$199</f>
        <v>0.17741935483870969</v>
      </c>
      <c r="AO199" s="74">
        <f t="shared" si="445"/>
        <v>8.0645161290322578E-2</v>
      </c>
      <c r="AP199" s="74">
        <f t="shared" si="445"/>
        <v>6.4516129032258063E-2</v>
      </c>
      <c r="AQ199" s="74">
        <f t="shared" si="445"/>
        <v>0.38709677419354838</v>
      </c>
      <c r="AR199" s="74">
        <f t="shared" si="445"/>
        <v>0.17741935483870969</v>
      </c>
      <c r="AS199" s="74">
        <f t="shared" si="445"/>
        <v>0</v>
      </c>
      <c r="AT199" s="74">
        <f t="shared" si="445"/>
        <v>0</v>
      </c>
      <c r="AU199" s="74">
        <f t="shared" si="445"/>
        <v>1</v>
      </c>
      <c r="AV199" s="18">
        <f>COUNTIFS('ENCUESTA CONDUCTORES'!$AL$7:$AL$459,"X",'ENCUESTA CONDUCTORES'!$BM$7:$BM$459,"X",'ENCUESTA CONDUCTORES'!$AX$7:$AX$459,"&lt;1.6")</f>
        <v>7</v>
      </c>
      <c r="AW199" s="18">
        <f>COUNTIFS('ENCUESTA CONDUCTORES'!$AL$7:$AL$459,"X",'ENCUESTA CONDUCTORES'!$BM$7:$BM$459,"X",'ENCUESTA CONDUCTORES'!$AX$7:$AX$459,"&lt;1.91")-AV199</f>
        <v>11</v>
      </c>
      <c r="AX199" s="18">
        <f>COUNTIFS('ENCUESTA CONDUCTORES'!$AL$7:$AL$459,"X",'ENCUESTA CONDUCTORES'!$BM$7:$BM$459,"X",'ENCUESTA CONDUCTORES'!$AX$7:$AX$459,"&lt;2.01")-AW199-AV199</f>
        <v>5</v>
      </c>
      <c r="AY199" s="18">
        <f>COUNTIFS('ENCUESTA CONDUCTORES'!$AL$7:$AL$459,"X",'ENCUESTA CONDUCTORES'!$BM$7:$BM$459,"X",'ENCUESTA CONDUCTORES'!$AX$7:$AX$459,"&lt;2.21")-AX199-AW199-AV199</f>
        <v>4</v>
      </c>
      <c r="AZ199" s="18">
        <f>COUNTIFS('ENCUESTA CONDUCTORES'!$AL$7:$AL$459,"X",'ENCUESTA CONDUCTORES'!$BM$7:$BM$459,"X",'ENCUESTA CONDUCTORES'!$AX$7:$AX$459,"&lt;2.51")-AY199-AX199-AW199-AV199</f>
        <v>24</v>
      </c>
      <c r="BA199" s="18">
        <f>COUNTIFS('ENCUESTA CONDUCTORES'!$AL$7:$AL$459,"X",'ENCUESTA CONDUCTORES'!$BM$7:$BM$459,"X",'ENCUESTA CONDUCTORES'!$AX$7:$AX$459,"&lt;3.01")-AZ199-AY199-AX199-AW199-AV199</f>
        <v>11</v>
      </c>
      <c r="BB199" s="18">
        <f>COUNTIFS('ENCUESTA CONDUCTORES'!$AL$7:$AL$459,"X",'ENCUESTA CONDUCTORES'!$BM$7:$BM$459,"X",'ENCUESTA CONDUCTORES'!$AX$7:$AX$459,"&lt;4.01")-BA199-AZ199-AY199-AX199-AW199-AV199</f>
        <v>0</v>
      </c>
      <c r="BC199" s="18">
        <f>COUNTIFS('ENCUESTA CONDUCTORES'!$AL$7:$AL$459,"X",'ENCUESTA CONDUCTORES'!$BM$7:$BM$459,"X",'ENCUESTA CONDUCTORES'!$AX$7:$AX$459,"&gt;4")</f>
        <v>0</v>
      </c>
      <c r="BD199" s="18">
        <f t="shared" ref="BD199" si="446">SUM(AV199:BC199)</f>
        <v>62</v>
      </c>
      <c r="BF199" s="75" t="s">
        <v>51</v>
      </c>
      <c r="BG199" s="74">
        <f>BP199/$BX$199</f>
        <v>0</v>
      </c>
      <c r="BH199" s="74">
        <f t="shared" ref="BH199:BO199" si="447">BQ199/$BX$199</f>
        <v>8.0645161290322578E-2</v>
      </c>
      <c r="BI199" s="74">
        <f t="shared" si="447"/>
        <v>6.4516129032258063E-2</v>
      </c>
      <c r="BJ199" s="74">
        <f t="shared" si="447"/>
        <v>9.6774193548387094E-2</v>
      </c>
      <c r="BK199" s="74">
        <f t="shared" si="447"/>
        <v>0.17741935483870969</v>
      </c>
      <c r="BL199" s="74">
        <f t="shared" si="447"/>
        <v>0.5</v>
      </c>
      <c r="BM199" s="74">
        <f t="shared" si="447"/>
        <v>8.0645161290322578E-2</v>
      </c>
      <c r="BN199" s="74">
        <f t="shared" si="447"/>
        <v>0</v>
      </c>
      <c r="BO199" s="74">
        <f t="shared" si="447"/>
        <v>1</v>
      </c>
      <c r="BP199" s="18">
        <f>COUNTIFS('ENCUESTA CONDUCTORES'!$AL$7:$AL$459,"X",'ENCUESTA CONDUCTORES'!$BM$7:$BM$459,"X",'ENCUESTA CONDUCTORES'!$AW$7:$AW$459,"&lt;1.6")</f>
        <v>0</v>
      </c>
      <c r="BQ199" s="18">
        <f>COUNTIFS('ENCUESTA CONDUCTORES'!$AL$7:$AL$459,"X",'ENCUESTA CONDUCTORES'!$BM$7:$BM$459,"X",'ENCUESTA CONDUCTORES'!$AW$7:$AW$459,"&lt;1.91")-BP199</f>
        <v>5</v>
      </c>
      <c r="BR199" s="18">
        <f>COUNTIFS('ENCUESTA CONDUCTORES'!$AL$7:$AL$459,"X",'ENCUESTA CONDUCTORES'!$BM$7:$BM$459,"X",'ENCUESTA CONDUCTORES'!$AW$7:$AW$459,"&lt;2.01")-BQ199-BP199</f>
        <v>4</v>
      </c>
      <c r="BS199" s="18">
        <f>COUNTIFS('ENCUESTA CONDUCTORES'!$AL$7:$AL$459,"X",'ENCUESTA CONDUCTORES'!$BM$7:$BM$459,"X",'ENCUESTA CONDUCTORES'!$AW$7:$AW$459,"&lt;2.21")-BR199-BQ199-BP199</f>
        <v>6</v>
      </c>
      <c r="BT199" s="18">
        <f>COUNTIFS('ENCUESTA CONDUCTORES'!$AL$7:$AL$459,"X",'ENCUESTA CONDUCTORES'!$BM$7:$BM$459,"X",'ENCUESTA CONDUCTORES'!$AW$7:$AW$459,"&lt;2.51")-BS199-BR199-BQ199-BP199</f>
        <v>11</v>
      </c>
      <c r="BU199" s="18">
        <f>COUNTIFS('ENCUESTA CONDUCTORES'!$AL$7:$AL$459,"X",'ENCUESTA CONDUCTORES'!$BM$7:$BM$459,"X",'ENCUESTA CONDUCTORES'!$AW$7:$AW$459,"&lt;3.01")-BT199-BS199-BR199-BQ199-BP199</f>
        <v>31</v>
      </c>
      <c r="BV199" s="18">
        <f>COUNTIFS('ENCUESTA CONDUCTORES'!$AL$7:$AL$459,"X",'ENCUESTA CONDUCTORES'!$BM$7:$BM$459,"X",'ENCUESTA CONDUCTORES'!$AW$7:$AW$459,"&lt;4.01")-BU199-BT199-BS199-BR199-BQ199-BP199</f>
        <v>5</v>
      </c>
      <c r="BW199" s="18">
        <f>COUNTIFS('ENCUESTA CONDUCTORES'!$AL$7:$AL$459,"X",'ENCUESTA CONDUCTORES'!$BM$7:$BM$459,"X",'ENCUESTA CONDUCTORES'!$AW$7:$AW$459,"&gt;4")</f>
        <v>0</v>
      </c>
      <c r="BX199" s="18">
        <f t="shared" ref="BX199" si="448">SUM(BP199:BW199)</f>
        <v>62</v>
      </c>
      <c r="CX199" s="11" t="s">
        <v>1385</v>
      </c>
      <c r="CY199" s="74">
        <f t="shared" si="438"/>
        <v>2.8571428571428571E-2</v>
      </c>
      <c r="CZ199" s="18">
        <f t="shared" si="439"/>
        <v>3</v>
      </c>
      <c r="DA199" s="74"/>
      <c r="DB199" s="74"/>
      <c r="DC199" s="74"/>
      <c r="DE199" s="74"/>
      <c r="DF199" s="74"/>
      <c r="DG199" s="18"/>
      <c r="DH199" s="18"/>
      <c r="DI199" s="18"/>
      <c r="DJ199" s="18"/>
      <c r="DK199" s="18"/>
      <c r="DM199" s="18"/>
      <c r="DN199" s="18"/>
    </row>
    <row r="200" spans="2:118" x14ac:dyDescent="0.25">
      <c r="B200" s="75" t="s">
        <v>1358</v>
      </c>
      <c r="C200" s="90">
        <f>COUNTIFS('ENCUESTA CONDUCTORES'!E$7:E$459,"X",'ENCUESTA CONDUCTORES'!$BS$7:$BS$459,"CARRITOS DE GOLF")+COUNTIFS('ENCUESTA CONDUCTORES'!E$7:E$459,"X",'ENCUESTA CONDUCTORES'!$BS$7:$BS$459,"MERCANCIA SECA")+COUNTIFS('ENCUESTA CONDUCTORES'!E$7:E$459,"X",'ENCUESTA CONDUCTORES'!$BS$7:$BS$459,"PAPELERIA")+COUNTIFS('ENCUESTA CONDUCTORES'!E$7:E$459,"X",'ENCUESTA CONDUCTORES'!$BS$7:$BS$459,"GENERAL")+COUNTIFS('ENCUESTA CONDUCTORES'!E$7:E$459,"X",'ENCUESTA CONDUCTORES'!$BS$7:$BS$459,"MAQUINARIA")+COUNTIFS('ENCUESTA CONDUCTORES'!E$7:E$459,"X",'ENCUESTA CONDUCTORES'!$BS$7:$BS$459,"CONTENEDOR")+COUNTIFS('ENCUESTA CONDUCTORES'!E$7:E$459,"X",'ENCUESTA CONDUCTORES'!$BS$7:$BS$459,"MEDICAMENTOS")+COUNTIFS('ENCUESTA CONDUCTORES'!E$7:E$459,"X",'ENCUESTA CONDUCTORES'!$BS$7:$BS$459,"AGUA POTABLE")+COUNTIFS('ENCUESTA CONDUCTORES'!E$7:E$459,"X",'ENCUESTA CONDUCTORES'!$BS$7:$BS$459,"MUDANZAS")+COUNTIFS('ENCUESTA CONDUCTORES'!E$7:E$459,"X",'ENCUESTA CONDUCTORES'!$BS$7:$BS$459,"JABON")+COUNTIFS('ENCUESTA CONDUCTORES'!E$7:E$459,"X",'ENCUESTA CONDUCTORES'!$BS$7:$BS$459,"ACEITE")+COUNTIFS('ENCUESTA CONDUCTORES'!E$7:E$459,"X",'ENCUESTA CONDUCTORES'!$BS$7:$BS$459,"POLIETILENO")+COUNTIFS('ENCUESTA CONDUCTORES'!E$7:E$459,"X",'ENCUESTA CONDUCTORES'!$BS$7:$BS$459,"ELECTRODOMÉSTICOS")+COUNTIFS('ENCUESTA CONDUCTORES'!E$7:E$459,"X",'ENCUESTA CONDUCTORES'!$BS$7:$BS$459,"MUEBLES")+COUNTIFS('ENCUESTA CONDUCTORES'!E$7:E$459,"X",'ENCUESTA CONDUCTORES'!$BS$7:$BS$459,"CHATARRA")+COUNTIFS('ENCUESTA CONDUCTORES'!E$7:E$459,"X",'ENCUESTA CONDUCTORES'!$BS$7:$BS$459,"LLANTAS")+COUNTIFS('ENCUESTA CONDUCTORES'!E$7:E$459,"X",'ENCUESTA CONDUCTORES'!$BS$7:$BS$459,"AGUA")+COUNTIFS('ENCUESTA CONDUCTORES'!E$7:E$459,"X",'ENCUESTA CONDUCTORES'!$BS$7:$BS$459,"ANIMALES")+COUNTIFS('ENCUESTA CONDUCTORES'!E$7:E$459,"X",'ENCUESTA CONDUCTORES'!$BS$7:$BS$459,"TV REFRIGERADORES")+COUNTIFS('ENCUESTA CONDUCTORES'!E$7:E$459,"X",'ENCUESTA CONDUCTORES'!$BS$7:$BS$459,"LÍNEA BLANCA")+COUNTIFS('ENCUESTA CONDUCTORES'!E$7:E$459,"X",'ENCUESTA CONDUCTORES'!$BS$7:$BS$459,"IMPORTACIÓN / EXPORTACIÓN")+COUNTIFS('ENCUESTA CONDUCTORES'!E$7:E$459,"X",'ENCUESTA CONDUCTORES'!$BS$7:$BS$459,"PLASTICO")+COUNTIFS('ENCUESTA CONDUCTORES'!E$7:E$459,"X",'ENCUESTA CONDUCTORES'!$BS$7:$BS$459,"ROPA")+COUNTIFS('ENCUESTA CONDUCTORES'!E$7:E$459,"X",'ENCUESTA CONDUCTORES'!$BS$7:$BS$459,"CHATARRA")+COUNTIFS('ENCUESTA CONDUCTORES'!E$7:E$459,"X",'ENCUESTA CONDUCTORES'!$BS$7:$BS$459,"MEDICAMENTO NUTRICIONAL")+COUNTIFS('ENCUESTA CONDUCTORES'!E$7:E$459,"X",'ENCUESTA CONDUCTORES'!$BS$7:$BS$459,"PRODUCTOS DE BELLEZA")+COUNTIFS('ENCUESTA CONDUCTORES'!E$7:E$459,"X",'ENCUESTA CONDUCTORES'!$BS$7:$BS$459,"FORRAJE")+COUNTIFS('ENCUESTA CONDUCTORES'!E$7:E$459,"X",'ENCUESTA CONDUCTORES'!$BS$7:$BS$459,"VALORES")+COUNTIFS('ENCUESTA CONDUCTORES'!E$7:E$459,"X",'ENCUESTA CONDUCTORES'!$BS$7:$BS$459,"PAQUETERIA")+COUNTIFS('ENCUESTA CONDUCTORES'!E$7:E$459,"X",'ENCUESTA CONDUCTORES'!$BS$7:$BS$459,"SECOS")+COUNTIFS('ENCUESTA CONDUCTORES'!E$7:E$459,"X",'ENCUESTA CONDUCTORES'!$BS$7:$BS$459,"PANTALLAS")+COUNTIFS('ENCUESTA CONDUCTORES'!E$7:E$459,"X",'ENCUESTA CONDUCTORES'!$BS$7:$BS$459,"BOTELLAS")+COUNTIFS('ENCUESTA CONDUCTORES'!E$7:E$459,"X",'ENCUESTA CONDUCTORES'!$BS$7:$BS$459,"PRODUCTOS DE HIGIENE PERSONAL")+COUNTIFS('ENCUESTA CONDUCTORES'!E$7:E$459,"X",'ENCUESTA CONDUCTORES'!$BS$7:$BS$459,"ELECTRONICA, LINEA BLANCA")+COUNTIFS('ENCUESTA CONDUCTORES'!E$7:E$459,"X",'ENCUESTA CONDUCTORES'!$BS$7:$BS$459,"CONTENEDORES")</f>
        <v>10</v>
      </c>
      <c r="D200" s="90">
        <f>COUNTIFS('ENCUESTA CONDUCTORES'!F$7:F$459,"X",'ENCUESTA CONDUCTORES'!$BS$7:$BS$459,"CARRITOS DE GOLF")+COUNTIFS('ENCUESTA CONDUCTORES'!F$7:F$459,"X",'ENCUESTA CONDUCTORES'!$BS$7:$BS$459,"MERCANCIA SECA")+COUNTIFS('ENCUESTA CONDUCTORES'!F$7:F$459,"X",'ENCUESTA CONDUCTORES'!$BS$7:$BS$459,"PAPELERIA")+COUNTIFS('ENCUESTA CONDUCTORES'!F$7:F$459,"X",'ENCUESTA CONDUCTORES'!$BS$7:$BS$459,"GENERAL")+COUNTIFS('ENCUESTA CONDUCTORES'!F$7:F$459,"X",'ENCUESTA CONDUCTORES'!$BS$7:$BS$459,"MAQUINARIA")+COUNTIFS('ENCUESTA CONDUCTORES'!F$7:F$459,"X",'ENCUESTA CONDUCTORES'!$BS$7:$BS$459,"CONTENEDOR")+COUNTIFS('ENCUESTA CONDUCTORES'!F$7:F$459,"X",'ENCUESTA CONDUCTORES'!$BS$7:$BS$459,"MEDICAMENTOS")+COUNTIFS('ENCUESTA CONDUCTORES'!F$7:F$459,"X",'ENCUESTA CONDUCTORES'!$BS$7:$BS$459,"AGUA POTABLE")+COUNTIFS('ENCUESTA CONDUCTORES'!F$7:F$459,"X",'ENCUESTA CONDUCTORES'!$BS$7:$BS$459,"MUDANZAS")+COUNTIFS('ENCUESTA CONDUCTORES'!F$7:F$459,"X",'ENCUESTA CONDUCTORES'!$BS$7:$BS$459,"JABON")+COUNTIFS('ENCUESTA CONDUCTORES'!F$7:F$459,"X",'ENCUESTA CONDUCTORES'!$BS$7:$BS$459,"ACEITE")+COUNTIFS('ENCUESTA CONDUCTORES'!F$7:F$459,"X",'ENCUESTA CONDUCTORES'!$BS$7:$BS$459,"POLIETILENO")+COUNTIFS('ENCUESTA CONDUCTORES'!F$7:F$459,"X",'ENCUESTA CONDUCTORES'!$BS$7:$BS$459,"ELECTRODOMÉSTICOS")+COUNTIFS('ENCUESTA CONDUCTORES'!F$7:F$459,"X",'ENCUESTA CONDUCTORES'!$BS$7:$BS$459,"MUEBLES")+COUNTIFS('ENCUESTA CONDUCTORES'!F$7:F$459,"X",'ENCUESTA CONDUCTORES'!$BS$7:$BS$459,"CHATARRA")+COUNTIFS('ENCUESTA CONDUCTORES'!F$7:F$459,"X",'ENCUESTA CONDUCTORES'!$BS$7:$BS$459,"LLANTAS")+COUNTIFS('ENCUESTA CONDUCTORES'!F$7:F$459,"X",'ENCUESTA CONDUCTORES'!$BS$7:$BS$459,"AGUA")+COUNTIFS('ENCUESTA CONDUCTORES'!F$7:F$459,"X",'ENCUESTA CONDUCTORES'!$BS$7:$BS$459,"ANIMALES")+COUNTIFS('ENCUESTA CONDUCTORES'!F$7:F$459,"X",'ENCUESTA CONDUCTORES'!$BS$7:$BS$459,"TV REFRIGERADORES")+COUNTIFS('ENCUESTA CONDUCTORES'!F$7:F$459,"X",'ENCUESTA CONDUCTORES'!$BS$7:$BS$459,"LÍNEA BLANCA")+COUNTIFS('ENCUESTA CONDUCTORES'!F$7:F$459,"X",'ENCUESTA CONDUCTORES'!$BS$7:$BS$459,"IMPORTACIÓN / EXPORTACIÓN")+COUNTIFS('ENCUESTA CONDUCTORES'!F$7:F$459,"X",'ENCUESTA CONDUCTORES'!$BS$7:$BS$459,"PLASTICO")+COUNTIFS('ENCUESTA CONDUCTORES'!F$7:F$459,"X",'ENCUESTA CONDUCTORES'!$BS$7:$BS$459,"ROPA")+COUNTIFS('ENCUESTA CONDUCTORES'!F$7:F$459,"X",'ENCUESTA CONDUCTORES'!$BS$7:$BS$459,"CHATARRA")+COUNTIFS('ENCUESTA CONDUCTORES'!F$7:F$459,"X",'ENCUESTA CONDUCTORES'!$BS$7:$BS$459,"MEDICAMENTO NUTRICIONAL")+COUNTIFS('ENCUESTA CONDUCTORES'!F$7:F$459,"X",'ENCUESTA CONDUCTORES'!$BS$7:$BS$459,"PRODUCTOS DE BELLEZA")+COUNTIFS('ENCUESTA CONDUCTORES'!F$7:F$459,"X",'ENCUESTA CONDUCTORES'!$BS$7:$BS$459,"FORRAJE")+COUNTIFS('ENCUESTA CONDUCTORES'!F$7:F$459,"X",'ENCUESTA CONDUCTORES'!$BS$7:$BS$459,"VALORES")+COUNTIFS('ENCUESTA CONDUCTORES'!F$7:F$459,"X",'ENCUESTA CONDUCTORES'!$BS$7:$BS$459,"PAQUETERIA")+COUNTIFS('ENCUESTA CONDUCTORES'!F$7:F$459,"X",'ENCUESTA CONDUCTORES'!$BS$7:$BS$459,"SECOS")+COUNTIFS('ENCUESTA CONDUCTORES'!F$7:F$459,"X",'ENCUESTA CONDUCTORES'!$BS$7:$BS$459,"PANTALLAS")+COUNTIFS('ENCUESTA CONDUCTORES'!F$7:F$459,"X",'ENCUESTA CONDUCTORES'!$BS$7:$BS$459,"BOTELLAS")+COUNTIFS('ENCUESTA CONDUCTORES'!F$7:F$459,"X",'ENCUESTA CONDUCTORES'!$BS$7:$BS$459,"PRODUCTOS DE HIGIENE PERSONAL")+COUNTIFS('ENCUESTA CONDUCTORES'!F$7:F$459,"X",'ENCUESTA CONDUCTORES'!$BS$7:$BS$459,"ELECTRONICA, LINEA BLANCA")+COUNTIFS('ENCUESTA CONDUCTORES'!F$7:F$459,"X",'ENCUESTA CONDUCTORES'!$BS$7:$BS$459,"CONTENEDORES")</f>
        <v>20</v>
      </c>
      <c r="E200" s="90">
        <f>COUNTIFS('ENCUESTA CONDUCTORES'!G$7:G$459,"X",'ENCUESTA CONDUCTORES'!$BS$7:$BS$459,"CARRITOS DE GOLF")+COUNTIFS('ENCUESTA CONDUCTORES'!G$7:G$459,"X",'ENCUESTA CONDUCTORES'!$BS$7:$BS$459,"MERCANCIA SECA")+COUNTIFS('ENCUESTA CONDUCTORES'!G$7:G$459,"X",'ENCUESTA CONDUCTORES'!$BS$7:$BS$459,"PAPELERIA")+COUNTIFS('ENCUESTA CONDUCTORES'!G$7:G$459,"X",'ENCUESTA CONDUCTORES'!$BS$7:$BS$459,"GENERAL")+COUNTIFS('ENCUESTA CONDUCTORES'!G$7:G$459,"X",'ENCUESTA CONDUCTORES'!$BS$7:$BS$459,"MAQUINARIA")+COUNTIFS('ENCUESTA CONDUCTORES'!G$7:G$459,"X",'ENCUESTA CONDUCTORES'!$BS$7:$BS$459,"CONTENEDOR")+COUNTIFS('ENCUESTA CONDUCTORES'!G$7:G$459,"X",'ENCUESTA CONDUCTORES'!$BS$7:$BS$459,"MEDICAMENTOS")+COUNTIFS('ENCUESTA CONDUCTORES'!G$7:G$459,"X",'ENCUESTA CONDUCTORES'!$BS$7:$BS$459,"AGUA POTABLE")+COUNTIFS('ENCUESTA CONDUCTORES'!G$7:G$459,"X",'ENCUESTA CONDUCTORES'!$BS$7:$BS$459,"MUDANZAS")+COUNTIFS('ENCUESTA CONDUCTORES'!G$7:G$459,"X",'ENCUESTA CONDUCTORES'!$BS$7:$BS$459,"JABON")+COUNTIFS('ENCUESTA CONDUCTORES'!G$7:G$459,"X",'ENCUESTA CONDUCTORES'!$BS$7:$BS$459,"ACEITE")+COUNTIFS('ENCUESTA CONDUCTORES'!G$7:G$459,"X",'ENCUESTA CONDUCTORES'!$BS$7:$BS$459,"POLIETILENO")+COUNTIFS('ENCUESTA CONDUCTORES'!G$7:G$459,"X",'ENCUESTA CONDUCTORES'!$BS$7:$BS$459,"ELECTRODOMÉSTICOS")+COUNTIFS('ENCUESTA CONDUCTORES'!G$7:G$459,"X",'ENCUESTA CONDUCTORES'!$BS$7:$BS$459,"MUEBLES")+COUNTIFS('ENCUESTA CONDUCTORES'!G$7:G$459,"X",'ENCUESTA CONDUCTORES'!$BS$7:$BS$459,"CHATARRA")+COUNTIFS('ENCUESTA CONDUCTORES'!G$7:G$459,"X",'ENCUESTA CONDUCTORES'!$BS$7:$BS$459,"LLANTAS")+COUNTIFS('ENCUESTA CONDUCTORES'!G$7:G$459,"X",'ENCUESTA CONDUCTORES'!$BS$7:$BS$459,"AGUA")+COUNTIFS('ENCUESTA CONDUCTORES'!G$7:G$459,"X",'ENCUESTA CONDUCTORES'!$BS$7:$BS$459,"ANIMALES")+COUNTIFS('ENCUESTA CONDUCTORES'!G$7:G$459,"X",'ENCUESTA CONDUCTORES'!$BS$7:$BS$459,"TV REFRIGERADORES")+COUNTIFS('ENCUESTA CONDUCTORES'!G$7:G$459,"X",'ENCUESTA CONDUCTORES'!$BS$7:$BS$459,"LÍNEA BLANCA")+COUNTIFS('ENCUESTA CONDUCTORES'!G$7:G$459,"X",'ENCUESTA CONDUCTORES'!$BS$7:$BS$459,"IMPORTACIÓN / EXPORTACIÓN")+COUNTIFS('ENCUESTA CONDUCTORES'!G$7:G$459,"X",'ENCUESTA CONDUCTORES'!$BS$7:$BS$459,"PLASTICO")+COUNTIFS('ENCUESTA CONDUCTORES'!G$7:G$459,"X",'ENCUESTA CONDUCTORES'!$BS$7:$BS$459,"ROPA")+COUNTIFS('ENCUESTA CONDUCTORES'!G$7:G$459,"X",'ENCUESTA CONDUCTORES'!$BS$7:$BS$459,"CHATARRA")+COUNTIFS('ENCUESTA CONDUCTORES'!G$7:G$459,"X",'ENCUESTA CONDUCTORES'!$BS$7:$BS$459,"MEDICAMENTO NUTRICIONAL")+COUNTIFS('ENCUESTA CONDUCTORES'!G$7:G$459,"X",'ENCUESTA CONDUCTORES'!$BS$7:$BS$459,"PRODUCTOS DE BELLEZA")+COUNTIFS('ENCUESTA CONDUCTORES'!G$7:G$459,"X",'ENCUESTA CONDUCTORES'!$BS$7:$BS$459,"FORRAJE")+COUNTIFS('ENCUESTA CONDUCTORES'!G$7:G$459,"X",'ENCUESTA CONDUCTORES'!$BS$7:$BS$459,"VALORES")+COUNTIFS('ENCUESTA CONDUCTORES'!G$7:G$459,"X",'ENCUESTA CONDUCTORES'!$BS$7:$BS$459,"PAQUETERIA")+COUNTIFS('ENCUESTA CONDUCTORES'!G$7:G$459,"X",'ENCUESTA CONDUCTORES'!$BS$7:$BS$459,"SECOS")+COUNTIFS('ENCUESTA CONDUCTORES'!G$7:G$459,"X",'ENCUESTA CONDUCTORES'!$BS$7:$BS$459,"PANTALLAS")+COUNTIFS('ENCUESTA CONDUCTORES'!G$7:G$459,"X",'ENCUESTA CONDUCTORES'!$BS$7:$BS$459,"BOTELLAS")+COUNTIFS('ENCUESTA CONDUCTORES'!G$7:G$459,"X",'ENCUESTA CONDUCTORES'!$BS$7:$BS$459,"PRODUCTOS DE HIGIENE PERSONAL")+COUNTIFS('ENCUESTA CONDUCTORES'!G$7:G$459,"X",'ENCUESTA CONDUCTORES'!$BS$7:$BS$459,"ELECTRONICA, LINEA BLANCA")+COUNTIFS('ENCUESTA CONDUCTORES'!G$7:G$459,"X",'ENCUESTA CONDUCTORES'!$BS$7:$BS$459,"CONTENEDORES")</f>
        <v>43</v>
      </c>
      <c r="F200" s="90">
        <f>COUNTIFS('ENCUESTA CONDUCTORES'!H$7:H$459,"X",'ENCUESTA CONDUCTORES'!$BS$7:$BS$459,"CARRITOS DE GOLF")+COUNTIFS('ENCUESTA CONDUCTORES'!H$7:H$459,"X",'ENCUESTA CONDUCTORES'!$BS$7:$BS$459,"MERCANCIA SECA")+COUNTIFS('ENCUESTA CONDUCTORES'!H$7:H$459,"X",'ENCUESTA CONDUCTORES'!$BS$7:$BS$459,"PAPELERIA")+COUNTIFS('ENCUESTA CONDUCTORES'!H$7:H$459,"X",'ENCUESTA CONDUCTORES'!$BS$7:$BS$459,"GENERAL")+COUNTIFS('ENCUESTA CONDUCTORES'!H$7:H$459,"X",'ENCUESTA CONDUCTORES'!$BS$7:$BS$459,"MAQUINARIA")+COUNTIFS('ENCUESTA CONDUCTORES'!H$7:H$459,"X",'ENCUESTA CONDUCTORES'!$BS$7:$BS$459,"CONTENEDOR")+COUNTIFS('ENCUESTA CONDUCTORES'!H$7:H$459,"X",'ENCUESTA CONDUCTORES'!$BS$7:$BS$459,"MEDICAMENTOS")+COUNTIFS('ENCUESTA CONDUCTORES'!H$7:H$459,"X",'ENCUESTA CONDUCTORES'!$BS$7:$BS$459,"AGUA POTABLE")+COUNTIFS('ENCUESTA CONDUCTORES'!H$7:H$459,"X",'ENCUESTA CONDUCTORES'!$BS$7:$BS$459,"MUDANZAS")+COUNTIFS('ENCUESTA CONDUCTORES'!H$7:H$459,"X",'ENCUESTA CONDUCTORES'!$BS$7:$BS$459,"JABON")+COUNTIFS('ENCUESTA CONDUCTORES'!H$7:H$459,"X",'ENCUESTA CONDUCTORES'!$BS$7:$BS$459,"ACEITE")+COUNTIFS('ENCUESTA CONDUCTORES'!H$7:H$459,"X",'ENCUESTA CONDUCTORES'!$BS$7:$BS$459,"POLIETILENO")+COUNTIFS('ENCUESTA CONDUCTORES'!H$7:H$459,"X",'ENCUESTA CONDUCTORES'!$BS$7:$BS$459,"ELECTRODOMÉSTICOS")+COUNTIFS('ENCUESTA CONDUCTORES'!H$7:H$459,"X",'ENCUESTA CONDUCTORES'!$BS$7:$BS$459,"MUEBLES")+COUNTIFS('ENCUESTA CONDUCTORES'!H$7:H$459,"X",'ENCUESTA CONDUCTORES'!$BS$7:$BS$459,"CHATARRA")+COUNTIFS('ENCUESTA CONDUCTORES'!H$7:H$459,"X",'ENCUESTA CONDUCTORES'!$BS$7:$BS$459,"LLANTAS")+COUNTIFS('ENCUESTA CONDUCTORES'!H$7:H$459,"X",'ENCUESTA CONDUCTORES'!$BS$7:$BS$459,"AGUA")+COUNTIFS('ENCUESTA CONDUCTORES'!H$7:H$459,"X",'ENCUESTA CONDUCTORES'!$BS$7:$BS$459,"ANIMALES")+COUNTIFS('ENCUESTA CONDUCTORES'!H$7:H$459,"X",'ENCUESTA CONDUCTORES'!$BS$7:$BS$459,"TV REFRIGERADORES")+COUNTIFS('ENCUESTA CONDUCTORES'!H$7:H$459,"X",'ENCUESTA CONDUCTORES'!$BS$7:$BS$459,"LÍNEA BLANCA")+COUNTIFS('ENCUESTA CONDUCTORES'!H$7:H$459,"X",'ENCUESTA CONDUCTORES'!$BS$7:$BS$459,"IMPORTACIÓN / EXPORTACIÓN")+COUNTIFS('ENCUESTA CONDUCTORES'!H$7:H$459,"X",'ENCUESTA CONDUCTORES'!$BS$7:$BS$459,"PLASTICO")+COUNTIFS('ENCUESTA CONDUCTORES'!H$7:H$459,"X",'ENCUESTA CONDUCTORES'!$BS$7:$BS$459,"ROPA")+COUNTIFS('ENCUESTA CONDUCTORES'!H$7:H$459,"X",'ENCUESTA CONDUCTORES'!$BS$7:$BS$459,"CHATARRA")+COUNTIFS('ENCUESTA CONDUCTORES'!H$7:H$459,"X",'ENCUESTA CONDUCTORES'!$BS$7:$BS$459,"MEDICAMENTO NUTRICIONAL")+COUNTIFS('ENCUESTA CONDUCTORES'!H$7:H$459,"X",'ENCUESTA CONDUCTORES'!$BS$7:$BS$459,"PRODUCTOS DE BELLEZA")+COUNTIFS('ENCUESTA CONDUCTORES'!H$7:H$459,"X",'ENCUESTA CONDUCTORES'!$BS$7:$BS$459,"FORRAJE")+COUNTIFS('ENCUESTA CONDUCTORES'!H$7:H$459,"X",'ENCUESTA CONDUCTORES'!$BS$7:$BS$459,"VALORES")+COUNTIFS('ENCUESTA CONDUCTORES'!H$7:H$459,"X",'ENCUESTA CONDUCTORES'!$BS$7:$BS$459,"PAQUETERIA")+COUNTIFS('ENCUESTA CONDUCTORES'!H$7:H$459,"X",'ENCUESTA CONDUCTORES'!$BS$7:$BS$459,"SECOS")+COUNTIFS('ENCUESTA CONDUCTORES'!H$7:H$459,"X",'ENCUESTA CONDUCTORES'!$BS$7:$BS$459,"PANTALLAS")+COUNTIFS('ENCUESTA CONDUCTORES'!H$7:H$459,"X",'ENCUESTA CONDUCTORES'!$BS$7:$BS$459,"BOTELLAS")+COUNTIFS('ENCUESTA CONDUCTORES'!H$7:H$459,"X",'ENCUESTA CONDUCTORES'!$BS$7:$BS$459,"PRODUCTOS DE HIGIENE PERSONAL")+COUNTIFS('ENCUESTA CONDUCTORES'!H$7:H$459,"X",'ENCUESTA CONDUCTORES'!$BS$7:$BS$459,"ELECTRONICA, LINEA BLANCA")+COUNTIFS('ENCUESTA CONDUCTORES'!H$7:H$459,"X",'ENCUESTA CONDUCTORES'!$BS$7:$BS$459,"CONTENEDORES")</f>
        <v>30</v>
      </c>
      <c r="G200" s="18">
        <f t="shared" si="440"/>
        <v>103</v>
      </c>
      <c r="AM200" s="18"/>
      <c r="AN200" s="90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G200" s="18"/>
      <c r="BH200" s="90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CX200" s="11" t="s">
        <v>429</v>
      </c>
      <c r="CY200" s="74">
        <f t="shared" si="438"/>
        <v>1</v>
      </c>
      <c r="CZ200" s="18">
        <f t="shared" si="439"/>
        <v>105</v>
      </c>
      <c r="DA200" s="74"/>
      <c r="DB200" s="74"/>
      <c r="DC200" s="74"/>
      <c r="DE200" s="74"/>
      <c r="DF200" s="74"/>
      <c r="DG200" s="18"/>
      <c r="DH200" s="18"/>
      <c r="DI200" s="18"/>
      <c r="DJ200" s="18"/>
      <c r="DK200" s="18"/>
      <c r="DM200" s="18"/>
      <c r="DN200" s="18"/>
    </row>
    <row r="201" spans="2:118" x14ac:dyDescent="0.25">
      <c r="B201" s="75" t="s">
        <v>1333</v>
      </c>
      <c r="C201" s="18">
        <f>SUM(C193:C200)</f>
        <v>115</v>
      </c>
      <c r="D201" s="18">
        <f t="shared" ref="D201:F201" si="449">SUM(D193:D200)</f>
        <v>109</v>
      </c>
      <c r="E201" s="18">
        <f t="shared" si="449"/>
        <v>259</v>
      </c>
      <c r="F201" s="18">
        <f t="shared" si="449"/>
        <v>180</v>
      </c>
      <c r="G201" s="19">
        <f>SUM(C201:F201)</f>
        <v>663</v>
      </c>
      <c r="AL201" s="17" t="s">
        <v>1403</v>
      </c>
      <c r="AM201" s="74"/>
      <c r="AN201" s="74"/>
      <c r="AO201" s="74"/>
      <c r="AP201" s="74"/>
      <c r="AQ201" s="74"/>
      <c r="AR201" s="74"/>
      <c r="AS201" s="74"/>
      <c r="AT201" s="74"/>
      <c r="AU201" s="74"/>
      <c r="AV201" s="18"/>
      <c r="AW201" s="18"/>
      <c r="AX201" s="18"/>
      <c r="AY201" s="18"/>
      <c r="AZ201" s="18"/>
      <c r="BA201" s="18"/>
      <c r="BB201" s="18"/>
      <c r="BC201" s="18"/>
      <c r="BD201" s="18"/>
      <c r="BF201" s="17" t="s">
        <v>1411</v>
      </c>
      <c r="BG201" s="74"/>
      <c r="BH201" s="74"/>
      <c r="BI201" s="74"/>
      <c r="BJ201" s="74"/>
      <c r="BK201" s="74"/>
      <c r="BL201" s="74"/>
      <c r="BM201" s="74"/>
      <c r="BN201" s="74"/>
      <c r="BO201" s="74"/>
      <c r="BP201" s="18"/>
      <c r="BQ201" s="18"/>
      <c r="BR201" s="18"/>
      <c r="BS201" s="18"/>
      <c r="BT201" s="18"/>
      <c r="BU201" s="18"/>
      <c r="BV201" s="18"/>
      <c r="BW201" s="18"/>
      <c r="BX201" s="18"/>
      <c r="CX201" s="17" t="s">
        <v>193</v>
      </c>
      <c r="CY201" s="18"/>
      <c r="CZ201" s="18">
        <f t="shared" si="439"/>
        <v>0</v>
      </c>
      <c r="DA201" s="18"/>
      <c r="DB201" s="18"/>
      <c r="DC201" s="18"/>
      <c r="DE201" s="18"/>
      <c r="DF201" s="18"/>
      <c r="DG201" s="18"/>
      <c r="DH201" s="18"/>
      <c r="DI201" s="18"/>
      <c r="DJ201" s="18"/>
      <c r="DK201" s="18"/>
      <c r="DM201" s="18"/>
      <c r="DN201" s="18"/>
    </row>
    <row r="202" spans="2:118" x14ac:dyDescent="0.25">
      <c r="B202" s="17" t="s">
        <v>856</v>
      </c>
      <c r="C202" s="90">
        <f>COUNTIFS('ENCUESTA CONDUCTORES'!E$7:E$459,"X",'ENCUESTA CONDUCTORES'!$BS$7:$BS$459,"NO CONTESTO")</f>
        <v>0</v>
      </c>
      <c r="D202" s="90">
        <f>COUNTIFS('ENCUESTA CONDUCTORES'!F$7:F$459,"X",'ENCUESTA CONDUCTORES'!$BS$7:$BS$459,"NO CONTESTO")</f>
        <v>0</v>
      </c>
      <c r="E202" s="90">
        <f>COUNTIFS('ENCUESTA CONDUCTORES'!G$7:G$459,"X",'ENCUESTA CONDUCTORES'!$BS$7:$BS$459,"NO CONTESTO")</f>
        <v>1</v>
      </c>
      <c r="F202" s="90">
        <f>COUNTIFS('ENCUESTA CONDUCTORES'!H$7:H$459,"X",'ENCUESTA CONDUCTORES'!$BS$7:$BS$459,"NO CONTESTO")</f>
        <v>0</v>
      </c>
      <c r="G202" s="18">
        <f t="shared" ref="G202" si="450">SUM(C202:F202)</f>
        <v>1</v>
      </c>
      <c r="AM202" s="5" t="s">
        <v>1296</v>
      </c>
      <c r="AN202" s="5" t="s">
        <v>1297</v>
      </c>
      <c r="AO202" s="5" t="s">
        <v>1298</v>
      </c>
      <c r="AP202" s="5" t="s">
        <v>1299</v>
      </c>
      <c r="AQ202" s="5" t="s">
        <v>1300</v>
      </c>
      <c r="AR202" s="5" t="s">
        <v>1301</v>
      </c>
      <c r="AS202" s="5" t="s">
        <v>1302</v>
      </c>
      <c r="AT202" s="5" t="s">
        <v>1385</v>
      </c>
      <c r="AU202" s="5"/>
      <c r="AV202" s="5" t="s">
        <v>1296</v>
      </c>
      <c r="AW202" s="5" t="s">
        <v>1297</v>
      </c>
      <c r="AX202" s="5" t="s">
        <v>1298</v>
      </c>
      <c r="AY202" s="5" t="s">
        <v>1299</v>
      </c>
      <c r="AZ202" s="5" t="s">
        <v>1300</v>
      </c>
      <c r="BA202" s="5" t="s">
        <v>1301</v>
      </c>
      <c r="BB202" s="5" t="s">
        <v>1302</v>
      </c>
      <c r="BC202" s="5" t="s">
        <v>1385</v>
      </c>
      <c r="BG202" s="5" t="s">
        <v>1296</v>
      </c>
      <c r="BH202" s="5" t="s">
        <v>1297</v>
      </c>
      <c r="BI202" s="5" t="s">
        <v>1298</v>
      </c>
      <c r="BJ202" s="5" t="s">
        <v>1299</v>
      </c>
      <c r="BK202" s="5" t="s">
        <v>1300</v>
      </c>
      <c r="BL202" s="5" t="s">
        <v>1301</v>
      </c>
      <c r="BM202" s="5" t="s">
        <v>1302</v>
      </c>
      <c r="BN202" s="5" t="s">
        <v>1385</v>
      </c>
      <c r="BO202" s="5"/>
      <c r="BP202" s="5" t="s">
        <v>1296</v>
      </c>
      <c r="BQ202" s="5" t="s">
        <v>1297</v>
      </c>
      <c r="BR202" s="5" t="s">
        <v>1298</v>
      </c>
      <c r="BS202" s="5" t="s">
        <v>1299</v>
      </c>
      <c r="BT202" s="5" t="s">
        <v>1300</v>
      </c>
      <c r="BU202" s="5" t="s">
        <v>1301</v>
      </c>
      <c r="BV202" s="5" t="s">
        <v>1302</v>
      </c>
      <c r="BW202" s="5" t="s">
        <v>1385</v>
      </c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</row>
    <row r="203" spans="2:118" ht="25.5" x14ac:dyDescent="0.25">
      <c r="C203" s="17"/>
      <c r="D203" s="17"/>
      <c r="E203" s="17"/>
      <c r="F203" s="17"/>
      <c r="G203" s="19">
        <f>+G202+G201</f>
        <v>664</v>
      </c>
      <c r="AL203" s="75" t="s">
        <v>1357</v>
      </c>
      <c r="AM203" s="74">
        <f>+AV203/$BD$203</f>
        <v>3.5087719298245612E-2</v>
      </c>
      <c r="AN203" s="74">
        <f t="shared" ref="AN203:AU203" si="451">+AW203/$BD$203</f>
        <v>8.1871345029239762E-2</v>
      </c>
      <c r="AO203" s="74">
        <f t="shared" si="451"/>
        <v>7.6023391812865493E-2</v>
      </c>
      <c r="AP203" s="74">
        <f t="shared" si="451"/>
        <v>1.1695906432748537E-2</v>
      </c>
      <c r="AQ203" s="74">
        <f t="shared" si="451"/>
        <v>0.69590643274853803</v>
      </c>
      <c r="AR203" s="74">
        <f t="shared" si="451"/>
        <v>5.8479532163742687E-2</v>
      </c>
      <c r="AS203" s="74">
        <f t="shared" si="451"/>
        <v>3.5087719298245612E-2</v>
      </c>
      <c r="AT203" s="74">
        <f t="shared" si="451"/>
        <v>5.8479532163742687E-3</v>
      </c>
      <c r="AU203" s="74">
        <f t="shared" si="451"/>
        <v>1</v>
      </c>
      <c r="AV203" s="18">
        <f>COUNTIFS('ENCUESTA CONDUCTORES'!$AL$7:$AL$459,"X",'ENCUESTA CONDUCTORES'!$BN$7:$BN$459,"X",'ENCUESTA CONDUCTORES'!$AX$7:$AX$459,"&lt;1.6")+COUNTIFS('ENCUESTA CONDUCTORES'!$AR$7:$AR$459,"X",'ENCUESTA CONDUCTORES'!$BP$7:$BP$459,"X",'ENCUESTA CONDUCTORES'!$AX$7:$AX$459,"&lt;1.6")</f>
        <v>6</v>
      </c>
      <c r="AW203" s="18">
        <f>COUNTIFS('ENCUESTA CONDUCTORES'!$AL$7:$AL$459,"X",'ENCUESTA CONDUCTORES'!$BN$7:$BN$459,"X",'ENCUESTA CONDUCTORES'!$AX$7:$AX$459,"&lt;1.91")+COUNTIFS('ENCUESTA CONDUCTORES'!$AL$7:$AL$459,"X",'ENCUESTA CONDUCTORES'!$BP$7:$BP$459,"X",'ENCUESTA CONDUCTORES'!$AX$7:$AX$459,"&lt;1.91")-AV203</f>
        <v>14</v>
      </c>
      <c r="AX203" s="18">
        <f>COUNTIFS('ENCUESTA CONDUCTORES'!$AL$7:$AL$459,"X",'ENCUESTA CONDUCTORES'!$BN$7:$BN$459,"X",'ENCUESTA CONDUCTORES'!$AX$7:$AX$459,"&lt;2.01")+COUNTIFS('ENCUESTA CONDUCTORES'!$AL$7:$AL$459,"X",'ENCUESTA CONDUCTORES'!$BP$7:$BP$459,"X",'ENCUESTA CONDUCTORES'!$AX$7:$AX$459,"&lt;2.01")-AW203-AV203</f>
        <v>13</v>
      </c>
      <c r="AY203" s="18">
        <f>COUNTIFS('ENCUESTA CONDUCTORES'!$AL$7:$AL$459,"X",'ENCUESTA CONDUCTORES'!$BN$7:$BN$459,"X",'ENCUESTA CONDUCTORES'!$AX$7:$AX$459,"&lt;2.21")+COUNTIFS('ENCUESTA CONDUCTORES'!$AL$7:$AL$459,"X",'ENCUESTA CONDUCTORES'!$BP$7:$BP$459,"X",'ENCUESTA CONDUCTORES'!$AX$7:$AX$459,"&lt;2.21")-AX203-AW203-AV203</f>
        <v>2</v>
      </c>
      <c r="AZ203" s="18">
        <f>COUNTIFS('ENCUESTA CONDUCTORES'!$AL$7:$AL$459,"X",'ENCUESTA CONDUCTORES'!$BN$7:$BN$459,"X",'ENCUESTA CONDUCTORES'!$AX$7:$AX$459,"&lt;2.51")+COUNTIFS('ENCUESTA CONDUCTORES'!$AL$7:$AL$459,"X",'ENCUESTA CONDUCTORES'!$BP$7:$BP$459,"X",'ENCUESTA CONDUCTORES'!$AX$7:$AX$459,"&lt;2.51")-AY203-AX203-AW203-AV203</f>
        <v>119</v>
      </c>
      <c r="BA203" s="18">
        <f>COUNTIFS('ENCUESTA CONDUCTORES'!$AL$7:$AL$459,"X",'ENCUESTA CONDUCTORES'!$BN$7:$BN$459,"X",'ENCUESTA CONDUCTORES'!$AX$7:$AX$459,"&lt;3.01")+COUNTIFS('ENCUESTA CONDUCTORES'!$AL$7:$AL$459,"X",'ENCUESTA CONDUCTORES'!$BP$7:$BP$459,"X",'ENCUESTA CONDUCTORES'!$AX$7:$AX$459,"&lt;3.01")-AZ203-AY203-AX203-AW203-AV203</f>
        <v>10</v>
      </c>
      <c r="BB203" s="18">
        <f>COUNTIFS('ENCUESTA CONDUCTORES'!$AL$7:$AL$459,"X",'ENCUESTA CONDUCTORES'!$BN$7:$BN$459,"X",'ENCUESTA CONDUCTORES'!$AX$7:$AX$459,"&lt;4.01")+COUNTIFS('ENCUESTA CONDUCTORES'!$AL$7:$AL$459,"X",'ENCUESTA CONDUCTORES'!$BP$7:$BP$459,"X",'ENCUESTA CONDUCTORES'!$AX$7:$AX$459,"&lt;4.01")-BA203-AZ203-AY203-AX203-AW203-AV203</f>
        <v>6</v>
      </c>
      <c r="BC203" s="18">
        <f>COUNTIFS('ENCUESTA CONDUCTORES'!$AL$7:$AL$459,"X",'ENCUESTA CONDUCTORES'!$BN$7:$BN$459,"X",'ENCUESTA CONDUCTORES'!$AX$7:$AX$459,"&gt;4")+COUNTIFS('ENCUESTA CONDUCTORES'!$AL$7:$AL$459,"X",'ENCUESTA CONDUCTORES'!$BP$7:$BP$459,"X",'ENCUESTA CONDUCTORES'!$AX$7:$AX$459,"&gt;4")</f>
        <v>1</v>
      </c>
      <c r="BD203" s="18">
        <f t="shared" ref="BD203" si="452">SUM(AV203:BC203)</f>
        <v>171</v>
      </c>
      <c r="BF203" s="75" t="s">
        <v>1357</v>
      </c>
      <c r="BG203" s="74">
        <f>BP203/$BX$203</f>
        <v>5.8479532163742687E-3</v>
      </c>
      <c r="BH203" s="74">
        <f t="shared" ref="BH203:BO203" si="453">BQ203/$BX$203</f>
        <v>6.4327485380116955E-2</v>
      </c>
      <c r="BI203" s="74">
        <f t="shared" si="453"/>
        <v>5.8479532163742687E-3</v>
      </c>
      <c r="BJ203" s="74">
        <f t="shared" si="453"/>
        <v>4.6783625730994149E-2</v>
      </c>
      <c r="BK203" s="74">
        <f t="shared" si="453"/>
        <v>5.8479532163742687E-2</v>
      </c>
      <c r="BL203" s="74">
        <f t="shared" si="453"/>
        <v>0.76608187134502925</v>
      </c>
      <c r="BM203" s="74">
        <f t="shared" si="453"/>
        <v>4.6783625730994149E-2</v>
      </c>
      <c r="BN203" s="74">
        <f t="shared" si="453"/>
        <v>5.8479532163742687E-3</v>
      </c>
      <c r="BO203" s="74">
        <f t="shared" si="453"/>
        <v>1</v>
      </c>
      <c r="BP203" s="18">
        <f>COUNTIFS('ENCUESTA CONDUCTORES'!$AL$7:$AL$459,"X",'ENCUESTA CONDUCTORES'!$BN$7:$BN$459,"X",'ENCUESTA CONDUCTORES'!$AW$7:$AW$459,"&lt;1.6")+COUNTIFS('ENCUESTA CONDUCTORES'!$AR$7:$AR$459,"X",'ENCUESTA CONDUCTORES'!$BP$7:$BP$459,"X",'ENCUESTA CONDUCTORES'!$AW$7:$AW$459,"&lt;1.6")</f>
        <v>1</v>
      </c>
      <c r="BQ203" s="18">
        <f>COUNTIFS('ENCUESTA CONDUCTORES'!$AL$7:$AL$459,"X",'ENCUESTA CONDUCTORES'!$BN$7:$BN$459,"X",'ENCUESTA CONDUCTORES'!$AW$7:$AW$459,"&lt;1.91")+COUNTIFS('ENCUESTA CONDUCTORES'!$AL$7:$AL$459,"X",'ENCUESTA CONDUCTORES'!$BP$7:$BP$459,"X",'ENCUESTA CONDUCTORES'!$AW$7:$AW$459,"&lt;1.91")-BP203</f>
        <v>11</v>
      </c>
      <c r="BR203" s="18">
        <f>COUNTIFS('ENCUESTA CONDUCTORES'!$AL$7:$AL$459,"X",'ENCUESTA CONDUCTORES'!$BN$7:$BN$459,"X",'ENCUESTA CONDUCTORES'!$AW$7:$AW$459,"&lt;2.01")+COUNTIFS('ENCUESTA CONDUCTORES'!$AL$7:$AL$459,"X",'ENCUESTA CONDUCTORES'!$BP$7:$BP$459,"X",'ENCUESTA CONDUCTORES'!$AW$7:$AW$459,"&lt;2.01")-BQ203-BP203</f>
        <v>1</v>
      </c>
      <c r="BS203" s="18">
        <f>COUNTIFS('ENCUESTA CONDUCTORES'!$AL$7:$AL$459,"X",'ENCUESTA CONDUCTORES'!$BN$7:$BN$459,"X",'ENCUESTA CONDUCTORES'!$AW$7:$AW$459,"&lt;2.21")+COUNTIFS('ENCUESTA CONDUCTORES'!$AL$7:$AL$459,"X",'ENCUESTA CONDUCTORES'!$BP$7:$BP$459,"X",'ENCUESTA CONDUCTORES'!$AW$7:$AW$459,"&lt;2.21")-BR203-BQ203-BP203</f>
        <v>8</v>
      </c>
      <c r="BT203" s="18">
        <f>COUNTIFS('ENCUESTA CONDUCTORES'!$AL$7:$AL$459,"X",'ENCUESTA CONDUCTORES'!$BN$7:$BN$459,"X",'ENCUESTA CONDUCTORES'!$AW$7:$AW$459,"&lt;2.51")+COUNTIFS('ENCUESTA CONDUCTORES'!$AL$7:$AL$459,"X",'ENCUESTA CONDUCTORES'!$BP$7:$BP$459,"X",'ENCUESTA CONDUCTORES'!$AW$7:$AW$459,"&lt;2.51")-BS203-BR203-BQ203-BP203</f>
        <v>10</v>
      </c>
      <c r="BU203" s="18">
        <f>COUNTIFS('ENCUESTA CONDUCTORES'!$AL$7:$AL$459,"X",'ENCUESTA CONDUCTORES'!$BN$7:$BN$459,"X",'ENCUESTA CONDUCTORES'!$AW$7:$AW$459,"&lt;3.01")+COUNTIFS('ENCUESTA CONDUCTORES'!$AL$7:$AL$459,"X",'ENCUESTA CONDUCTORES'!$BP$7:$BP$459,"X",'ENCUESTA CONDUCTORES'!$AW$7:$AW$459,"&lt;3.01")-BT203-BS203-BR203-BQ203-BP203</f>
        <v>131</v>
      </c>
      <c r="BV203" s="18">
        <f>COUNTIFS('ENCUESTA CONDUCTORES'!$AL$7:$AL$459,"X",'ENCUESTA CONDUCTORES'!$BN$7:$BN$459,"X",'ENCUESTA CONDUCTORES'!$AW$7:$AW$459,"&lt;4.01")+COUNTIFS('ENCUESTA CONDUCTORES'!$AL$7:$AL$459,"X",'ENCUESTA CONDUCTORES'!$BP$7:$BP$459,"X",'ENCUESTA CONDUCTORES'!$AW$7:$AW$459,"&lt;4.01")-BU203-BT203-BS203-BR203-BQ203-BP203</f>
        <v>8</v>
      </c>
      <c r="BW203" s="18">
        <f>COUNTIFS('ENCUESTA CONDUCTORES'!$AL$7:$AL$459,"X",'ENCUESTA CONDUCTORES'!$BN$7:$BN$459,"X",'ENCUESTA CONDUCTORES'!$AW$7:$AW$459,"&gt;4")+COUNTIFS('ENCUESTA CONDUCTORES'!$AL$7:$AL$459,"X",'ENCUESTA CONDUCTORES'!$BP$7:$BP$459,"X",'ENCUESTA CONDUCTORES'!$AW$7:$AW$459,"&gt;4")</f>
        <v>1</v>
      </c>
      <c r="BX203" s="18">
        <f t="shared" ref="BX203" si="454">SUM(BP203:BW203)</f>
        <v>171</v>
      </c>
      <c r="CX203" s="57" t="s">
        <v>1456</v>
      </c>
      <c r="CY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</row>
    <row r="204" spans="2:118" x14ac:dyDescent="0.25">
      <c r="CY204" s="17" t="s">
        <v>1429</v>
      </c>
      <c r="CZ204" s="17" t="s">
        <v>1429</v>
      </c>
    </row>
    <row r="205" spans="2:118" x14ac:dyDescent="0.25">
      <c r="AL205" s="17" t="s">
        <v>1404</v>
      </c>
      <c r="AM205" s="74"/>
      <c r="AN205" s="74"/>
      <c r="AO205" s="74"/>
      <c r="AP205" s="74"/>
      <c r="AQ205" s="74"/>
      <c r="AR205" s="74"/>
      <c r="AS205" s="74"/>
      <c r="AT205" s="74"/>
      <c r="AU205" s="74"/>
      <c r="AV205" s="18"/>
      <c r="AW205" s="18"/>
      <c r="AX205" s="18"/>
      <c r="AY205" s="18"/>
      <c r="AZ205" s="18"/>
      <c r="BA205" s="18"/>
      <c r="BB205" s="18"/>
      <c r="BC205" s="18"/>
      <c r="BD205" s="18"/>
      <c r="BF205" s="17" t="s">
        <v>1412</v>
      </c>
      <c r="BG205" s="74"/>
      <c r="BH205" s="74"/>
      <c r="BI205" s="74"/>
      <c r="BJ205" s="74"/>
      <c r="BK205" s="74"/>
      <c r="BL205" s="74"/>
      <c r="BM205" s="74"/>
      <c r="BN205" s="74"/>
      <c r="BO205" s="74"/>
      <c r="BP205" s="18"/>
      <c r="BQ205" s="18"/>
      <c r="BR205" s="18"/>
      <c r="BS205" s="18"/>
      <c r="BT205" s="18"/>
      <c r="BU205" s="18"/>
      <c r="BV205" s="18"/>
      <c r="BW205" s="18"/>
      <c r="BX205" s="18"/>
      <c r="CX205" s="11" t="s">
        <v>1306</v>
      </c>
      <c r="CY205" s="74">
        <f>+CZ205/$CZ$213</f>
        <v>2.4390243902439025E-2</v>
      </c>
      <c r="CZ205" s="18">
        <f>+DM19</f>
        <v>1</v>
      </c>
      <c r="DA205" s="74"/>
      <c r="DB205" s="74"/>
      <c r="DC205" s="74"/>
      <c r="DD205" s="74"/>
      <c r="DF205" s="74"/>
      <c r="DG205" s="18"/>
      <c r="DH205" s="18"/>
      <c r="DI205" s="18"/>
      <c r="DJ205" s="18"/>
      <c r="DK205" s="18"/>
      <c r="DL205" s="18"/>
      <c r="DM205" s="18"/>
      <c r="DN205" s="18"/>
    </row>
    <row r="206" spans="2:118" x14ac:dyDescent="0.25">
      <c r="AM206" s="5" t="s">
        <v>1296</v>
      </c>
      <c r="AN206" s="5" t="s">
        <v>1297</v>
      </c>
      <c r="AO206" s="5" t="s">
        <v>1298</v>
      </c>
      <c r="AP206" s="5" t="s">
        <v>1299</v>
      </c>
      <c r="AQ206" s="5" t="s">
        <v>1300</v>
      </c>
      <c r="AR206" s="5" t="s">
        <v>1301</v>
      </c>
      <c r="AS206" s="5" t="s">
        <v>1302</v>
      </c>
      <c r="AT206" s="5" t="s">
        <v>1385</v>
      </c>
      <c r="AU206" s="5"/>
      <c r="AV206" s="5" t="s">
        <v>1296</v>
      </c>
      <c r="AW206" s="5" t="s">
        <v>1297</v>
      </c>
      <c r="AX206" s="5" t="s">
        <v>1298</v>
      </c>
      <c r="AY206" s="5" t="s">
        <v>1299</v>
      </c>
      <c r="AZ206" s="5" t="s">
        <v>1300</v>
      </c>
      <c r="BA206" s="5" t="s">
        <v>1301</v>
      </c>
      <c r="BB206" s="5" t="s">
        <v>1302</v>
      </c>
      <c r="BC206" s="5" t="s">
        <v>1385</v>
      </c>
      <c r="BG206" s="5" t="s">
        <v>1296</v>
      </c>
      <c r="BH206" s="5" t="s">
        <v>1297</v>
      </c>
      <c r="BI206" s="5" t="s">
        <v>1298</v>
      </c>
      <c r="BJ206" s="5" t="s">
        <v>1299</v>
      </c>
      <c r="BK206" s="5" t="s">
        <v>1300</v>
      </c>
      <c r="BL206" s="5" t="s">
        <v>1301</v>
      </c>
      <c r="BM206" s="5" t="s">
        <v>1302</v>
      </c>
      <c r="BN206" s="5" t="s">
        <v>1385</v>
      </c>
      <c r="BO206" s="5"/>
      <c r="BP206" s="5" t="s">
        <v>1296</v>
      </c>
      <c r="BQ206" s="5" t="s">
        <v>1297</v>
      </c>
      <c r="BR206" s="5" t="s">
        <v>1298</v>
      </c>
      <c r="BS206" s="5" t="s">
        <v>1299</v>
      </c>
      <c r="BT206" s="5" t="s">
        <v>1300</v>
      </c>
      <c r="BU206" s="5" t="s">
        <v>1301</v>
      </c>
      <c r="BV206" s="5" t="s">
        <v>1302</v>
      </c>
      <c r="BW206" s="5" t="s">
        <v>1385</v>
      </c>
      <c r="CX206" s="11" t="s">
        <v>1307</v>
      </c>
      <c r="CY206" s="74">
        <f t="shared" ref="CY206:CY213" si="455">+CZ206/$CZ$213</f>
        <v>4.878048780487805E-2</v>
      </c>
      <c r="CZ206" s="18">
        <f t="shared" ref="CZ206:CZ214" si="456">+DM20</f>
        <v>2</v>
      </c>
      <c r="DA206" s="74"/>
      <c r="DB206" s="74"/>
      <c r="DC206" s="74"/>
      <c r="DD206" s="74"/>
      <c r="DF206" s="74"/>
      <c r="DG206" s="18"/>
      <c r="DH206" s="18"/>
      <c r="DI206" s="18"/>
      <c r="DJ206" s="18"/>
      <c r="DK206" s="18"/>
      <c r="DL206" s="18"/>
      <c r="DM206" s="18"/>
      <c r="DN206" s="18"/>
    </row>
    <row r="207" spans="2:118" x14ac:dyDescent="0.25">
      <c r="AL207" s="75" t="s">
        <v>131</v>
      </c>
      <c r="AM207" s="74">
        <f>+AV207/$BD$207</f>
        <v>8.771929824561403E-2</v>
      </c>
      <c r="AN207" s="74">
        <f t="shared" ref="AN207:AU207" si="457">+AW207/$BD$207</f>
        <v>0.12280701754385964</v>
      </c>
      <c r="AO207" s="74">
        <f t="shared" si="457"/>
        <v>5.2631578947368418E-2</v>
      </c>
      <c r="AP207" s="74">
        <f t="shared" si="457"/>
        <v>7.0175438596491224E-2</v>
      </c>
      <c r="AQ207" s="74">
        <f t="shared" si="457"/>
        <v>0.19298245614035087</v>
      </c>
      <c r="AR207" s="74">
        <f t="shared" si="457"/>
        <v>0.14035087719298245</v>
      </c>
      <c r="AS207" s="74">
        <f t="shared" si="457"/>
        <v>0.2982456140350877</v>
      </c>
      <c r="AT207" s="74">
        <f t="shared" si="457"/>
        <v>3.5087719298245612E-2</v>
      </c>
      <c r="AU207" s="74">
        <f t="shared" si="457"/>
        <v>1</v>
      </c>
      <c r="AV207" s="18">
        <f>COUNTIFS('ENCUESTA CONDUCTORES'!$AL$7:$AL$459,"X",'ENCUESTA CONDUCTORES'!$BO$7:$BO$459,"X",'ENCUESTA CONDUCTORES'!$AX$7:$AX$459,"&lt;1.6")</f>
        <v>5</v>
      </c>
      <c r="AW207" s="18">
        <f>COUNTIFS('ENCUESTA CONDUCTORES'!$AL$7:$AL$459,"X",'ENCUESTA CONDUCTORES'!$BO$7:$BO$459,"X",'ENCUESTA CONDUCTORES'!$AX$7:$AX$459,"&lt;1.91")-AV207</f>
        <v>7</v>
      </c>
      <c r="AX207" s="18">
        <f>COUNTIFS('ENCUESTA CONDUCTORES'!$AL$7:$AL$459,"X",'ENCUESTA CONDUCTORES'!$BO$7:$BO$459,"X",'ENCUESTA CONDUCTORES'!$AX$7:$AX$459,"&lt;2.01")-AW207-AV207</f>
        <v>3</v>
      </c>
      <c r="AY207" s="18">
        <f>COUNTIFS('ENCUESTA CONDUCTORES'!$AL$7:$AL$459,"X",'ENCUESTA CONDUCTORES'!$BO$7:$BO$459,"X",'ENCUESTA CONDUCTORES'!$AX$7:$AX$459,"&lt;2.21")-AX207-AW207-AV207</f>
        <v>4</v>
      </c>
      <c r="AZ207" s="18">
        <f>COUNTIFS('ENCUESTA CONDUCTORES'!$AL$7:$AL$459,"X",'ENCUESTA CONDUCTORES'!$BO$7:$BO$459,"X",'ENCUESTA CONDUCTORES'!$AX$7:$AX$459,"&lt;2.51")-AY207-AX207-AW207-AV207</f>
        <v>11</v>
      </c>
      <c r="BA207" s="18">
        <f>COUNTIFS('ENCUESTA CONDUCTORES'!$AL$7:$AL$459,"X",'ENCUESTA CONDUCTORES'!$BO$7:$BO$459,"X",'ENCUESTA CONDUCTORES'!$AX$7:$AX$459,"&lt;3.01")-AZ207-AY207-AX207-AW207-AV207</f>
        <v>8</v>
      </c>
      <c r="BB207" s="18">
        <f>COUNTIFS('ENCUESTA CONDUCTORES'!$AL$7:$AL$459,"X",'ENCUESTA CONDUCTORES'!$BO$7:$BO$459,"X",'ENCUESTA CONDUCTORES'!$AX$7:$AX$459,"&lt;4.01")-BA207-AZ207-AY207-AX207-AW207-AV207</f>
        <v>17</v>
      </c>
      <c r="BC207" s="18">
        <f>COUNTIFS('ENCUESTA CONDUCTORES'!$AL$7:$AL$459,"X",'ENCUESTA CONDUCTORES'!$BO$7:$BO$459,"X",'ENCUESTA CONDUCTORES'!$AX$7:$AX$459,"&gt;4")</f>
        <v>2</v>
      </c>
      <c r="BD207" s="18">
        <f t="shared" ref="BD207" si="458">SUM(AV207:BC207)</f>
        <v>57</v>
      </c>
      <c r="BF207" s="75" t="s">
        <v>131</v>
      </c>
      <c r="BG207" s="74">
        <f>BP207/$BX$207</f>
        <v>1.7543859649122806E-2</v>
      </c>
      <c r="BH207" s="74">
        <f t="shared" ref="BH207:BO207" si="459">BQ207/$BX$207</f>
        <v>3.5087719298245612E-2</v>
      </c>
      <c r="BI207" s="74">
        <f t="shared" si="459"/>
        <v>5.2631578947368418E-2</v>
      </c>
      <c r="BJ207" s="74">
        <f t="shared" si="459"/>
        <v>5.2631578947368418E-2</v>
      </c>
      <c r="BK207" s="74">
        <f t="shared" si="459"/>
        <v>0.10526315789473684</v>
      </c>
      <c r="BL207" s="74">
        <f t="shared" si="459"/>
        <v>0.26315789473684209</v>
      </c>
      <c r="BM207" s="74">
        <f t="shared" si="459"/>
        <v>0.40350877192982454</v>
      </c>
      <c r="BN207" s="74">
        <f t="shared" si="459"/>
        <v>7.0175438596491224E-2</v>
      </c>
      <c r="BO207" s="74">
        <f t="shared" si="459"/>
        <v>1</v>
      </c>
      <c r="BP207" s="18">
        <f>COUNTIFS('ENCUESTA CONDUCTORES'!$AL$7:$AL$459,"X",'ENCUESTA CONDUCTORES'!$BO$7:$BO$459,"X",'ENCUESTA CONDUCTORES'!$AW$7:$AW$459,"&lt;1.6")</f>
        <v>1</v>
      </c>
      <c r="BQ207" s="18">
        <f>COUNTIFS('ENCUESTA CONDUCTORES'!$AL$7:$AL$459,"X",'ENCUESTA CONDUCTORES'!$BO$7:$BO$459,"X",'ENCUESTA CONDUCTORES'!$AW$7:$AW$459,"&lt;1.91")-BP207</f>
        <v>2</v>
      </c>
      <c r="BR207" s="18">
        <f>COUNTIFS('ENCUESTA CONDUCTORES'!$AL$7:$AL$459,"X",'ENCUESTA CONDUCTORES'!$BO$7:$BO$459,"X",'ENCUESTA CONDUCTORES'!$AW$7:$AW$459,"&lt;2.01")-BQ207-BP207</f>
        <v>3</v>
      </c>
      <c r="BS207" s="18">
        <f>COUNTIFS('ENCUESTA CONDUCTORES'!$AL$7:$AL$459,"X",'ENCUESTA CONDUCTORES'!$BO$7:$BO$459,"X",'ENCUESTA CONDUCTORES'!$AW$7:$AW$459,"&lt;2.21")-BR207-BQ207-BP207</f>
        <v>3</v>
      </c>
      <c r="BT207" s="18">
        <f>COUNTIFS('ENCUESTA CONDUCTORES'!$AL$7:$AL$459,"X",'ENCUESTA CONDUCTORES'!$BO$7:$BO$459,"X",'ENCUESTA CONDUCTORES'!$AW$7:$AW$459,"&lt;2.51")-BS207-BR207-BQ207-BP207</f>
        <v>6</v>
      </c>
      <c r="BU207" s="18">
        <f>COUNTIFS('ENCUESTA CONDUCTORES'!$AL$7:$AL$459,"X",'ENCUESTA CONDUCTORES'!$BO$7:$BO$459,"X",'ENCUESTA CONDUCTORES'!$AW$7:$AW$459,"&lt;3.01")-BT207-BS207-BR207-BQ207-BP207</f>
        <v>15</v>
      </c>
      <c r="BV207" s="18">
        <f>COUNTIFS('ENCUESTA CONDUCTORES'!$AL$7:$AL$459,"X",'ENCUESTA CONDUCTORES'!$BO$7:$BO$459,"X",'ENCUESTA CONDUCTORES'!$AW$7:$AW$459,"&lt;4.01")-BU207-BT207-BS207-BR207-BQ207-BP207</f>
        <v>23</v>
      </c>
      <c r="BW207" s="18">
        <f>COUNTIFS('ENCUESTA CONDUCTORES'!$AL$7:$AL$459,"X",'ENCUESTA CONDUCTORES'!$BO$7:$BO$459,"X",'ENCUESTA CONDUCTORES'!$AW$7:$AW$459,"&gt;4")</f>
        <v>4</v>
      </c>
      <c r="BX207" s="18">
        <f t="shared" ref="BX207" si="460">SUM(BP207:BW207)</f>
        <v>57</v>
      </c>
      <c r="CX207" s="17" t="s">
        <v>1308</v>
      </c>
      <c r="CY207" s="74">
        <f t="shared" si="455"/>
        <v>2.4390243902439025E-2</v>
      </c>
      <c r="CZ207" s="18">
        <f t="shared" si="456"/>
        <v>1</v>
      </c>
      <c r="DA207" s="74"/>
      <c r="DB207" s="74"/>
      <c r="DC207" s="74"/>
      <c r="DD207" s="74"/>
      <c r="DF207" s="74"/>
      <c r="DG207" s="18"/>
      <c r="DH207" s="18"/>
      <c r="DI207" s="18"/>
      <c r="DJ207" s="18"/>
      <c r="DK207" s="18"/>
      <c r="DL207" s="18"/>
      <c r="DM207" s="18"/>
      <c r="DN207" s="18"/>
    </row>
    <row r="208" spans="2:118" x14ac:dyDescent="0.25">
      <c r="CX208" s="11" t="s">
        <v>1334</v>
      </c>
      <c r="CY208" s="74">
        <f t="shared" si="455"/>
        <v>9.7560975609756101E-2</v>
      </c>
      <c r="CZ208" s="18">
        <f t="shared" si="456"/>
        <v>4</v>
      </c>
      <c r="DA208" s="74"/>
      <c r="DB208" s="74"/>
      <c r="DC208" s="74"/>
      <c r="DD208" s="74"/>
      <c r="DF208" s="74"/>
      <c r="DG208" s="18"/>
      <c r="DH208" s="18"/>
      <c r="DI208" s="18"/>
      <c r="DJ208" s="18"/>
      <c r="DK208" s="18"/>
      <c r="DL208" s="18"/>
      <c r="DM208" s="18"/>
      <c r="DN208" s="18"/>
    </row>
    <row r="209" spans="38:118" x14ac:dyDescent="0.25">
      <c r="AL209" s="17" t="s">
        <v>1405</v>
      </c>
      <c r="AM209" s="74"/>
      <c r="AN209" s="74"/>
      <c r="AO209" s="74"/>
      <c r="AP209" s="74"/>
      <c r="AQ209" s="74"/>
      <c r="AR209" s="74"/>
      <c r="AS209" s="74"/>
      <c r="AT209" s="74"/>
      <c r="AU209" s="74"/>
      <c r="AV209" s="18"/>
      <c r="AW209" s="18"/>
      <c r="AX209" s="18"/>
      <c r="AY209" s="18"/>
      <c r="AZ209" s="18"/>
      <c r="BA209" s="18"/>
      <c r="BB209" s="18"/>
      <c r="BC209" s="18"/>
      <c r="BD209" s="18"/>
      <c r="BF209" s="17" t="s">
        <v>1413</v>
      </c>
      <c r="BG209" s="74"/>
      <c r="BH209" s="74"/>
      <c r="BI209" s="74"/>
      <c r="BJ209" s="74"/>
      <c r="BK209" s="74"/>
      <c r="BL209" s="74"/>
      <c r="BM209" s="74"/>
      <c r="BN209" s="74"/>
      <c r="BO209" s="74"/>
      <c r="BP209" s="18"/>
      <c r="BQ209" s="18"/>
      <c r="BR209" s="18"/>
      <c r="BS209" s="18"/>
      <c r="BT209" s="18"/>
      <c r="BU209" s="18"/>
      <c r="BV209" s="18"/>
      <c r="BW209" s="18"/>
      <c r="BX209" s="18"/>
      <c r="CX209" s="11" t="s">
        <v>1309</v>
      </c>
      <c r="CY209" s="74">
        <f t="shared" si="455"/>
        <v>0.17073170731707318</v>
      </c>
      <c r="CZ209" s="18">
        <f t="shared" si="456"/>
        <v>7</v>
      </c>
      <c r="DA209" s="74"/>
      <c r="DB209" s="74"/>
      <c r="DC209" s="74"/>
      <c r="DD209" s="74"/>
      <c r="DF209" s="74"/>
      <c r="DG209" s="18"/>
      <c r="DH209" s="18"/>
      <c r="DI209" s="18"/>
      <c r="DJ209" s="18"/>
      <c r="DK209" s="18"/>
      <c r="DL209" s="18"/>
      <c r="DM209" s="18"/>
      <c r="DN209" s="18"/>
    </row>
    <row r="210" spans="38:118" x14ac:dyDescent="0.25">
      <c r="AM210" s="5" t="s">
        <v>1296</v>
      </c>
      <c r="AN210" s="5" t="s">
        <v>1297</v>
      </c>
      <c r="AO210" s="5" t="s">
        <v>1298</v>
      </c>
      <c r="AP210" s="5" t="s">
        <v>1299</v>
      </c>
      <c r="AQ210" s="5" t="s">
        <v>1300</v>
      </c>
      <c r="AR210" s="5" t="s">
        <v>1301</v>
      </c>
      <c r="AS210" s="5" t="s">
        <v>1302</v>
      </c>
      <c r="AT210" s="5" t="s">
        <v>1385</v>
      </c>
      <c r="AU210" s="5"/>
      <c r="AV210" s="5" t="s">
        <v>1296</v>
      </c>
      <c r="AW210" s="5" t="s">
        <v>1297</v>
      </c>
      <c r="AX210" s="5" t="s">
        <v>1298</v>
      </c>
      <c r="AY210" s="5" t="s">
        <v>1299</v>
      </c>
      <c r="AZ210" s="5" t="s">
        <v>1300</v>
      </c>
      <c r="BA210" s="5" t="s">
        <v>1301</v>
      </c>
      <c r="BB210" s="5" t="s">
        <v>1302</v>
      </c>
      <c r="BC210" s="5" t="s">
        <v>1385</v>
      </c>
      <c r="BG210" s="5" t="s">
        <v>1296</v>
      </c>
      <c r="BH210" s="5" t="s">
        <v>1297</v>
      </c>
      <c r="BI210" s="5" t="s">
        <v>1298</v>
      </c>
      <c r="BJ210" s="5" t="s">
        <v>1299</v>
      </c>
      <c r="BK210" s="5" t="s">
        <v>1300</v>
      </c>
      <c r="BL210" s="5" t="s">
        <v>1301</v>
      </c>
      <c r="BM210" s="5" t="s">
        <v>1302</v>
      </c>
      <c r="BN210" s="5" t="s">
        <v>1385</v>
      </c>
      <c r="BO210" s="5"/>
      <c r="BP210" s="5" t="s">
        <v>1296</v>
      </c>
      <c r="BQ210" s="5" t="s">
        <v>1297</v>
      </c>
      <c r="BR210" s="5" t="s">
        <v>1298</v>
      </c>
      <c r="BS210" s="5" t="s">
        <v>1299</v>
      </c>
      <c r="BT210" s="5" t="s">
        <v>1300</v>
      </c>
      <c r="BU210" s="5" t="s">
        <v>1301</v>
      </c>
      <c r="BV210" s="5" t="s">
        <v>1302</v>
      </c>
      <c r="BW210" s="5" t="s">
        <v>1385</v>
      </c>
      <c r="CX210" s="11" t="s">
        <v>1310</v>
      </c>
      <c r="CY210" s="74">
        <f t="shared" si="455"/>
        <v>0.46341463414634149</v>
      </c>
      <c r="CZ210" s="18">
        <f t="shared" si="456"/>
        <v>19</v>
      </c>
      <c r="DA210" s="74"/>
      <c r="DB210" s="74"/>
      <c r="DC210" s="74"/>
      <c r="DD210" s="74"/>
      <c r="DF210" s="74"/>
      <c r="DG210" s="18"/>
      <c r="DH210" s="18"/>
      <c r="DI210" s="18"/>
      <c r="DJ210" s="18"/>
      <c r="DK210" s="18"/>
      <c r="DL210" s="18"/>
      <c r="DM210" s="18"/>
      <c r="DN210" s="18"/>
    </row>
    <row r="211" spans="38:118" x14ac:dyDescent="0.25">
      <c r="AL211" s="75" t="s">
        <v>55</v>
      </c>
      <c r="AM211" s="74">
        <f>+AV211/$BD$211</f>
        <v>0</v>
      </c>
      <c r="AN211" s="74">
        <f t="shared" ref="AN211:AU211" si="461">+AW211/$BD$211</f>
        <v>0.16</v>
      </c>
      <c r="AO211" s="74">
        <f t="shared" si="461"/>
        <v>0.08</v>
      </c>
      <c r="AP211" s="74">
        <f t="shared" si="461"/>
        <v>0.08</v>
      </c>
      <c r="AQ211" s="74">
        <f t="shared" si="461"/>
        <v>0.48</v>
      </c>
      <c r="AR211" s="74">
        <f t="shared" si="461"/>
        <v>0.2</v>
      </c>
      <c r="AS211" s="74">
        <f t="shared" si="461"/>
        <v>0</v>
      </c>
      <c r="AT211" s="74">
        <f t="shared" si="461"/>
        <v>0</v>
      </c>
      <c r="AU211" s="74">
        <f t="shared" si="461"/>
        <v>1</v>
      </c>
      <c r="AV211" s="18">
        <f>COUNTIFS('ENCUESTA CONDUCTORES'!$AL$7:$AL$459,"X",'ENCUESTA CONDUCTORES'!$BQ$7:$BQ$459,"X",'ENCUESTA CONDUCTORES'!$AX$7:$AX$459,"&lt;1.6")</f>
        <v>0</v>
      </c>
      <c r="AW211" s="18">
        <f>COUNTIFS('ENCUESTA CONDUCTORES'!$AL$7:$AL$459,"X",'ENCUESTA CONDUCTORES'!$BQ$7:$BQ$459,"X",'ENCUESTA CONDUCTORES'!$AX$7:$AX$459,"&lt;1.91")-AV211</f>
        <v>4</v>
      </c>
      <c r="AX211" s="18">
        <f>COUNTIFS('ENCUESTA CONDUCTORES'!$AL$7:$AL$459,"X",'ENCUESTA CONDUCTORES'!$BQ$7:$BQ$459,"X",'ENCUESTA CONDUCTORES'!$AX$7:$AX$459,"&lt;2.01")-AW211-AV211</f>
        <v>2</v>
      </c>
      <c r="AY211" s="18">
        <f>COUNTIFS('ENCUESTA CONDUCTORES'!$AL$7:$AL$459,"X",'ENCUESTA CONDUCTORES'!$BQ$7:$BQ$459,"X",'ENCUESTA CONDUCTORES'!$AX$7:$AX$459,"&lt;2.21")-AX211-AW211-AV211</f>
        <v>2</v>
      </c>
      <c r="AZ211" s="18">
        <f>COUNTIFS('ENCUESTA CONDUCTORES'!$AL$7:$AL$459,"X",'ENCUESTA CONDUCTORES'!$BQ$7:$BQ$459,"X",'ENCUESTA CONDUCTORES'!$AX$7:$AX$459,"&lt;2.51")-AY211-AX211-AW211-AV211</f>
        <v>12</v>
      </c>
      <c r="BA211" s="18">
        <f>COUNTIFS('ENCUESTA CONDUCTORES'!$AL$7:$AL$459,"X",'ENCUESTA CONDUCTORES'!$BQ$7:$BQ$459,"X",'ENCUESTA CONDUCTORES'!$AX$7:$AX$459,"&lt;3.01")-AZ211-AY211-AX211-AW211-AV211</f>
        <v>5</v>
      </c>
      <c r="BB211" s="18">
        <f>COUNTIFS('ENCUESTA CONDUCTORES'!$AL$7:$AL$459,"X",'ENCUESTA CONDUCTORES'!$BQ$7:$BQ$459,"X",'ENCUESTA CONDUCTORES'!$AX$7:$AX$459,"&lt;4.01")-BA211-AZ211-AY211-AX211-AW211-AV211</f>
        <v>0</v>
      </c>
      <c r="BC211" s="18">
        <f>COUNTIFS('ENCUESTA CONDUCTORES'!$AL$7:$AL$459,"X",'ENCUESTA CONDUCTORES'!$BQ$7:$BQ$459,"X",'ENCUESTA CONDUCTORES'!$AX$7:$AX$459,"&gt;4")</f>
        <v>0</v>
      </c>
      <c r="BD211" s="18">
        <f t="shared" ref="BD211" si="462">SUM(AV211:BC211)</f>
        <v>25</v>
      </c>
      <c r="BF211" s="75" t="s">
        <v>55</v>
      </c>
      <c r="BG211" s="74">
        <f>BP211/$BX$211</f>
        <v>0</v>
      </c>
      <c r="BH211" s="74">
        <f t="shared" ref="BH211:BO211" si="463">BQ211/$BX$211</f>
        <v>0</v>
      </c>
      <c r="BI211" s="74">
        <f t="shared" si="463"/>
        <v>0.04</v>
      </c>
      <c r="BJ211" s="74">
        <f t="shared" si="463"/>
        <v>0.12</v>
      </c>
      <c r="BK211" s="74">
        <f t="shared" si="463"/>
        <v>0.12</v>
      </c>
      <c r="BL211" s="74">
        <f t="shared" si="463"/>
        <v>0.52</v>
      </c>
      <c r="BM211" s="74">
        <f t="shared" si="463"/>
        <v>0.2</v>
      </c>
      <c r="BN211" s="74">
        <f t="shared" si="463"/>
        <v>0</v>
      </c>
      <c r="BO211" s="74">
        <f t="shared" si="463"/>
        <v>1</v>
      </c>
      <c r="BP211" s="18">
        <f>COUNTIFS('ENCUESTA CONDUCTORES'!$AL$7:$AL$459,"X",'ENCUESTA CONDUCTORES'!$BQ$7:$BQ$459,"X",'ENCUESTA CONDUCTORES'!$AW$7:$AW$459,"&lt;1.6")</f>
        <v>0</v>
      </c>
      <c r="BQ211" s="18">
        <f>COUNTIFS('ENCUESTA CONDUCTORES'!$AL$7:$AL$459,"X",'ENCUESTA CONDUCTORES'!$BQ$7:$BQ$459,"X",'ENCUESTA CONDUCTORES'!$AW$7:$AW$459,"&lt;1.91")-BP211</f>
        <v>0</v>
      </c>
      <c r="BR211" s="18">
        <f>COUNTIFS('ENCUESTA CONDUCTORES'!$AL$7:$AL$459,"X",'ENCUESTA CONDUCTORES'!$BQ$7:$BQ$459,"X",'ENCUESTA CONDUCTORES'!$AW$7:$AW$459,"&lt;2.01")-BQ211-BP211</f>
        <v>1</v>
      </c>
      <c r="BS211" s="18">
        <f>COUNTIFS('ENCUESTA CONDUCTORES'!$AL$7:$AL$459,"X",'ENCUESTA CONDUCTORES'!$BQ$7:$BQ$459,"X",'ENCUESTA CONDUCTORES'!$AW$7:$AW$459,"&lt;2.21")-BR211-BQ211-BP211</f>
        <v>3</v>
      </c>
      <c r="BT211" s="18">
        <f>COUNTIFS('ENCUESTA CONDUCTORES'!$AL$7:$AL$459,"X",'ENCUESTA CONDUCTORES'!$BQ$7:$BQ$459,"X",'ENCUESTA CONDUCTORES'!$AW$7:$AW$459,"&lt;2.51")-BS211-BR211-BQ211-BP211</f>
        <v>3</v>
      </c>
      <c r="BU211" s="18">
        <f>COUNTIFS('ENCUESTA CONDUCTORES'!$AL$7:$AL$459,"X",'ENCUESTA CONDUCTORES'!$BQ$7:$BQ$459,"X",'ENCUESTA CONDUCTORES'!$AW$7:$AW$459,"&lt;3.01")-BT211-BS211-BR211-BQ211-BP211</f>
        <v>13</v>
      </c>
      <c r="BV211" s="18">
        <f>COUNTIFS('ENCUESTA CONDUCTORES'!$AL$7:$AL$459,"X",'ENCUESTA CONDUCTORES'!$BQ$7:$BQ$459,"X",'ENCUESTA CONDUCTORES'!$AW$7:$AW$459,"&lt;4.01")-BU211-BT211-BS211-BR211-BQ211-BP211</f>
        <v>5</v>
      </c>
      <c r="BW211" s="18">
        <f>COUNTIFS('ENCUESTA CONDUCTORES'!$AL$7:$AL$459,"X",'ENCUESTA CONDUCTORES'!$BQ$7:$BQ$459,"X",'ENCUESTA CONDUCTORES'!$AW$7:$AW$459,"&gt;4")</f>
        <v>0</v>
      </c>
      <c r="BX211" s="18">
        <f t="shared" ref="BX211" si="464">SUM(BP211:BW211)</f>
        <v>25</v>
      </c>
      <c r="CX211" s="11" t="s">
        <v>1311</v>
      </c>
      <c r="CY211" s="74">
        <f t="shared" si="455"/>
        <v>0.14634146341463414</v>
      </c>
      <c r="CZ211" s="18">
        <f t="shared" si="456"/>
        <v>6</v>
      </c>
      <c r="DA211" s="74"/>
      <c r="DB211" s="74"/>
      <c r="DC211" s="74"/>
      <c r="DD211" s="74"/>
      <c r="DF211" s="74"/>
      <c r="DG211" s="18"/>
      <c r="DH211" s="18"/>
      <c r="DI211" s="18"/>
      <c r="DJ211" s="18"/>
      <c r="DK211" s="18"/>
      <c r="DL211" s="18"/>
      <c r="DM211" s="18"/>
      <c r="DN211" s="18"/>
    </row>
    <row r="212" spans="38:118" x14ac:dyDescent="0.25">
      <c r="CX212" s="11" t="s">
        <v>1385</v>
      </c>
      <c r="CY212" s="74">
        <f t="shared" si="455"/>
        <v>2.4390243902439025E-2</v>
      </c>
      <c r="CZ212" s="18">
        <f t="shared" si="456"/>
        <v>1</v>
      </c>
      <c r="DA212" s="74"/>
      <c r="DB212" s="74"/>
      <c r="DC212" s="74"/>
      <c r="DD212" s="74"/>
      <c r="DF212" s="74"/>
      <c r="DG212" s="18"/>
      <c r="DH212" s="18"/>
      <c r="DI212" s="18"/>
      <c r="DJ212" s="18"/>
      <c r="DK212" s="18"/>
      <c r="DL212" s="18"/>
      <c r="DM212" s="18"/>
      <c r="DN212" s="18"/>
    </row>
    <row r="213" spans="38:118" x14ac:dyDescent="0.25">
      <c r="AL213" s="17" t="s">
        <v>1406</v>
      </c>
      <c r="AM213" s="74"/>
      <c r="AN213" s="74"/>
      <c r="AO213" s="74"/>
      <c r="AP213" s="74"/>
      <c r="AQ213" s="74"/>
      <c r="AR213" s="74"/>
      <c r="AS213" s="74"/>
      <c r="AT213" s="74"/>
      <c r="AU213" s="74"/>
      <c r="AV213" s="18"/>
      <c r="AW213" s="18"/>
      <c r="AX213" s="18"/>
      <c r="AY213" s="18"/>
      <c r="AZ213" s="18"/>
      <c r="BA213" s="18"/>
      <c r="BB213" s="18"/>
      <c r="BC213" s="18"/>
      <c r="BD213" s="18"/>
      <c r="BF213" s="17" t="s">
        <v>1414</v>
      </c>
      <c r="BG213" s="74"/>
      <c r="BH213" s="74"/>
      <c r="BI213" s="74"/>
      <c r="BJ213" s="74"/>
      <c r="BK213" s="74"/>
      <c r="BL213" s="74"/>
      <c r="BM213" s="74"/>
      <c r="BN213" s="74"/>
      <c r="BO213" s="74"/>
      <c r="BP213" s="18"/>
      <c r="BQ213" s="18"/>
      <c r="BR213" s="18"/>
      <c r="BS213" s="18"/>
      <c r="BT213" s="18"/>
      <c r="BU213" s="18"/>
      <c r="BV213" s="18"/>
      <c r="BW213" s="18"/>
      <c r="BX213" s="18"/>
      <c r="CX213" s="11" t="s">
        <v>429</v>
      </c>
      <c r="CY213" s="74">
        <f t="shared" si="455"/>
        <v>1</v>
      </c>
      <c r="CZ213" s="18">
        <f t="shared" si="456"/>
        <v>41</v>
      </c>
      <c r="DA213" s="74"/>
      <c r="DB213" s="74"/>
      <c r="DC213" s="74"/>
      <c r="DD213" s="74"/>
      <c r="DF213" s="74"/>
      <c r="DG213" s="18"/>
      <c r="DH213" s="18"/>
      <c r="DI213" s="18"/>
      <c r="DJ213" s="18"/>
      <c r="DK213" s="18"/>
      <c r="DL213" s="18"/>
      <c r="DM213" s="18"/>
      <c r="DN213" s="18"/>
    </row>
    <row r="214" spans="38:118" x14ac:dyDescent="0.25">
      <c r="AM214" s="5" t="s">
        <v>1296</v>
      </c>
      <c r="AN214" s="5" t="s">
        <v>1297</v>
      </c>
      <c r="AO214" s="5" t="s">
        <v>1298</v>
      </c>
      <c r="AP214" s="5" t="s">
        <v>1299</v>
      </c>
      <c r="AQ214" s="5" t="s">
        <v>1300</v>
      </c>
      <c r="AR214" s="5" t="s">
        <v>1301</v>
      </c>
      <c r="AS214" s="5" t="s">
        <v>1302</v>
      </c>
      <c r="AT214" s="5" t="s">
        <v>1385</v>
      </c>
      <c r="AU214" s="5"/>
      <c r="AV214" s="5" t="s">
        <v>1296</v>
      </c>
      <c r="AW214" s="5" t="s">
        <v>1297</v>
      </c>
      <c r="AX214" s="5" t="s">
        <v>1298</v>
      </c>
      <c r="AY214" s="5" t="s">
        <v>1299</v>
      </c>
      <c r="AZ214" s="5" t="s">
        <v>1300</v>
      </c>
      <c r="BA214" s="5" t="s">
        <v>1301</v>
      </c>
      <c r="BB214" s="5" t="s">
        <v>1302</v>
      </c>
      <c r="BC214" s="5" t="s">
        <v>1385</v>
      </c>
      <c r="BG214" s="5" t="s">
        <v>1296</v>
      </c>
      <c r="BH214" s="5" t="s">
        <v>1297</v>
      </c>
      <c r="BI214" s="5" t="s">
        <v>1298</v>
      </c>
      <c r="BJ214" s="5" t="s">
        <v>1299</v>
      </c>
      <c r="BK214" s="5" t="s">
        <v>1300</v>
      </c>
      <c r="BL214" s="5" t="s">
        <v>1301</v>
      </c>
      <c r="BM214" s="5" t="s">
        <v>1302</v>
      </c>
      <c r="BN214" s="5" t="s">
        <v>1385</v>
      </c>
      <c r="BO214" s="5"/>
      <c r="BP214" s="5" t="s">
        <v>1296</v>
      </c>
      <c r="BQ214" s="5" t="s">
        <v>1297</v>
      </c>
      <c r="BR214" s="5" t="s">
        <v>1298</v>
      </c>
      <c r="BS214" s="5" t="s">
        <v>1299</v>
      </c>
      <c r="BT214" s="5" t="s">
        <v>1300</v>
      </c>
      <c r="BU214" s="5" t="s">
        <v>1301</v>
      </c>
      <c r="BV214" s="5" t="s">
        <v>1302</v>
      </c>
      <c r="BW214" s="5" t="s">
        <v>1385</v>
      </c>
      <c r="CX214" s="17" t="s">
        <v>193</v>
      </c>
      <c r="CY214" s="18"/>
      <c r="CZ214" s="18">
        <f t="shared" si="456"/>
        <v>0</v>
      </c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</row>
    <row r="215" spans="38:118" x14ac:dyDescent="0.25">
      <c r="AL215" s="75" t="s">
        <v>1358</v>
      </c>
      <c r="AM215" s="74">
        <f>+AV215/$BD$215</f>
        <v>6.1855670103092786E-2</v>
      </c>
      <c r="AN215" s="74">
        <f t="shared" ref="AN215:AU215" si="465">+AW215/$BD$215</f>
        <v>0.13402061855670103</v>
      </c>
      <c r="AO215" s="74">
        <f t="shared" si="465"/>
        <v>0.1134020618556701</v>
      </c>
      <c r="AP215" s="74">
        <f t="shared" si="465"/>
        <v>0.10309278350515463</v>
      </c>
      <c r="AQ215" s="74">
        <f t="shared" si="465"/>
        <v>0.30927835051546393</v>
      </c>
      <c r="AR215" s="74">
        <f t="shared" si="465"/>
        <v>0.19587628865979381</v>
      </c>
      <c r="AS215" s="74">
        <f t="shared" si="465"/>
        <v>7.2164948453608241E-2</v>
      </c>
      <c r="AT215" s="74">
        <f t="shared" si="465"/>
        <v>1.0309278350515464E-2</v>
      </c>
      <c r="AU215" s="74">
        <f t="shared" si="465"/>
        <v>1</v>
      </c>
      <c r="AV215" s="90">
        <f>COUNTIFS('ENCUESTA CONDUCTORES'!$AL$7:$AL$459,"X",'ENCUESTA CONDUCTORES'!$BS$7:$BS$459,"CARRITOS DE GOLF",'ENCUESTA CONDUCTORES'!$AX$7:$AX$459,"&lt;1.6")+COUNTIFS('ENCUESTA CONDUCTORES'!$AL$7:$AL$459,"X",'ENCUESTA CONDUCTORES'!$BS$7:$BS$459,"MERCANCIA SECA",'ENCUESTA CONDUCTORES'!$AX$7:$AX$459,"&lt;1.6")+COUNTIFS('ENCUESTA CONDUCTORES'!$AL$7:$AL$459,"X",'ENCUESTA CONDUCTORES'!$BS$7:$BS$459,"PAPELERIA",'ENCUESTA CONDUCTORES'!$AX$7:$AX$459,"&lt;1.6")+COUNTIFS('ENCUESTA CONDUCTORES'!$AL$7:$AL$459,"X",'ENCUESTA CONDUCTORES'!$BS$7:$BS$459,"GENERAL",'ENCUESTA CONDUCTORES'!$AX$7:$AX$459,"&lt;1.6")+COUNTIFS('ENCUESTA CONDUCTORES'!$AL$7:$AL$459,"X",'ENCUESTA CONDUCTORES'!$BS$7:$BS$459,"MAQUINARIA",'ENCUESTA CONDUCTORES'!$AX$7:$AX$459,"&lt;1.6")+COUNTIFS('ENCUESTA CONDUCTORES'!$AL$7:$AL$459,"X",'ENCUESTA CONDUCTORES'!$BS$7:$BS$459,"CONTENEDOR",'ENCUESTA CONDUCTORES'!$AX$7:$AX$459,"&lt;1.6")+COUNTIFS('ENCUESTA CONDUCTORES'!$AL$7:$AL$459,"X",'ENCUESTA CONDUCTORES'!$BS$7:$BS$459,"MEDICAMENTOS",'ENCUESTA CONDUCTORES'!$AX$7:$AX$459,"&lt;1.6")+COUNTIFS('ENCUESTA CONDUCTORES'!$AL$7:$AL$459,"X",'ENCUESTA CONDUCTORES'!$BS$7:$BS$459,"AGUA POTABLE",'ENCUESTA CONDUCTORES'!$AX$7:$AX$459,"&lt;1.6")+COUNTIFS('ENCUESTA CONDUCTORES'!$AL$7:$AL$459,"X",'ENCUESTA CONDUCTORES'!$BS$7:$BS$459,"MUDANZAS",'ENCUESTA CONDUCTORES'!$AX$7:$AX$459,"&lt;1.6")+COUNTIFS('ENCUESTA CONDUCTORES'!$AL$7:$AL$459,"X",'ENCUESTA CONDUCTORES'!$BS$7:$BS$459,"JABON",'ENCUESTA CONDUCTORES'!$AX$7:$AX$459,"&lt;1.6")+COUNTIFS('ENCUESTA CONDUCTORES'!$AL$7:$AL$459,"X",'ENCUESTA CONDUCTORES'!$BS$7:$BS$459,"ACEITE",'ENCUESTA CONDUCTORES'!$AX$7:$AX$459,"&lt;1.6")+COUNTIFS('ENCUESTA CONDUCTORES'!$AL$7:$AL$459,"X",'ENCUESTA CONDUCTORES'!$BS$7:$BS$459,"POLIETILENO",'ENCUESTA CONDUCTORES'!$AX$7:$AX$459,"&lt;1.6")+COUNTIFS('ENCUESTA CONDUCTORES'!$AL$7:$AL$459,"X",'ENCUESTA CONDUCTORES'!$BS$7:$BS$459,"ELECTRODOMÉSTICOS",'ENCUESTA CONDUCTORES'!$AX$7:$AX$459,"&lt;1.6")+COUNTIFS('ENCUESTA CONDUCTORES'!$AL$7:$AL$459,"X",'ENCUESTA CONDUCTORES'!$BS$7:$BS$459,"MUEBLES",'ENCUESTA CONDUCTORES'!$AX$7:$AX$459,"&lt;1.6")+COUNTIFS('ENCUESTA CONDUCTORES'!$AL$7:$AL$459,"X",'ENCUESTA CONDUCTORES'!$BS$7:$BS$459,"CHATARRA",'ENCUESTA CONDUCTORES'!$AX$7:$AX$459,"&lt;1.6")+COUNTIFS('ENCUESTA CONDUCTORES'!$AL$7:$AL$459,"X",'ENCUESTA CONDUCTORES'!$BS$7:$BS$459,"LLANTAS",'ENCUESTA CONDUCTORES'!$AX$7:$AX$459,"&lt;1.6")+COUNTIFS('ENCUESTA CONDUCTORES'!$AL$7:$AL$459,"X",'ENCUESTA CONDUCTORES'!$BS$7:$BS$459,"AGUA",'ENCUESTA CONDUCTORES'!$AX$7:$AX$459,"&lt;1.6")+COUNTIFS('ENCUESTA CONDUCTORES'!$AL$7:$AL$459,"X",'ENCUESTA CONDUCTORES'!$BS$7:$BS$459,"ANIMALES",'ENCUESTA CONDUCTORES'!$AX$7:$AX$459,"&lt;1.6")+COUNTIFS('ENCUESTA CONDUCTORES'!$AL$7:$AL$459,"X",'ENCUESTA CONDUCTORES'!$BS$7:$BS$459,"TV REFRIGERADORES",'ENCUESTA CONDUCTORES'!$AX$7:$AX$459,"&lt;1.6")+COUNTIFS('ENCUESTA CONDUCTORES'!$AL$7:$AL$459,"X",'ENCUESTA CONDUCTORES'!$BS$7:$BS$459,"LÍNEA BLANCA",'ENCUESTA CONDUCTORES'!$AX$7:$AX$459,"&lt;1.6")+COUNTIFS('ENCUESTA CONDUCTORES'!$AL$7:$AL$459,"X",'ENCUESTA CONDUCTORES'!$BS$7:$BS$459,"IMPORTACIÓN / EXPORTACIÓN",'ENCUESTA CONDUCTORES'!$AX$7:$AX$459,"&lt;1.6")+COUNTIFS('ENCUESTA CONDUCTORES'!$AL$7:$AL$459,"X",'ENCUESTA CONDUCTORES'!$BS$7:$BS$459,"PLASTICO",'ENCUESTA CONDUCTORES'!$AX$7:$AX$459,"&lt;1.6")+COUNTIFS('ENCUESTA CONDUCTORES'!$AL$7:$AL$459,"X",'ENCUESTA CONDUCTORES'!$BS$7:$BS$459,"ROPA",'ENCUESTA CONDUCTORES'!$AX$7:$AX$459,"&lt;1.6")+COUNTIFS('ENCUESTA CONDUCTORES'!$AL$7:$AL$459,"X",'ENCUESTA CONDUCTORES'!$BS$7:$BS$459,"CHATARRA",'ENCUESTA CONDUCTORES'!$AX$7:$AX$459,"&lt;1.6")+COUNTIFS('ENCUESTA CONDUCTORES'!$AL$7:$AL$459,"X",'ENCUESTA CONDUCTORES'!$BS$7:$BS$459,"MEDICAMENTO NUTRICIONAL",'ENCUESTA CONDUCTORES'!$AX$7:$AX$459,"&lt;1.6")+COUNTIFS('ENCUESTA CONDUCTORES'!$AL$7:$AL$459,"X",'ENCUESTA CONDUCTORES'!$BS$7:$BS$459,"PRODUCTOS DE BELLEZA",'ENCUESTA CONDUCTORES'!$AX$7:$AX$459,"&lt;1.6")+COUNTIFS('ENCUESTA CONDUCTORES'!$AL$7:$AL$459,"X",'ENCUESTA CONDUCTORES'!$BS$7:$BS$459,"FORRAJE",'ENCUESTA CONDUCTORES'!$AX$7:$AX$459,"&lt;1.6")+COUNTIFS('ENCUESTA CONDUCTORES'!$AL$7:$AL$459,"X",'ENCUESTA CONDUCTORES'!$BS$7:$BS$459,"VALORES",'ENCUESTA CONDUCTORES'!$AX$7:$AX$459,"&lt;1.6")+COUNTIFS('ENCUESTA CONDUCTORES'!$AL$7:$AL$459,"X",'ENCUESTA CONDUCTORES'!$BS$7:$BS$459,"PAQUETERIA",'ENCUESTA CONDUCTORES'!$AX$7:$AX$459,"&lt;1.6")+COUNTIFS('ENCUESTA CONDUCTORES'!$AL$7:$AL$459,"X",'ENCUESTA CONDUCTORES'!$BS$7:$BS$459,"SECOS",'ENCUESTA CONDUCTORES'!$AX$7:$AX$459,"&lt;1.6")+COUNTIFS('ENCUESTA CONDUCTORES'!$AL$7:$AL$459,"X",'ENCUESTA CONDUCTORES'!$BS$7:$BS$459,"PANTALLAS",'ENCUESTA CONDUCTORES'!$AX$7:$AX$459,"&lt;1.6")+COUNTIFS('ENCUESTA CONDUCTORES'!$AL$7:$AL$459,"X",'ENCUESTA CONDUCTORES'!$BS$7:$BS$459,"BOTELLAS",'ENCUESTA CONDUCTORES'!$AX$7:$AX$459,"&lt;1.6")+COUNTIFS('ENCUESTA CONDUCTORES'!$AL$7:$AL$459,"X",'ENCUESTA CONDUCTORES'!$BS$7:$BS$459,"PRODUCTOS DE HIGIENE PERSONAL",'ENCUESTA CONDUCTORES'!$AX$7:$AX$459,"&lt;1.6")+COUNTIFS('ENCUESTA CONDUCTORES'!$AL$7:$AL$459,"X",'ENCUESTA CONDUCTORES'!$BS$7:$BS$459,"ELECTRONICA, LINEA BLANCA",'ENCUESTA CONDUCTORES'!$AX$7:$AX$459,"&lt;1.6")+COUNTIFS('ENCUESTA CONDUCTORES'!$AL$7:$AL$459,"X",'ENCUESTA CONDUCTORES'!$BS$7:$BS$459,"CONTENEDORES",'ENCUESTA CONDUCTORES'!$AX$7:$AX$459,"&lt;1.6")</f>
        <v>6</v>
      </c>
      <c r="AW215" s="90">
        <f>COUNTIFS('ENCUESTA CONDUCTORES'!$AL$7:$AL$459,"X",'ENCUESTA CONDUCTORES'!$BS$7:$BS$459,"CARRITOS DE GOLF",'ENCUESTA CONDUCTORES'!$AX$7:$AX$459,"&lt;1.91")+COUNTIFS('ENCUESTA CONDUCTORES'!$AL$7:$AL$459,"X",'ENCUESTA CONDUCTORES'!$BS$7:$BS$459,"MERCANCIA SECA",'ENCUESTA CONDUCTORES'!$AX$7:$AX$459,"&lt;1.91")+COUNTIFS('ENCUESTA CONDUCTORES'!$AL$7:$AL$459,"X",'ENCUESTA CONDUCTORES'!$BS$7:$BS$459,"PAPELERIA",'ENCUESTA CONDUCTORES'!$AX$7:$AX$459,"&lt;1.91")+COUNTIFS('ENCUESTA CONDUCTORES'!$AL$7:$AL$459,"X",'ENCUESTA CONDUCTORES'!$BS$7:$BS$459,"GENERAL",'ENCUESTA CONDUCTORES'!$AX$7:$AX$459,"&lt;1.91")+COUNTIFS('ENCUESTA CONDUCTORES'!$AL$7:$AL$459,"X",'ENCUESTA CONDUCTORES'!$BS$7:$BS$459,"MAQUINARIA",'ENCUESTA CONDUCTORES'!$AX$7:$AX$459,"&lt;1.91")+COUNTIFS('ENCUESTA CONDUCTORES'!$AL$7:$AL$459,"X",'ENCUESTA CONDUCTORES'!$BS$7:$BS$459,"CONTENEDOR",'ENCUESTA CONDUCTORES'!$AX$7:$AX$459,"&lt;1.91")+COUNTIFS('ENCUESTA CONDUCTORES'!$AL$7:$AL$459,"X",'ENCUESTA CONDUCTORES'!$BS$7:$BS$459,"MEDICAMENTOS",'ENCUESTA CONDUCTORES'!$AX$7:$AX$459,"&lt;1.91")+COUNTIFS('ENCUESTA CONDUCTORES'!$AL$7:$AL$459,"X",'ENCUESTA CONDUCTORES'!$BS$7:$BS$459,"AGUA POTABLE",'ENCUESTA CONDUCTORES'!$AX$7:$AX$459,"&lt;1.91")+COUNTIFS('ENCUESTA CONDUCTORES'!$AL$7:$AL$459,"X",'ENCUESTA CONDUCTORES'!$BS$7:$BS$459,"MUDANZAS",'ENCUESTA CONDUCTORES'!$AX$7:$AX$459,"&lt;1.91")+COUNTIFS('ENCUESTA CONDUCTORES'!$AL$7:$AL$459,"X",'ENCUESTA CONDUCTORES'!$BS$7:$BS$459,"JABON",'ENCUESTA CONDUCTORES'!$AX$7:$AX$459,"&lt;1.91")+COUNTIFS('ENCUESTA CONDUCTORES'!$AL$7:$AL$459,"X",'ENCUESTA CONDUCTORES'!$BS$7:$BS$459,"ACEITE",'ENCUESTA CONDUCTORES'!$AX$7:$AX$459,"&lt;1.91")+COUNTIFS('ENCUESTA CONDUCTORES'!$AL$7:$AL$459,"X",'ENCUESTA CONDUCTORES'!$BS$7:$BS$459,"POLIETILENO",'ENCUESTA CONDUCTORES'!$AX$7:$AX$459,"&lt;1.91")+COUNTIFS('ENCUESTA CONDUCTORES'!$AL$7:$AL$459,"X",'ENCUESTA CONDUCTORES'!$BS$7:$BS$459,"ELECTRODOMÉSTICOS",'ENCUESTA CONDUCTORES'!$AX$7:$AX$459,"&lt;1.91")+COUNTIFS('ENCUESTA CONDUCTORES'!$AL$7:$AL$459,"X",'ENCUESTA CONDUCTORES'!$BS$7:$BS$459,"MUEBLES",'ENCUESTA CONDUCTORES'!$AX$7:$AX$459,"&lt;1.91")+COUNTIFS('ENCUESTA CONDUCTORES'!$AL$7:$AL$459,"X",'ENCUESTA CONDUCTORES'!$BS$7:$BS$459,"CHATARRA",'ENCUESTA CONDUCTORES'!$AX$7:$AX$459,"&lt;1.91")+COUNTIFS('ENCUESTA CONDUCTORES'!$AL$7:$AL$459,"X",'ENCUESTA CONDUCTORES'!$BS$7:$BS$459,"LLANTAS",'ENCUESTA CONDUCTORES'!$AX$7:$AX$459,"&lt;1.91")+COUNTIFS('ENCUESTA CONDUCTORES'!$AL$7:$AL$459,"X",'ENCUESTA CONDUCTORES'!$BS$7:$BS$459,"AGUA",'ENCUESTA CONDUCTORES'!$AX$7:$AX$459,"&lt;1.91")+COUNTIFS('ENCUESTA CONDUCTORES'!$AL$7:$AL$459,"X",'ENCUESTA CONDUCTORES'!$BS$7:$BS$459,"ANIMALES",'ENCUESTA CONDUCTORES'!$AX$7:$AX$459,"&lt;1.91")+COUNTIFS('ENCUESTA CONDUCTORES'!$AL$7:$AL$459,"X",'ENCUESTA CONDUCTORES'!$BS$7:$BS$459,"TV REFRIGERADORES",'ENCUESTA CONDUCTORES'!$AX$7:$AX$459,"&lt;1.91")+COUNTIFS('ENCUESTA CONDUCTORES'!$AL$7:$AL$459,"X",'ENCUESTA CONDUCTORES'!$BS$7:$BS$459,"LÍNEA BLANCA",'ENCUESTA CONDUCTORES'!$AX$7:$AX$459,"&lt;1.91")+COUNTIFS('ENCUESTA CONDUCTORES'!$AL$7:$AL$459,"X",'ENCUESTA CONDUCTORES'!$BS$7:$BS$459,"IMPORTACIÓN / EXPORTACIÓN",'ENCUESTA CONDUCTORES'!$AX$7:$AX$459,"&lt;1.91")+COUNTIFS('ENCUESTA CONDUCTORES'!$AL$7:$AL$459,"X",'ENCUESTA CONDUCTORES'!$BS$7:$BS$459,"PLASTICO",'ENCUESTA CONDUCTORES'!$AX$7:$AX$459,"&lt;1.91")+COUNTIFS('ENCUESTA CONDUCTORES'!$AL$7:$AL$459,"X",'ENCUESTA CONDUCTORES'!$BS$7:$BS$459,"ROPA",'ENCUESTA CONDUCTORES'!$AX$7:$AX$459,"&lt;1.91")+COUNTIFS('ENCUESTA CONDUCTORES'!$AL$7:$AL$459,"X",'ENCUESTA CONDUCTORES'!$BS$7:$BS$459,"CHATARRA",'ENCUESTA CONDUCTORES'!$AX$7:$AX$459,"&lt;1.91")+COUNTIFS('ENCUESTA CONDUCTORES'!$AL$7:$AL$459,"X",'ENCUESTA CONDUCTORES'!$BS$7:$BS$459,"MEDICAMENTO NUTRICIONAL",'ENCUESTA CONDUCTORES'!$AX$7:$AX$459,"&lt;1.91")+COUNTIFS('ENCUESTA CONDUCTORES'!$AL$7:$AL$459,"X",'ENCUESTA CONDUCTORES'!$BS$7:$BS$459,"PRODUCTOS DE BELLEZA",'ENCUESTA CONDUCTORES'!$AX$7:$AX$459,"&lt;1.91")+COUNTIFS('ENCUESTA CONDUCTORES'!$AL$7:$AL$459,"X",'ENCUESTA CONDUCTORES'!$BS$7:$BS$459,"FORRAJE",'ENCUESTA CONDUCTORES'!$AX$7:$AX$459,"&lt;1.91")+COUNTIFS('ENCUESTA CONDUCTORES'!$AL$7:$AL$459,"X",'ENCUESTA CONDUCTORES'!$BS$7:$BS$459,"VALORES",'ENCUESTA CONDUCTORES'!$AX$7:$AX$459,"&lt;1.91")+COUNTIFS('ENCUESTA CONDUCTORES'!$AL$7:$AL$459,"X",'ENCUESTA CONDUCTORES'!$BS$7:$BS$459,"PAQUETERIA",'ENCUESTA CONDUCTORES'!$AX$7:$AX$459,"&lt;1.91")+COUNTIFS('ENCUESTA CONDUCTORES'!$AL$7:$AL$459,"X",'ENCUESTA CONDUCTORES'!$BS$7:$BS$459,"SECOS",'ENCUESTA CONDUCTORES'!$AX$7:$AX$459,"&lt;1.91")+COUNTIFS('ENCUESTA CONDUCTORES'!$AL$7:$AL$459,"X",'ENCUESTA CONDUCTORES'!$BS$7:$BS$459,"PANTALLAS",'ENCUESTA CONDUCTORES'!$AX$7:$AX$459,"&lt;1.91")+COUNTIFS('ENCUESTA CONDUCTORES'!$AL$7:$AL$459,"X",'ENCUESTA CONDUCTORES'!$BS$7:$BS$459,"BOTELLAS",'ENCUESTA CONDUCTORES'!$AX$7:$AX$459,"&lt;1.91")+COUNTIFS('ENCUESTA CONDUCTORES'!$AL$7:$AL$459,"X",'ENCUESTA CONDUCTORES'!$BS$7:$BS$459,"PRODUCTOS DE HIGIENE PERSONAL",'ENCUESTA CONDUCTORES'!$AX$7:$AX$459,"&lt;1.91")+COUNTIFS('ENCUESTA CONDUCTORES'!$AL$7:$AL$459,"X",'ENCUESTA CONDUCTORES'!$BS$7:$BS$459,"ELECTRONICA, LINEA BLANCA",'ENCUESTA CONDUCTORES'!$AX$7:$AX$459,"&lt;1.91")+COUNTIFS('ENCUESTA CONDUCTORES'!$AL$7:$AL$459,"X",'ENCUESTA CONDUCTORES'!$BS$7:$BS$459,"CONTENEDORES",'ENCUESTA CONDUCTORES'!$AX$7:$AX$459,"&lt;1.91")-AV215</f>
        <v>13</v>
      </c>
      <c r="AX215" s="90">
        <f>COUNTIFS('ENCUESTA CONDUCTORES'!$AL$7:$AL$459,"X",'ENCUESTA CONDUCTORES'!$BS$7:$BS$459,"CARRITOS DE GOLF",'ENCUESTA CONDUCTORES'!$AX$7:$AX$459,"&lt;2.01")+COUNTIFS('ENCUESTA CONDUCTORES'!$AL$7:$AL$459,"X",'ENCUESTA CONDUCTORES'!$BS$7:$BS$459,"MERCANCIA SECA",'ENCUESTA CONDUCTORES'!$AX$7:$AX$459,"&lt;2.01")+COUNTIFS('ENCUESTA CONDUCTORES'!$AL$7:$AL$459,"X",'ENCUESTA CONDUCTORES'!$BS$7:$BS$459,"PAPELERIA",'ENCUESTA CONDUCTORES'!$AX$7:$AX$459,"&lt;2.01")+COUNTIFS('ENCUESTA CONDUCTORES'!$AL$7:$AL$459,"X",'ENCUESTA CONDUCTORES'!$BS$7:$BS$459,"GENERAL",'ENCUESTA CONDUCTORES'!$AX$7:$AX$459,"&lt;2.01")+COUNTIFS('ENCUESTA CONDUCTORES'!$AL$7:$AL$459,"X",'ENCUESTA CONDUCTORES'!$BS$7:$BS$459,"MAQUINARIA",'ENCUESTA CONDUCTORES'!$AX$7:$AX$459,"&lt;2.01")+COUNTIFS('ENCUESTA CONDUCTORES'!$AL$7:$AL$459,"X",'ENCUESTA CONDUCTORES'!$BS$7:$BS$459,"CONTENEDOR",'ENCUESTA CONDUCTORES'!$AX$7:$AX$459,"&lt;2.01")+COUNTIFS('ENCUESTA CONDUCTORES'!$AL$7:$AL$459,"X",'ENCUESTA CONDUCTORES'!$BS$7:$BS$459,"MEDICAMENTOS",'ENCUESTA CONDUCTORES'!$AX$7:$AX$459,"&lt;2.01")+COUNTIFS('ENCUESTA CONDUCTORES'!$AL$7:$AL$459,"X",'ENCUESTA CONDUCTORES'!$BS$7:$BS$459,"AGUA POTABLE",'ENCUESTA CONDUCTORES'!$AX$7:$AX$459,"&lt;2.01")+COUNTIFS('ENCUESTA CONDUCTORES'!$AL$7:$AL$459,"X",'ENCUESTA CONDUCTORES'!$BS$7:$BS$459,"MUDANZAS",'ENCUESTA CONDUCTORES'!$AX$7:$AX$459,"&lt;2.01")+COUNTIFS('ENCUESTA CONDUCTORES'!$AL$7:$AL$459,"X",'ENCUESTA CONDUCTORES'!$BS$7:$BS$459,"JABON",'ENCUESTA CONDUCTORES'!$AX$7:$AX$459,"&lt;2.01")+COUNTIFS('ENCUESTA CONDUCTORES'!$AL$7:$AL$459,"X",'ENCUESTA CONDUCTORES'!$BS$7:$BS$459,"ACEITE",'ENCUESTA CONDUCTORES'!$AX$7:$AX$459,"&lt;2.01")+COUNTIFS('ENCUESTA CONDUCTORES'!$AL$7:$AL$459,"X",'ENCUESTA CONDUCTORES'!$BS$7:$BS$459,"POLIETILENO",'ENCUESTA CONDUCTORES'!$AX$7:$AX$459,"&lt;2.01")+COUNTIFS('ENCUESTA CONDUCTORES'!$AL$7:$AL$459,"X",'ENCUESTA CONDUCTORES'!$BS$7:$BS$459,"ELECTRODOMÉSTICOS",'ENCUESTA CONDUCTORES'!$AX$7:$AX$459,"&lt;2.01")+COUNTIFS('ENCUESTA CONDUCTORES'!$AL$7:$AL$459,"X",'ENCUESTA CONDUCTORES'!$BS$7:$BS$459,"MUEBLES",'ENCUESTA CONDUCTORES'!$AX$7:$AX$459,"&lt;2.01")+COUNTIFS('ENCUESTA CONDUCTORES'!$AL$7:$AL$459,"X",'ENCUESTA CONDUCTORES'!$BS$7:$BS$459,"CHATARRA",'ENCUESTA CONDUCTORES'!$AX$7:$AX$459,"&lt;2.01")+COUNTIFS('ENCUESTA CONDUCTORES'!$AL$7:$AL$459,"X",'ENCUESTA CONDUCTORES'!$BS$7:$BS$459,"LLANTAS",'ENCUESTA CONDUCTORES'!$AX$7:$AX$459,"&lt;2.01")+COUNTIFS('ENCUESTA CONDUCTORES'!$AL$7:$AL$459,"X",'ENCUESTA CONDUCTORES'!$BS$7:$BS$459,"AGUA",'ENCUESTA CONDUCTORES'!$AX$7:$AX$459,"&lt;2.01")+COUNTIFS('ENCUESTA CONDUCTORES'!$AL$7:$AL$459,"X",'ENCUESTA CONDUCTORES'!$BS$7:$BS$459,"ANIMALES",'ENCUESTA CONDUCTORES'!$AX$7:$AX$459,"&lt;2.01")+COUNTIFS('ENCUESTA CONDUCTORES'!$AL$7:$AL$459,"X",'ENCUESTA CONDUCTORES'!$BS$7:$BS$459,"TV REFRIGERADORES",'ENCUESTA CONDUCTORES'!$AX$7:$AX$459,"&lt;2.01")+COUNTIFS('ENCUESTA CONDUCTORES'!$AL$7:$AL$459,"X",'ENCUESTA CONDUCTORES'!$BS$7:$BS$459,"LÍNEA BLANCA",'ENCUESTA CONDUCTORES'!$AX$7:$AX$459,"&lt;2.01")+COUNTIFS('ENCUESTA CONDUCTORES'!$AL$7:$AL$459,"X",'ENCUESTA CONDUCTORES'!$BS$7:$BS$459,"IMPORTACIÓN / EXPORTACIÓN",'ENCUESTA CONDUCTORES'!$AX$7:$AX$459,"&lt;2.01")+COUNTIFS('ENCUESTA CONDUCTORES'!$AL$7:$AL$459,"X",'ENCUESTA CONDUCTORES'!$BS$7:$BS$459,"PLASTICO",'ENCUESTA CONDUCTORES'!$AX$7:$AX$459,"&lt;2.01")+COUNTIFS('ENCUESTA CONDUCTORES'!$AL$7:$AL$459,"X",'ENCUESTA CONDUCTORES'!$BS$7:$BS$459,"ROPA",'ENCUESTA CONDUCTORES'!$AX$7:$AX$459,"&lt;2.01")+COUNTIFS('ENCUESTA CONDUCTORES'!$AL$7:$AL$459,"X",'ENCUESTA CONDUCTORES'!$BS$7:$BS$459,"CHATARRA",'ENCUESTA CONDUCTORES'!$AX$7:$AX$459,"&lt;2.01")+COUNTIFS('ENCUESTA CONDUCTORES'!$AL$7:$AL$459,"X",'ENCUESTA CONDUCTORES'!$BS$7:$BS$459,"MEDICAMENTO NUTRICIONAL",'ENCUESTA CONDUCTORES'!$AX$7:$AX$459,"&lt;2.01")+COUNTIFS('ENCUESTA CONDUCTORES'!$AL$7:$AL$459,"X",'ENCUESTA CONDUCTORES'!$BS$7:$BS$459,"PRODUCTOS DE BELLEZA",'ENCUESTA CONDUCTORES'!$AX$7:$AX$459,"&lt;2.01")+COUNTIFS('ENCUESTA CONDUCTORES'!$AL$7:$AL$459,"X",'ENCUESTA CONDUCTORES'!$BS$7:$BS$459,"FORRAJE",'ENCUESTA CONDUCTORES'!$AX$7:$AX$459,"&lt;2.01")+COUNTIFS('ENCUESTA CONDUCTORES'!$AL$7:$AL$459,"X",'ENCUESTA CONDUCTORES'!$BS$7:$BS$459,"VALORES",'ENCUESTA CONDUCTORES'!$AX$7:$AX$459,"&lt;2.01")+COUNTIFS('ENCUESTA CONDUCTORES'!$AL$7:$AL$459,"X",'ENCUESTA CONDUCTORES'!$BS$7:$BS$459,"PAQUETERIA",'ENCUESTA CONDUCTORES'!$AX$7:$AX$459,"&lt;2.01")+COUNTIFS('ENCUESTA CONDUCTORES'!$AL$7:$AL$459,"X",'ENCUESTA CONDUCTORES'!$BS$7:$BS$459,"SECOS",'ENCUESTA CONDUCTORES'!$AX$7:$AX$459,"&lt;2.01")+COUNTIFS('ENCUESTA CONDUCTORES'!$AL$7:$AL$459,"X",'ENCUESTA CONDUCTORES'!$BS$7:$BS$459,"PANTALLAS",'ENCUESTA CONDUCTORES'!$AX$7:$AX$459,"&lt;2.01")+COUNTIFS('ENCUESTA CONDUCTORES'!$AL$7:$AL$459,"X",'ENCUESTA CONDUCTORES'!$BS$7:$BS$459,"BOTELLAS",'ENCUESTA CONDUCTORES'!$AX$7:$AX$459,"&lt;2.01")+COUNTIFS('ENCUESTA CONDUCTORES'!$AL$7:$AL$459,"X",'ENCUESTA CONDUCTORES'!$BS$7:$BS$459,"PRODUCTOS DE HIGIENE PERSONAL",'ENCUESTA CONDUCTORES'!$AX$7:$AX$459,"&lt;2.01")+COUNTIFS('ENCUESTA CONDUCTORES'!$AL$7:$AL$459,"X",'ENCUESTA CONDUCTORES'!$BS$7:$BS$459,"ELECTRONICA, LINEA BLANCA",'ENCUESTA CONDUCTORES'!$AX$7:$AX$459,"&lt;2.01")+COUNTIFS('ENCUESTA CONDUCTORES'!$AL$7:$AL$459,"X",'ENCUESTA CONDUCTORES'!$BS$7:$BS$459,"CONTENEDORES",'ENCUESTA CONDUCTORES'!$AX$7:$AX$459,"&lt;2.01")-AW215-AV215</f>
        <v>11</v>
      </c>
      <c r="AY215" s="90">
        <f>COUNTIFS('ENCUESTA CONDUCTORES'!$AL$7:$AL$459,"X",'ENCUESTA CONDUCTORES'!$BS$7:$BS$459,"CARRITOS DE GOLF",'ENCUESTA CONDUCTORES'!$AX$7:$AX$459,"&lt;2.21")+COUNTIFS('ENCUESTA CONDUCTORES'!$AL$7:$AL$459,"X",'ENCUESTA CONDUCTORES'!$BS$7:$BS$459,"MERCANCIA SECA",'ENCUESTA CONDUCTORES'!$AX$7:$AX$459,"&lt;2.21")+COUNTIFS('ENCUESTA CONDUCTORES'!$AL$7:$AL$459,"X",'ENCUESTA CONDUCTORES'!$BS$7:$BS$459,"PAPELERIA",'ENCUESTA CONDUCTORES'!$AX$7:$AX$459,"&lt;2.21")+COUNTIFS('ENCUESTA CONDUCTORES'!$AL$7:$AL$459,"X",'ENCUESTA CONDUCTORES'!$BS$7:$BS$459,"GENERAL",'ENCUESTA CONDUCTORES'!$AX$7:$AX$459,"&lt;2.21")+COUNTIFS('ENCUESTA CONDUCTORES'!$AL$7:$AL$459,"X",'ENCUESTA CONDUCTORES'!$BS$7:$BS$459,"MAQUINARIA",'ENCUESTA CONDUCTORES'!$AX$7:$AX$459,"&lt;2.21")+COUNTIFS('ENCUESTA CONDUCTORES'!$AL$7:$AL$459,"X",'ENCUESTA CONDUCTORES'!$BS$7:$BS$459,"CONTENEDOR",'ENCUESTA CONDUCTORES'!$AX$7:$AX$459,"&lt;2.21")+COUNTIFS('ENCUESTA CONDUCTORES'!$AL$7:$AL$459,"X",'ENCUESTA CONDUCTORES'!$BS$7:$BS$459,"MEDICAMENTOS",'ENCUESTA CONDUCTORES'!$AX$7:$AX$459,"&lt;2.21")+COUNTIFS('ENCUESTA CONDUCTORES'!$AL$7:$AL$459,"X",'ENCUESTA CONDUCTORES'!$BS$7:$BS$459,"AGUA POTABLE",'ENCUESTA CONDUCTORES'!$AX$7:$AX$459,"&lt;2.21")+COUNTIFS('ENCUESTA CONDUCTORES'!$AL$7:$AL$459,"X",'ENCUESTA CONDUCTORES'!$BS$7:$BS$459,"MUDANZAS",'ENCUESTA CONDUCTORES'!$AX$7:$AX$459,"&lt;2.21")+COUNTIFS('ENCUESTA CONDUCTORES'!$AL$7:$AL$459,"X",'ENCUESTA CONDUCTORES'!$BS$7:$BS$459,"JABON",'ENCUESTA CONDUCTORES'!$AX$7:$AX$459,"&lt;2.21")+COUNTIFS('ENCUESTA CONDUCTORES'!$AL$7:$AL$459,"X",'ENCUESTA CONDUCTORES'!$BS$7:$BS$459,"ACEITE",'ENCUESTA CONDUCTORES'!$AX$7:$AX$459,"&lt;2.21")+COUNTIFS('ENCUESTA CONDUCTORES'!$AL$7:$AL$459,"X",'ENCUESTA CONDUCTORES'!$BS$7:$BS$459,"POLIETILENO",'ENCUESTA CONDUCTORES'!$AX$7:$AX$459,"&lt;2.21")+COUNTIFS('ENCUESTA CONDUCTORES'!$AL$7:$AL$459,"X",'ENCUESTA CONDUCTORES'!$BS$7:$BS$459,"ELECTRODOMÉSTICOS",'ENCUESTA CONDUCTORES'!$AX$7:$AX$459,"&lt;2.21")+COUNTIFS('ENCUESTA CONDUCTORES'!$AL$7:$AL$459,"X",'ENCUESTA CONDUCTORES'!$BS$7:$BS$459,"MUEBLES",'ENCUESTA CONDUCTORES'!$AX$7:$AX$459,"&lt;2.21")+COUNTIFS('ENCUESTA CONDUCTORES'!$AL$7:$AL$459,"X",'ENCUESTA CONDUCTORES'!$BS$7:$BS$459,"CHATARRA",'ENCUESTA CONDUCTORES'!$AX$7:$AX$459,"&lt;2.21")+COUNTIFS('ENCUESTA CONDUCTORES'!$AL$7:$AL$459,"X",'ENCUESTA CONDUCTORES'!$BS$7:$BS$459,"LLANTAS",'ENCUESTA CONDUCTORES'!$AX$7:$AX$459,"&lt;2.21")+COUNTIFS('ENCUESTA CONDUCTORES'!$AL$7:$AL$459,"X",'ENCUESTA CONDUCTORES'!$BS$7:$BS$459,"AGUA",'ENCUESTA CONDUCTORES'!$AX$7:$AX$459,"&lt;2.21")+COUNTIFS('ENCUESTA CONDUCTORES'!$AL$7:$AL$459,"X",'ENCUESTA CONDUCTORES'!$BS$7:$BS$459,"ANIMALES",'ENCUESTA CONDUCTORES'!$AX$7:$AX$459,"&lt;2.21")+COUNTIFS('ENCUESTA CONDUCTORES'!$AL$7:$AL$459,"X",'ENCUESTA CONDUCTORES'!$BS$7:$BS$459,"TV REFRIGERADORES",'ENCUESTA CONDUCTORES'!$AX$7:$AX$459,"&lt;2.21")+COUNTIFS('ENCUESTA CONDUCTORES'!$AL$7:$AL$459,"X",'ENCUESTA CONDUCTORES'!$BS$7:$BS$459,"LÍNEA BLANCA",'ENCUESTA CONDUCTORES'!$AX$7:$AX$459,"&lt;2.21")+COUNTIFS('ENCUESTA CONDUCTORES'!$AL$7:$AL$459,"X",'ENCUESTA CONDUCTORES'!$BS$7:$BS$459,"IMPORTACIÓN / EXPORTACIÓN",'ENCUESTA CONDUCTORES'!$AX$7:$AX$459,"&lt;2.21")+COUNTIFS('ENCUESTA CONDUCTORES'!$AL$7:$AL$459,"X",'ENCUESTA CONDUCTORES'!$BS$7:$BS$459,"PLASTICO",'ENCUESTA CONDUCTORES'!$AX$7:$AX$459,"&lt;2.21")+COUNTIFS('ENCUESTA CONDUCTORES'!$AL$7:$AL$459,"X",'ENCUESTA CONDUCTORES'!$BS$7:$BS$459,"ROPA",'ENCUESTA CONDUCTORES'!$AX$7:$AX$459,"&lt;2.21")+COUNTIFS('ENCUESTA CONDUCTORES'!$AL$7:$AL$459,"X",'ENCUESTA CONDUCTORES'!$BS$7:$BS$459,"CHATARRA",'ENCUESTA CONDUCTORES'!$AX$7:$AX$459,"&lt;2.21")+COUNTIFS('ENCUESTA CONDUCTORES'!$AL$7:$AL$459,"X",'ENCUESTA CONDUCTORES'!$BS$7:$BS$459,"MEDICAMENTO NUTRICIONAL",'ENCUESTA CONDUCTORES'!$AX$7:$AX$459,"&lt;2.21")+COUNTIFS('ENCUESTA CONDUCTORES'!$AL$7:$AL$459,"X",'ENCUESTA CONDUCTORES'!$BS$7:$BS$459,"PRODUCTOS DE BELLEZA",'ENCUESTA CONDUCTORES'!$AX$7:$AX$459,"&lt;2.21")+COUNTIFS('ENCUESTA CONDUCTORES'!$AL$7:$AL$459,"X",'ENCUESTA CONDUCTORES'!$BS$7:$BS$459,"FORRAJE",'ENCUESTA CONDUCTORES'!$AX$7:$AX$459,"&lt;2.21")+COUNTIFS('ENCUESTA CONDUCTORES'!$AL$7:$AL$459,"X",'ENCUESTA CONDUCTORES'!$BS$7:$BS$459,"VALORES",'ENCUESTA CONDUCTORES'!$AX$7:$AX$459,"&lt;2.21")+COUNTIFS('ENCUESTA CONDUCTORES'!$AL$7:$AL$459,"X",'ENCUESTA CONDUCTORES'!$BS$7:$BS$459,"PAQUETERIA",'ENCUESTA CONDUCTORES'!$AX$7:$AX$459,"&lt;2.21")+COUNTIFS('ENCUESTA CONDUCTORES'!$AL$7:$AL$459,"X",'ENCUESTA CONDUCTORES'!$BS$7:$BS$459,"SECOS",'ENCUESTA CONDUCTORES'!$AX$7:$AX$459,"&lt;2.21")+COUNTIFS('ENCUESTA CONDUCTORES'!$AL$7:$AL$459,"X",'ENCUESTA CONDUCTORES'!$BS$7:$BS$459,"PANTALLAS",'ENCUESTA CONDUCTORES'!$AX$7:$AX$459,"&lt;2.21")+COUNTIFS('ENCUESTA CONDUCTORES'!$AL$7:$AL$459,"X",'ENCUESTA CONDUCTORES'!$BS$7:$BS$459,"BOTELLAS",'ENCUESTA CONDUCTORES'!$AX$7:$AX$459,"&lt;2.21")+COUNTIFS('ENCUESTA CONDUCTORES'!$AL$7:$AL$459,"X",'ENCUESTA CONDUCTORES'!$BS$7:$BS$459,"PRODUCTOS DE HIGIENE PERSONAL",'ENCUESTA CONDUCTORES'!$AX$7:$AX$459,"&lt;2.21")+COUNTIFS('ENCUESTA CONDUCTORES'!$AL$7:$AL$459,"X",'ENCUESTA CONDUCTORES'!$BS$7:$BS$459,"ELECTRONICA, LINEA BLANCA",'ENCUESTA CONDUCTORES'!$AX$7:$AX$459,"&lt;2.21")+COUNTIFS('ENCUESTA CONDUCTORES'!$AL$7:$AL$459,"X",'ENCUESTA CONDUCTORES'!$BS$7:$BS$459,"CONTENEDORES",'ENCUESTA CONDUCTORES'!$AX$7:$AX$459,"&lt;2.21")-AX215-AW215-AV215</f>
        <v>10</v>
      </c>
      <c r="AZ215" s="90">
        <f>COUNTIFS('ENCUESTA CONDUCTORES'!$AL$7:$AL$459,"X",'ENCUESTA CONDUCTORES'!$BS$7:$BS$459,"CARRITOS DE GOLF",'ENCUESTA CONDUCTORES'!$AX$7:$AX$459,"&lt;2.51")+COUNTIFS('ENCUESTA CONDUCTORES'!$AL$7:$AL$459,"X",'ENCUESTA CONDUCTORES'!$BS$7:$BS$459,"MERCANCIA SECA",'ENCUESTA CONDUCTORES'!$AX$7:$AX$459,"&lt;2.51")+COUNTIFS('ENCUESTA CONDUCTORES'!$AL$7:$AL$459,"X",'ENCUESTA CONDUCTORES'!$BS$7:$BS$459,"PAPELERIA",'ENCUESTA CONDUCTORES'!$AX$7:$AX$459,"&lt;2.51")+COUNTIFS('ENCUESTA CONDUCTORES'!$AL$7:$AL$459,"X",'ENCUESTA CONDUCTORES'!$BS$7:$BS$459,"GENERAL",'ENCUESTA CONDUCTORES'!$AX$7:$AX$459,"&lt;2.51")+COUNTIFS('ENCUESTA CONDUCTORES'!$AL$7:$AL$459,"X",'ENCUESTA CONDUCTORES'!$BS$7:$BS$459,"MAQUINARIA",'ENCUESTA CONDUCTORES'!$AX$7:$AX$459,"&lt;2.51")+COUNTIFS('ENCUESTA CONDUCTORES'!$AL$7:$AL$459,"X",'ENCUESTA CONDUCTORES'!$BS$7:$BS$459,"CONTENEDOR",'ENCUESTA CONDUCTORES'!$AX$7:$AX$459,"&lt;2.51")+COUNTIFS('ENCUESTA CONDUCTORES'!$AL$7:$AL$459,"X",'ENCUESTA CONDUCTORES'!$BS$7:$BS$459,"MEDICAMENTOS",'ENCUESTA CONDUCTORES'!$AX$7:$AX$459,"&lt;2.51")+COUNTIFS('ENCUESTA CONDUCTORES'!$AL$7:$AL$459,"X",'ENCUESTA CONDUCTORES'!$BS$7:$BS$459,"AGUA POTABLE",'ENCUESTA CONDUCTORES'!$AX$7:$AX$459,"&lt;2.51")+COUNTIFS('ENCUESTA CONDUCTORES'!$AL$7:$AL$459,"X",'ENCUESTA CONDUCTORES'!$BS$7:$BS$459,"MUDANZAS",'ENCUESTA CONDUCTORES'!$AX$7:$AX$459,"&lt;2.51")+COUNTIFS('ENCUESTA CONDUCTORES'!$AL$7:$AL$459,"X",'ENCUESTA CONDUCTORES'!$BS$7:$BS$459,"JABON",'ENCUESTA CONDUCTORES'!$AX$7:$AX$459,"&lt;2.51")+COUNTIFS('ENCUESTA CONDUCTORES'!$AL$7:$AL$459,"X",'ENCUESTA CONDUCTORES'!$BS$7:$BS$459,"ACEITE",'ENCUESTA CONDUCTORES'!$AX$7:$AX$459,"&lt;2.51")+COUNTIFS('ENCUESTA CONDUCTORES'!$AL$7:$AL$459,"X",'ENCUESTA CONDUCTORES'!$BS$7:$BS$459,"POLIETILENO",'ENCUESTA CONDUCTORES'!$AX$7:$AX$459,"&lt;2.51")+COUNTIFS('ENCUESTA CONDUCTORES'!$AL$7:$AL$459,"X",'ENCUESTA CONDUCTORES'!$BS$7:$BS$459,"ELECTRODOMÉSTICOS",'ENCUESTA CONDUCTORES'!$AX$7:$AX$459,"&lt;2.51")+COUNTIFS('ENCUESTA CONDUCTORES'!$AL$7:$AL$459,"X",'ENCUESTA CONDUCTORES'!$BS$7:$BS$459,"MUEBLES",'ENCUESTA CONDUCTORES'!$AX$7:$AX$459,"&lt;2.51")+COUNTIFS('ENCUESTA CONDUCTORES'!$AL$7:$AL$459,"X",'ENCUESTA CONDUCTORES'!$BS$7:$BS$459,"CHATARRA",'ENCUESTA CONDUCTORES'!$AX$7:$AX$459,"&lt;2.51")+COUNTIFS('ENCUESTA CONDUCTORES'!$AL$7:$AL$459,"X",'ENCUESTA CONDUCTORES'!$BS$7:$BS$459,"LLANTAS",'ENCUESTA CONDUCTORES'!$AX$7:$AX$459,"&lt;2.51")+COUNTIFS('ENCUESTA CONDUCTORES'!$AL$7:$AL$459,"X",'ENCUESTA CONDUCTORES'!$BS$7:$BS$459,"AGUA",'ENCUESTA CONDUCTORES'!$AX$7:$AX$459,"&lt;2.51")+COUNTIFS('ENCUESTA CONDUCTORES'!$AL$7:$AL$459,"X",'ENCUESTA CONDUCTORES'!$BS$7:$BS$459,"ANIMALES",'ENCUESTA CONDUCTORES'!$AX$7:$AX$459,"&lt;2.51")+COUNTIFS('ENCUESTA CONDUCTORES'!$AL$7:$AL$459,"X",'ENCUESTA CONDUCTORES'!$BS$7:$BS$459,"TV REFRIGERADORES",'ENCUESTA CONDUCTORES'!$AX$7:$AX$459,"&lt;2.51")+COUNTIFS('ENCUESTA CONDUCTORES'!$AL$7:$AL$459,"X",'ENCUESTA CONDUCTORES'!$BS$7:$BS$459,"LÍNEA BLANCA",'ENCUESTA CONDUCTORES'!$AX$7:$AX$459,"&lt;2.51")+COUNTIFS('ENCUESTA CONDUCTORES'!$AL$7:$AL$459,"X",'ENCUESTA CONDUCTORES'!$BS$7:$BS$459,"IMPORTACIÓN / EXPORTACIÓN",'ENCUESTA CONDUCTORES'!$AX$7:$AX$459,"&lt;2.51")+COUNTIFS('ENCUESTA CONDUCTORES'!$AL$7:$AL$459,"X",'ENCUESTA CONDUCTORES'!$BS$7:$BS$459,"PLASTICO",'ENCUESTA CONDUCTORES'!$AX$7:$AX$459,"&lt;2.51")+COUNTIFS('ENCUESTA CONDUCTORES'!$AL$7:$AL$459,"X",'ENCUESTA CONDUCTORES'!$BS$7:$BS$459,"ROPA",'ENCUESTA CONDUCTORES'!$AX$7:$AX$459,"&lt;2.51")+COUNTIFS('ENCUESTA CONDUCTORES'!$AL$7:$AL$459,"X",'ENCUESTA CONDUCTORES'!$BS$7:$BS$459,"CHATARRA",'ENCUESTA CONDUCTORES'!$AX$7:$AX$459,"&lt;2.51")+COUNTIFS('ENCUESTA CONDUCTORES'!$AL$7:$AL$459,"X",'ENCUESTA CONDUCTORES'!$BS$7:$BS$459,"MEDICAMENTO NUTRICIONAL",'ENCUESTA CONDUCTORES'!$AX$7:$AX$459,"&lt;2.51")+COUNTIFS('ENCUESTA CONDUCTORES'!$AL$7:$AL$459,"X",'ENCUESTA CONDUCTORES'!$BS$7:$BS$459,"PRODUCTOS DE BELLEZA",'ENCUESTA CONDUCTORES'!$AX$7:$AX$459,"&lt;2.51")+COUNTIFS('ENCUESTA CONDUCTORES'!$AL$7:$AL$459,"X",'ENCUESTA CONDUCTORES'!$BS$7:$BS$459,"FORRAJE",'ENCUESTA CONDUCTORES'!$AX$7:$AX$459,"&lt;2.51")+COUNTIFS('ENCUESTA CONDUCTORES'!$AL$7:$AL$459,"X",'ENCUESTA CONDUCTORES'!$BS$7:$BS$459,"VALORES",'ENCUESTA CONDUCTORES'!$AX$7:$AX$459,"&lt;2.51")+COUNTIFS('ENCUESTA CONDUCTORES'!$AL$7:$AL$459,"X",'ENCUESTA CONDUCTORES'!$BS$7:$BS$459,"PAQUETERIA",'ENCUESTA CONDUCTORES'!$AX$7:$AX$459,"&lt;2.51")+COUNTIFS('ENCUESTA CONDUCTORES'!$AL$7:$AL$459,"X",'ENCUESTA CONDUCTORES'!$BS$7:$BS$459,"SECOS",'ENCUESTA CONDUCTORES'!$AX$7:$AX$459,"&lt;2.51")+COUNTIFS('ENCUESTA CONDUCTORES'!$AL$7:$AL$459,"X",'ENCUESTA CONDUCTORES'!$BS$7:$BS$459,"PANTALLAS",'ENCUESTA CONDUCTORES'!$AX$7:$AX$459,"&lt;2.51")+COUNTIFS('ENCUESTA CONDUCTORES'!$AL$7:$AL$459,"X",'ENCUESTA CONDUCTORES'!$BS$7:$BS$459,"BOTELLAS",'ENCUESTA CONDUCTORES'!$AX$7:$AX$459,"&lt;2.51")+COUNTIFS('ENCUESTA CONDUCTORES'!$AL$7:$AL$459,"X",'ENCUESTA CONDUCTORES'!$BS$7:$BS$459,"PRODUCTOS DE HIGIENE PERSONAL",'ENCUESTA CONDUCTORES'!$AX$7:$AX$459,"&lt;2.51")+COUNTIFS('ENCUESTA CONDUCTORES'!$AL$7:$AL$459,"X",'ENCUESTA CONDUCTORES'!$BS$7:$BS$459,"ELECTRONICA, LINEA BLANCA",'ENCUESTA CONDUCTORES'!$AX$7:$AX$459,"&lt;2.51")+COUNTIFS('ENCUESTA CONDUCTORES'!$AL$7:$AL$459,"X",'ENCUESTA CONDUCTORES'!$BS$7:$BS$459,"CONTENEDORES",'ENCUESTA CONDUCTORES'!$AX$7:$AX$459,"&lt;2.51")-AY215-AX215-AW215-AV215</f>
        <v>30</v>
      </c>
      <c r="BA215" s="90">
        <f>COUNTIFS('ENCUESTA CONDUCTORES'!$AL$7:$AL$459,"X",'ENCUESTA CONDUCTORES'!$BS$7:$BS$459,"CARRITOS DE GOLF",'ENCUESTA CONDUCTORES'!$AX$7:$AX$459,"&lt;3.01")+COUNTIFS('ENCUESTA CONDUCTORES'!$AL$7:$AL$459,"X",'ENCUESTA CONDUCTORES'!$BS$7:$BS$459,"MERCANCIA SECA",'ENCUESTA CONDUCTORES'!$AX$7:$AX$459,"&lt;3.01")+COUNTIFS('ENCUESTA CONDUCTORES'!$AL$7:$AL$459,"X",'ENCUESTA CONDUCTORES'!$BS$7:$BS$459,"PAPELERIA",'ENCUESTA CONDUCTORES'!$AX$7:$AX$459,"&lt;3.01")+COUNTIFS('ENCUESTA CONDUCTORES'!$AL$7:$AL$459,"X",'ENCUESTA CONDUCTORES'!$BS$7:$BS$459,"GENERAL",'ENCUESTA CONDUCTORES'!$AX$7:$AX$459,"&lt;3.01")+COUNTIFS('ENCUESTA CONDUCTORES'!$AL$7:$AL$459,"X",'ENCUESTA CONDUCTORES'!$BS$7:$BS$459,"MAQUINARIA",'ENCUESTA CONDUCTORES'!$AX$7:$AX$459,"&lt;3.01")+COUNTIFS('ENCUESTA CONDUCTORES'!$AL$7:$AL$459,"X",'ENCUESTA CONDUCTORES'!$BS$7:$BS$459,"CONTENEDOR",'ENCUESTA CONDUCTORES'!$AX$7:$AX$459,"&lt;3.01")+COUNTIFS('ENCUESTA CONDUCTORES'!$AL$7:$AL$459,"X",'ENCUESTA CONDUCTORES'!$BS$7:$BS$459,"MEDICAMENTOS",'ENCUESTA CONDUCTORES'!$AX$7:$AX$459,"&lt;3.01")+COUNTIFS('ENCUESTA CONDUCTORES'!$AL$7:$AL$459,"X",'ENCUESTA CONDUCTORES'!$BS$7:$BS$459,"AGUA POTABLE",'ENCUESTA CONDUCTORES'!$AX$7:$AX$459,"&lt;3.01")+COUNTIFS('ENCUESTA CONDUCTORES'!$AL$7:$AL$459,"X",'ENCUESTA CONDUCTORES'!$BS$7:$BS$459,"MUDANZAS",'ENCUESTA CONDUCTORES'!$AX$7:$AX$459,"&lt;3.01")+COUNTIFS('ENCUESTA CONDUCTORES'!$AL$7:$AL$459,"X",'ENCUESTA CONDUCTORES'!$BS$7:$BS$459,"JABON",'ENCUESTA CONDUCTORES'!$AX$7:$AX$459,"&lt;3.01")+COUNTIFS('ENCUESTA CONDUCTORES'!$AL$7:$AL$459,"X",'ENCUESTA CONDUCTORES'!$BS$7:$BS$459,"ACEITE",'ENCUESTA CONDUCTORES'!$AX$7:$AX$459,"&lt;3.01")+COUNTIFS('ENCUESTA CONDUCTORES'!$AL$7:$AL$459,"X",'ENCUESTA CONDUCTORES'!$BS$7:$BS$459,"POLIETILENO",'ENCUESTA CONDUCTORES'!$AX$7:$AX$459,"&lt;3.01")+COUNTIFS('ENCUESTA CONDUCTORES'!$AL$7:$AL$459,"X",'ENCUESTA CONDUCTORES'!$BS$7:$BS$459,"ELECTRODOMÉSTICOS",'ENCUESTA CONDUCTORES'!$AX$7:$AX$459,"&lt;3.01")+COUNTIFS('ENCUESTA CONDUCTORES'!$AL$7:$AL$459,"X",'ENCUESTA CONDUCTORES'!$BS$7:$BS$459,"MUEBLES",'ENCUESTA CONDUCTORES'!$AX$7:$AX$459,"&lt;3.01")+COUNTIFS('ENCUESTA CONDUCTORES'!$AL$7:$AL$459,"X",'ENCUESTA CONDUCTORES'!$BS$7:$BS$459,"CHATARRA",'ENCUESTA CONDUCTORES'!$AX$7:$AX$459,"&lt;3.01")+COUNTIFS('ENCUESTA CONDUCTORES'!$AL$7:$AL$459,"X",'ENCUESTA CONDUCTORES'!$BS$7:$BS$459,"LLANTAS",'ENCUESTA CONDUCTORES'!$AX$7:$AX$459,"&lt;3.01")+COUNTIFS('ENCUESTA CONDUCTORES'!$AL$7:$AL$459,"X",'ENCUESTA CONDUCTORES'!$BS$7:$BS$459,"AGUA",'ENCUESTA CONDUCTORES'!$AX$7:$AX$459,"&lt;3.01")+COUNTIFS('ENCUESTA CONDUCTORES'!$AL$7:$AL$459,"X",'ENCUESTA CONDUCTORES'!$BS$7:$BS$459,"ANIMALES",'ENCUESTA CONDUCTORES'!$AX$7:$AX$459,"&lt;3.01")+COUNTIFS('ENCUESTA CONDUCTORES'!$AL$7:$AL$459,"X",'ENCUESTA CONDUCTORES'!$BS$7:$BS$459,"TV REFRIGERADORES",'ENCUESTA CONDUCTORES'!$AX$7:$AX$459,"&lt;3.01")+COUNTIFS('ENCUESTA CONDUCTORES'!$AL$7:$AL$459,"X",'ENCUESTA CONDUCTORES'!$BS$7:$BS$459,"LÍNEA BLANCA",'ENCUESTA CONDUCTORES'!$AX$7:$AX$459,"&lt;3.01")+COUNTIFS('ENCUESTA CONDUCTORES'!$AL$7:$AL$459,"X",'ENCUESTA CONDUCTORES'!$BS$7:$BS$459,"IMPORTACIÓN / EXPORTACIÓN",'ENCUESTA CONDUCTORES'!$AX$7:$AX$459,"&lt;3.01")+COUNTIFS('ENCUESTA CONDUCTORES'!$AL$7:$AL$459,"X",'ENCUESTA CONDUCTORES'!$BS$7:$BS$459,"PLASTICO",'ENCUESTA CONDUCTORES'!$AX$7:$AX$459,"&lt;3.01")+COUNTIFS('ENCUESTA CONDUCTORES'!$AL$7:$AL$459,"X",'ENCUESTA CONDUCTORES'!$BS$7:$BS$459,"ROPA",'ENCUESTA CONDUCTORES'!$AX$7:$AX$459,"&lt;3.01")+COUNTIFS('ENCUESTA CONDUCTORES'!$AL$7:$AL$459,"X",'ENCUESTA CONDUCTORES'!$BS$7:$BS$459,"CHATARRA",'ENCUESTA CONDUCTORES'!$AX$7:$AX$459,"&lt;3.01")+COUNTIFS('ENCUESTA CONDUCTORES'!$AL$7:$AL$459,"X",'ENCUESTA CONDUCTORES'!$BS$7:$BS$459,"MEDICAMENTO NUTRICIONAL",'ENCUESTA CONDUCTORES'!$AX$7:$AX$459,"&lt;3.01")+COUNTIFS('ENCUESTA CONDUCTORES'!$AL$7:$AL$459,"X",'ENCUESTA CONDUCTORES'!$BS$7:$BS$459,"PRODUCTOS DE BELLEZA",'ENCUESTA CONDUCTORES'!$AX$7:$AX$459,"&lt;3.01")+COUNTIFS('ENCUESTA CONDUCTORES'!$AL$7:$AL$459,"X",'ENCUESTA CONDUCTORES'!$BS$7:$BS$459,"FORRAJE",'ENCUESTA CONDUCTORES'!$AX$7:$AX$459,"&lt;3.01")+COUNTIFS('ENCUESTA CONDUCTORES'!$AL$7:$AL$459,"X",'ENCUESTA CONDUCTORES'!$BS$7:$BS$459,"VALORES",'ENCUESTA CONDUCTORES'!$AX$7:$AX$459,"&lt;3.01")+COUNTIFS('ENCUESTA CONDUCTORES'!$AL$7:$AL$459,"X",'ENCUESTA CONDUCTORES'!$BS$7:$BS$459,"PAQUETERIA",'ENCUESTA CONDUCTORES'!$AX$7:$AX$459,"&lt;3.01")+COUNTIFS('ENCUESTA CONDUCTORES'!$AL$7:$AL$459,"X",'ENCUESTA CONDUCTORES'!$BS$7:$BS$459,"SECOS",'ENCUESTA CONDUCTORES'!$AX$7:$AX$459,"&lt;3.01")+COUNTIFS('ENCUESTA CONDUCTORES'!$AL$7:$AL$459,"X",'ENCUESTA CONDUCTORES'!$BS$7:$BS$459,"PANTALLAS",'ENCUESTA CONDUCTORES'!$AX$7:$AX$459,"&lt;3.01")+COUNTIFS('ENCUESTA CONDUCTORES'!$AL$7:$AL$459,"X",'ENCUESTA CONDUCTORES'!$BS$7:$BS$459,"BOTELLAS",'ENCUESTA CONDUCTORES'!$AX$7:$AX$459,"&lt;3.01")+COUNTIFS('ENCUESTA CONDUCTORES'!$AL$7:$AL$459,"X",'ENCUESTA CONDUCTORES'!$BS$7:$BS$459,"PRODUCTOS DE HIGIENE PERSONAL",'ENCUESTA CONDUCTORES'!$AX$7:$AX$459,"&lt;3.01")+COUNTIFS('ENCUESTA CONDUCTORES'!$AL$7:$AL$459,"X",'ENCUESTA CONDUCTORES'!$BS$7:$BS$459,"ELECTRONICA, LINEA BLANCA",'ENCUESTA CONDUCTORES'!$AX$7:$AX$459,"&lt;3.01")+COUNTIFS('ENCUESTA CONDUCTORES'!$AL$7:$AL$459,"X",'ENCUESTA CONDUCTORES'!$BS$7:$BS$459,"CONTENEDORES",'ENCUESTA CONDUCTORES'!$AX$7:$AX$459,"&lt;3.01")-AZ215-AY215-AX215-AW215-AV215</f>
        <v>19</v>
      </c>
      <c r="BB215" s="90">
        <f>COUNTIFS('ENCUESTA CONDUCTORES'!$AL$7:$AL$459,"X",'ENCUESTA CONDUCTORES'!$BS$7:$BS$459,"CARRITOS DE GOLF",'ENCUESTA CONDUCTORES'!$AX$7:$AX$459,"&lt;4.01")+COUNTIFS('ENCUESTA CONDUCTORES'!$AL$7:$AL$459,"X",'ENCUESTA CONDUCTORES'!$BS$7:$BS$459,"MERCANCIA SECA",'ENCUESTA CONDUCTORES'!$AX$7:$AX$459,"&lt;4.01")+COUNTIFS('ENCUESTA CONDUCTORES'!$AL$7:$AL$459,"X",'ENCUESTA CONDUCTORES'!$BS$7:$BS$459,"PAPELERIA",'ENCUESTA CONDUCTORES'!$AX$7:$AX$459,"&lt;4.01")+COUNTIFS('ENCUESTA CONDUCTORES'!$AL$7:$AL$459,"X",'ENCUESTA CONDUCTORES'!$BS$7:$BS$459,"GENERAL",'ENCUESTA CONDUCTORES'!$AX$7:$AX$459,"&lt;4.01")+COUNTIFS('ENCUESTA CONDUCTORES'!$AL$7:$AL$459,"X",'ENCUESTA CONDUCTORES'!$BS$7:$BS$459,"MAQUINARIA",'ENCUESTA CONDUCTORES'!$AX$7:$AX$459,"&lt;4.01")+COUNTIFS('ENCUESTA CONDUCTORES'!$AL$7:$AL$459,"X",'ENCUESTA CONDUCTORES'!$BS$7:$BS$459,"CONTENEDOR",'ENCUESTA CONDUCTORES'!$AX$7:$AX$459,"&lt;4.01")+COUNTIFS('ENCUESTA CONDUCTORES'!$AL$7:$AL$459,"X",'ENCUESTA CONDUCTORES'!$BS$7:$BS$459,"MEDICAMENTOS",'ENCUESTA CONDUCTORES'!$AX$7:$AX$459,"&lt;4.01")+COUNTIFS('ENCUESTA CONDUCTORES'!$AL$7:$AL$459,"X",'ENCUESTA CONDUCTORES'!$BS$7:$BS$459,"AGUA POTABLE",'ENCUESTA CONDUCTORES'!$AX$7:$AX$459,"&lt;4.01")+COUNTIFS('ENCUESTA CONDUCTORES'!$AL$7:$AL$459,"X",'ENCUESTA CONDUCTORES'!$BS$7:$BS$459,"MUDANZAS",'ENCUESTA CONDUCTORES'!$AX$7:$AX$459,"&lt;4.01")+COUNTIFS('ENCUESTA CONDUCTORES'!$AL$7:$AL$459,"X",'ENCUESTA CONDUCTORES'!$BS$7:$BS$459,"JABON",'ENCUESTA CONDUCTORES'!$AX$7:$AX$459,"&lt;4.01")+COUNTIFS('ENCUESTA CONDUCTORES'!$AL$7:$AL$459,"X",'ENCUESTA CONDUCTORES'!$BS$7:$BS$459,"ACEITE",'ENCUESTA CONDUCTORES'!$AX$7:$AX$459,"&lt;4.01")+COUNTIFS('ENCUESTA CONDUCTORES'!$AL$7:$AL$459,"X",'ENCUESTA CONDUCTORES'!$BS$7:$BS$459,"POLIETILENO",'ENCUESTA CONDUCTORES'!$AX$7:$AX$459,"&lt;4.01")+COUNTIFS('ENCUESTA CONDUCTORES'!$AL$7:$AL$459,"X",'ENCUESTA CONDUCTORES'!$BS$7:$BS$459,"ELECTRODOMÉSTICOS",'ENCUESTA CONDUCTORES'!$AX$7:$AX$459,"&lt;4.01")+COUNTIFS('ENCUESTA CONDUCTORES'!$AL$7:$AL$459,"X",'ENCUESTA CONDUCTORES'!$BS$7:$BS$459,"MUEBLES",'ENCUESTA CONDUCTORES'!$AX$7:$AX$459,"&lt;4.01")+COUNTIFS('ENCUESTA CONDUCTORES'!$AL$7:$AL$459,"X",'ENCUESTA CONDUCTORES'!$BS$7:$BS$459,"CHATARRA",'ENCUESTA CONDUCTORES'!$AX$7:$AX$459,"&lt;4.01")+COUNTIFS('ENCUESTA CONDUCTORES'!$AL$7:$AL$459,"X",'ENCUESTA CONDUCTORES'!$BS$7:$BS$459,"LLANTAS",'ENCUESTA CONDUCTORES'!$AX$7:$AX$459,"&lt;4.01")+COUNTIFS('ENCUESTA CONDUCTORES'!$AL$7:$AL$459,"X",'ENCUESTA CONDUCTORES'!$BS$7:$BS$459,"AGUA",'ENCUESTA CONDUCTORES'!$AX$7:$AX$459,"&lt;4.01")+COUNTIFS('ENCUESTA CONDUCTORES'!$AL$7:$AL$459,"X",'ENCUESTA CONDUCTORES'!$BS$7:$BS$459,"ANIMALES",'ENCUESTA CONDUCTORES'!$AX$7:$AX$459,"&lt;4.01")+COUNTIFS('ENCUESTA CONDUCTORES'!$AL$7:$AL$459,"X",'ENCUESTA CONDUCTORES'!$BS$7:$BS$459,"TV REFRIGERADORES",'ENCUESTA CONDUCTORES'!$AX$7:$AX$459,"&lt;4.01")+COUNTIFS('ENCUESTA CONDUCTORES'!$AL$7:$AL$459,"X",'ENCUESTA CONDUCTORES'!$BS$7:$BS$459,"LÍNEA BLANCA",'ENCUESTA CONDUCTORES'!$AX$7:$AX$459,"&lt;4.01")+COUNTIFS('ENCUESTA CONDUCTORES'!$AL$7:$AL$459,"X",'ENCUESTA CONDUCTORES'!$BS$7:$BS$459,"IMPORTACIÓN / EXPORTACIÓN",'ENCUESTA CONDUCTORES'!$AX$7:$AX$459,"&lt;4.01")+COUNTIFS('ENCUESTA CONDUCTORES'!$AL$7:$AL$459,"X",'ENCUESTA CONDUCTORES'!$BS$7:$BS$459,"PLASTICO",'ENCUESTA CONDUCTORES'!$AX$7:$AX$459,"&lt;4.01")+COUNTIFS('ENCUESTA CONDUCTORES'!$AL$7:$AL$459,"X",'ENCUESTA CONDUCTORES'!$BS$7:$BS$459,"ROPA",'ENCUESTA CONDUCTORES'!$AX$7:$AX$459,"&lt;4.01")+COUNTIFS('ENCUESTA CONDUCTORES'!$AL$7:$AL$459,"X",'ENCUESTA CONDUCTORES'!$BS$7:$BS$459,"CHATARRA",'ENCUESTA CONDUCTORES'!$AX$7:$AX$459,"&lt;4.01")+COUNTIFS('ENCUESTA CONDUCTORES'!$AL$7:$AL$459,"X",'ENCUESTA CONDUCTORES'!$BS$7:$BS$459,"MEDICAMENTO NUTRICIONAL",'ENCUESTA CONDUCTORES'!$AX$7:$AX$459,"&lt;4.01")+COUNTIFS('ENCUESTA CONDUCTORES'!$AL$7:$AL$459,"X",'ENCUESTA CONDUCTORES'!$BS$7:$BS$459,"PRODUCTOS DE BELLEZA",'ENCUESTA CONDUCTORES'!$AX$7:$AX$459,"&lt;4.01")+COUNTIFS('ENCUESTA CONDUCTORES'!$AL$7:$AL$459,"X",'ENCUESTA CONDUCTORES'!$BS$7:$BS$459,"FORRAJE",'ENCUESTA CONDUCTORES'!$AX$7:$AX$459,"&lt;4.01")+COUNTIFS('ENCUESTA CONDUCTORES'!$AL$7:$AL$459,"X",'ENCUESTA CONDUCTORES'!$BS$7:$BS$459,"VALORES",'ENCUESTA CONDUCTORES'!$AX$7:$AX$459,"&lt;4.01")+COUNTIFS('ENCUESTA CONDUCTORES'!$AL$7:$AL$459,"X",'ENCUESTA CONDUCTORES'!$BS$7:$BS$459,"PAQUETERIA",'ENCUESTA CONDUCTORES'!$AX$7:$AX$459,"&lt;4.01")+COUNTIFS('ENCUESTA CONDUCTORES'!$AL$7:$AL$459,"X",'ENCUESTA CONDUCTORES'!$BS$7:$BS$459,"SECOS",'ENCUESTA CONDUCTORES'!$AX$7:$AX$459,"&lt;4.01")+COUNTIFS('ENCUESTA CONDUCTORES'!$AL$7:$AL$459,"X",'ENCUESTA CONDUCTORES'!$BS$7:$BS$459,"PANTALLAS",'ENCUESTA CONDUCTORES'!$AX$7:$AX$459,"&lt;4.01")+COUNTIFS('ENCUESTA CONDUCTORES'!$AL$7:$AL$459,"X",'ENCUESTA CONDUCTORES'!$BS$7:$BS$459,"BOTELLAS",'ENCUESTA CONDUCTORES'!$AX$7:$AX$459,"&lt;4.01")+COUNTIFS('ENCUESTA CONDUCTORES'!$AL$7:$AL$459,"X",'ENCUESTA CONDUCTORES'!$BS$7:$BS$459,"PRODUCTOS DE HIGIENE PERSONAL",'ENCUESTA CONDUCTORES'!$AX$7:$AX$459,"&lt;4.01")+COUNTIFS('ENCUESTA CONDUCTORES'!$AL$7:$AL$459,"X",'ENCUESTA CONDUCTORES'!$BS$7:$BS$459,"ELECTRONICA, LINEA BLANCA",'ENCUESTA CONDUCTORES'!$AX$7:$AX$459,"&lt;4.01")+COUNTIFS('ENCUESTA CONDUCTORES'!$AL$7:$AL$459,"X",'ENCUESTA CONDUCTORES'!$BS$7:$BS$459,"CONTENEDORES",'ENCUESTA CONDUCTORES'!$AX$7:$AX$459,"&lt;4.01")-BA215-AZ215-AY215-AX215-AW215-AV215</f>
        <v>7</v>
      </c>
      <c r="BC215" s="90">
        <f>COUNTIFS('ENCUESTA CONDUCTORES'!$AL$7:$AL$459,"X",'ENCUESTA CONDUCTORES'!$BS$7:$BS$459,"CARRITOS DE GOLF",'ENCUESTA CONDUCTORES'!$AX$7:$AX$459,"&gt;4")+COUNTIFS('ENCUESTA CONDUCTORES'!$AL$7:$AL$459,"X",'ENCUESTA CONDUCTORES'!$BS$7:$BS$459,"MERCANCIA SECA",'ENCUESTA CONDUCTORES'!$AX$7:$AX$459,"&gt;4")+COUNTIFS('ENCUESTA CONDUCTORES'!$AL$7:$AL$459,"X",'ENCUESTA CONDUCTORES'!$BS$7:$BS$459,"PAPELERIA",'ENCUESTA CONDUCTORES'!$AX$7:$AX$459,"&gt;4")+COUNTIFS('ENCUESTA CONDUCTORES'!$AL$7:$AL$459,"X",'ENCUESTA CONDUCTORES'!$BS$7:$BS$459,"GENERAL",'ENCUESTA CONDUCTORES'!$AX$7:$AX$459,"&gt;4")+COUNTIFS('ENCUESTA CONDUCTORES'!$AL$7:$AL$459,"X",'ENCUESTA CONDUCTORES'!$BS$7:$BS$459,"MAQUINARIA",'ENCUESTA CONDUCTORES'!$AX$7:$AX$459,"&gt;4")+COUNTIFS('ENCUESTA CONDUCTORES'!$AL$7:$AL$459,"X",'ENCUESTA CONDUCTORES'!$BS$7:$BS$459,"CONTENEDOR",'ENCUESTA CONDUCTORES'!$AX$7:$AX$459,"&gt;4")+COUNTIFS('ENCUESTA CONDUCTORES'!$AL$7:$AL$459,"X",'ENCUESTA CONDUCTORES'!$BS$7:$BS$459,"MEDICAMENTOS",'ENCUESTA CONDUCTORES'!$AX$7:$AX$459,"&gt;4")+COUNTIFS('ENCUESTA CONDUCTORES'!$AL$7:$AL$459,"X",'ENCUESTA CONDUCTORES'!$BS$7:$BS$459,"AGUA POTABLE",'ENCUESTA CONDUCTORES'!$AX$7:$AX$459,"&gt;4")+COUNTIFS('ENCUESTA CONDUCTORES'!$AL$7:$AL$459,"X",'ENCUESTA CONDUCTORES'!$BS$7:$BS$459,"MUDANZAS",'ENCUESTA CONDUCTORES'!$AX$7:$AX$459,"&gt;4")+COUNTIFS('ENCUESTA CONDUCTORES'!$AL$7:$AL$459,"X",'ENCUESTA CONDUCTORES'!$BS$7:$BS$459,"JABON",'ENCUESTA CONDUCTORES'!$AX$7:$AX$459,"&gt;4")+COUNTIFS('ENCUESTA CONDUCTORES'!$AL$7:$AL$459,"X",'ENCUESTA CONDUCTORES'!$BS$7:$BS$459,"ACEITE",'ENCUESTA CONDUCTORES'!$AX$7:$AX$459,"&gt;4")+COUNTIFS('ENCUESTA CONDUCTORES'!$AL$7:$AL$459,"X",'ENCUESTA CONDUCTORES'!$BS$7:$BS$459,"POLIETILENO",'ENCUESTA CONDUCTORES'!$AX$7:$AX$459,"&gt;4")+COUNTIFS('ENCUESTA CONDUCTORES'!$AL$7:$AL$459,"X",'ENCUESTA CONDUCTORES'!$BS$7:$BS$459,"ELECTRODOMÉSTICOS",'ENCUESTA CONDUCTORES'!$AX$7:$AX$459,"&gt;4")+COUNTIFS('ENCUESTA CONDUCTORES'!$AL$7:$AL$459,"X",'ENCUESTA CONDUCTORES'!$BS$7:$BS$459,"MUEBLES",'ENCUESTA CONDUCTORES'!$AX$7:$AX$459,"&gt;4")+COUNTIFS('ENCUESTA CONDUCTORES'!$AL$7:$AL$459,"X",'ENCUESTA CONDUCTORES'!$BS$7:$BS$459,"CHATARRA",'ENCUESTA CONDUCTORES'!$AX$7:$AX$459,"&gt;4")+COUNTIFS('ENCUESTA CONDUCTORES'!$AL$7:$AL$459,"X",'ENCUESTA CONDUCTORES'!$BS$7:$BS$459,"LLANTAS",'ENCUESTA CONDUCTORES'!$AX$7:$AX$459,"&gt;4")+COUNTIFS('ENCUESTA CONDUCTORES'!$AL$7:$AL$459,"X",'ENCUESTA CONDUCTORES'!$BS$7:$BS$459,"AGUA",'ENCUESTA CONDUCTORES'!$AX$7:$AX$459,"&gt;4")+COUNTIFS('ENCUESTA CONDUCTORES'!$AL$7:$AL$459,"X",'ENCUESTA CONDUCTORES'!$BS$7:$BS$459,"ANIMALES",'ENCUESTA CONDUCTORES'!$AX$7:$AX$459,"&gt;4")+COUNTIFS('ENCUESTA CONDUCTORES'!$AL$7:$AL$459,"X",'ENCUESTA CONDUCTORES'!$BS$7:$BS$459,"TV REFRIGERADORES",'ENCUESTA CONDUCTORES'!$AX$7:$AX$459,"&gt;4")+COUNTIFS('ENCUESTA CONDUCTORES'!$AL$7:$AL$459,"X",'ENCUESTA CONDUCTORES'!$BS$7:$BS$459,"LÍNEA BLANCA",'ENCUESTA CONDUCTORES'!$AX$7:$AX$459,"&gt;4")+COUNTIFS('ENCUESTA CONDUCTORES'!$AL$7:$AL$459,"X",'ENCUESTA CONDUCTORES'!$BS$7:$BS$459,"IMPORTACIÓN / EXPORTACIÓN",'ENCUESTA CONDUCTORES'!$AX$7:$AX$459,"&gt;4")+COUNTIFS('ENCUESTA CONDUCTORES'!$AL$7:$AL$459,"X",'ENCUESTA CONDUCTORES'!$BS$7:$BS$459,"PLASTICO",'ENCUESTA CONDUCTORES'!$AX$7:$AX$459,"&gt;4")+COUNTIFS('ENCUESTA CONDUCTORES'!$AL$7:$AL$459,"X",'ENCUESTA CONDUCTORES'!$BS$7:$BS$459,"ROPA",'ENCUESTA CONDUCTORES'!$AX$7:$AX$459,"&gt;4")+COUNTIFS('ENCUESTA CONDUCTORES'!$AL$7:$AL$459,"X",'ENCUESTA CONDUCTORES'!$BS$7:$BS$459,"CHATARRA",'ENCUESTA CONDUCTORES'!$AX$7:$AX$459,"&gt;4")+COUNTIFS('ENCUESTA CONDUCTORES'!$AL$7:$AL$459,"X",'ENCUESTA CONDUCTORES'!$BS$7:$BS$459,"MEDICAMENTO NUTRICIONAL",'ENCUESTA CONDUCTORES'!$AX$7:$AX$459,"&gt;4")+COUNTIFS('ENCUESTA CONDUCTORES'!$AL$7:$AL$459,"X",'ENCUESTA CONDUCTORES'!$BS$7:$BS$459,"PRODUCTOS DE BELLEZA",'ENCUESTA CONDUCTORES'!$AX$7:$AX$459,"&gt;4")+COUNTIFS('ENCUESTA CONDUCTORES'!$AL$7:$AL$459,"X",'ENCUESTA CONDUCTORES'!$BS$7:$BS$459,"FORRAJE",'ENCUESTA CONDUCTORES'!$AX$7:$AX$459,"&gt;4")+COUNTIFS('ENCUESTA CONDUCTORES'!$AL$7:$AL$459,"X",'ENCUESTA CONDUCTORES'!$BS$7:$BS$459,"VALORES",'ENCUESTA CONDUCTORES'!$AX$7:$AX$459,"&gt;4")+COUNTIFS('ENCUESTA CONDUCTORES'!$AL$7:$AL$459,"X",'ENCUESTA CONDUCTORES'!$BS$7:$BS$459,"PAQUETERIA",'ENCUESTA CONDUCTORES'!$AX$7:$AX$459,"&gt;4")+COUNTIFS('ENCUESTA CONDUCTORES'!$AL$7:$AL$459,"X",'ENCUESTA CONDUCTORES'!$BS$7:$BS$459,"SECOS",'ENCUESTA CONDUCTORES'!$AX$7:$AX$459,"&gt;4")+COUNTIFS('ENCUESTA CONDUCTORES'!$AL$7:$AL$459,"X",'ENCUESTA CONDUCTORES'!$BS$7:$BS$459,"PANTALLAS",'ENCUESTA CONDUCTORES'!$AX$7:$AX$459,"&gt;4")+COUNTIFS('ENCUESTA CONDUCTORES'!$AL$7:$AL$459,"X",'ENCUESTA CONDUCTORES'!$BS$7:$BS$459,"BOTELLAS",'ENCUESTA CONDUCTORES'!$AX$7:$AX$459,"&gt;4")+COUNTIFS('ENCUESTA CONDUCTORES'!$AL$7:$AL$459,"X",'ENCUESTA CONDUCTORES'!$BS$7:$BS$459,"PRODUCTOS DE HIGIENE PERSONAL",'ENCUESTA CONDUCTORES'!$AX$7:$AX$459,"&gt;4")+COUNTIFS('ENCUESTA CONDUCTORES'!$AL$7:$AL$459,"X",'ENCUESTA CONDUCTORES'!$BS$7:$BS$459,"ELECTRONICA, LINEA BLANCA",'ENCUESTA CONDUCTORES'!$AX$7:$AX$459,"&gt;4")+COUNTIFS('ENCUESTA CONDUCTORES'!$AL$7:$AL$459,"X",'ENCUESTA CONDUCTORES'!$BS$7:$BS$459,"CONTENEDORES",'ENCUESTA CONDUCTORES'!$AX$7:$AX$459,"&gt;4")</f>
        <v>1</v>
      </c>
      <c r="BD215" s="18">
        <f t="shared" ref="BD215" si="466">SUM(AV215:BC215)</f>
        <v>97</v>
      </c>
      <c r="BF215" s="75" t="s">
        <v>1358</v>
      </c>
      <c r="BG215" s="74">
        <f>BP215/$BX$215</f>
        <v>0</v>
      </c>
      <c r="BH215" s="74">
        <f t="shared" ref="BH215:BO215" si="467">BQ215/$BX$215</f>
        <v>5.1546391752577317E-2</v>
      </c>
      <c r="BI215" s="74">
        <f t="shared" si="467"/>
        <v>7.2164948453608241E-2</v>
      </c>
      <c r="BJ215" s="74">
        <f t="shared" si="467"/>
        <v>4.1237113402061855E-2</v>
      </c>
      <c r="BK215" s="74">
        <f t="shared" si="467"/>
        <v>0.15463917525773196</v>
      </c>
      <c r="BL215" s="74">
        <f t="shared" si="467"/>
        <v>0.51546391752577314</v>
      </c>
      <c r="BM215" s="74">
        <f t="shared" si="467"/>
        <v>0.12371134020618557</v>
      </c>
      <c r="BN215" s="74">
        <f t="shared" si="467"/>
        <v>4.1237113402061855E-2</v>
      </c>
      <c r="BO215" s="74">
        <f t="shared" si="467"/>
        <v>1</v>
      </c>
      <c r="BP215" s="90">
        <f>COUNTIFS('ENCUESTA CONDUCTORES'!$AL$7:$AL$459,"X",'ENCUESTA CONDUCTORES'!$BS$7:$BS$459,"CARRITOS DE GOLF",'ENCUESTA CONDUCTORES'!$AW$7:$AW$459,"&lt;1.6")+COUNTIFS('ENCUESTA CONDUCTORES'!$AL$7:$AL$459,"X",'ENCUESTA CONDUCTORES'!$BS$7:$BS$459,"MERCANCIA SECA",'ENCUESTA CONDUCTORES'!$AW$7:$AW$459,"&lt;1.6")+COUNTIFS('ENCUESTA CONDUCTORES'!$AL$7:$AL$459,"X",'ENCUESTA CONDUCTORES'!$BS$7:$BS$459,"PAPELERIA",'ENCUESTA CONDUCTORES'!$AW$7:$AW$459,"&lt;1.6")+COUNTIFS('ENCUESTA CONDUCTORES'!$AL$7:$AL$459,"X",'ENCUESTA CONDUCTORES'!$BS$7:$BS$459,"GENERAL",'ENCUESTA CONDUCTORES'!$AW$7:$AW$459,"&lt;1.6")+COUNTIFS('ENCUESTA CONDUCTORES'!$AL$7:$AL$459,"X",'ENCUESTA CONDUCTORES'!$BS$7:$BS$459,"MAQUINARIA",'ENCUESTA CONDUCTORES'!$AW$7:$AW$459,"&lt;1.6")+COUNTIFS('ENCUESTA CONDUCTORES'!$AL$7:$AL$459,"X",'ENCUESTA CONDUCTORES'!$BS$7:$BS$459,"CONTENEDOR",'ENCUESTA CONDUCTORES'!$AW$7:$AW$459,"&lt;1.6")+COUNTIFS('ENCUESTA CONDUCTORES'!$AL$7:$AL$459,"X",'ENCUESTA CONDUCTORES'!$BS$7:$BS$459,"MEDICAMENTOS",'ENCUESTA CONDUCTORES'!$AW$7:$AW$459,"&lt;1.6")+COUNTIFS('ENCUESTA CONDUCTORES'!$AL$7:$AL$459,"X",'ENCUESTA CONDUCTORES'!$BS$7:$BS$459,"AGUA POTABLE",'ENCUESTA CONDUCTORES'!$AW$7:$AW$459,"&lt;1.6")+COUNTIFS('ENCUESTA CONDUCTORES'!$AL$7:$AL$459,"X",'ENCUESTA CONDUCTORES'!$BS$7:$BS$459,"MUDANZAS",'ENCUESTA CONDUCTORES'!$AW$7:$AW$459,"&lt;1.6")+COUNTIFS('ENCUESTA CONDUCTORES'!$AL$7:$AL$459,"X",'ENCUESTA CONDUCTORES'!$BS$7:$BS$459,"JABON",'ENCUESTA CONDUCTORES'!$AW$7:$AW$459,"&lt;1.6")+COUNTIFS('ENCUESTA CONDUCTORES'!$AL$7:$AL$459,"X",'ENCUESTA CONDUCTORES'!$BS$7:$BS$459,"ACEITE",'ENCUESTA CONDUCTORES'!$AW$7:$AW$459,"&lt;1.6")+COUNTIFS('ENCUESTA CONDUCTORES'!$AL$7:$AL$459,"X",'ENCUESTA CONDUCTORES'!$BS$7:$BS$459,"POLIETILENO",'ENCUESTA CONDUCTORES'!$AW$7:$AW$459,"&lt;1.6")+COUNTIFS('ENCUESTA CONDUCTORES'!$AL$7:$AL$459,"X",'ENCUESTA CONDUCTORES'!$BS$7:$BS$459,"ELECTRODOMÉSTICOS",'ENCUESTA CONDUCTORES'!$AW$7:$AW$459,"&lt;1.6")+COUNTIFS('ENCUESTA CONDUCTORES'!$AL$7:$AL$459,"X",'ENCUESTA CONDUCTORES'!$BS$7:$BS$459,"MUEBLES",'ENCUESTA CONDUCTORES'!$AW$7:$AW$459,"&lt;1.6")+COUNTIFS('ENCUESTA CONDUCTORES'!$AL$7:$AL$459,"X",'ENCUESTA CONDUCTORES'!$BS$7:$BS$459,"CHATARRA",'ENCUESTA CONDUCTORES'!$AW$7:$AW$459,"&lt;1.6")+COUNTIFS('ENCUESTA CONDUCTORES'!$AL$7:$AL$459,"X",'ENCUESTA CONDUCTORES'!$BS$7:$BS$459,"LLANTAS",'ENCUESTA CONDUCTORES'!$AW$7:$AW$459,"&lt;1.6")+COUNTIFS('ENCUESTA CONDUCTORES'!$AL$7:$AL$459,"X",'ENCUESTA CONDUCTORES'!$BS$7:$BS$459,"AGUA",'ENCUESTA CONDUCTORES'!$AW$7:$AW$459,"&lt;1.6")+COUNTIFS('ENCUESTA CONDUCTORES'!$AL$7:$AL$459,"X",'ENCUESTA CONDUCTORES'!$BS$7:$BS$459,"ANIMALES",'ENCUESTA CONDUCTORES'!$AW$7:$AW$459,"&lt;1.6")+COUNTIFS('ENCUESTA CONDUCTORES'!$AL$7:$AL$459,"X",'ENCUESTA CONDUCTORES'!$BS$7:$BS$459,"TV REFRIGERADORES",'ENCUESTA CONDUCTORES'!$AW$7:$AW$459,"&lt;1.6")+COUNTIFS('ENCUESTA CONDUCTORES'!$AL$7:$AL$459,"X",'ENCUESTA CONDUCTORES'!$BS$7:$BS$459,"LÍNEA BLANCA",'ENCUESTA CONDUCTORES'!$AW$7:$AW$459,"&lt;1.6")+COUNTIFS('ENCUESTA CONDUCTORES'!$AL$7:$AL$459,"X",'ENCUESTA CONDUCTORES'!$BS$7:$BS$459,"IMPORTACIÓN / EXPORTACIÓN",'ENCUESTA CONDUCTORES'!$AW$7:$AW$459,"&lt;1.6")+COUNTIFS('ENCUESTA CONDUCTORES'!$AL$7:$AL$459,"X",'ENCUESTA CONDUCTORES'!$BS$7:$BS$459,"PLASTICO",'ENCUESTA CONDUCTORES'!$AW$7:$AW$459,"&lt;1.6")+COUNTIFS('ENCUESTA CONDUCTORES'!$AL$7:$AL$459,"X",'ENCUESTA CONDUCTORES'!$BS$7:$BS$459,"ROPA",'ENCUESTA CONDUCTORES'!$AW$7:$AW$459,"&lt;1.6")+COUNTIFS('ENCUESTA CONDUCTORES'!$AL$7:$AL$459,"X",'ENCUESTA CONDUCTORES'!$BS$7:$BS$459,"CHATARRA",'ENCUESTA CONDUCTORES'!$AW$7:$AW$459,"&lt;1.6")+COUNTIFS('ENCUESTA CONDUCTORES'!$AL$7:$AL$459,"X",'ENCUESTA CONDUCTORES'!$BS$7:$BS$459,"MEDICAMENTO NUTRICIONAL",'ENCUESTA CONDUCTORES'!$AW$7:$AW$459,"&lt;1.6")+COUNTIFS('ENCUESTA CONDUCTORES'!$AL$7:$AL$459,"X",'ENCUESTA CONDUCTORES'!$BS$7:$BS$459,"PRODUCTOS DE BELLEZA",'ENCUESTA CONDUCTORES'!$AW$7:$AW$459,"&lt;1.6")+COUNTIFS('ENCUESTA CONDUCTORES'!$AL$7:$AL$459,"X",'ENCUESTA CONDUCTORES'!$BS$7:$BS$459,"FORRAJE",'ENCUESTA CONDUCTORES'!$AW$7:$AW$459,"&lt;1.6")+COUNTIFS('ENCUESTA CONDUCTORES'!$AL$7:$AL$459,"X",'ENCUESTA CONDUCTORES'!$BS$7:$BS$459,"VALORES",'ENCUESTA CONDUCTORES'!$AW$7:$AW$459,"&lt;1.6")+COUNTIFS('ENCUESTA CONDUCTORES'!$AL$7:$AL$459,"X",'ENCUESTA CONDUCTORES'!$BS$7:$BS$459,"PAQUETERIA",'ENCUESTA CONDUCTORES'!$AW$7:$AW$459,"&lt;1.6")+COUNTIFS('ENCUESTA CONDUCTORES'!$AL$7:$AL$459,"X",'ENCUESTA CONDUCTORES'!$BS$7:$BS$459,"SECOS",'ENCUESTA CONDUCTORES'!$AW$7:$AW$459,"&lt;1.6")+COUNTIFS('ENCUESTA CONDUCTORES'!$AL$7:$AL$459,"X",'ENCUESTA CONDUCTORES'!$BS$7:$BS$459,"PANTALLAS",'ENCUESTA CONDUCTORES'!$AW$7:$AW$459,"&lt;1.6")+COUNTIFS('ENCUESTA CONDUCTORES'!$AL$7:$AL$459,"X",'ENCUESTA CONDUCTORES'!$BS$7:$BS$459,"BOTELLAS",'ENCUESTA CONDUCTORES'!$AW$7:$AW$459,"&lt;1.6")+COUNTIFS('ENCUESTA CONDUCTORES'!$AL$7:$AL$459,"X",'ENCUESTA CONDUCTORES'!$BS$7:$BS$459,"PRODUCTOS DE HIGIENE PERSONAL",'ENCUESTA CONDUCTORES'!$AW$7:$AW$459,"&lt;1.6")+COUNTIFS('ENCUESTA CONDUCTORES'!$AL$7:$AL$459,"X",'ENCUESTA CONDUCTORES'!$BS$7:$BS$459,"ELECTRONICA, LINEA BLANCA",'ENCUESTA CONDUCTORES'!$AW$7:$AW$459,"&lt;1.6")+COUNTIFS('ENCUESTA CONDUCTORES'!$AL$7:$AL$459,"X",'ENCUESTA CONDUCTORES'!$BS$7:$BS$459,"CONTENEDORES",'ENCUESTA CONDUCTORES'!$AW$7:$AW$459,"&lt;1.6")</f>
        <v>0</v>
      </c>
      <c r="BQ215" s="90">
        <f>COUNTIFS('ENCUESTA CONDUCTORES'!$AL$7:$AL$459,"X",'ENCUESTA CONDUCTORES'!$BS$7:$BS$459,"CARRITOS DE GOLF",'ENCUESTA CONDUCTORES'!$AW$7:$AW$459,"&lt;1.91")+COUNTIFS('ENCUESTA CONDUCTORES'!$AL$7:$AL$459,"X",'ENCUESTA CONDUCTORES'!$BS$7:$BS$459,"MERCANCIA SECA",'ENCUESTA CONDUCTORES'!$AW$7:$AW$459,"&lt;1.91")+COUNTIFS('ENCUESTA CONDUCTORES'!$AL$7:$AL$459,"X",'ENCUESTA CONDUCTORES'!$BS$7:$BS$459,"PAPELERIA",'ENCUESTA CONDUCTORES'!$AW$7:$AW$459,"&lt;1.91")+COUNTIFS('ENCUESTA CONDUCTORES'!$AL$7:$AL$459,"X",'ENCUESTA CONDUCTORES'!$BS$7:$BS$459,"GENERAL",'ENCUESTA CONDUCTORES'!$AW$7:$AW$459,"&lt;1.91")+COUNTIFS('ENCUESTA CONDUCTORES'!$AL$7:$AL$459,"X",'ENCUESTA CONDUCTORES'!$BS$7:$BS$459,"MAQUINARIA",'ENCUESTA CONDUCTORES'!$AW$7:$AW$459,"&lt;1.91")+COUNTIFS('ENCUESTA CONDUCTORES'!$AL$7:$AL$459,"X",'ENCUESTA CONDUCTORES'!$BS$7:$BS$459,"CONTENEDOR",'ENCUESTA CONDUCTORES'!$AW$7:$AW$459,"&lt;1.91")+COUNTIFS('ENCUESTA CONDUCTORES'!$AL$7:$AL$459,"X",'ENCUESTA CONDUCTORES'!$BS$7:$BS$459,"MEDICAMENTOS",'ENCUESTA CONDUCTORES'!$AW$7:$AW$459,"&lt;1.91")+COUNTIFS('ENCUESTA CONDUCTORES'!$AL$7:$AL$459,"X",'ENCUESTA CONDUCTORES'!$BS$7:$BS$459,"AGUA POTABLE",'ENCUESTA CONDUCTORES'!$AW$7:$AW$459,"&lt;1.91")+COUNTIFS('ENCUESTA CONDUCTORES'!$AL$7:$AL$459,"X",'ENCUESTA CONDUCTORES'!$BS$7:$BS$459,"MUDANZAS",'ENCUESTA CONDUCTORES'!$AW$7:$AW$459,"&lt;1.91")+COUNTIFS('ENCUESTA CONDUCTORES'!$AL$7:$AL$459,"X",'ENCUESTA CONDUCTORES'!$BS$7:$BS$459,"JABON",'ENCUESTA CONDUCTORES'!$AW$7:$AW$459,"&lt;1.91")+COUNTIFS('ENCUESTA CONDUCTORES'!$AL$7:$AL$459,"X",'ENCUESTA CONDUCTORES'!$BS$7:$BS$459,"ACEITE",'ENCUESTA CONDUCTORES'!$AW$7:$AW$459,"&lt;1.91")+COUNTIFS('ENCUESTA CONDUCTORES'!$AL$7:$AL$459,"X",'ENCUESTA CONDUCTORES'!$BS$7:$BS$459,"POLIETILENO",'ENCUESTA CONDUCTORES'!$AW$7:$AW$459,"&lt;1.91")+COUNTIFS('ENCUESTA CONDUCTORES'!$AL$7:$AL$459,"X",'ENCUESTA CONDUCTORES'!$BS$7:$BS$459,"ELECTRODOMÉSTICOS",'ENCUESTA CONDUCTORES'!$AW$7:$AW$459,"&lt;1.91")+COUNTIFS('ENCUESTA CONDUCTORES'!$AL$7:$AL$459,"X",'ENCUESTA CONDUCTORES'!$BS$7:$BS$459,"MUEBLES",'ENCUESTA CONDUCTORES'!$AW$7:$AW$459,"&lt;1.91")+COUNTIFS('ENCUESTA CONDUCTORES'!$AL$7:$AL$459,"X",'ENCUESTA CONDUCTORES'!$BS$7:$BS$459,"CHATARRA",'ENCUESTA CONDUCTORES'!$AW$7:$AW$459,"&lt;1.91")+COUNTIFS('ENCUESTA CONDUCTORES'!$AL$7:$AL$459,"X",'ENCUESTA CONDUCTORES'!$BS$7:$BS$459,"LLANTAS",'ENCUESTA CONDUCTORES'!$AW$7:$AW$459,"&lt;1.91")+COUNTIFS('ENCUESTA CONDUCTORES'!$AL$7:$AL$459,"X",'ENCUESTA CONDUCTORES'!$BS$7:$BS$459,"AGUA",'ENCUESTA CONDUCTORES'!$AW$7:$AW$459,"&lt;1.91")+COUNTIFS('ENCUESTA CONDUCTORES'!$AL$7:$AL$459,"X",'ENCUESTA CONDUCTORES'!$BS$7:$BS$459,"ANIMALES",'ENCUESTA CONDUCTORES'!$AW$7:$AW$459,"&lt;1.91")+COUNTIFS('ENCUESTA CONDUCTORES'!$AL$7:$AL$459,"X",'ENCUESTA CONDUCTORES'!$BS$7:$BS$459,"TV REFRIGERADORES",'ENCUESTA CONDUCTORES'!$AW$7:$AW$459,"&lt;1.91")+COUNTIFS('ENCUESTA CONDUCTORES'!$AL$7:$AL$459,"X",'ENCUESTA CONDUCTORES'!$BS$7:$BS$459,"LÍNEA BLANCA",'ENCUESTA CONDUCTORES'!$AW$7:$AW$459,"&lt;1.91")+COUNTIFS('ENCUESTA CONDUCTORES'!$AL$7:$AL$459,"X",'ENCUESTA CONDUCTORES'!$BS$7:$BS$459,"IMPORTACIÓN / EXPORTACIÓN",'ENCUESTA CONDUCTORES'!$AW$7:$AW$459,"&lt;1.91")+COUNTIFS('ENCUESTA CONDUCTORES'!$AL$7:$AL$459,"X",'ENCUESTA CONDUCTORES'!$BS$7:$BS$459,"PLASTICO",'ENCUESTA CONDUCTORES'!$AW$7:$AW$459,"&lt;1.91")+COUNTIFS('ENCUESTA CONDUCTORES'!$AL$7:$AL$459,"X",'ENCUESTA CONDUCTORES'!$BS$7:$BS$459,"ROPA",'ENCUESTA CONDUCTORES'!$AW$7:$AW$459,"&lt;1.91")+COUNTIFS('ENCUESTA CONDUCTORES'!$AL$7:$AL$459,"X",'ENCUESTA CONDUCTORES'!$BS$7:$BS$459,"CHATARRA",'ENCUESTA CONDUCTORES'!$AW$7:$AW$459,"&lt;1.91")+COUNTIFS('ENCUESTA CONDUCTORES'!$AL$7:$AL$459,"X",'ENCUESTA CONDUCTORES'!$BS$7:$BS$459,"MEDICAMENTO NUTRICIONAL",'ENCUESTA CONDUCTORES'!$AW$7:$AW$459,"&lt;1.91")+COUNTIFS('ENCUESTA CONDUCTORES'!$AL$7:$AL$459,"X",'ENCUESTA CONDUCTORES'!$BS$7:$BS$459,"PRODUCTOS DE BELLEZA",'ENCUESTA CONDUCTORES'!$AW$7:$AW$459,"&lt;1.91")+COUNTIFS('ENCUESTA CONDUCTORES'!$AL$7:$AL$459,"X",'ENCUESTA CONDUCTORES'!$BS$7:$BS$459,"FORRAJE",'ENCUESTA CONDUCTORES'!$AW$7:$AW$459,"&lt;1.91")+COUNTIFS('ENCUESTA CONDUCTORES'!$AL$7:$AL$459,"X",'ENCUESTA CONDUCTORES'!$BS$7:$BS$459,"VALORES",'ENCUESTA CONDUCTORES'!$AW$7:$AW$459,"&lt;1.91")+COUNTIFS('ENCUESTA CONDUCTORES'!$AL$7:$AL$459,"X",'ENCUESTA CONDUCTORES'!$BS$7:$BS$459,"PAQUETERIA",'ENCUESTA CONDUCTORES'!$AW$7:$AW$459,"&lt;1.91")+COUNTIFS('ENCUESTA CONDUCTORES'!$AL$7:$AL$459,"X",'ENCUESTA CONDUCTORES'!$BS$7:$BS$459,"SECOS",'ENCUESTA CONDUCTORES'!$AW$7:$AW$459,"&lt;1.91")+COUNTIFS('ENCUESTA CONDUCTORES'!$AL$7:$AL$459,"X",'ENCUESTA CONDUCTORES'!$BS$7:$BS$459,"PANTALLAS",'ENCUESTA CONDUCTORES'!$AW$7:$AW$459,"&lt;1.91")+COUNTIFS('ENCUESTA CONDUCTORES'!$AL$7:$AL$459,"X",'ENCUESTA CONDUCTORES'!$BS$7:$BS$459,"BOTELLAS",'ENCUESTA CONDUCTORES'!$AW$7:$AW$459,"&lt;1.91")+COUNTIFS('ENCUESTA CONDUCTORES'!$AL$7:$AL$459,"X",'ENCUESTA CONDUCTORES'!$BS$7:$BS$459,"PRODUCTOS DE HIGIENE PERSONAL",'ENCUESTA CONDUCTORES'!$AW$7:$AW$459,"&lt;1.91")+COUNTIFS('ENCUESTA CONDUCTORES'!$AL$7:$AL$459,"X",'ENCUESTA CONDUCTORES'!$BS$7:$BS$459,"ELECTRONICA, LINEA BLANCA",'ENCUESTA CONDUCTORES'!$AW$7:$AW$459,"&lt;1.91")+COUNTIFS('ENCUESTA CONDUCTORES'!$AL$7:$AL$459,"X",'ENCUESTA CONDUCTORES'!$BS$7:$BS$459,"CONTENEDORES",'ENCUESTA CONDUCTORES'!$AW$7:$AW$459,"&lt;1.91")-BP215</f>
        <v>5</v>
      </c>
      <c r="BR215" s="90">
        <f>COUNTIFS('ENCUESTA CONDUCTORES'!$AL$7:$AL$459,"X",'ENCUESTA CONDUCTORES'!$BS$7:$BS$459,"CARRITOS DE GOLF",'ENCUESTA CONDUCTORES'!$AW$7:$AW$459,"&lt;2.01")+COUNTIFS('ENCUESTA CONDUCTORES'!$AL$7:$AL$459,"X",'ENCUESTA CONDUCTORES'!$BS$7:$BS$459,"MERCANCIA SECA",'ENCUESTA CONDUCTORES'!$AW$7:$AW$459,"&lt;2.01")+COUNTIFS('ENCUESTA CONDUCTORES'!$AL$7:$AL$459,"X",'ENCUESTA CONDUCTORES'!$BS$7:$BS$459,"PAPELERIA",'ENCUESTA CONDUCTORES'!$AW$7:$AW$459,"&lt;2.01")+COUNTIFS('ENCUESTA CONDUCTORES'!$AL$7:$AL$459,"X",'ENCUESTA CONDUCTORES'!$BS$7:$BS$459,"GENERAL",'ENCUESTA CONDUCTORES'!$AW$7:$AW$459,"&lt;2.01")+COUNTIFS('ENCUESTA CONDUCTORES'!$AL$7:$AL$459,"X",'ENCUESTA CONDUCTORES'!$BS$7:$BS$459,"MAQUINARIA",'ENCUESTA CONDUCTORES'!$AW$7:$AW$459,"&lt;2.01")+COUNTIFS('ENCUESTA CONDUCTORES'!$AL$7:$AL$459,"X",'ENCUESTA CONDUCTORES'!$BS$7:$BS$459,"CONTENEDOR",'ENCUESTA CONDUCTORES'!$AW$7:$AW$459,"&lt;2.01")+COUNTIFS('ENCUESTA CONDUCTORES'!$AL$7:$AL$459,"X",'ENCUESTA CONDUCTORES'!$BS$7:$BS$459,"MEDICAMENTOS",'ENCUESTA CONDUCTORES'!$AW$7:$AW$459,"&lt;2.01")+COUNTIFS('ENCUESTA CONDUCTORES'!$AL$7:$AL$459,"X",'ENCUESTA CONDUCTORES'!$BS$7:$BS$459,"AGUA POTABLE",'ENCUESTA CONDUCTORES'!$AW$7:$AW$459,"&lt;2.01")+COUNTIFS('ENCUESTA CONDUCTORES'!$AL$7:$AL$459,"X",'ENCUESTA CONDUCTORES'!$BS$7:$BS$459,"MUDANZAS",'ENCUESTA CONDUCTORES'!$AW$7:$AW$459,"&lt;2.01")+COUNTIFS('ENCUESTA CONDUCTORES'!$AL$7:$AL$459,"X",'ENCUESTA CONDUCTORES'!$BS$7:$BS$459,"JABON",'ENCUESTA CONDUCTORES'!$AW$7:$AW$459,"&lt;2.01")+COUNTIFS('ENCUESTA CONDUCTORES'!$AL$7:$AL$459,"X",'ENCUESTA CONDUCTORES'!$BS$7:$BS$459,"ACEITE",'ENCUESTA CONDUCTORES'!$AW$7:$AW$459,"&lt;2.01")+COUNTIFS('ENCUESTA CONDUCTORES'!$AL$7:$AL$459,"X",'ENCUESTA CONDUCTORES'!$BS$7:$BS$459,"POLIETILENO",'ENCUESTA CONDUCTORES'!$AW$7:$AW$459,"&lt;2.01")+COUNTIFS('ENCUESTA CONDUCTORES'!$AL$7:$AL$459,"X",'ENCUESTA CONDUCTORES'!$BS$7:$BS$459,"ELECTRODOMÉSTICOS",'ENCUESTA CONDUCTORES'!$AW$7:$AW$459,"&lt;2.01")+COUNTIFS('ENCUESTA CONDUCTORES'!$AL$7:$AL$459,"X",'ENCUESTA CONDUCTORES'!$BS$7:$BS$459,"MUEBLES",'ENCUESTA CONDUCTORES'!$AW$7:$AW$459,"&lt;2.01")+COUNTIFS('ENCUESTA CONDUCTORES'!$AL$7:$AL$459,"X",'ENCUESTA CONDUCTORES'!$BS$7:$BS$459,"CHATARRA",'ENCUESTA CONDUCTORES'!$AW$7:$AW$459,"&lt;2.01")+COUNTIFS('ENCUESTA CONDUCTORES'!$AL$7:$AL$459,"X",'ENCUESTA CONDUCTORES'!$BS$7:$BS$459,"LLANTAS",'ENCUESTA CONDUCTORES'!$AW$7:$AW$459,"&lt;2.01")+COUNTIFS('ENCUESTA CONDUCTORES'!$AL$7:$AL$459,"X",'ENCUESTA CONDUCTORES'!$BS$7:$BS$459,"AGUA",'ENCUESTA CONDUCTORES'!$AW$7:$AW$459,"&lt;2.01")+COUNTIFS('ENCUESTA CONDUCTORES'!$AL$7:$AL$459,"X",'ENCUESTA CONDUCTORES'!$BS$7:$BS$459,"ANIMALES",'ENCUESTA CONDUCTORES'!$AW$7:$AW$459,"&lt;2.01")+COUNTIFS('ENCUESTA CONDUCTORES'!$AL$7:$AL$459,"X",'ENCUESTA CONDUCTORES'!$BS$7:$BS$459,"TV REFRIGERADORES",'ENCUESTA CONDUCTORES'!$AW$7:$AW$459,"&lt;2.01")+COUNTIFS('ENCUESTA CONDUCTORES'!$AL$7:$AL$459,"X",'ENCUESTA CONDUCTORES'!$BS$7:$BS$459,"LÍNEA BLANCA",'ENCUESTA CONDUCTORES'!$AW$7:$AW$459,"&lt;2.01")+COUNTIFS('ENCUESTA CONDUCTORES'!$AL$7:$AL$459,"X",'ENCUESTA CONDUCTORES'!$BS$7:$BS$459,"IMPORTACIÓN / EXPORTACIÓN",'ENCUESTA CONDUCTORES'!$AW$7:$AW$459,"&lt;2.01")+COUNTIFS('ENCUESTA CONDUCTORES'!$AL$7:$AL$459,"X",'ENCUESTA CONDUCTORES'!$BS$7:$BS$459,"PLASTICO",'ENCUESTA CONDUCTORES'!$AW$7:$AW$459,"&lt;2.01")+COUNTIFS('ENCUESTA CONDUCTORES'!$AL$7:$AL$459,"X",'ENCUESTA CONDUCTORES'!$BS$7:$BS$459,"ROPA",'ENCUESTA CONDUCTORES'!$AW$7:$AW$459,"&lt;2.01")+COUNTIFS('ENCUESTA CONDUCTORES'!$AL$7:$AL$459,"X",'ENCUESTA CONDUCTORES'!$BS$7:$BS$459,"CHATARRA",'ENCUESTA CONDUCTORES'!$AW$7:$AW$459,"&lt;2.01")+COUNTIFS('ENCUESTA CONDUCTORES'!$AL$7:$AL$459,"X",'ENCUESTA CONDUCTORES'!$BS$7:$BS$459,"MEDICAMENTO NUTRICIONAL",'ENCUESTA CONDUCTORES'!$AW$7:$AW$459,"&lt;2.01")+COUNTIFS('ENCUESTA CONDUCTORES'!$AL$7:$AL$459,"X",'ENCUESTA CONDUCTORES'!$BS$7:$BS$459,"PRODUCTOS DE BELLEZA",'ENCUESTA CONDUCTORES'!$AW$7:$AW$459,"&lt;2.01")+COUNTIFS('ENCUESTA CONDUCTORES'!$AL$7:$AL$459,"X",'ENCUESTA CONDUCTORES'!$BS$7:$BS$459,"FORRAJE",'ENCUESTA CONDUCTORES'!$AW$7:$AW$459,"&lt;2.01")+COUNTIFS('ENCUESTA CONDUCTORES'!$AL$7:$AL$459,"X",'ENCUESTA CONDUCTORES'!$BS$7:$BS$459,"VALORES",'ENCUESTA CONDUCTORES'!$AW$7:$AW$459,"&lt;2.01")+COUNTIFS('ENCUESTA CONDUCTORES'!$AL$7:$AL$459,"X",'ENCUESTA CONDUCTORES'!$BS$7:$BS$459,"PAQUETERIA",'ENCUESTA CONDUCTORES'!$AW$7:$AW$459,"&lt;2.01")+COUNTIFS('ENCUESTA CONDUCTORES'!$AL$7:$AL$459,"X",'ENCUESTA CONDUCTORES'!$BS$7:$BS$459,"SECOS",'ENCUESTA CONDUCTORES'!$AW$7:$AW$459,"&lt;2.01")+COUNTIFS('ENCUESTA CONDUCTORES'!$AL$7:$AL$459,"X",'ENCUESTA CONDUCTORES'!$BS$7:$BS$459,"PANTALLAS",'ENCUESTA CONDUCTORES'!$AW$7:$AW$459,"&lt;2.01")+COUNTIFS('ENCUESTA CONDUCTORES'!$AL$7:$AL$459,"X",'ENCUESTA CONDUCTORES'!$BS$7:$BS$459,"BOTELLAS",'ENCUESTA CONDUCTORES'!$AW$7:$AW$459,"&lt;2.01")+COUNTIFS('ENCUESTA CONDUCTORES'!$AL$7:$AL$459,"X",'ENCUESTA CONDUCTORES'!$BS$7:$BS$459,"PRODUCTOS DE HIGIENE PERSONAL",'ENCUESTA CONDUCTORES'!$AW$7:$AW$459,"&lt;2.01")+COUNTIFS('ENCUESTA CONDUCTORES'!$AL$7:$AL$459,"X",'ENCUESTA CONDUCTORES'!$BS$7:$BS$459,"ELECTRONICA, LINEA BLANCA",'ENCUESTA CONDUCTORES'!$AW$7:$AW$459,"&lt;2.01")+COUNTIFS('ENCUESTA CONDUCTORES'!$AL$7:$AL$459,"X",'ENCUESTA CONDUCTORES'!$BS$7:$BS$459,"CONTENEDORES",'ENCUESTA CONDUCTORES'!$AW$7:$AW$459,"&lt;2.01")-BQ215-BP215</f>
        <v>7</v>
      </c>
      <c r="BS215" s="90">
        <f>COUNTIFS('ENCUESTA CONDUCTORES'!$AL$7:$AL$459,"X",'ENCUESTA CONDUCTORES'!$BS$7:$BS$459,"CARRITOS DE GOLF",'ENCUESTA CONDUCTORES'!$AW$7:$AW$459,"&lt;2.21")+COUNTIFS('ENCUESTA CONDUCTORES'!$AL$7:$AL$459,"X",'ENCUESTA CONDUCTORES'!$BS$7:$BS$459,"MERCANCIA SECA",'ENCUESTA CONDUCTORES'!$AW$7:$AW$459,"&lt;2.21")+COUNTIFS('ENCUESTA CONDUCTORES'!$AL$7:$AL$459,"X",'ENCUESTA CONDUCTORES'!$BS$7:$BS$459,"PAPELERIA",'ENCUESTA CONDUCTORES'!$AW$7:$AW$459,"&lt;2.21")+COUNTIFS('ENCUESTA CONDUCTORES'!$AL$7:$AL$459,"X",'ENCUESTA CONDUCTORES'!$BS$7:$BS$459,"GENERAL",'ENCUESTA CONDUCTORES'!$AW$7:$AW$459,"&lt;2.21")+COUNTIFS('ENCUESTA CONDUCTORES'!$AL$7:$AL$459,"X",'ENCUESTA CONDUCTORES'!$BS$7:$BS$459,"MAQUINARIA",'ENCUESTA CONDUCTORES'!$AW$7:$AW$459,"&lt;2.21")+COUNTIFS('ENCUESTA CONDUCTORES'!$AL$7:$AL$459,"X",'ENCUESTA CONDUCTORES'!$BS$7:$BS$459,"CONTENEDOR",'ENCUESTA CONDUCTORES'!$AW$7:$AW$459,"&lt;2.21")+COUNTIFS('ENCUESTA CONDUCTORES'!$AL$7:$AL$459,"X",'ENCUESTA CONDUCTORES'!$BS$7:$BS$459,"MEDICAMENTOS",'ENCUESTA CONDUCTORES'!$AW$7:$AW$459,"&lt;2.21")+COUNTIFS('ENCUESTA CONDUCTORES'!$AL$7:$AL$459,"X",'ENCUESTA CONDUCTORES'!$BS$7:$BS$459,"AGUA POTABLE",'ENCUESTA CONDUCTORES'!$AW$7:$AW$459,"&lt;2.21")+COUNTIFS('ENCUESTA CONDUCTORES'!$AL$7:$AL$459,"X",'ENCUESTA CONDUCTORES'!$BS$7:$BS$459,"MUDANZAS",'ENCUESTA CONDUCTORES'!$AW$7:$AW$459,"&lt;2.21")+COUNTIFS('ENCUESTA CONDUCTORES'!$AL$7:$AL$459,"X",'ENCUESTA CONDUCTORES'!$BS$7:$BS$459,"JABON",'ENCUESTA CONDUCTORES'!$AW$7:$AW$459,"&lt;2.21")+COUNTIFS('ENCUESTA CONDUCTORES'!$AL$7:$AL$459,"X",'ENCUESTA CONDUCTORES'!$BS$7:$BS$459,"ACEITE",'ENCUESTA CONDUCTORES'!$AW$7:$AW$459,"&lt;2.21")+COUNTIFS('ENCUESTA CONDUCTORES'!$AL$7:$AL$459,"X",'ENCUESTA CONDUCTORES'!$BS$7:$BS$459,"POLIETILENO",'ENCUESTA CONDUCTORES'!$AW$7:$AW$459,"&lt;2.21")+COUNTIFS('ENCUESTA CONDUCTORES'!$AL$7:$AL$459,"X",'ENCUESTA CONDUCTORES'!$BS$7:$BS$459,"ELECTRODOMÉSTICOS",'ENCUESTA CONDUCTORES'!$AW$7:$AW$459,"&lt;2.21")+COUNTIFS('ENCUESTA CONDUCTORES'!$AL$7:$AL$459,"X",'ENCUESTA CONDUCTORES'!$BS$7:$BS$459,"MUEBLES",'ENCUESTA CONDUCTORES'!$AW$7:$AW$459,"&lt;2.21")+COUNTIFS('ENCUESTA CONDUCTORES'!$AL$7:$AL$459,"X",'ENCUESTA CONDUCTORES'!$BS$7:$BS$459,"CHATARRA",'ENCUESTA CONDUCTORES'!$AW$7:$AW$459,"&lt;2.21")+COUNTIFS('ENCUESTA CONDUCTORES'!$AL$7:$AL$459,"X",'ENCUESTA CONDUCTORES'!$BS$7:$BS$459,"LLANTAS",'ENCUESTA CONDUCTORES'!$AW$7:$AW$459,"&lt;2.21")+COUNTIFS('ENCUESTA CONDUCTORES'!$AL$7:$AL$459,"X",'ENCUESTA CONDUCTORES'!$BS$7:$BS$459,"AGUA",'ENCUESTA CONDUCTORES'!$AW$7:$AW$459,"&lt;2.21")+COUNTIFS('ENCUESTA CONDUCTORES'!$AL$7:$AL$459,"X",'ENCUESTA CONDUCTORES'!$BS$7:$BS$459,"ANIMALES",'ENCUESTA CONDUCTORES'!$AW$7:$AW$459,"&lt;2.21")+COUNTIFS('ENCUESTA CONDUCTORES'!$AL$7:$AL$459,"X",'ENCUESTA CONDUCTORES'!$BS$7:$BS$459,"TV REFRIGERADORES",'ENCUESTA CONDUCTORES'!$AW$7:$AW$459,"&lt;2.21")+COUNTIFS('ENCUESTA CONDUCTORES'!$AL$7:$AL$459,"X",'ENCUESTA CONDUCTORES'!$BS$7:$BS$459,"LÍNEA BLANCA",'ENCUESTA CONDUCTORES'!$AW$7:$AW$459,"&lt;2.21")+COUNTIFS('ENCUESTA CONDUCTORES'!$AL$7:$AL$459,"X",'ENCUESTA CONDUCTORES'!$BS$7:$BS$459,"IMPORTACIÓN / EXPORTACIÓN",'ENCUESTA CONDUCTORES'!$AW$7:$AW$459,"&lt;2.21")+COUNTIFS('ENCUESTA CONDUCTORES'!$AL$7:$AL$459,"X",'ENCUESTA CONDUCTORES'!$BS$7:$BS$459,"PLASTICO",'ENCUESTA CONDUCTORES'!$AW$7:$AW$459,"&lt;2.21")+COUNTIFS('ENCUESTA CONDUCTORES'!$AL$7:$AL$459,"X",'ENCUESTA CONDUCTORES'!$BS$7:$BS$459,"ROPA",'ENCUESTA CONDUCTORES'!$AW$7:$AW$459,"&lt;2.21")+COUNTIFS('ENCUESTA CONDUCTORES'!$AL$7:$AL$459,"X",'ENCUESTA CONDUCTORES'!$BS$7:$BS$459,"CHATARRA",'ENCUESTA CONDUCTORES'!$AW$7:$AW$459,"&lt;2.21")+COUNTIFS('ENCUESTA CONDUCTORES'!$AL$7:$AL$459,"X",'ENCUESTA CONDUCTORES'!$BS$7:$BS$459,"MEDICAMENTO NUTRICIONAL",'ENCUESTA CONDUCTORES'!$AW$7:$AW$459,"&lt;2.21")+COUNTIFS('ENCUESTA CONDUCTORES'!$AL$7:$AL$459,"X",'ENCUESTA CONDUCTORES'!$BS$7:$BS$459,"PRODUCTOS DE BELLEZA",'ENCUESTA CONDUCTORES'!$AW$7:$AW$459,"&lt;2.21")+COUNTIFS('ENCUESTA CONDUCTORES'!$AL$7:$AL$459,"X",'ENCUESTA CONDUCTORES'!$BS$7:$BS$459,"FORRAJE",'ENCUESTA CONDUCTORES'!$AW$7:$AW$459,"&lt;2.21")+COUNTIFS('ENCUESTA CONDUCTORES'!$AL$7:$AL$459,"X",'ENCUESTA CONDUCTORES'!$BS$7:$BS$459,"VALORES",'ENCUESTA CONDUCTORES'!$AW$7:$AW$459,"&lt;2.21")+COUNTIFS('ENCUESTA CONDUCTORES'!$AL$7:$AL$459,"X",'ENCUESTA CONDUCTORES'!$BS$7:$BS$459,"PAQUETERIA",'ENCUESTA CONDUCTORES'!$AW$7:$AW$459,"&lt;2.21")+COUNTIFS('ENCUESTA CONDUCTORES'!$AL$7:$AL$459,"X",'ENCUESTA CONDUCTORES'!$BS$7:$BS$459,"SECOS",'ENCUESTA CONDUCTORES'!$AW$7:$AW$459,"&lt;2.21")+COUNTIFS('ENCUESTA CONDUCTORES'!$AL$7:$AL$459,"X",'ENCUESTA CONDUCTORES'!$BS$7:$BS$459,"PANTALLAS",'ENCUESTA CONDUCTORES'!$AW$7:$AW$459,"&lt;2.21")+COUNTIFS('ENCUESTA CONDUCTORES'!$AL$7:$AL$459,"X",'ENCUESTA CONDUCTORES'!$BS$7:$BS$459,"BOTELLAS",'ENCUESTA CONDUCTORES'!$AW$7:$AW$459,"&lt;2.21")+COUNTIFS('ENCUESTA CONDUCTORES'!$AL$7:$AL$459,"X",'ENCUESTA CONDUCTORES'!$BS$7:$BS$459,"PRODUCTOS DE HIGIENE PERSONAL",'ENCUESTA CONDUCTORES'!$AW$7:$AW$459,"&lt;2.21")+COUNTIFS('ENCUESTA CONDUCTORES'!$AL$7:$AL$459,"X",'ENCUESTA CONDUCTORES'!$BS$7:$BS$459,"ELECTRONICA, LINEA BLANCA",'ENCUESTA CONDUCTORES'!$AW$7:$AW$459,"&lt;2.21")+COUNTIFS('ENCUESTA CONDUCTORES'!$AL$7:$AL$459,"X",'ENCUESTA CONDUCTORES'!$BS$7:$BS$459,"CONTENEDORES",'ENCUESTA CONDUCTORES'!$AW$7:$AW$459,"&lt;2.21")-BR215-BQ215-BP215</f>
        <v>4</v>
      </c>
      <c r="BT215" s="90">
        <f>COUNTIFS('ENCUESTA CONDUCTORES'!$AL$7:$AL$459,"X",'ENCUESTA CONDUCTORES'!$BS$7:$BS$459,"CARRITOS DE GOLF",'ENCUESTA CONDUCTORES'!$AW$7:$AW$459,"&lt;2.51")+COUNTIFS('ENCUESTA CONDUCTORES'!$AL$7:$AL$459,"X",'ENCUESTA CONDUCTORES'!$BS$7:$BS$459,"MERCANCIA SECA",'ENCUESTA CONDUCTORES'!$AW$7:$AW$459,"&lt;2.51")+COUNTIFS('ENCUESTA CONDUCTORES'!$AL$7:$AL$459,"X",'ENCUESTA CONDUCTORES'!$BS$7:$BS$459,"PAPELERIA",'ENCUESTA CONDUCTORES'!$AW$7:$AW$459,"&lt;2.51")+COUNTIFS('ENCUESTA CONDUCTORES'!$AL$7:$AL$459,"X",'ENCUESTA CONDUCTORES'!$BS$7:$BS$459,"GENERAL",'ENCUESTA CONDUCTORES'!$AW$7:$AW$459,"&lt;2.51")+COUNTIFS('ENCUESTA CONDUCTORES'!$AL$7:$AL$459,"X",'ENCUESTA CONDUCTORES'!$BS$7:$BS$459,"MAQUINARIA",'ENCUESTA CONDUCTORES'!$AW$7:$AW$459,"&lt;2.51")+COUNTIFS('ENCUESTA CONDUCTORES'!$AL$7:$AL$459,"X",'ENCUESTA CONDUCTORES'!$BS$7:$BS$459,"CONTENEDOR",'ENCUESTA CONDUCTORES'!$AW$7:$AW$459,"&lt;2.51")+COUNTIFS('ENCUESTA CONDUCTORES'!$AL$7:$AL$459,"X",'ENCUESTA CONDUCTORES'!$BS$7:$BS$459,"MEDICAMENTOS",'ENCUESTA CONDUCTORES'!$AW$7:$AW$459,"&lt;2.51")+COUNTIFS('ENCUESTA CONDUCTORES'!$AL$7:$AL$459,"X",'ENCUESTA CONDUCTORES'!$BS$7:$BS$459,"AGUA POTABLE",'ENCUESTA CONDUCTORES'!$AW$7:$AW$459,"&lt;2.51")+COUNTIFS('ENCUESTA CONDUCTORES'!$AL$7:$AL$459,"X",'ENCUESTA CONDUCTORES'!$BS$7:$BS$459,"MUDANZAS",'ENCUESTA CONDUCTORES'!$AW$7:$AW$459,"&lt;2.51")+COUNTIFS('ENCUESTA CONDUCTORES'!$AL$7:$AL$459,"X",'ENCUESTA CONDUCTORES'!$BS$7:$BS$459,"JABON",'ENCUESTA CONDUCTORES'!$AW$7:$AW$459,"&lt;2.51")+COUNTIFS('ENCUESTA CONDUCTORES'!$AL$7:$AL$459,"X",'ENCUESTA CONDUCTORES'!$BS$7:$BS$459,"ACEITE",'ENCUESTA CONDUCTORES'!$AW$7:$AW$459,"&lt;2.51")+COUNTIFS('ENCUESTA CONDUCTORES'!$AL$7:$AL$459,"X",'ENCUESTA CONDUCTORES'!$BS$7:$BS$459,"POLIETILENO",'ENCUESTA CONDUCTORES'!$AW$7:$AW$459,"&lt;2.51")+COUNTIFS('ENCUESTA CONDUCTORES'!$AL$7:$AL$459,"X",'ENCUESTA CONDUCTORES'!$BS$7:$BS$459,"ELECTRODOMÉSTICOS",'ENCUESTA CONDUCTORES'!$AW$7:$AW$459,"&lt;2.51")+COUNTIFS('ENCUESTA CONDUCTORES'!$AL$7:$AL$459,"X",'ENCUESTA CONDUCTORES'!$BS$7:$BS$459,"MUEBLES",'ENCUESTA CONDUCTORES'!$AW$7:$AW$459,"&lt;2.51")+COUNTIFS('ENCUESTA CONDUCTORES'!$AL$7:$AL$459,"X",'ENCUESTA CONDUCTORES'!$BS$7:$BS$459,"CHATARRA",'ENCUESTA CONDUCTORES'!$AW$7:$AW$459,"&lt;2.51")+COUNTIFS('ENCUESTA CONDUCTORES'!$AL$7:$AL$459,"X",'ENCUESTA CONDUCTORES'!$BS$7:$BS$459,"LLANTAS",'ENCUESTA CONDUCTORES'!$AW$7:$AW$459,"&lt;2.51")+COUNTIFS('ENCUESTA CONDUCTORES'!$AL$7:$AL$459,"X",'ENCUESTA CONDUCTORES'!$BS$7:$BS$459,"AGUA",'ENCUESTA CONDUCTORES'!$AW$7:$AW$459,"&lt;2.51")+COUNTIFS('ENCUESTA CONDUCTORES'!$AL$7:$AL$459,"X",'ENCUESTA CONDUCTORES'!$BS$7:$BS$459,"ANIMALES",'ENCUESTA CONDUCTORES'!$AW$7:$AW$459,"&lt;2.51")+COUNTIFS('ENCUESTA CONDUCTORES'!$AL$7:$AL$459,"X",'ENCUESTA CONDUCTORES'!$BS$7:$BS$459,"TV REFRIGERADORES",'ENCUESTA CONDUCTORES'!$AW$7:$AW$459,"&lt;2.51")+COUNTIFS('ENCUESTA CONDUCTORES'!$AL$7:$AL$459,"X",'ENCUESTA CONDUCTORES'!$BS$7:$BS$459,"LÍNEA BLANCA",'ENCUESTA CONDUCTORES'!$AW$7:$AW$459,"&lt;2.51")+COUNTIFS('ENCUESTA CONDUCTORES'!$AL$7:$AL$459,"X",'ENCUESTA CONDUCTORES'!$BS$7:$BS$459,"IMPORTACIÓN / EXPORTACIÓN",'ENCUESTA CONDUCTORES'!$AW$7:$AW$459,"&lt;2.51")+COUNTIFS('ENCUESTA CONDUCTORES'!$AL$7:$AL$459,"X",'ENCUESTA CONDUCTORES'!$BS$7:$BS$459,"PLASTICO",'ENCUESTA CONDUCTORES'!$AW$7:$AW$459,"&lt;2.51")+COUNTIFS('ENCUESTA CONDUCTORES'!$AL$7:$AL$459,"X",'ENCUESTA CONDUCTORES'!$BS$7:$BS$459,"ROPA",'ENCUESTA CONDUCTORES'!$AW$7:$AW$459,"&lt;2.51")+COUNTIFS('ENCUESTA CONDUCTORES'!$AL$7:$AL$459,"X",'ENCUESTA CONDUCTORES'!$BS$7:$BS$459,"CHATARRA",'ENCUESTA CONDUCTORES'!$AW$7:$AW$459,"&lt;2.51")+COUNTIFS('ENCUESTA CONDUCTORES'!$AL$7:$AL$459,"X",'ENCUESTA CONDUCTORES'!$BS$7:$BS$459,"MEDICAMENTO NUTRICIONAL",'ENCUESTA CONDUCTORES'!$AW$7:$AW$459,"&lt;2.51")+COUNTIFS('ENCUESTA CONDUCTORES'!$AL$7:$AL$459,"X",'ENCUESTA CONDUCTORES'!$BS$7:$BS$459,"PRODUCTOS DE BELLEZA",'ENCUESTA CONDUCTORES'!$AW$7:$AW$459,"&lt;2.51")+COUNTIFS('ENCUESTA CONDUCTORES'!$AL$7:$AL$459,"X",'ENCUESTA CONDUCTORES'!$BS$7:$BS$459,"FORRAJE",'ENCUESTA CONDUCTORES'!$AW$7:$AW$459,"&lt;2.51")+COUNTIFS('ENCUESTA CONDUCTORES'!$AL$7:$AL$459,"X",'ENCUESTA CONDUCTORES'!$BS$7:$BS$459,"VALORES",'ENCUESTA CONDUCTORES'!$AW$7:$AW$459,"&lt;2.51")+COUNTIFS('ENCUESTA CONDUCTORES'!$AL$7:$AL$459,"X",'ENCUESTA CONDUCTORES'!$BS$7:$BS$459,"PAQUETERIA",'ENCUESTA CONDUCTORES'!$AW$7:$AW$459,"&lt;2.51")+COUNTIFS('ENCUESTA CONDUCTORES'!$AL$7:$AL$459,"X",'ENCUESTA CONDUCTORES'!$BS$7:$BS$459,"SECOS",'ENCUESTA CONDUCTORES'!$AW$7:$AW$459,"&lt;2.51")+COUNTIFS('ENCUESTA CONDUCTORES'!$AL$7:$AL$459,"X",'ENCUESTA CONDUCTORES'!$BS$7:$BS$459,"PANTALLAS",'ENCUESTA CONDUCTORES'!$AW$7:$AW$459,"&lt;2.51")+COUNTIFS('ENCUESTA CONDUCTORES'!$AL$7:$AL$459,"X",'ENCUESTA CONDUCTORES'!$BS$7:$BS$459,"BOTELLAS",'ENCUESTA CONDUCTORES'!$AW$7:$AW$459,"&lt;2.51")+COUNTIFS('ENCUESTA CONDUCTORES'!$AL$7:$AL$459,"X",'ENCUESTA CONDUCTORES'!$BS$7:$BS$459,"PRODUCTOS DE HIGIENE PERSONAL",'ENCUESTA CONDUCTORES'!$AW$7:$AW$459,"&lt;2.51")+COUNTIFS('ENCUESTA CONDUCTORES'!$AL$7:$AL$459,"X",'ENCUESTA CONDUCTORES'!$BS$7:$BS$459,"ELECTRONICA, LINEA BLANCA",'ENCUESTA CONDUCTORES'!$AW$7:$AW$459,"&lt;2.51")+COUNTIFS('ENCUESTA CONDUCTORES'!$AL$7:$AL$459,"X",'ENCUESTA CONDUCTORES'!$BS$7:$BS$459,"CONTENEDORES",'ENCUESTA CONDUCTORES'!$AW$7:$AW$459,"&lt;2.51")-BS215-BR215-BQ215-BP215</f>
        <v>15</v>
      </c>
      <c r="BU215" s="90">
        <f>COUNTIFS('ENCUESTA CONDUCTORES'!$AL$7:$AL$459,"X",'ENCUESTA CONDUCTORES'!$BS$7:$BS$459,"CARRITOS DE GOLF",'ENCUESTA CONDUCTORES'!$AW$7:$AW$459,"&lt;3.01")+COUNTIFS('ENCUESTA CONDUCTORES'!$AL$7:$AL$459,"X",'ENCUESTA CONDUCTORES'!$BS$7:$BS$459,"MERCANCIA SECA",'ENCUESTA CONDUCTORES'!$AW$7:$AW$459,"&lt;3.01")+COUNTIFS('ENCUESTA CONDUCTORES'!$AL$7:$AL$459,"X",'ENCUESTA CONDUCTORES'!$BS$7:$BS$459,"PAPELERIA",'ENCUESTA CONDUCTORES'!$AW$7:$AW$459,"&lt;3.01")+COUNTIFS('ENCUESTA CONDUCTORES'!$AL$7:$AL$459,"X",'ENCUESTA CONDUCTORES'!$BS$7:$BS$459,"GENERAL",'ENCUESTA CONDUCTORES'!$AW$7:$AW$459,"&lt;3.01")+COUNTIFS('ENCUESTA CONDUCTORES'!$AL$7:$AL$459,"X",'ENCUESTA CONDUCTORES'!$BS$7:$BS$459,"MAQUINARIA",'ENCUESTA CONDUCTORES'!$AW$7:$AW$459,"&lt;3.01")+COUNTIFS('ENCUESTA CONDUCTORES'!$AL$7:$AL$459,"X",'ENCUESTA CONDUCTORES'!$BS$7:$BS$459,"CONTENEDOR",'ENCUESTA CONDUCTORES'!$AW$7:$AW$459,"&lt;3.01")+COUNTIFS('ENCUESTA CONDUCTORES'!$AL$7:$AL$459,"X",'ENCUESTA CONDUCTORES'!$BS$7:$BS$459,"MEDICAMENTOS",'ENCUESTA CONDUCTORES'!$AW$7:$AW$459,"&lt;3.01")+COUNTIFS('ENCUESTA CONDUCTORES'!$AL$7:$AL$459,"X",'ENCUESTA CONDUCTORES'!$BS$7:$BS$459,"AGUA POTABLE",'ENCUESTA CONDUCTORES'!$AW$7:$AW$459,"&lt;3.01")+COUNTIFS('ENCUESTA CONDUCTORES'!$AL$7:$AL$459,"X",'ENCUESTA CONDUCTORES'!$BS$7:$BS$459,"MUDANZAS",'ENCUESTA CONDUCTORES'!$AW$7:$AW$459,"&lt;3.01")+COUNTIFS('ENCUESTA CONDUCTORES'!$AL$7:$AL$459,"X",'ENCUESTA CONDUCTORES'!$BS$7:$BS$459,"JABON",'ENCUESTA CONDUCTORES'!$AW$7:$AW$459,"&lt;3.01")+COUNTIFS('ENCUESTA CONDUCTORES'!$AL$7:$AL$459,"X",'ENCUESTA CONDUCTORES'!$BS$7:$BS$459,"ACEITE",'ENCUESTA CONDUCTORES'!$AW$7:$AW$459,"&lt;3.01")+COUNTIFS('ENCUESTA CONDUCTORES'!$AL$7:$AL$459,"X",'ENCUESTA CONDUCTORES'!$BS$7:$BS$459,"POLIETILENO",'ENCUESTA CONDUCTORES'!$AW$7:$AW$459,"&lt;3.01")+COUNTIFS('ENCUESTA CONDUCTORES'!$AL$7:$AL$459,"X",'ENCUESTA CONDUCTORES'!$BS$7:$BS$459,"ELECTRODOMÉSTICOS",'ENCUESTA CONDUCTORES'!$AW$7:$AW$459,"&lt;3.01")+COUNTIFS('ENCUESTA CONDUCTORES'!$AL$7:$AL$459,"X",'ENCUESTA CONDUCTORES'!$BS$7:$BS$459,"MUEBLES",'ENCUESTA CONDUCTORES'!$AW$7:$AW$459,"&lt;3.01")+COUNTIFS('ENCUESTA CONDUCTORES'!$AL$7:$AL$459,"X",'ENCUESTA CONDUCTORES'!$BS$7:$BS$459,"CHATARRA",'ENCUESTA CONDUCTORES'!$AW$7:$AW$459,"&lt;3.01")+COUNTIFS('ENCUESTA CONDUCTORES'!$AL$7:$AL$459,"X",'ENCUESTA CONDUCTORES'!$BS$7:$BS$459,"LLANTAS",'ENCUESTA CONDUCTORES'!$AW$7:$AW$459,"&lt;3.01")+COUNTIFS('ENCUESTA CONDUCTORES'!$AL$7:$AL$459,"X",'ENCUESTA CONDUCTORES'!$BS$7:$BS$459,"AGUA",'ENCUESTA CONDUCTORES'!$AW$7:$AW$459,"&lt;3.01")+COUNTIFS('ENCUESTA CONDUCTORES'!$AL$7:$AL$459,"X",'ENCUESTA CONDUCTORES'!$BS$7:$BS$459,"ANIMALES",'ENCUESTA CONDUCTORES'!$AW$7:$AW$459,"&lt;3.01")+COUNTIFS('ENCUESTA CONDUCTORES'!$AL$7:$AL$459,"X",'ENCUESTA CONDUCTORES'!$BS$7:$BS$459,"TV REFRIGERADORES",'ENCUESTA CONDUCTORES'!$AW$7:$AW$459,"&lt;3.01")+COUNTIFS('ENCUESTA CONDUCTORES'!$AL$7:$AL$459,"X",'ENCUESTA CONDUCTORES'!$BS$7:$BS$459,"LÍNEA BLANCA",'ENCUESTA CONDUCTORES'!$AW$7:$AW$459,"&lt;3.01")+COUNTIFS('ENCUESTA CONDUCTORES'!$AL$7:$AL$459,"X",'ENCUESTA CONDUCTORES'!$BS$7:$BS$459,"IMPORTACIÓN / EXPORTACIÓN",'ENCUESTA CONDUCTORES'!$AW$7:$AW$459,"&lt;3.01")+COUNTIFS('ENCUESTA CONDUCTORES'!$AL$7:$AL$459,"X",'ENCUESTA CONDUCTORES'!$BS$7:$BS$459,"PLASTICO",'ENCUESTA CONDUCTORES'!$AW$7:$AW$459,"&lt;3.01")+COUNTIFS('ENCUESTA CONDUCTORES'!$AL$7:$AL$459,"X",'ENCUESTA CONDUCTORES'!$BS$7:$BS$459,"ROPA",'ENCUESTA CONDUCTORES'!$AW$7:$AW$459,"&lt;3.01")+COUNTIFS('ENCUESTA CONDUCTORES'!$AL$7:$AL$459,"X",'ENCUESTA CONDUCTORES'!$BS$7:$BS$459,"CHATARRA",'ENCUESTA CONDUCTORES'!$AW$7:$AW$459,"&lt;3.01")+COUNTIFS('ENCUESTA CONDUCTORES'!$AL$7:$AL$459,"X",'ENCUESTA CONDUCTORES'!$BS$7:$BS$459,"MEDICAMENTO NUTRICIONAL",'ENCUESTA CONDUCTORES'!$AW$7:$AW$459,"&lt;3.01")+COUNTIFS('ENCUESTA CONDUCTORES'!$AL$7:$AL$459,"X",'ENCUESTA CONDUCTORES'!$BS$7:$BS$459,"PRODUCTOS DE BELLEZA",'ENCUESTA CONDUCTORES'!$AW$7:$AW$459,"&lt;3.01")+COUNTIFS('ENCUESTA CONDUCTORES'!$AL$7:$AL$459,"X",'ENCUESTA CONDUCTORES'!$BS$7:$BS$459,"FORRAJE",'ENCUESTA CONDUCTORES'!$AW$7:$AW$459,"&lt;3.01")+COUNTIFS('ENCUESTA CONDUCTORES'!$AL$7:$AL$459,"X",'ENCUESTA CONDUCTORES'!$BS$7:$BS$459,"VALORES",'ENCUESTA CONDUCTORES'!$AW$7:$AW$459,"&lt;3.01")+COUNTIFS('ENCUESTA CONDUCTORES'!$AL$7:$AL$459,"X",'ENCUESTA CONDUCTORES'!$BS$7:$BS$459,"PAQUETERIA",'ENCUESTA CONDUCTORES'!$AW$7:$AW$459,"&lt;3.01")+COUNTIFS('ENCUESTA CONDUCTORES'!$AL$7:$AL$459,"X",'ENCUESTA CONDUCTORES'!$BS$7:$BS$459,"SECOS",'ENCUESTA CONDUCTORES'!$AW$7:$AW$459,"&lt;3.01")+COUNTIFS('ENCUESTA CONDUCTORES'!$AL$7:$AL$459,"X",'ENCUESTA CONDUCTORES'!$BS$7:$BS$459,"PANTALLAS",'ENCUESTA CONDUCTORES'!$AW$7:$AW$459,"&lt;3.01")+COUNTIFS('ENCUESTA CONDUCTORES'!$AL$7:$AL$459,"X",'ENCUESTA CONDUCTORES'!$BS$7:$BS$459,"BOTELLAS",'ENCUESTA CONDUCTORES'!$AW$7:$AW$459,"&lt;3.01")+COUNTIFS('ENCUESTA CONDUCTORES'!$AL$7:$AL$459,"X",'ENCUESTA CONDUCTORES'!$BS$7:$BS$459,"PRODUCTOS DE HIGIENE PERSONAL",'ENCUESTA CONDUCTORES'!$AW$7:$AW$459,"&lt;3.01")+COUNTIFS('ENCUESTA CONDUCTORES'!$AL$7:$AL$459,"X",'ENCUESTA CONDUCTORES'!$BS$7:$BS$459,"ELECTRONICA, LINEA BLANCA",'ENCUESTA CONDUCTORES'!$AW$7:$AW$459,"&lt;3.01")+COUNTIFS('ENCUESTA CONDUCTORES'!$AL$7:$AL$459,"X",'ENCUESTA CONDUCTORES'!$BS$7:$BS$459,"CONTENEDORES",'ENCUESTA CONDUCTORES'!$AW$7:$AW$459,"&lt;3.01")-BT215-BS215-BR215-BQ215-BP215</f>
        <v>50</v>
      </c>
      <c r="BV215" s="90">
        <f>COUNTIFS('ENCUESTA CONDUCTORES'!$AL$7:$AL$459,"X",'ENCUESTA CONDUCTORES'!$BS$7:$BS$459,"CARRITOS DE GOLF",'ENCUESTA CONDUCTORES'!$AW$7:$AW$459,"&lt;4.01")+COUNTIFS('ENCUESTA CONDUCTORES'!$AL$7:$AL$459,"X",'ENCUESTA CONDUCTORES'!$BS$7:$BS$459,"MERCANCIA SECA",'ENCUESTA CONDUCTORES'!$AW$7:$AW$459,"&lt;4.01")+COUNTIFS('ENCUESTA CONDUCTORES'!$AL$7:$AL$459,"X",'ENCUESTA CONDUCTORES'!$BS$7:$BS$459,"PAPELERIA",'ENCUESTA CONDUCTORES'!$AW$7:$AW$459,"&lt;4.01")+COUNTIFS('ENCUESTA CONDUCTORES'!$AL$7:$AL$459,"X",'ENCUESTA CONDUCTORES'!$BS$7:$BS$459,"GENERAL",'ENCUESTA CONDUCTORES'!$AW$7:$AW$459,"&lt;4.01")+COUNTIFS('ENCUESTA CONDUCTORES'!$AL$7:$AL$459,"X",'ENCUESTA CONDUCTORES'!$BS$7:$BS$459,"MAQUINARIA",'ENCUESTA CONDUCTORES'!$AW$7:$AW$459,"&lt;4.01")+COUNTIFS('ENCUESTA CONDUCTORES'!$AL$7:$AL$459,"X",'ENCUESTA CONDUCTORES'!$BS$7:$BS$459,"CONTENEDOR",'ENCUESTA CONDUCTORES'!$AW$7:$AW$459,"&lt;4.01")+COUNTIFS('ENCUESTA CONDUCTORES'!$AL$7:$AL$459,"X",'ENCUESTA CONDUCTORES'!$BS$7:$BS$459,"MEDICAMENTOS",'ENCUESTA CONDUCTORES'!$AW$7:$AW$459,"&lt;4.01")+COUNTIFS('ENCUESTA CONDUCTORES'!$AL$7:$AL$459,"X",'ENCUESTA CONDUCTORES'!$BS$7:$BS$459,"AGUA POTABLE",'ENCUESTA CONDUCTORES'!$AW$7:$AW$459,"&lt;4.01")+COUNTIFS('ENCUESTA CONDUCTORES'!$AL$7:$AL$459,"X",'ENCUESTA CONDUCTORES'!$BS$7:$BS$459,"MUDANZAS",'ENCUESTA CONDUCTORES'!$AW$7:$AW$459,"&lt;4.01")+COUNTIFS('ENCUESTA CONDUCTORES'!$AL$7:$AL$459,"X",'ENCUESTA CONDUCTORES'!$BS$7:$BS$459,"JABON",'ENCUESTA CONDUCTORES'!$AW$7:$AW$459,"&lt;4.01")+COUNTIFS('ENCUESTA CONDUCTORES'!$AL$7:$AL$459,"X",'ENCUESTA CONDUCTORES'!$BS$7:$BS$459,"ACEITE",'ENCUESTA CONDUCTORES'!$AW$7:$AW$459,"&lt;4.01")+COUNTIFS('ENCUESTA CONDUCTORES'!$AL$7:$AL$459,"X",'ENCUESTA CONDUCTORES'!$BS$7:$BS$459,"POLIETILENO",'ENCUESTA CONDUCTORES'!$AW$7:$AW$459,"&lt;4.01")+COUNTIFS('ENCUESTA CONDUCTORES'!$AL$7:$AL$459,"X",'ENCUESTA CONDUCTORES'!$BS$7:$BS$459,"ELECTRODOMÉSTICOS",'ENCUESTA CONDUCTORES'!$AW$7:$AW$459,"&lt;4.01")+COUNTIFS('ENCUESTA CONDUCTORES'!$AL$7:$AL$459,"X",'ENCUESTA CONDUCTORES'!$BS$7:$BS$459,"MUEBLES",'ENCUESTA CONDUCTORES'!$AW$7:$AW$459,"&lt;4.01")+COUNTIFS('ENCUESTA CONDUCTORES'!$AL$7:$AL$459,"X",'ENCUESTA CONDUCTORES'!$BS$7:$BS$459,"CHATARRA",'ENCUESTA CONDUCTORES'!$AW$7:$AW$459,"&lt;4.01")+COUNTIFS('ENCUESTA CONDUCTORES'!$AL$7:$AL$459,"X",'ENCUESTA CONDUCTORES'!$BS$7:$BS$459,"LLANTAS",'ENCUESTA CONDUCTORES'!$AW$7:$AW$459,"&lt;4.01")+COUNTIFS('ENCUESTA CONDUCTORES'!$AL$7:$AL$459,"X",'ENCUESTA CONDUCTORES'!$BS$7:$BS$459,"AGUA",'ENCUESTA CONDUCTORES'!$AW$7:$AW$459,"&lt;4.01")+COUNTIFS('ENCUESTA CONDUCTORES'!$AL$7:$AL$459,"X",'ENCUESTA CONDUCTORES'!$BS$7:$BS$459,"ANIMALES",'ENCUESTA CONDUCTORES'!$AW$7:$AW$459,"&lt;4.01")+COUNTIFS('ENCUESTA CONDUCTORES'!$AL$7:$AL$459,"X",'ENCUESTA CONDUCTORES'!$BS$7:$BS$459,"TV REFRIGERADORES",'ENCUESTA CONDUCTORES'!$AW$7:$AW$459,"&lt;4.01")+COUNTIFS('ENCUESTA CONDUCTORES'!$AL$7:$AL$459,"X",'ENCUESTA CONDUCTORES'!$BS$7:$BS$459,"LÍNEA BLANCA",'ENCUESTA CONDUCTORES'!$AW$7:$AW$459,"&lt;4.01")+COUNTIFS('ENCUESTA CONDUCTORES'!$AL$7:$AL$459,"X",'ENCUESTA CONDUCTORES'!$BS$7:$BS$459,"IMPORTACIÓN / EXPORTACIÓN",'ENCUESTA CONDUCTORES'!$AW$7:$AW$459,"&lt;4.01")+COUNTIFS('ENCUESTA CONDUCTORES'!$AL$7:$AL$459,"X",'ENCUESTA CONDUCTORES'!$BS$7:$BS$459,"PLASTICO",'ENCUESTA CONDUCTORES'!$AW$7:$AW$459,"&lt;4.01")+COUNTIFS('ENCUESTA CONDUCTORES'!$AL$7:$AL$459,"X",'ENCUESTA CONDUCTORES'!$BS$7:$BS$459,"ROPA",'ENCUESTA CONDUCTORES'!$AW$7:$AW$459,"&lt;4.01")+COUNTIFS('ENCUESTA CONDUCTORES'!$AL$7:$AL$459,"X",'ENCUESTA CONDUCTORES'!$BS$7:$BS$459,"CHATARRA",'ENCUESTA CONDUCTORES'!$AW$7:$AW$459,"&lt;4.01")+COUNTIFS('ENCUESTA CONDUCTORES'!$AL$7:$AL$459,"X",'ENCUESTA CONDUCTORES'!$BS$7:$BS$459,"MEDICAMENTO NUTRICIONAL",'ENCUESTA CONDUCTORES'!$AW$7:$AW$459,"&lt;4.01")+COUNTIFS('ENCUESTA CONDUCTORES'!$AL$7:$AL$459,"X",'ENCUESTA CONDUCTORES'!$BS$7:$BS$459,"PRODUCTOS DE BELLEZA",'ENCUESTA CONDUCTORES'!$AW$7:$AW$459,"&lt;4.01")+COUNTIFS('ENCUESTA CONDUCTORES'!$AL$7:$AL$459,"X",'ENCUESTA CONDUCTORES'!$BS$7:$BS$459,"FORRAJE",'ENCUESTA CONDUCTORES'!$AW$7:$AW$459,"&lt;4.01")+COUNTIFS('ENCUESTA CONDUCTORES'!$AL$7:$AL$459,"X",'ENCUESTA CONDUCTORES'!$BS$7:$BS$459,"VALORES",'ENCUESTA CONDUCTORES'!$AW$7:$AW$459,"&lt;4.01")+COUNTIFS('ENCUESTA CONDUCTORES'!$AL$7:$AL$459,"X",'ENCUESTA CONDUCTORES'!$BS$7:$BS$459,"PAQUETERIA",'ENCUESTA CONDUCTORES'!$AW$7:$AW$459,"&lt;4.01")+COUNTIFS('ENCUESTA CONDUCTORES'!$AL$7:$AL$459,"X",'ENCUESTA CONDUCTORES'!$BS$7:$BS$459,"SECOS",'ENCUESTA CONDUCTORES'!$AW$7:$AW$459,"&lt;4.01")+COUNTIFS('ENCUESTA CONDUCTORES'!$AL$7:$AL$459,"X",'ENCUESTA CONDUCTORES'!$BS$7:$BS$459,"PANTALLAS",'ENCUESTA CONDUCTORES'!$AW$7:$AW$459,"&lt;4.01")+COUNTIFS('ENCUESTA CONDUCTORES'!$AL$7:$AL$459,"X",'ENCUESTA CONDUCTORES'!$BS$7:$BS$459,"BOTELLAS",'ENCUESTA CONDUCTORES'!$AW$7:$AW$459,"&lt;4.01")+COUNTIFS('ENCUESTA CONDUCTORES'!$AL$7:$AL$459,"X",'ENCUESTA CONDUCTORES'!$BS$7:$BS$459,"PRODUCTOS DE HIGIENE PERSONAL",'ENCUESTA CONDUCTORES'!$AW$7:$AW$459,"&lt;4.01")+COUNTIFS('ENCUESTA CONDUCTORES'!$AL$7:$AL$459,"X",'ENCUESTA CONDUCTORES'!$BS$7:$BS$459,"ELECTRONICA, LINEA BLANCA",'ENCUESTA CONDUCTORES'!$AW$7:$AW$459,"&lt;4.01")+COUNTIFS('ENCUESTA CONDUCTORES'!$AL$7:$AL$459,"X",'ENCUESTA CONDUCTORES'!$BS$7:$BS$459,"CONTENEDORES",'ENCUESTA CONDUCTORES'!$AW$7:$AW$459,"&lt;4.01")-BU215-BT215-BS215-BR215-BQ215-BP215</f>
        <v>12</v>
      </c>
      <c r="BW215" s="90">
        <f>COUNTIFS('ENCUESTA CONDUCTORES'!$AL$7:$AL$459,"X",'ENCUESTA CONDUCTORES'!$BS$7:$BS$459,"CARRITOS DE GOLF",'ENCUESTA CONDUCTORES'!$AW$7:$AW$459,"&gt;4")+COUNTIFS('ENCUESTA CONDUCTORES'!$AL$7:$AL$459,"X",'ENCUESTA CONDUCTORES'!$BS$7:$BS$459,"MERCANCIA SECA",'ENCUESTA CONDUCTORES'!$AW$7:$AW$459,"&gt;4")+COUNTIFS('ENCUESTA CONDUCTORES'!$AL$7:$AL$459,"X",'ENCUESTA CONDUCTORES'!$BS$7:$BS$459,"PAPELERIA",'ENCUESTA CONDUCTORES'!$AW$7:$AW$459,"&gt;4")+COUNTIFS('ENCUESTA CONDUCTORES'!$AL$7:$AL$459,"X",'ENCUESTA CONDUCTORES'!$BS$7:$BS$459,"GENERAL",'ENCUESTA CONDUCTORES'!$AW$7:$AW$459,"&gt;4")+COUNTIFS('ENCUESTA CONDUCTORES'!$AL$7:$AL$459,"X",'ENCUESTA CONDUCTORES'!$BS$7:$BS$459,"MAQUINARIA",'ENCUESTA CONDUCTORES'!$AW$7:$AW$459,"&gt;4")+COUNTIFS('ENCUESTA CONDUCTORES'!$AL$7:$AL$459,"X",'ENCUESTA CONDUCTORES'!$BS$7:$BS$459,"CONTENEDOR",'ENCUESTA CONDUCTORES'!$AW$7:$AW$459,"&gt;4")+COUNTIFS('ENCUESTA CONDUCTORES'!$AL$7:$AL$459,"X",'ENCUESTA CONDUCTORES'!$BS$7:$BS$459,"MEDICAMENTOS",'ENCUESTA CONDUCTORES'!$AW$7:$AW$459,"&gt;4")+COUNTIFS('ENCUESTA CONDUCTORES'!$AL$7:$AL$459,"X",'ENCUESTA CONDUCTORES'!$BS$7:$BS$459,"AGUA POTABLE",'ENCUESTA CONDUCTORES'!$AW$7:$AW$459,"&gt;4")+COUNTIFS('ENCUESTA CONDUCTORES'!$AL$7:$AL$459,"X",'ENCUESTA CONDUCTORES'!$BS$7:$BS$459,"MUDANZAS",'ENCUESTA CONDUCTORES'!$AW$7:$AW$459,"&gt;4")+COUNTIFS('ENCUESTA CONDUCTORES'!$AL$7:$AL$459,"X",'ENCUESTA CONDUCTORES'!$BS$7:$BS$459,"JABON",'ENCUESTA CONDUCTORES'!$AW$7:$AW$459,"&gt;4")+COUNTIFS('ENCUESTA CONDUCTORES'!$AL$7:$AL$459,"X",'ENCUESTA CONDUCTORES'!$BS$7:$BS$459,"ACEITE",'ENCUESTA CONDUCTORES'!$AW$7:$AW$459,"&gt;4")+COUNTIFS('ENCUESTA CONDUCTORES'!$AL$7:$AL$459,"X",'ENCUESTA CONDUCTORES'!$BS$7:$BS$459,"POLIETILENO",'ENCUESTA CONDUCTORES'!$AW$7:$AW$459,"&gt;4")+COUNTIFS('ENCUESTA CONDUCTORES'!$AL$7:$AL$459,"X",'ENCUESTA CONDUCTORES'!$BS$7:$BS$459,"ELECTRODOMÉSTICOS",'ENCUESTA CONDUCTORES'!$AW$7:$AW$459,"&gt;4")+COUNTIFS('ENCUESTA CONDUCTORES'!$AL$7:$AL$459,"X",'ENCUESTA CONDUCTORES'!$BS$7:$BS$459,"MUEBLES",'ENCUESTA CONDUCTORES'!$AW$7:$AW$459,"&gt;4")+COUNTIFS('ENCUESTA CONDUCTORES'!$AL$7:$AL$459,"X",'ENCUESTA CONDUCTORES'!$BS$7:$BS$459,"CHATARRA",'ENCUESTA CONDUCTORES'!$AW$7:$AW$459,"&gt;4")+COUNTIFS('ENCUESTA CONDUCTORES'!$AL$7:$AL$459,"X",'ENCUESTA CONDUCTORES'!$BS$7:$BS$459,"LLANTAS",'ENCUESTA CONDUCTORES'!$AW$7:$AW$459,"&gt;4")+COUNTIFS('ENCUESTA CONDUCTORES'!$AL$7:$AL$459,"X",'ENCUESTA CONDUCTORES'!$BS$7:$BS$459,"AGUA",'ENCUESTA CONDUCTORES'!$AW$7:$AW$459,"&gt;4")+COUNTIFS('ENCUESTA CONDUCTORES'!$AL$7:$AL$459,"X",'ENCUESTA CONDUCTORES'!$BS$7:$BS$459,"ANIMALES",'ENCUESTA CONDUCTORES'!$AW$7:$AW$459,"&gt;4")+COUNTIFS('ENCUESTA CONDUCTORES'!$AL$7:$AL$459,"X",'ENCUESTA CONDUCTORES'!$BS$7:$BS$459,"TV REFRIGERADORES",'ENCUESTA CONDUCTORES'!$AW$7:$AW$459,"&gt;4")+COUNTIFS('ENCUESTA CONDUCTORES'!$AL$7:$AL$459,"X",'ENCUESTA CONDUCTORES'!$BS$7:$BS$459,"LÍNEA BLANCA",'ENCUESTA CONDUCTORES'!$AW$7:$AW$459,"&gt;4")+COUNTIFS('ENCUESTA CONDUCTORES'!$AL$7:$AL$459,"X",'ENCUESTA CONDUCTORES'!$BS$7:$BS$459,"IMPORTACIÓN / EXPORTACIÓN",'ENCUESTA CONDUCTORES'!$AW$7:$AW$459,"&gt;4")+COUNTIFS('ENCUESTA CONDUCTORES'!$AL$7:$AL$459,"X",'ENCUESTA CONDUCTORES'!$BS$7:$BS$459,"PLASTICO",'ENCUESTA CONDUCTORES'!$AW$7:$AW$459,"&gt;4")+COUNTIFS('ENCUESTA CONDUCTORES'!$AL$7:$AL$459,"X",'ENCUESTA CONDUCTORES'!$BS$7:$BS$459,"ROPA",'ENCUESTA CONDUCTORES'!$AW$7:$AW$459,"&gt;4")+COUNTIFS('ENCUESTA CONDUCTORES'!$AL$7:$AL$459,"X",'ENCUESTA CONDUCTORES'!$BS$7:$BS$459,"CHATARRA",'ENCUESTA CONDUCTORES'!$AW$7:$AW$459,"&gt;4")+COUNTIFS('ENCUESTA CONDUCTORES'!$AL$7:$AL$459,"X",'ENCUESTA CONDUCTORES'!$BS$7:$BS$459,"MEDICAMENTO NUTRICIONAL",'ENCUESTA CONDUCTORES'!$AW$7:$AW$459,"&gt;4")+COUNTIFS('ENCUESTA CONDUCTORES'!$AL$7:$AL$459,"X",'ENCUESTA CONDUCTORES'!$BS$7:$BS$459,"PRODUCTOS DE BELLEZA",'ENCUESTA CONDUCTORES'!$AW$7:$AW$459,"&gt;4")+COUNTIFS('ENCUESTA CONDUCTORES'!$AL$7:$AL$459,"X",'ENCUESTA CONDUCTORES'!$BS$7:$BS$459,"FORRAJE",'ENCUESTA CONDUCTORES'!$AW$7:$AW$459,"&gt;4")+COUNTIFS('ENCUESTA CONDUCTORES'!$AL$7:$AL$459,"X",'ENCUESTA CONDUCTORES'!$BS$7:$BS$459,"VALORES",'ENCUESTA CONDUCTORES'!$AW$7:$AW$459,"&gt;4")+COUNTIFS('ENCUESTA CONDUCTORES'!$AL$7:$AL$459,"X",'ENCUESTA CONDUCTORES'!$BS$7:$BS$459,"PAQUETERIA",'ENCUESTA CONDUCTORES'!$AW$7:$AW$459,"&gt;4")+COUNTIFS('ENCUESTA CONDUCTORES'!$AL$7:$AL$459,"X",'ENCUESTA CONDUCTORES'!$BS$7:$BS$459,"SECOS",'ENCUESTA CONDUCTORES'!$AW$7:$AW$459,"&gt;4")+COUNTIFS('ENCUESTA CONDUCTORES'!$AL$7:$AL$459,"X",'ENCUESTA CONDUCTORES'!$BS$7:$BS$459,"PANTALLAS",'ENCUESTA CONDUCTORES'!$AW$7:$AW$459,"&gt;4")+COUNTIFS('ENCUESTA CONDUCTORES'!$AL$7:$AL$459,"X",'ENCUESTA CONDUCTORES'!$BS$7:$BS$459,"BOTELLAS",'ENCUESTA CONDUCTORES'!$AW$7:$AW$459,"&gt;4")+COUNTIFS('ENCUESTA CONDUCTORES'!$AL$7:$AL$459,"X",'ENCUESTA CONDUCTORES'!$BS$7:$BS$459,"PRODUCTOS DE HIGIENE PERSONAL",'ENCUESTA CONDUCTORES'!$AW$7:$AW$459,"&gt;4")+COUNTIFS('ENCUESTA CONDUCTORES'!$AL$7:$AL$459,"X",'ENCUESTA CONDUCTORES'!$BS$7:$BS$459,"ELECTRONICA, LINEA BLANCA",'ENCUESTA CONDUCTORES'!$AW$7:$AW$459,"&gt;4")+COUNTIFS('ENCUESTA CONDUCTORES'!$AL$7:$AL$459,"X",'ENCUESTA CONDUCTORES'!$BS$7:$BS$459,"CONTENEDORES",'ENCUESTA CONDUCTORES'!$AW$7:$AW$459,"&gt;4")</f>
        <v>4</v>
      </c>
      <c r="BX215" s="18">
        <f t="shared" ref="BX215" si="468">SUM(BP215:BW215)</f>
        <v>97</v>
      </c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</row>
    <row r="216" spans="38:118" x14ac:dyDescent="0.25"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</row>
  </sheetData>
  <mergeCells count="11">
    <mergeCell ref="H3:L3"/>
    <mergeCell ref="C3:G3"/>
    <mergeCell ref="C28:G28"/>
    <mergeCell ref="H28:L28"/>
    <mergeCell ref="C175:G175"/>
    <mergeCell ref="H175:L175"/>
    <mergeCell ref="C191:G191"/>
    <mergeCell ref="O57:S57"/>
    <mergeCell ref="T57:X57"/>
    <mergeCell ref="C104:G104"/>
    <mergeCell ref="H104:L104"/>
  </mergeCells>
  <pageMargins left="0.7" right="0.7" top="0.75" bottom="0.75" header="0.3" footer="0.3"/>
  <pageSetup orientation="portrait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H1:DV1"/>
  <sheetViews>
    <sheetView zoomScale="80" zoomScaleNormal="80" workbookViewId="0"/>
  </sheetViews>
  <sheetFormatPr baseColWidth="10" defaultRowHeight="15" x14ac:dyDescent="0.25"/>
  <cols>
    <col min="1" max="16384" width="11.42578125" style="21"/>
  </cols>
  <sheetData>
    <row r="1" spans="60:126" x14ac:dyDescent="0.25">
      <c r="BH1" s="130"/>
      <c r="DV1" s="21" t="s">
        <v>1506</v>
      </c>
    </row>
  </sheetData>
  <pageMargins left="0.7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59"/>
  <sheetViews>
    <sheetView tabSelected="1" zoomScale="90" zoomScaleNormal="90" workbookViewId="0"/>
  </sheetViews>
  <sheetFormatPr baseColWidth="10" defaultColWidth="11.42578125" defaultRowHeight="15" x14ac:dyDescent="0.25"/>
  <cols>
    <col min="1" max="1" width="11.42578125" style="8"/>
    <col min="2" max="2" width="8.5703125" style="18" customWidth="1"/>
    <col min="3" max="3" width="12.7109375" style="18" customWidth="1"/>
    <col min="4" max="4" width="12.28515625" style="18" customWidth="1"/>
    <col min="5" max="5" width="12.5703125" style="18" customWidth="1"/>
    <col min="6" max="6" width="16.42578125" style="18" customWidth="1"/>
    <col min="7" max="7" width="9" style="18" customWidth="1"/>
    <col min="8" max="8" width="9.5703125" style="18" customWidth="1"/>
    <col min="9" max="9" width="22.140625" style="18" customWidth="1"/>
    <col min="10" max="10" width="24.85546875" style="18" bestFit="1" customWidth="1"/>
    <col min="11" max="12" width="24.85546875" style="18" customWidth="1"/>
    <col min="13" max="13" width="19.140625" style="18" customWidth="1"/>
    <col min="14" max="17" width="10.140625" style="18" customWidth="1"/>
    <col min="18" max="19" width="11.42578125" style="18"/>
    <col min="20" max="20" width="14.85546875" style="18" customWidth="1"/>
    <col min="21" max="24" width="11.42578125" style="18"/>
    <col min="25" max="25" width="15.85546875" style="18" customWidth="1"/>
    <col min="26" max="26" width="9.28515625" style="18" customWidth="1"/>
    <col min="27" max="27" width="12" style="19" bestFit="1" customWidth="1"/>
    <col min="28" max="30" width="8.28515625" style="18" customWidth="1"/>
    <col min="31" max="31" width="9.42578125" style="18" customWidth="1"/>
    <col min="32" max="32" width="13.5703125" style="18" customWidth="1"/>
    <col min="33" max="34" width="11.42578125" style="18"/>
    <col min="35" max="35" width="12.7109375" style="18" customWidth="1"/>
    <col min="36" max="37" width="11.42578125" style="18"/>
    <col min="38" max="38" width="18.42578125" style="18" customWidth="1"/>
    <col min="39" max="39" width="11.42578125" style="19"/>
    <col min="40" max="40" width="11.140625" style="20" customWidth="1"/>
    <col min="41" max="41" width="12.42578125" style="18" customWidth="1"/>
    <col min="42" max="42" width="12.5703125" style="18" customWidth="1"/>
    <col min="43" max="43" width="12.28515625" style="18" customWidth="1"/>
    <col min="44" max="44" width="9.5703125" style="18" customWidth="1"/>
    <col min="45" max="45" width="12.5703125" style="18" customWidth="1"/>
    <col min="46" max="46" width="15.42578125" style="18" customWidth="1"/>
    <col min="47" max="47" width="13.7109375" style="18" customWidth="1"/>
    <col min="48" max="48" width="15" style="18" customWidth="1"/>
    <col min="49" max="49" width="14.5703125" style="19" bestFit="1" customWidth="1"/>
    <col min="50" max="53" width="11.42578125" style="19"/>
    <col min="54" max="54" width="14.28515625" style="18" customWidth="1"/>
    <col min="55" max="55" width="14.42578125" style="18" customWidth="1"/>
    <col min="56" max="56" width="9.85546875" style="18" customWidth="1"/>
    <col min="57" max="57" width="17.42578125" style="18" customWidth="1"/>
    <col min="58" max="58" width="14.42578125" style="18" customWidth="1"/>
    <col min="59" max="59" width="9.85546875" style="18" customWidth="1"/>
    <col min="60" max="60" width="13.42578125" style="18" customWidth="1"/>
    <col min="61" max="62" width="11.42578125" style="18"/>
    <col min="63" max="63" width="22.28515625" style="18" customWidth="1"/>
    <col min="64" max="64" width="9.140625" style="18" customWidth="1"/>
    <col min="65" max="65" width="9" style="18" customWidth="1"/>
    <col min="66" max="66" width="9.7109375" style="18" customWidth="1"/>
    <col min="67" max="67" width="9.140625" style="18" customWidth="1"/>
    <col min="68" max="68" width="9.42578125" style="18" customWidth="1"/>
    <col min="69" max="69" width="9.7109375" style="18" customWidth="1"/>
    <col min="70" max="70" width="10.85546875" style="18" customWidth="1"/>
    <col min="71" max="71" width="13.42578125" style="18" customWidth="1"/>
    <col min="72" max="72" width="15.85546875" style="18" customWidth="1"/>
    <col min="73" max="73" width="16.85546875" style="18" customWidth="1"/>
    <col min="74" max="74" width="14" style="18" customWidth="1"/>
    <col min="75" max="75" width="11.42578125" style="18"/>
    <col min="76" max="76" width="15.7109375" style="18" customWidth="1"/>
    <col min="77" max="77" width="13.5703125" style="18" customWidth="1"/>
    <col min="78" max="78" width="13.42578125" style="18" customWidth="1"/>
    <col min="79" max="79" width="13" style="18" customWidth="1"/>
    <col min="80" max="80" width="18.28515625" style="18" customWidth="1"/>
    <col min="81" max="81" width="16.42578125" style="18" customWidth="1"/>
    <col min="82" max="82" width="14.85546875" style="18" customWidth="1"/>
    <col min="83" max="83" width="14.42578125" style="18" customWidth="1"/>
    <col min="84" max="84" width="25.7109375" style="18" bestFit="1" customWidth="1"/>
    <col min="85" max="85" width="15.85546875" style="18" customWidth="1"/>
    <col min="86" max="86" width="35.7109375" style="18" bestFit="1" customWidth="1"/>
    <col min="87" max="87" width="25" style="18" customWidth="1"/>
    <col min="88" max="89" width="14.85546875" style="18" customWidth="1"/>
    <col min="90" max="90" width="15.7109375" style="18" customWidth="1"/>
    <col min="91" max="91" width="26.28515625" style="18" customWidth="1"/>
    <col min="92" max="92" width="14.42578125" style="18" customWidth="1"/>
    <col min="93" max="93" width="21.42578125" style="18" customWidth="1"/>
    <col min="94" max="94" width="16.7109375" style="18" customWidth="1"/>
    <col min="95" max="95" width="16.5703125" style="18" customWidth="1"/>
    <col min="96" max="96" width="26.42578125" style="18" customWidth="1"/>
    <col min="97" max="97" width="51.140625" style="18" customWidth="1"/>
    <col min="98" max="16384" width="11.42578125" style="21"/>
  </cols>
  <sheetData>
    <row r="1" spans="1:97" ht="15.75" thickBot="1" x14ac:dyDescent="0.3"/>
    <row r="2" spans="1:97" ht="15.75" thickBot="1" x14ac:dyDescent="0.3">
      <c r="B2" s="149" t="s">
        <v>0</v>
      </c>
      <c r="C2" s="143" t="s">
        <v>166</v>
      </c>
      <c r="D2" s="144"/>
      <c r="E2" s="144"/>
      <c r="F2" s="145"/>
      <c r="G2" s="135">
        <v>1</v>
      </c>
      <c r="H2" s="136"/>
      <c r="I2" s="23">
        <v>2</v>
      </c>
      <c r="J2" s="23">
        <v>3</v>
      </c>
      <c r="K2" s="23"/>
      <c r="L2" s="23"/>
      <c r="M2" s="23">
        <v>4</v>
      </c>
      <c r="N2" s="135">
        <v>5</v>
      </c>
      <c r="O2" s="155"/>
      <c r="P2" s="155"/>
      <c r="Q2" s="155"/>
      <c r="R2" s="136"/>
      <c r="S2" s="135">
        <v>6</v>
      </c>
      <c r="T2" s="155"/>
      <c r="U2" s="155"/>
      <c r="V2" s="155"/>
      <c r="W2" s="155"/>
      <c r="X2" s="155"/>
      <c r="Y2" s="136"/>
      <c r="Z2" s="135">
        <v>7</v>
      </c>
      <c r="AA2" s="136"/>
      <c r="AB2" s="135">
        <v>8</v>
      </c>
      <c r="AC2" s="155"/>
      <c r="AD2" s="155"/>
      <c r="AE2" s="155"/>
      <c r="AF2" s="136"/>
      <c r="AG2" s="135" t="s">
        <v>84</v>
      </c>
      <c r="AH2" s="155"/>
      <c r="AI2" s="155"/>
      <c r="AJ2" s="155"/>
      <c r="AK2" s="155"/>
      <c r="AL2" s="136"/>
      <c r="AM2" s="135">
        <v>10</v>
      </c>
      <c r="AN2" s="136"/>
      <c r="AO2" s="135">
        <v>11</v>
      </c>
      <c r="AP2" s="136"/>
      <c r="AQ2" s="135">
        <v>12</v>
      </c>
      <c r="AR2" s="136"/>
      <c r="AS2" s="23">
        <v>13</v>
      </c>
      <c r="AT2" s="135">
        <v>14</v>
      </c>
      <c r="AU2" s="155"/>
      <c r="AV2" s="136"/>
      <c r="AW2" s="177">
        <v>15</v>
      </c>
      <c r="AX2" s="178"/>
      <c r="AY2" s="178"/>
      <c r="AZ2" s="178"/>
      <c r="BA2" s="179"/>
      <c r="BB2" s="135">
        <v>16</v>
      </c>
      <c r="BC2" s="155"/>
      <c r="BD2" s="155"/>
      <c r="BE2" s="155"/>
      <c r="BF2" s="155"/>
      <c r="BG2" s="155"/>
      <c r="BH2" s="155"/>
      <c r="BI2" s="155"/>
      <c r="BJ2" s="155"/>
      <c r="BK2" s="136"/>
      <c r="BL2" s="135">
        <v>17</v>
      </c>
      <c r="BM2" s="155"/>
      <c r="BN2" s="155"/>
      <c r="BO2" s="136"/>
      <c r="BP2" s="135">
        <v>18</v>
      </c>
      <c r="BQ2" s="155"/>
      <c r="BR2" s="155"/>
      <c r="BS2" s="136"/>
      <c r="BT2" s="135">
        <v>19</v>
      </c>
      <c r="BU2" s="155"/>
      <c r="BV2" s="155"/>
      <c r="BW2" s="155"/>
      <c r="BX2" s="155"/>
      <c r="BY2" s="155"/>
      <c r="BZ2" s="155"/>
      <c r="CA2" s="155"/>
      <c r="CB2" s="136"/>
      <c r="CC2" s="135">
        <v>20</v>
      </c>
      <c r="CD2" s="155"/>
      <c r="CE2" s="155"/>
      <c r="CF2" s="155"/>
      <c r="CG2" s="155"/>
      <c r="CH2" s="155"/>
      <c r="CI2" s="136"/>
      <c r="CJ2" s="180">
        <v>21</v>
      </c>
      <c r="CK2" s="181"/>
      <c r="CL2" s="181"/>
      <c r="CM2" s="182"/>
      <c r="CN2" s="135">
        <v>22</v>
      </c>
      <c r="CO2" s="155"/>
      <c r="CP2" s="155"/>
      <c r="CQ2" s="155"/>
      <c r="CR2" s="136"/>
      <c r="CS2" s="24"/>
    </row>
    <row r="3" spans="1:97" ht="63.75" customHeight="1" x14ac:dyDescent="0.25">
      <c r="B3" s="150"/>
      <c r="C3" s="146"/>
      <c r="D3" s="147"/>
      <c r="E3" s="147"/>
      <c r="F3" s="148"/>
      <c r="G3" s="137" t="s">
        <v>2</v>
      </c>
      <c r="H3" s="139" t="s">
        <v>1</v>
      </c>
      <c r="I3" s="141" t="s">
        <v>82</v>
      </c>
      <c r="J3" s="156" t="s">
        <v>83</v>
      </c>
      <c r="K3" s="120" t="s">
        <v>1004</v>
      </c>
      <c r="L3" s="120" t="s">
        <v>1164</v>
      </c>
      <c r="M3" s="156" t="s">
        <v>3</v>
      </c>
      <c r="N3" s="152" t="s">
        <v>9</v>
      </c>
      <c r="O3" s="153"/>
      <c r="P3" s="153"/>
      <c r="Q3" s="153"/>
      <c r="R3" s="154"/>
      <c r="S3" s="158" t="s">
        <v>17</v>
      </c>
      <c r="T3" s="159"/>
      <c r="U3" s="159"/>
      <c r="V3" s="159"/>
      <c r="W3" s="159"/>
      <c r="X3" s="159"/>
      <c r="Y3" s="161"/>
      <c r="Z3" s="158" t="s">
        <v>18</v>
      </c>
      <c r="AA3" s="161"/>
      <c r="AB3" s="158" t="s">
        <v>25</v>
      </c>
      <c r="AC3" s="159"/>
      <c r="AD3" s="159"/>
      <c r="AE3" s="159"/>
      <c r="AF3" s="161"/>
      <c r="AG3" s="163" t="s">
        <v>26</v>
      </c>
      <c r="AH3" s="165" t="s">
        <v>27</v>
      </c>
      <c r="AI3" s="169" t="s">
        <v>28</v>
      </c>
      <c r="AJ3" s="170"/>
      <c r="AK3" s="171"/>
      <c r="AL3" s="167" t="s">
        <v>32</v>
      </c>
      <c r="AM3" s="172" t="s">
        <v>85</v>
      </c>
      <c r="AN3" s="173"/>
      <c r="AO3" s="163" t="s">
        <v>86</v>
      </c>
      <c r="AP3" s="167"/>
      <c r="AQ3" s="163" t="s">
        <v>36</v>
      </c>
      <c r="AR3" s="167" t="s">
        <v>37</v>
      </c>
      <c r="AS3" s="156" t="s">
        <v>38</v>
      </c>
      <c r="AT3" s="152" t="s">
        <v>42</v>
      </c>
      <c r="AU3" s="153"/>
      <c r="AV3" s="154"/>
      <c r="AW3" s="174" t="s">
        <v>47</v>
      </c>
      <c r="AX3" s="175"/>
      <c r="AY3" s="175"/>
      <c r="AZ3" s="175"/>
      <c r="BA3" s="176"/>
      <c r="BB3" s="152" t="s">
        <v>87</v>
      </c>
      <c r="BC3" s="153"/>
      <c r="BD3" s="153"/>
      <c r="BE3" s="153"/>
      <c r="BF3" s="153"/>
      <c r="BG3" s="153"/>
      <c r="BH3" s="153"/>
      <c r="BI3" s="153"/>
      <c r="BJ3" s="153"/>
      <c r="BK3" s="154"/>
      <c r="BL3" s="152" t="s">
        <v>62</v>
      </c>
      <c r="BM3" s="153"/>
      <c r="BN3" s="153"/>
      <c r="BO3" s="154"/>
      <c r="BP3" s="184" t="s">
        <v>88</v>
      </c>
      <c r="BQ3" s="185"/>
      <c r="BR3" s="185"/>
      <c r="BS3" s="186"/>
      <c r="BT3" s="152" t="s">
        <v>73</v>
      </c>
      <c r="BU3" s="153"/>
      <c r="BV3" s="153"/>
      <c r="BW3" s="153"/>
      <c r="BX3" s="153"/>
      <c r="BY3" s="153"/>
      <c r="BZ3" s="153"/>
      <c r="CA3" s="153"/>
      <c r="CB3" s="154"/>
      <c r="CC3" s="163" t="s">
        <v>75</v>
      </c>
      <c r="CD3" s="165"/>
      <c r="CE3" s="165" t="s">
        <v>74</v>
      </c>
      <c r="CF3" s="165"/>
      <c r="CG3" s="165"/>
      <c r="CH3" s="165" t="s">
        <v>76</v>
      </c>
      <c r="CI3" s="167" t="s">
        <v>77</v>
      </c>
      <c r="CJ3" s="172" t="s">
        <v>178</v>
      </c>
      <c r="CK3" s="183"/>
      <c r="CL3" s="183"/>
      <c r="CM3" s="173"/>
      <c r="CN3" s="152" t="s">
        <v>81</v>
      </c>
      <c r="CO3" s="153"/>
      <c r="CP3" s="153"/>
      <c r="CQ3" s="153"/>
      <c r="CR3" s="154"/>
      <c r="CS3" s="25"/>
    </row>
    <row r="4" spans="1:97" ht="54" customHeight="1" thickBot="1" x14ac:dyDescent="0.3">
      <c r="B4" s="151"/>
      <c r="C4" s="122" t="s">
        <v>167</v>
      </c>
      <c r="D4" s="123" t="s">
        <v>168</v>
      </c>
      <c r="E4" s="26" t="s">
        <v>169</v>
      </c>
      <c r="F4" s="124" t="s">
        <v>170</v>
      </c>
      <c r="G4" s="138"/>
      <c r="H4" s="140"/>
      <c r="I4" s="142"/>
      <c r="J4" s="157"/>
      <c r="K4" s="121"/>
      <c r="L4" s="121"/>
      <c r="M4" s="157"/>
      <c r="N4" s="27" t="s">
        <v>4</v>
      </c>
      <c r="O4" s="28" t="s">
        <v>5</v>
      </c>
      <c r="P4" s="28" t="s">
        <v>6</v>
      </c>
      <c r="Q4" s="28" t="s">
        <v>7</v>
      </c>
      <c r="R4" s="124" t="s">
        <v>8</v>
      </c>
      <c r="S4" s="27" t="s">
        <v>10</v>
      </c>
      <c r="T4" s="123" t="s">
        <v>11</v>
      </c>
      <c r="U4" s="28" t="s">
        <v>12</v>
      </c>
      <c r="V4" s="123" t="s">
        <v>13</v>
      </c>
      <c r="W4" s="28" t="s">
        <v>14</v>
      </c>
      <c r="X4" s="123" t="s">
        <v>15</v>
      </c>
      <c r="Y4" s="124" t="s">
        <v>16</v>
      </c>
      <c r="Z4" s="122" t="s">
        <v>19</v>
      </c>
      <c r="AA4" s="29" t="s">
        <v>20</v>
      </c>
      <c r="AB4" s="122" t="s">
        <v>21</v>
      </c>
      <c r="AC4" s="123" t="s">
        <v>22</v>
      </c>
      <c r="AD4" s="123" t="s">
        <v>23</v>
      </c>
      <c r="AE4" s="123" t="s">
        <v>24</v>
      </c>
      <c r="AF4" s="124" t="s">
        <v>8</v>
      </c>
      <c r="AG4" s="164"/>
      <c r="AH4" s="166"/>
      <c r="AI4" s="123" t="s">
        <v>29</v>
      </c>
      <c r="AJ4" s="123" t="s">
        <v>30</v>
      </c>
      <c r="AK4" s="30" t="s">
        <v>31</v>
      </c>
      <c r="AL4" s="168"/>
      <c r="AM4" s="31" t="s">
        <v>171</v>
      </c>
      <c r="AN4" s="32" t="s">
        <v>33</v>
      </c>
      <c r="AO4" s="33" t="s">
        <v>34</v>
      </c>
      <c r="AP4" s="34" t="s">
        <v>35</v>
      </c>
      <c r="AQ4" s="164"/>
      <c r="AR4" s="168"/>
      <c r="AS4" s="157"/>
      <c r="AT4" s="122" t="s">
        <v>39</v>
      </c>
      <c r="AU4" s="123" t="s">
        <v>40</v>
      </c>
      <c r="AV4" s="124" t="s">
        <v>41</v>
      </c>
      <c r="AW4" s="35" t="s">
        <v>43</v>
      </c>
      <c r="AX4" s="36" t="s">
        <v>44</v>
      </c>
      <c r="AY4" s="36" t="s">
        <v>45</v>
      </c>
      <c r="AZ4" s="36" t="s">
        <v>46</v>
      </c>
      <c r="BA4" s="29" t="s">
        <v>164</v>
      </c>
      <c r="BB4" s="122" t="s">
        <v>48</v>
      </c>
      <c r="BC4" s="123" t="s">
        <v>49</v>
      </c>
      <c r="BD4" s="123" t="s">
        <v>50</v>
      </c>
      <c r="BE4" s="123" t="s">
        <v>51</v>
      </c>
      <c r="BF4" s="123" t="s">
        <v>52</v>
      </c>
      <c r="BG4" s="123" t="s">
        <v>53</v>
      </c>
      <c r="BH4" s="123" t="s">
        <v>54</v>
      </c>
      <c r="BI4" s="123" t="s">
        <v>55</v>
      </c>
      <c r="BJ4" s="123" t="s">
        <v>56</v>
      </c>
      <c r="BK4" s="124" t="s">
        <v>57</v>
      </c>
      <c r="BL4" s="122" t="s">
        <v>58</v>
      </c>
      <c r="BM4" s="123" t="s">
        <v>59</v>
      </c>
      <c r="BN4" s="123" t="s">
        <v>60</v>
      </c>
      <c r="BO4" s="124" t="s">
        <v>61</v>
      </c>
      <c r="BP4" s="122" t="s">
        <v>63</v>
      </c>
      <c r="BQ4" s="123" t="s">
        <v>64</v>
      </c>
      <c r="BR4" s="123" t="s">
        <v>65</v>
      </c>
      <c r="BS4" s="124" t="s">
        <v>8</v>
      </c>
      <c r="BT4" s="122" t="s">
        <v>66</v>
      </c>
      <c r="BU4" s="123" t="s">
        <v>28</v>
      </c>
      <c r="BV4" s="123" t="s">
        <v>67</v>
      </c>
      <c r="BW4" s="123" t="s">
        <v>68</v>
      </c>
      <c r="BX4" s="123" t="s">
        <v>69</v>
      </c>
      <c r="BY4" s="123" t="s">
        <v>70</v>
      </c>
      <c r="BZ4" s="123" t="s">
        <v>71</v>
      </c>
      <c r="CA4" s="123" t="s">
        <v>72</v>
      </c>
      <c r="CB4" s="124" t="s">
        <v>57</v>
      </c>
      <c r="CC4" s="122" t="s">
        <v>66</v>
      </c>
      <c r="CD4" s="123" t="s">
        <v>28</v>
      </c>
      <c r="CE4" s="123" t="s">
        <v>66</v>
      </c>
      <c r="CF4" s="123" t="s">
        <v>177</v>
      </c>
      <c r="CG4" s="123" t="s">
        <v>28</v>
      </c>
      <c r="CH4" s="166"/>
      <c r="CI4" s="168"/>
      <c r="CJ4" s="122" t="s">
        <v>179</v>
      </c>
      <c r="CK4" s="123" t="s">
        <v>181</v>
      </c>
      <c r="CL4" s="123" t="s">
        <v>182</v>
      </c>
      <c r="CM4" s="124" t="s">
        <v>57</v>
      </c>
      <c r="CN4" s="122" t="s">
        <v>78</v>
      </c>
      <c r="CO4" s="123" t="s">
        <v>79</v>
      </c>
      <c r="CP4" s="123" t="s">
        <v>89</v>
      </c>
      <c r="CQ4" s="123" t="s">
        <v>80</v>
      </c>
      <c r="CR4" s="124" t="s">
        <v>57</v>
      </c>
      <c r="CS4" s="119" t="s">
        <v>186</v>
      </c>
    </row>
    <row r="5" spans="1:97" ht="15.75" thickBot="1" x14ac:dyDescent="0.3"/>
    <row r="6" spans="1:97" s="43" customFormat="1" ht="51.75" thickBot="1" x14ac:dyDescent="0.3">
      <c r="A6" s="22"/>
      <c r="B6" s="37" t="s">
        <v>0</v>
      </c>
      <c r="C6" s="38" t="s">
        <v>183</v>
      </c>
      <c r="D6" s="38" t="s">
        <v>168</v>
      </c>
      <c r="E6" s="38" t="s">
        <v>184</v>
      </c>
      <c r="F6" s="38" t="s">
        <v>185</v>
      </c>
      <c r="G6" s="38" t="s">
        <v>90</v>
      </c>
      <c r="H6" s="38" t="s">
        <v>1</v>
      </c>
      <c r="I6" s="38" t="s">
        <v>91</v>
      </c>
      <c r="J6" s="38" t="s">
        <v>92</v>
      </c>
      <c r="K6" s="120" t="s">
        <v>1004</v>
      </c>
      <c r="L6" s="120" t="s">
        <v>1164</v>
      </c>
      <c r="M6" s="38" t="s">
        <v>93</v>
      </c>
      <c r="N6" s="38" t="s">
        <v>94</v>
      </c>
      <c r="O6" s="38" t="s">
        <v>95</v>
      </c>
      <c r="P6" s="38" t="s">
        <v>96</v>
      </c>
      <c r="Q6" s="38" t="s">
        <v>97</v>
      </c>
      <c r="R6" s="38" t="s">
        <v>98</v>
      </c>
      <c r="S6" s="38" t="s">
        <v>99</v>
      </c>
      <c r="T6" s="38" t="s">
        <v>100</v>
      </c>
      <c r="U6" s="38" t="s">
        <v>101</v>
      </c>
      <c r="V6" s="38" t="s">
        <v>102</v>
      </c>
      <c r="W6" s="38" t="s">
        <v>103</v>
      </c>
      <c r="X6" s="38" t="s">
        <v>104</v>
      </c>
      <c r="Y6" s="38" t="s">
        <v>105</v>
      </c>
      <c r="Z6" s="38" t="s">
        <v>19</v>
      </c>
      <c r="AA6" s="40" t="s">
        <v>106</v>
      </c>
      <c r="AB6" s="38" t="s">
        <v>107</v>
      </c>
      <c r="AC6" s="38" t="s">
        <v>108</v>
      </c>
      <c r="AD6" s="38" t="s">
        <v>109</v>
      </c>
      <c r="AE6" s="38" t="s">
        <v>110</v>
      </c>
      <c r="AF6" s="38" t="s">
        <v>111</v>
      </c>
      <c r="AG6" s="38" t="s">
        <v>112</v>
      </c>
      <c r="AH6" s="38" t="s">
        <v>113</v>
      </c>
      <c r="AI6" s="38" t="s">
        <v>114</v>
      </c>
      <c r="AJ6" s="38" t="s">
        <v>115</v>
      </c>
      <c r="AK6" s="38" t="s">
        <v>116</v>
      </c>
      <c r="AL6" s="38" t="s">
        <v>117</v>
      </c>
      <c r="AM6" s="40" t="s">
        <v>187</v>
      </c>
      <c r="AN6" s="41" t="s">
        <v>118</v>
      </c>
      <c r="AO6" s="38" t="s">
        <v>120</v>
      </c>
      <c r="AP6" s="38" t="s">
        <v>119</v>
      </c>
      <c r="AQ6" s="38" t="s">
        <v>121</v>
      </c>
      <c r="AR6" s="38" t="s">
        <v>122</v>
      </c>
      <c r="AS6" s="38" t="s">
        <v>123</v>
      </c>
      <c r="AT6" s="38" t="s">
        <v>124</v>
      </c>
      <c r="AU6" s="38" t="s">
        <v>125</v>
      </c>
      <c r="AV6" s="38" t="s">
        <v>163</v>
      </c>
      <c r="AW6" s="40" t="s">
        <v>172</v>
      </c>
      <c r="AX6" s="40" t="s">
        <v>173</v>
      </c>
      <c r="AY6" s="40" t="s">
        <v>174</v>
      </c>
      <c r="AZ6" s="40" t="s">
        <v>175</v>
      </c>
      <c r="BA6" s="40" t="s">
        <v>176</v>
      </c>
      <c r="BB6" s="38" t="s">
        <v>126</v>
      </c>
      <c r="BC6" s="38" t="s">
        <v>127</v>
      </c>
      <c r="BD6" s="38" t="s">
        <v>128</v>
      </c>
      <c r="BE6" s="38" t="s">
        <v>129</v>
      </c>
      <c r="BF6" s="38" t="s">
        <v>130</v>
      </c>
      <c r="BG6" s="38" t="s">
        <v>131</v>
      </c>
      <c r="BH6" s="38" t="s">
        <v>132</v>
      </c>
      <c r="BI6" s="38" t="s">
        <v>133</v>
      </c>
      <c r="BJ6" s="38" t="s">
        <v>134</v>
      </c>
      <c r="BK6" s="38" t="s">
        <v>135</v>
      </c>
      <c r="BL6" s="38" t="s">
        <v>136</v>
      </c>
      <c r="BM6" s="38" t="s">
        <v>137</v>
      </c>
      <c r="BN6" s="38" t="s">
        <v>138</v>
      </c>
      <c r="BO6" s="38" t="s">
        <v>139</v>
      </c>
      <c r="BP6" s="38" t="s">
        <v>140</v>
      </c>
      <c r="BQ6" s="38" t="s">
        <v>141</v>
      </c>
      <c r="BR6" s="38" t="s">
        <v>142</v>
      </c>
      <c r="BS6" s="38" t="s">
        <v>143</v>
      </c>
      <c r="BT6" s="38" t="s">
        <v>144</v>
      </c>
      <c r="BU6" s="38" t="s">
        <v>145</v>
      </c>
      <c r="BV6" s="38" t="s">
        <v>147</v>
      </c>
      <c r="BW6" s="38" t="s">
        <v>146</v>
      </c>
      <c r="BX6" s="38" t="s">
        <v>148</v>
      </c>
      <c r="BY6" s="38" t="s">
        <v>149</v>
      </c>
      <c r="BZ6" s="38" t="s">
        <v>150</v>
      </c>
      <c r="CA6" s="38" t="s">
        <v>151</v>
      </c>
      <c r="CB6" s="38" t="s">
        <v>165</v>
      </c>
      <c r="CC6" s="38" t="s">
        <v>152</v>
      </c>
      <c r="CD6" s="38" t="s">
        <v>153</v>
      </c>
      <c r="CE6" s="38" t="s">
        <v>154</v>
      </c>
      <c r="CF6" s="38" t="s">
        <v>200</v>
      </c>
      <c r="CG6" s="38" t="s">
        <v>155</v>
      </c>
      <c r="CH6" s="38" t="s">
        <v>156</v>
      </c>
      <c r="CI6" s="38" t="s">
        <v>157</v>
      </c>
      <c r="CJ6" s="38" t="s">
        <v>180</v>
      </c>
      <c r="CK6" s="38" t="s">
        <v>224</v>
      </c>
      <c r="CL6" s="38" t="s">
        <v>225</v>
      </c>
      <c r="CM6" s="38" t="s">
        <v>226</v>
      </c>
      <c r="CN6" s="38" t="s">
        <v>159</v>
      </c>
      <c r="CO6" s="38" t="s">
        <v>158</v>
      </c>
      <c r="CP6" s="38" t="s">
        <v>160</v>
      </c>
      <c r="CQ6" s="38" t="s">
        <v>161</v>
      </c>
      <c r="CR6" s="42" t="s">
        <v>162</v>
      </c>
      <c r="CS6" s="39" t="s">
        <v>186</v>
      </c>
    </row>
    <row r="7" spans="1:97" x14ac:dyDescent="0.25">
      <c r="B7" s="44" t="str">
        <f>+'ENCUESTA CONDUCTORES'!D7</f>
        <v>C-001</v>
      </c>
      <c r="C7" s="6">
        <f>IF('ENCUESTA CONDUCTORES'!E7="X",1,0)</f>
        <v>0</v>
      </c>
      <c r="D7" s="6">
        <f>IF('ENCUESTA CONDUCTORES'!F7="X",1,0)</f>
        <v>1</v>
      </c>
      <c r="E7" s="6">
        <f>IF('ENCUESTA CONDUCTORES'!G7="X",1,0)</f>
        <v>0</v>
      </c>
      <c r="F7" s="6">
        <f>IF('ENCUESTA CONDUCTORES'!H7="X",1,0)</f>
        <v>0</v>
      </c>
      <c r="G7" s="6">
        <f>+'ENCUESTA CONDUCTORES'!I7</f>
        <v>28</v>
      </c>
      <c r="H7" s="6" t="str">
        <f>+'ENCUESTA CONDUCTORES'!J7</f>
        <v>M</v>
      </c>
      <c r="I7" s="6" t="str">
        <f>+'ENCUESTA CONDUCTORES'!K7</f>
        <v>SECUNDARIA</v>
      </c>
      <c r="J7" s="6" t="str">
        <f>+'ENCUESTA CONDUCTORES'!L7</f>
        <v>OAXACA,OAX.</v>
      </c>
      <c r="K7" s="6" t="str">
        <f>+'ENCUESTA CONDUCTORES'!M7</f>
        <v>OAXACA</v>
      </c>
      <c r="L7" s="6" t="str">
        <f>+'ENCUESTA CONDUCTORES'!N7</f>
        <v>OAXACA</v>
      </c>
      <c r="M7" s="6">
        <f>+'ENCUESTA CONDUCTORES'!O7</f>
        <v>8</v>
      </c>
      <c r="N7" s="6">
        <f>IF('ENCUESTA CONDUCTORES'!P7="X",1,0)</f>
        <v>0</v>
      </c>
      <c r="O7" s="6">
        <f>IF('ENCUESTA CONDUCTORES'!Q7="X",1,0)</f>
        <v>1</v>
      </c>
      <c r="P7" s="6">
        <f>IF('ENCUESTA CONDUCTORES'!R7="X",1,0)</f>
        <v>0</v>
      </c>
      <c r="Q7" s="6">
        <f>IF('ENCUESTA CONDUCTORES'!S7="X",1,0)</f>
        <v>0</v>
      </c>
      <c r="R7" s="6">
        <f>IF('ENCUESTA CONDUCTORES'!T7="X",1,0)</f>
        <v>0</v>
      </c>
      <c r="S7" s="6">
        <f>IF('ENCUESTA CONDUCTORES'!U7="X",1,0)</f>
        <v>1</v>
      </c>
      <c r="T7" s="6">
        <f>IF('ENCUESTA CONDUCTORES'!V7="X",1,0)</f>
        <v>0</v>
      </c>
      <c r="U7" s="6">
        <f>IF('ENCUESTA CONDUCTORES'!W7="X",1,0)</f>
        <v>0</v>
      </c>
      <c r="V7" s="6">
        <f>IF('ENCUESTA CONDUCTORES'!X7="X",1,0)</f>
        <v>0</v>
      </c>
      <c r="W7" s="6">
        <f>IF('ENCUESTA CONDUCTORES'!Y7="X",1,0)</f>
        <v>0</v>
      </c>
      <c r="X7" s="6">
        <f>IF('ENCUESTA CONDUCTORES'!Z7="X",1,0)</f>
        <v>0</v>
      </c>
      <c r="Y7" s="6">
        <f>+'ENCUESTA CONDUCTORES'!AG7</f>
        <v>0</v>
      </c>
      <c r="Z7" s="6">
        <f>+'ENCUESTA CONDUCTORES'!AH7</f>
        <v>1978</v>
      </c>
      <c r="AA7" s="12">
        <f>+'ENCUESTA CONDUCTORES'!AI7</f>
        <v>2150000</v>
      </c>
      <c r="AB7" s="6">
        <f>IF('ENCUESTA CONDUCTORES'!AJ7="X",1,0)</f>
        <v>0</v>
      </c>
      <c r="AC7" s="6">
        <f>IF('ENCUESTA CONDUCTORES'!AK7="X",1,0)</f>
        <v>0</v>
      </c>
      <c r="AD7" s="6">
        <f>IF('ENCUESTA CONDUCTORES'!AL7="X",1,0)</f>
        <v>1</v>
      </c>
      <c r="AE7" s="6">
        <f>IF('ENCUESTA CONDUCTORES'!AM7="X",1,0)</f>
        <v>0</v>
      </c>
      <c r="AF7" s="6">
        <f>IF('ENCUESTA CONDUCTORES'!AN7="X",1,0)</f>
        <v>0</v>
      </c>
      <c r="AG7" s="6">
        <f>IF('ENCUESTA CONDUCTORES'!AO7="X",1,0)</f>
        <v>0</v>
      </c>
      <c r="AH7" s="6">
        <f>IF('ENCUESTA CONDUCTORES'!AP7="X",1,0)</f>
        <v>0</v>
      </c>
      <c r="AI7" s="6">
        <f>IF('ENCUESTA CONDUCTORES'!AQ7="X",1,0)</f>
        <v>1</v>
      </c>
      <c r="AJ7" s="6">
        <f>IF('ENCUESTA CONDUCTORES'!AR7="X",1,0)</f>
        <v>0</v>
      </c>
      <c r="AK7" s="6">
        <f>+'ENCUESTA CONDUCTORES'!AS7</f>
        <v>1999</v>
      </c>
      <c r="AL7" s="6" t="str">
        <f>+'ENCUESTA CONDUCTORES'!AT7</f>
        <v>CHEVROLET</v>
      </c>
      <c r="AM7" s="12">
        <f>+'ENCUESTA CONDUCTORES'!AU7</f>
        <v>4300</v>
      </c>
      <c r="AN7" s="45">
        <f>+'ENCUESTA CONDUCTORES'!AV7</f>
        <v>0.5</v>
      </c>
      <c r="AO7" s="6">
        <f>+'ENCUESTA CONDUCTORES'!AW7</f>
        <v>2</v>
      </c>
      <c r="AP7" s="6">
        <f>+'ENCUESTA CONDUCTORES'!AX7</f>
        <v>1.7</v>
      </c>
      <c r="AQ7" s="6">
        <f>+'ENCUESTA CONDUCTORES'!AY7</f>
        <v>1</v>
      </c>
      <c r="AR7" s="6">
        <f>+'ENCUESTA CONDUCTORES'!AZ7</f>
        <v>250</v>
      </c>
      <c r="AS7" s="6">
        <f>+'ENCUESTA CONDUCTORES'!BA7</f>
        <v>450</v>
      </c>
      <c r="AT7" s="6">
        <f>IF('ENCUESTA CONDUCTORES'!BB7="X",1,0)</f>
        <v>0</v>
      </c>
      <c r="AU7" s="6">
        <f>IF('ENCUESTA CONDUCTORES'!BC7="X",1,0)</f>
        <v>0</v>
      </c>
      <c r="AV7" s="6">
        <f>IF('ENCUESTA CONDUCTORES'!BD7="X",1,0)</f>
        <v>0</v>
      </c>
      <c r="AW7" s="12">
        <f>+'ENCUESTA CONDUCTORES'!BE7</f>
        <v>6000</v>
      </c>
      <c r="AX7" s="12">
        <f>+'ENCUESTA CONDUCTORES'!BF7</f>
        <v>7000</v>
      </c>
      <c r="AY7" s="12">
        <f>+'ENCUESTA CONDUCTORES'!BG7</f>
        <v>15000</v>
      </c>
      <c r="AZ7" s="12">
        <f>+'ENCUESTA CONDUCTORES'!BH7</f>
        <v>80000</v>
      </c>
      <c r="BA7" s="12">
        <f>+'ENCUESTA CONDUCTORES'!BI7</f>
        <v>15000</v>
      </c>
      <c r="BB7" s="6">
        <f>IF('ENCUESTA CONDUCTORES'!BJ7="X",1,0)</f>
        <v>1</v>
      </c>
      <c r="BC7" s="6">
        <f>IF('ENCUESTA CONDUCTORES'!BK7="X",1,0)</f>
        <v>0</v>
      </c>
      <c r="BD7" s="6">
        <f>IF('ENCUESTA CONDUCTORES'!BL7="X",1,0)</f>
        <v>0</v>
      </c>
      <c r="BE7" s="6">
        <f>IF('ENCUESTA CONDUCTORES'!BM7="X",1,0)</f>
        <v>0</v>
      </c>
      <c r="BF7" s="6">
        <f>IF('ENCUESTA CONDUCTORES'!BN7="X",1,0)</f>
        <v>0</v>
      </c>
      <c r="BG7" s="6">
        <f>IF('ENCUESTA CONDUCTORES'!BO7="X",1,0)</f>
        <v>1</v>
      </c>
      <c r="BH7" s="6">
        <f>IF('ENCUESTA CONDUCTORES'!BP7="X",1,0)</f>
        <v>0</v>
      </c>
      <c r="BI7" s="6">
        <f>IF('ENCUESTA CONDUCTORES'!BQ7="X",1,0)</f>
        <v>0</v>
      </c>
      <c r="BJ7" s="6">
        <f>IF('ENCUESTA CONDUCTORES'!BR7="X",1,0)</f>
        <v>0</v>
      </c>
      <c r="BK7" s="6">
        <f>+'ENCUESTA CONDUCTORES'!BS7</f>
        <v>0</v>
      </c>
      <c r="BL7" s="6">
        <f>IF('ENCUESTA CONDUCTORES'!BT7="X",1,0)</f>
        <v>0</v>
      </c>
      <c r="BM7" s="6">
        <f>IF('ENCUESTA CONDUCTORES'!BU7="X",1,0)</f>
        <v>1</v>
      </c>
      <c r="BN7" s="6">
        <f>IF('ENCUESTA CONDUCTORES'!BV7="X",1,0)</f>
        <v>0</v>
      </c>
      <c r="BO7" s="6">
        <f>IF('ENCUESTA CONDUCTORES'!BW7="X",1,0)</f>
        <v>0</v>
      </c>
      <c r="BP7" s="6">
        <f>+'ENCUESTA CONDUCTORES'!BX7</f>
        <v>1</v>
      </c>
      <c r="BQ7" s="6">
        <f>+'ENCUESTA CONDUCTORES'!BY7</f>
        <v>3</v>
      </c>
      <c r="BR7" s="6">
        <f>+'ENCUESTA CONDUCTORES'!BZ7</f>
        <v>2</v>
      </c>
      <c r="BS7" s="6">
        <f>+'ENCUESTA CONDUCTORES'!CA7</f>
        <v>0</v>
      </c>
      <c r="BT7" s="6">
        <f>IF('ENCUESTA CONDUCTORES'!CB7="X",1,0)</f>
        <v>1</v>
      </c>
      <c r="BU7" s="6">
        <f>IF('ENCUESTA CONDUCTORES'!CC7="X",1,0)</f>
        <v>0</v>
      </c>
      <c r="BV7" s="6">
        <f>IF('ENCUESTA CONDUCTORES'!CD7="X",1,0)</f>
        <v>0</v>
      </c>
      <c r="BW7" s="6">
        <f>IF('ENCUESTA CONDUCTORES'!CE7="X",1,0)</f>
        <v>0</v>
      </c>
      <c r="BX7" s="6">
        <f>IF('ENCUESTA CONDUCTORES'!CF7="X",1,0)</f>
        <v>0</v>
      </c>
      <c r="BY7" s="6">
        <f>IF('ENCUESTA CONDUCTORES'!CG7="X",1,0)</f>
        <v>0</v>
      </c>
      <c r="BZ7" s="6">
        <f>IF('ENCUESTA CONDUCTORES'!CH7="X",1,0)</f>
        <v>0</v>
      </c>
      <c r="CA7" s="6">
        <f>IF('ENCUESTA CONDUCTORES'!CI7="X",1,0)</f>
        <v>0</v>
      </c>
      <c r="CB7" s="6">
        <f>IF('ENCUESTA CONDUCTORES'!CJ7="X",1,0)</f>
        <v>0</v>
      </c>
      <c r="CC7" s="6">
        <f>IF('ENCUESTA CONDUCTORES'!CK7="X",1,0)</f>
        <v>1</v>
      </c>
      <c r="CD7" s="6">
        <f>IF('ENCUESTA CONDUCTORES'!CL7="X",1,0)</f>
        <v>0</v>
      </c>
      <c r="CE7" s="6">
        <f>IF('ENCUESTA CONDUCTORES'!CM7="X",1,0)</f>
        <v>0</v>
      </c>
      <c r="CF7" s="6">
        <f>+'ENCUESTA CONDUCTORES'!CN7</f>
        <v>0</v>
      </c>
      <c r="CG7" s="6">
        <f>IF('ENCUESTA CONDUCTORES'!CO7="X",1,0)</f>
        <v>0</v>
      </c>
      <c r="CH7" s="6" t="str">
        <f>+'ENCUESTA CONDUCTORES'!CP7</f>
        <v>NO SABE</v>
      </c>
      <c r="CI7" s="6" t="str">
        <f>+'ENCUESTA CONDUCTORES'!CQ7</f>
        <v>NO SABE</v>
      </c>
      <c r="CJ7" s="6">
        <f>IF('ENCUESTA CONDUCTORES'!CR7="X",1,0)</f>
        <v>1</v>
      </c>
      <c r="CK7" s="6">
        <f>IF('ENCUESTA CONDUCTORES'!CS7="X",1,0)</f>
        <v>0</v>
      </c>
      <c r="CL7" s="6">
        <f>IF('ENCUESTA CONDUCTORES'!CT7="X",1,0)</f>
        <v>0</v>
      </c>
      <c r="CM7" s="6">
        <f>+'ENCUESTA CONDUCTORES'!CU7</f>
        <v>0</v>
      </c>
      <c r="CN7" s="6">
        <f>IF('ENCUESTA CONDUCTORES'!CV7="X",1,0)</f>
        <v>0</v>
      </c>
      <c r="CO7" s="6">
        <f>+'ENCUESTA CONDUCTORES'!CW7</f>
        <v>0</v>
      </c>
      <c r="CP7" s="6">
        <f>IF('ENCUESTA CONDUCTORES'!CX7="X",1,0)</f>
        <v>1</v>
      </c>
      <c r="CQ7" s="6">
        <f>IF('ENCUESTA CONDUCTORES'!CY7="X",1,0)</f>
        <v>1</v>
      </c>
      <c r="CR7" s="46">
        <f>+'ENCUESTA CONDUCTORES'!CZ7</f>
        <v>0</v>
      </c>
      <c r="CS7" s="47">
        <f>+'ENCUESTA CONDUCTORES'!DA7</f>
        <v>0</v>
      </c>
    </row>
    <row r="8" spans="1:97" x14ac:dyDescent="0.25">
      <c r="B8" s="14" t="str">
        <f>+'ENCUESTA CONDUCTORES'!D8</f>
        <v>C-002</v>
      </c>
      <c r="C8" s="15">
        <f>IF('ENCUESTA CONDUCTORES'!E8="X",1,0)</f>
        <v>0</v>
      </c>
      <c r="D8" s="15">
        <f>IF('ENCUESTA CONDUCTORES'!F8="X",1,0)</f>
        <v>0</v>
      </c>
      <c r="E8" s="15">
        <f>IF('ENCUESTA CONDUCTORES'!G8="X",1,0)</f>
        <v>1</v>
      </c>
      <c r="F8" s="15">
        <f>IF('ENCUESTA CONDUCTORES'!H8="X",1,0)</f>
        <v>0</v>
      </c>
      <c r="G8" s="15">
        <f>+'ENCUESTA CONDUCTORES'!I8</f>
        <v>42</v>
      </c>
      <c r="H8" s="15" t="str">
        <f>+'ENCUESTA CONDUCTORES'!J8</f>
        <v>M</v>
      </c>
      <c r="I8" s="15" t="str">
        <f>+'ENCUESTA CONDUCTORES'!K8</f>
        <v>PRIMARIA</v>
      </c>
      <c r="J8" s="15" t="str">
        <f>+'ENCUESTA CONDUCTORES'!L8</f>
        <v>PUEBLA, PUE</v>
      </c>
      <c r="K8" s="15" t="str">
        <f>+'ENCUESTA CONDUCTORES'!M8</f>
        <v>PUEBLA</v>
      </c>
      <c r="L8" s="15" t="str">
        <f>+'ENCUESTA CONDUCTORES'!N8</f>
        <v>PUEBLA</v>
      </c>
      <c r="M8" s="15">
        <f>+'ENCUESTA CONDUCTORES'!O8</f>
        <v>22</v>
      </c>
      <c r="N8" s="15">
        <f>IF('ENCUESTA CONDUCTORES'!P8="X",1,0)</f>
        <v>0</v>
      </c>
      <c r="O8" s="15">
        <f>IF('ENCUESTA CONDUCTORES'!Q8="X",1,0)</f>
        <v>1</v>
      </c>
      <c r="P8" s="15">
        <f>IF('ENCUESTA CONDUCTORES'!R8="X",1,0)</f>
        <v>0</v>
      </c>
      <c r="Q8" s="15">
        <f>IF('ENCUESTA CONDUCTORES'!S8="X",1,0)</f>
        <v>0</v>
      </c>
      <c r="R8" s="15">
        <f>IF('ENCUESTA CONDUCTORES'!T8="X",1,0)</f>
        <v>0</v>
      </c>
      <c r="S8" s="15">
        <f>IF('ENCUESTA CONDUCTORES'!U8="X",1,0)</f>
        <v>0</v>
      </c>
      <c r="T8" s="15">
        <f>IF('ENCUESTA CONDUCTORES'!V8="X",1,0)</f>
        <v>0</v>
      </c>
      <c r="U8" s="15">
        <f>IF('ENCUESTA CONDUCTORES'!W8="X",1,0)</f>
        <v>0</v>
      </c>
      <c r="V8" s="15">
        <f>IF('ENCUESTA CONDUCTORES'!X8="X",1,0)</f>
        <v>0</v>
      </c>
      <c r="W8" s="15">
        <f>IF('ENCUESTA CONDUCTORES'!Y8="X",1,0)</f>
        <v>1</v>
      </c>
      <c r="X8" s="15">
        <f>IF('ENCUESTA CONDUCTORES'!Z8="X",1,0)</f>
        <v>0</v>
      </c>
      <c r="Y8" s="15">
        <f>+'ENCUESTA CONDUCTORES'!AG8</f>
        <v>0</v>
      </c>
      <c r="Z8" s="15">
        <f>+'ENCUESTA CONDUCTORES'!AH8</f>
        <v>1986</v>
      </c>
      <c r="AA8" s="1">
        <f>+'ENCUESTA CONDUCTORES'!AI8</f>
        <v>980000</v>
      </c>
      <c r="AB8" s="15">
        <f>IF('ENCUESTA CONDUCTORES'!AJ8="X",1,0)</f>
        <v>0</v>
      </c>
      <c r="AC8" s="15">
        <f>IF('ENCUESTA CONDUCTORES'!AK8="X",1,0)</f>
        <v>0</v>
      </c>
      <c r="AD8" s="15">
        <f>IF('ENCUESTA CONDUCTORES'!AL8="X",1,0)</f>
        <v>1</v>
      </c>
      <c r="AE8" s="15">
        <f>IF('ENCUESTA CONDUCTORES'!AM8="X",1,0)</f>
        <v>0</v>
      </c>
      <c r="AF8" s="15">
        <f>IF('ENCUESTA CONDUCTORES'!AN8="X",1,0)</f>
        <v>0</v>
      </c>
      <c r="AG8" s="15">
        <f>IF('ENCUESTA CONDUCTORES'!AO8="X",1,0)</f>
        <v>1</v>
      </c>
      <c r="AH8" s="15">
        <f>IF('ENCUESTA CONDUCTORES'!AP8="X",1,0)</f>
        <v>0</v>
      </c>
      <c r="AI8" s="15">
        <f>IF('ENCUESTA CONDUCTORES'!AQ8="X",1,0)</f>
        <v>0</v>
      </c>
      <c r="AJ8" s="15">
        <f>IF('ENCUESTA CONDUCTORES'!AR8="X",1,0)</f>
        <v>0</v>
      </c>
      <c r="AK8" s="15">
        <f>+'ENCUESTA CONDUCTORES'!AS8</f>
        <v>0</v>
      </c>
      <c r="AL8" s="15" t="str">
        <f>+'ENCUESTA CONDUCTORES'!AT8</f>
        <v>INTERNATIONAL</v>
      </c>
      <c r="AM8" s="1">
        <f>+'ENCUESTA CONDUCTORES'!AU8</f>
        <v>3000</v>
      </c>
      <c r="AN8" s="48">
        <f>+'ENCUESTA CONDUCTORES'!AV8</f>
        <v>0.5</v>
      </c>
      <c r="AO8" s="15">
        <f>+'ENCUESTA CONDUCTORES'!AW8</f>
        <v>1.8</v>
      </c>
      <c r="AP8" s="15">
        <f>+'ENCUESTA CONDUCTORES'!AX8</f>
        <v>1.5</v>
      </c>
      <c r="AQ8" s="15">
        <f>+'ENCUESTA CONDUCTORES'!AY8</f>
        <v>1</v>
      </c>
      <c r="AR8" s="15">
        <f>+'ENCUESTA CONDUCTORES'!AZ8</f>
        <v>380</v>
      </c>
      <c r="AS8" s="15">
        <f>+'ENCUESTA CONDUCTORES'!BA8</f>
        <v>650</v>
      </c>
      <c r="AT8" s="15">
        <f>IF('ENCUESTA CONDUCTORES'!BB8="X",1,0)</f>
        <v>0</v>
      </c>
      <c r="AU8" s="15">
        <f>IF('ENCUESTA CONDUCTORES'!BC8="X",1,0)</f>
        <v>0</v>
      </c>
      <c r="AV8" s="15">
        <f>IF('ENCUESTA CONDUCTORES'!BD8="X",1,0)</f>
        <v>0</v>
      </c>
      <c r="AW8" s="1">
        <f>+'ENCUESTA CONDUCTORES'!BE8</f>
        <v>8000</v>
      </c>
      <c r="AX8" s="1">
        <f>+'ENCUESTA CONDUCTORES'!BF8</f>
        <v>6000</v>
      </c>
      <c r="AY8" s="1">
        <f>+'ENCUESTA CONDUCTORES'!BG8</f>
        <v>10000</v>
      </c>
      <c r="AZ8" s="1">
        <f>+'ENCUESTA CONDUCTORES'!BH8</f>
        <v>90000</v>
      </c>
      <c r="BA8" s="1">
        <f>+'ENCUESTA CONDUCTORES'!BI8</f>
        <v>10000</v>
      </c>
      <c r="BB8" s="15">
        <f>IF('ENCUESTA CONDUCTORES'!BJ8="X",1,0)</f>
        <v>0</v>
      </c>
      <c r="BC8" s="15">
        <f>IF('ENCUESTA CONDUCTORES'!BK8="X",1,0)</f>
        <v>0</v>
      </c>
      <c r="BD8" s="15">
        <f>IF('ENCUESTA CONDUCTORES'!BL8="X",1,0)</f>
        <v>0</v>
      </c>
      <c r="BE8" s="15">
        <f>IF('ENCUESTA CONDUCTORES'!BM8="X",1,0)</f>
        <v>0</v>
      </c>
      <c r="BF8" s="15">
        <f>IF('ENCUESTA CONDUCTORES'!BN8="X",1,0)</f>
        <v>0</v>
      </c>
      <c r="BG8" s="15">
        <f>IF('ENCUESTA CONDUCTORES'!BO8="X",1,0)</f>
        <v>0</v>
      </c>
      <c r="BH8" s="15">
        <f>IF('ENCUESTA CONDUCTORES'!BP8="X",1,0)</f>
        <v>0</v>
      </c>
      <c r="BI8" s="15">
        <f>IF('ENCUESTA CONDUCTORES'!BQ8="X",1,0)</f>
        <v>0</v>
      </c>
      <c r="BJ8" s="15">
        <f>IF('ENCUESTA CONDUCTORES'!BR8="X",1,0)</f>
        <v>1</v>
      </c>
      <c r="BK8" s="15">
        <f>+'ENCUESTA CONDUCTORES'!BS8</f>
        <v>0</v>
      </c>
      <c r="BL8" s="15">
        <f>IF('ENCUESTA CONDUCTORES'!BT8="X",1,0)</f>
        <v>0</v>
      </c>
      <c r="BM8" s="15">
        <f>IF('ENCUESTA CONDUCTORES'!BU8="X",1,0)</f>
        <v>1</v>
      </c>
      <c r="BN8" s="15">
        <f>IF('ENCUESTA CONDUCTORES'!BV8="X",1,0)</f>
        <v>0</v>
      </c>
      <c r="BO8" s="15">
        <f>IF('ENCUESTA CONDUCTORES'!BW8="X",1,0)</f>
        <v>0</v>
      </c>
      <c r="BP8" s="15">
        <f>+'ENCUESTA CONDUCTORES'!BX8</f>
        <v>2</v>
      </c>
      <c r="BQ8" s="15">
        <f>+'ENCUESTA CONDUCTORES'!BY8</f>
        <v>3</v>
      </c>
      <c r="BR8" s="15">
        <f>+'ENCUESTA CONDUCTORES'!BZ8</f>
        <v>1</v>
      </c>
      <c r="BS8" s="15">
        <f>+'ENCUESTA CONDUCTORES'!CA8</f>
        <v>0</v>
      </c>
      <c r="BT8" s="15">
        <f>IF('ENCUESTA CONDUCTORES'!CB8="X",1,0)</f>
        <v>1</v>
      </c>
      <c r="BU8" s="15">
        <f>IF('ENCUESTA CONDUCTORES'!CC8="X",1,0)</f>
        <v>0</v>
      </c>
      <c r="BV8" s="15">
        <f>IF('ENCUESTA CONDUCTORES'!CD8="X",1,0)</f>
        <v>0</v>
      </c>
      <c r="BW8" s="15">
        <f>IF('ENCUESTA CONDUCTORES'!CE8="X",1,0)</f>
        <v>0</v>
      </c>
      <c r="BX8" s="15">
        <f>IF('ENCUESTA CONDUCTORES'!CF8="X",1,0)</f>
        <v>0</v>
      </c>
      <c r="BY8" s="15">
        <f>IF('ENCUESTA CONDUCTORES'!CG8="X",1,0)</f>
        <v>0</v>
      </c>
      <c r="BZ8" s="15">
        <f>IF('ENCUESTA CONDUCTORES'!CH8="X",1,0)</f>
        <v>0</v>
      </c>
      <c r="CA8" s="15">
        <f>IF('ENCUESTA CONDUCTORES'!CI8="X",1,0)</f>
        <v>0</v>
      </c>
      <c r="CB8" s="15">
        <f>IF('ENCUESTA CONDUCTORES'!CJ8="X",1,0)</f>
        <v>0</v>
      </c>
      <c r="CC8" s="15">
        <f>IF('ENCUESTA CONDUCTORES'!CK8="X",1,0)</f>
        <v>0</v>
      </c>
      <c r="CD8" s="15">
        <f>IF('ENCUESTA CONDUCTORES'!CL8="X",1,0)</f>
        <v>1</v>
      </c>
      <c r="CE8" s="15">
        <f>IF('ENCUESTA CONDUCTORES'!CM8="X",1,0)</f>
        <v>1</v>
      </c>
      <c r="CF8" s="15" t="str">
        <f>+'ENCUESTA CONDUCTORES'!CN8</f>
        <v>AL PATRON NO LE INTERESA</v>
      </c>
      <c r="CG8" s="15">
        <f>IF('ENCUESTA CONDUCTORES'!CO8="X",1,0)</f>
        <v>0</v>
      </c>
      <c r="CH8" s="15" t="str">
        <f>+'ENCUESTA CONDUCTORES'!CP8</f>
        <v>ES BUENO, AHORRA COMBUSTIBLE</v>
      </c>
      <c r="CI8" s="15" t="str">
        <f>+'ENCUESTA CONDUCTORES'!CQ8</f>
        <v>DAR INCENTIVOS</v>
      </c>
      <c r="CJ8" s="15">
        <f>IF('ENCUESTA CONDUCTORES'!CR8="X",1,0)</f>
        <v>0</v>
      </c>
      <c r="CK8" s="15">
        <f>IF('ENCUESTA CONDUCTORES'!CS8="X",1,0)</f>
        <v>0</v>
      </c>
      <c r="CL8" s="15">
        <f>IF('ENCUESTA CONDUCTORES'!CT8="X",1,0)</f>
        <v>1</v>
      </c>
      <c r="CM8" s="15">
        <f>+'ENCUESTA CONDUCTORES'!CU8</f>
        <v>0</v>
      </c>
      <c r="CN8" s="15">
        <f>IF('ENCUESTA CONDUCTORES'!CV8="X",1,0)</f>
        <v>1</v>
      </c>
      <c r="CO8" s="15" t="str">
        <f>+'ENCUESTA CONDUCTORES'!CW8</f>
        <v>PÉRDIDA DE TIEMPO</v>
      </c>
      <c r="CP8" s="15">
        <f>IF('ENCUESTA CONDUCTORES'!CX8="X",1,0)</f>
        <v>0</v>
      </c>
      <c r="CQ8" s="15">
        <f>IF('ENCUESTA CONDUCTORES'!CY8="X",1,0)</f>
        <v>0</v>
      </c>
      <c r="CR8" s="3">
        <f>+'ENCUESTA CONDUCTORES'!CZ8</f>
        <v>0</v>
      </c>
      <c r="CS8" s="49" t="str">
        <f>+'ENCUESTA CONDUCTORES'!DA8</f>
        <v>TRANSPORTA MATERIALES ASFÁLTICOS</v>
      </c>
    </row>
    <row r="9" spans="1:97" x14ac:dyDescent="0.25">
      <c r="B9" s="14" t="str">
        <f>+'ENCUESTA CONDUCTORES'!D9</f>
        <v>C-005</v>
      </c>
      <c r="C9" s="15">
        <f>IF('ENCUESTA CONDUCTORES'!E9="X",1,0)</f>
        <v>0</v>
      </c>
      <c r="D9" s="15">
        <f>IF('ENCUESTA CONDUCTORES'!F9="X",1,0)</f>
        <v>0</v>
      </c>
      <c r="E9" s="15">
        <f>IF('ENCUESTA CONDUCTORES'!G9="X",1,0)</f>
        <v>1</v>
      </c>
      <c r="F9" s="15">
        <f>IF('ENCUESTA CONDUCTORES'!H9="X",1,0)</f>
        <v>0</v>
      </c>
      <c r="G9" s="15">
        <f>+'ENCUESTA CONDUCTORES'!I9</f>
        <v>53</v>
      </c>
      <c r="H9" s="15" t="str">
        <f>+'ENCUESTA CONDUCTORES'!J9</f>
        <v>M</v>
      </c>
      <c r="I9" s="15" t="str">
        <f>+'ENCUESTA CONDUCTORES'!K9</f>
        <v>PRIMARIA</v>
      </c>
      <c r="J9" s="15" t="str">
        <f>+'ENCUESTA CONDUCTORES'!L9</f>
        <v>TAPACHULA, CHIS</v>
      </c>
      <c r="K9" s="50" t="str">
        <f>+'ENCUESTA CONDUCTORES'!M9</f>
        <v>TAPACHULA</v>
      </c>
      <c r="L9" s="15" t="str">
        <f>+'ENCUESTA CONDUCTORES'!N9</f>
        <v>CHIAPAS</v>
      </c>
      <c r="M9" s="15">
        <f>+'ENCUESTA CONDUCTORES'!O9</f>
        <v>30</v>
      </c>
      <c r="N9" s="15">
        <f>IF('ENCUESTA CONDUCTORES'!P9="X",1,0)</f>
        <v>1</v>
      </c>
      <c r="O9" s="15">
        <f>IF('ENCUESTA CONDUCTORES'!Q9="X",1,0)</f>
        <v>0</v>
      </c>
      <c r="P9" s="15">
        <f>IF('ENCUESTA CONDUCTORES'!R9="X",1,0)</f>
        <v>0</v>
      </c>
      <c r="Q9" s="15">
        <f>IF('ENCUESTA CONDUCTORES'!S9="X",1,0)</f>
        <v>0</v>
      </c>
      <c r="R9" s="15">
        <f>IF('ENCUESTA CONDUCTORES'!T9="X",1,0)</f>
        <v>0</v>
      </c>
      <c r="S9" s="15">
        <f>IF('ENCUESTA CONDUCTORES'!U9="X",1,0)</f>
        <v>0</v>
      </c>
      <c r="T9" s="15">
        <f>IF('ENCUESTA CONDUCTORES'!V9="X",1,0)</f>
        <v>0</v>
      </c>
      <c r="U9" s="15">
        <f>IF('ENCUESTA CONDUCTORES'!W9="X",1,0)</f>
        <v>0</v>
      </c>
      <c r="V9" s="15">
        <f>IF('ENCUESTA CONDUCTORES'!X9="X",1,0)</f>
        <v>0</v>
      </c>
      <c r="W9" s="15">
        <f>IF('ENCUESTA CONDUCTORES'!Y9="X",1,0)</f>
        <v>0</v>
      </c>
      <c r="X9" s="15">
        <f>IF('ENCUESTA CONDUCTORES'!Z9="X",1,0)</f>
        <v>0</v>
      </c>
      <c r="Y9" s="15">
        <f>+'ENCUESTA CONDUCTORES'!AG9</f>
        <v>0</v>
      </c>
      <c r="Z9" s="15">
        <f>+'ENCUESTA CONDUCTORES'!AH9</f>
        <v>2000</v>
      </c>
      <c r="AA9" s="1">
        <f>+'ENCUESTA CONDUCTORES'!AI9</f>
        <v>780000</v>
      </c>
      <c r="AB9" s="15">
        <f>IF('ENCUESTA CONDUCTORES'!AJ9="X",1,0)</f>
        <v>0</v>
      </c>
      <c r="AC9" s="15">
        <f>IF('ENCUESTA CONDUCTORES'!AK9="X",1,0)</f>
        <v>0</v>
      </c>
      <c r="AD9" s="15">
        <f>IF('ENCUESTA CONDUCTORES'!AL9="X",1,0)</f>
        <v>1</v>
      </c>
      <c r="AE9" s="15">
        <f>IF('ENCUESTA CONDUCTORES'!AM9="X",1,0)</f>
        <v>0</v>
      </c>
      <c r="AF9" s="15">
        <f>IF('ENCUESTA CONDUCTORES'!AN9="X",1,0)</f>
        <v>0</v>
      </c>
      <c r="AG9" s="15">
        <f>IF('ENCUESTA CONDUCTORES'!AO9="X",1,0)</f>
        <v>0</v>
      </c>
      <c r="AH9" s="15">
        <f>IF('ENCUESTA CONDUCTORES'!AP9="X",1,0)</f>
        <v>1</v>
      </c>
      <c r="AI9" s="15">
        <f>IF('ENCUESTA CONDUCTORES'!AQ9="X",1,0)</f>
        <v>0</v>
      </c>
      <c r="AJ9" s="15">
        <f>IF('ENCUESTA CONDUCTORES'!AR9="X",1,0)</f>
        <v>0</v>
      </c>
      <c r="AK9" s="15">
        <f>+'ENCUESTA CONDUCTORES'!AS9</f>
        <v>0</v>
      </c>
      <c r="AL9" s="15" t="str">
        <f>+'ENCUESTA CONDUCTORES'!AT9</f>
        <v>FREIGHTLINER</v>
      </c>
      <c r="AM9" s="1">
        <f>+'ENCUESTA CONDUCTORES'!AU9</f>
        <v>5000</v>
      </c>
      <c r="AN9" s="48">
        <f>+'ENCUESTA CONDUCTORES'!AV9</f>
        <v>0.4</v>
      </c>
      <c r="AO9" s="15">
        <f>+'ENCUESTA CONDUCTORES'!AW9</f>
        <v>2.2000000000000002</v>
      </c>
      <c r="AP9" s="15">
        <f>+'ENCUESTA CONDUCTORES'!AX9</f>
        <v>1.8</v>
      </c>
      <c r="AQ9" s="15">
        <f>+'ENCUESTA CONDUCTORES'!AY9</f>
        <v>1</v>
      </c>
      <c r="AR9" s="15">
        <f>+'ENCUESTA CONDUCTORES'!AZ9</f>
        <v>350</v>
      </c>
      <c r="AS9" s="15">
        <f>+'ENCUESTA CONDUCTORES'!BA9</f>
        <v>650</v>
      </c>
      <c r="AT9" s="15">
        <f>IF('ENCUESTA CONDUCTORES'!BB9="X",1,0)</f>
        <v>1</v>
      </c>
      <c r="AU9" s="15">
        <f>IF('ENCUESTA CONDUCTORES'!BC9="X",1,0)</f>
        <v>1</v>
      </c>
      <c r="AV9" s="15">
        <f>IF('ENCUESTA CONDUCTORES'!BD9="X",1,0)</f>
        <v>0</v>
      </c>
      <c r="AW9" s="1">
        <f>+'ENCUESTA CONDUCTORES'!BE9</f>
        <v>7500</v>
      </c>
      <c r="AX9" s="1">
        <f>+'ENCUESTA CONDUCTORES'!BF9</f>
        <v>7000</v>
      </c>
      <c r="AY9" s="1">
        <f>+'ENCUESTA CONDUCTORES'!BG9</f>
        <v>15000</v>
      </c>
      <c r="AZ9" s="1">
        <f>+'ENCUESTA CONDUCTORES'!BH9</f>
        <v>100000</v>
      </c>
      <c r="BA9" s="1">
        <f>+'ENCUESTA CONDUCTORES'!BI9</f>
        <v>15000</v>
      </c>
      <c r="BB9" s="15">
        <f>IF('ENCUESTA CONDUCTORES'!BJ9="X",1,0)</f>
        <v>1</v>
      </c>
      <c r="BC9" s="15">
        <f>IF('ENCUESTA CONDUCTORES'!BK9="X",1,0)</f>
        <v>0</v>
      </c>
      <c r="BD9" s="15">
        <f>IF('ENCUESTA CONDUCTORES'!BL9="X",1,0)</f>
        <v>0</v>
      </c>
      <c r="BE9" s="15">
        <f>IF('ENCUESTA CONDUCTORES'!BM9="X",1,0)</f>
        <v>0</v>
      </c>
      <c r="BF9" s="15">
        <f>IF('ENCUESTA CONDUCTORES'!BN9="X",1,0)</f>
        <v>0</v>
      </c>
      <c r="BG9" s="15">
        <f>IF('ENCUESTA CONDUCTORES'!BO9="X",1,0)</f>
        <v>1</v>
      </c>
      <c r="BH9" s="15">
        <f>IF('ENCUESTA CONDUCTORES'!BP9="X",1,0)</f>
        <v>0</v>
      </c>
      <c r="BI9" s="15">
        <f>IF('ENCUESTA CONDUCTORES'!BQ9="X",1,0)</f>
        <v>0</v>
      </c>
      <c r="BJ9" s="15">
        <f>IF('ENCUESTA CONDUCTORES'!BR9="X",1,0)</f>
        <v>0</v>
      </c>
      <c r="BK9" s="15">
        <f>+'ENCUESTA CONDUCTORES'!BS9</f>
        <v>0</v>
      </c>
      <c r="BL9" s="15">
        <f>IF('ENCUESTA CONDUCTORES'!BT9="X",1,0)</f>
        <v>0</v>
      </c>
      <c r="BM9" s="15">
        <f>IF('ENCUESTA CONDUCTORES'!BU9="X",1,0)</f>
        <v>1</v>
      </c>
      <c r="BN9" s="15">
        <f>IF('ENCUESTA CONDUCTORES'!BV9="X",1,0)</f>
        <v>0</v>
      </c>
      <c r="BO9" s="15">
        <f>IF('ENCUESTA CONDUCTORES'!BW9="X",1,0)</f>
        <v>0</v>
      </c>
      <c r="BP9" s="15">
        <f>+'ENCUESTA CONDUCTORES'!BX9</f>
        <v>2</v>
      </c>
      <c r="BQ9" s="15">
        <f>+'ENCUESTA CONDUCTORES'!BY9</f>
        <v>4</v>
      </c>
      <c r="BR9" s="15">
        <f>+'ENCUESTA CONDUCTORES'!BZ9</f>
        <v>3</v>
      </c>
      <c r="BS9" s="15" t="str">
        <f>+'ENCUESTA CONDUCTORES'!CA9</f>
        <v>SEGURIDAD</v>
      </c>
      <c r="BT9" s="15">
        <f>IF('ENCUESTA CONDUCTORES'!CB9="X",1,0)</f>
        <v>0</v>
      </c>
      <c r="BU9" s="15">
        <f>IF('ENCUESTA CONDUCTORES'!CC9="X",1,0)</f>
        <v>1</v>
      </c>
      <c r="BV9" s="15">
        <f>IF('ENCUESTA CONDUCTORES'!CD9="X",1,0)</f>
        <v>0</v>
      </c>
      <c r="BW9" s="15">
        <f>IF('ENCUESTA CONDUCTORES'!CE9="X",1,0)</f>
        <v>0</v>
      </c>
      <c r="BX9" s="15">
        <f>IF('ENCUESTA CONDUCTORES'!CF9="X",1,0)</f>
        <v>0</v>
      </c>
      <c r="BY9" s="15">
        <f>IF('ENCUESTA CONDUCTORES'!CG9="X",1,0)</f>
        <v>1</v>
      </c>
      <c r="BZ9" s="15">
        <f>IF('ENCUESTA CONDUCTORES'!CH9="X",1,0)</f>
        <v>0</v>
      </c>
      <c r="CA9" s="15">
        <f>IF('ENCUESTA CONDUCTORES'!CI9="X",1,0)</f>
        <v>0</v>
      </c>
      <c r="CB9" s="15">
        <f>IF('ENCUESTA CONDUCTORES'!CJ9="X",1,0)</f>
        <v>0</v>
      </c>
      <c r="CC9" s="15">
        <f>IF('ENCUESTA CONDUCTORES'!CK9="X",1,0)</f>
        <v>1</v>
      </c>
      <c r="CD9" s="15">
        <f>IF('ENCUESTA CONDUCTORES'!CL9="X",1,0)</f>
        <v>0</v>
      </c>
      <c r="CE9" s="15">
        <f>IF('ENCUESTA CONDUCTORES'!CM9="X",1,0)</f>
        <v>0</v>
      </c>
      <c r="CF9" s="15">
        <f>+'ENCUESTA CONDUCTORES'!CN9</f>
        <v>0</v>
      </c>
      <c r="CG9" s="15">
        <f>IF('ENCUESTA CONDUCTORES'!CO9="X",1,0)</f>
        <v>0</v>
      </c>
      <c r="CH9" s="15" t="str">
        <f>+'ENCUESTA CONDUCTORES'!CP9</f>
        <v>NO SABE</v>
      </c>
      <c r="CI9" s="15" t="str">
        <f>+'ENCUESTA CONDUCTORES'!CQ9</f>
        <v>DARLO A CONOCER</v>
      </c>
      <c r="CJ9" s="15">
        <f>IF('ENCUESTA CONDUCTORES'!CR9="X",1,0)</f>
        <v>0</v>
      </c>
      <c r="CK9" s="15">
        <f>IF('ENCUESTA CONDUCTORES'!CS9="X",1,0)</f>
        <v>0</v>
      </c>
      <c r="CL9" s="15">
        <f>IF('ENCUESTA CONDUCTORES'!CT9="X",1,0)</f>
        <v>1</v>
      </c>
      <c r="CM9" s="15">
        <f>+'ENCUESTA CONDUCTORES'!CU9</f>
        <v>0</v>
      </c>
      <c r="CN9" s="15">
        <f>IF('ENCUESTA CONDUCTORES'!CV9="X",1,0)</f>
        <v>0</v>
      </c>
      <c r="CO9" s="15">
        <f>+'ENCUESTA CONDUCTORES'!CW9</f>
        <v>0</v>
      </c>
      <c r="CP9" s="15">
        <f>IF('ENCUESTA CONDUCTORES'!CX9="X",1,0)</f>
        <v>1</v>
      </c>
      <c r="CQ9" s="15">
        <f>IF('ENCUESTA CONDUCTORES'!CY9="X",1,0)</f>
        <v>0</v>
      </c>
      <c r="CR9" s="3">
        <f>+'ENCUESTA CONDUCTORES'!CZ9</f>
        <v>0</v>
      </c>
      <c r="CS9" s="49">
        <f>+'ENCUESTA CONDUCTORES'!DA9</f>
        <v>0</v>
      </c>
    </row>
    <row r="10" spans="1:97" x14ac:dyDescent="0.25">
      <c r="B10" s="14" t="str">
        <f>+'ENCUESTA CONDUCTORES'!D10</f>
        <v>C-006</v>
      </c>
      <c r="C10" s="15">
        <f>IF('ENCUESTA CONDUCTORES'!E10="X",1,0)</f>
        <v>1</v>
      </c>
      <c r="D10" s="15">
        <f>IF('ENCUESTA CONDUCTORES'!F10="X",1,0)</f>
        <v>0</v>
      </c>
      <c r="E10" s="15">
        <f>IF('ENCUESTA CONDUCTORES'!G10="X",1,0)</f>
        <v>0</v>
      </c>
      <c r="F10" s="15">
        <f>IF('ENCUESTA CONDUCTORES'!H10="X",1,0)</f>
        <v>0</v>
      </c>
      <c r="G10" s="15">
        <f>+'ENCUESTA CONDUCTORES'!I10</f>
        <v>37</v>
      </c>
      <c r="H10" s="15" t="str">
        <f>+'ENCUESTA CONDUCTORES'!J10</f>
        <v>M</v>
      </c>
      <c r="I10" s="15" t="str">
        <f>+'ENCUESTA CONDUCTORES'!K10</f>
        <v>SECUNDARIA</v>
      </c>
      <c r="J10" s="15" t="str">
        <f>+'ENCUESTA CONDUCTORES'!L10</f>
        <v>OAXACA,OAX.</v>
      </c>
      <c r="K10" s="15" t="str">
        <f>+'ENCUESTA CONDUCTORES'!M10</f>
        <v>OAXACA</v>
      </c>
      <c r="L10" s="15" t="str">
        <f>+'ENCUESTA CONDUCTORES'!N10</f>
        <v>OAXACA</v>
      </c>
      <c r="M10" s="15">
        <f>+'ENCUESTA CONDUCTORES'!O10</f>
        <v>18</v>
      </c>
      <c r="N10" s="15">
        <f>IF('ENCUESTA CONDUCTORES'!P10="X",1,0)</f>
        <v>0</v>
      </c>
      <c r="O10" s="15">
        <f>IF('ENCUESTA CONDUCTORES'!Q10="X",1,0)</f>
        <v>1</v>
      </c>
      <c r="P10" s="15">
        <f>IF('ENCUESTA CONDUCTORES'!R10="X",1,0)</f>
        <v>0</v>
      </c>
      <c r="Q10" s="15">
        <f>IF('ENCUESTA CONDUCTORES'!S10="X",1,0)</f>
        <v>0</v>
      </c>
      <c r="R10" s="15">
        <f>IF('ENCUESTA CONDUCTORES'!T10="X",1,0)</f>
        <v>0</v>
      </c>
      <c r="S10" s="15">
        <f>IF('ENCUESTA CONDUCTORES'!U10="X",1,0)</f>
        <v>0</v>
      </c>
      <c r="T10" s="15">
        <f>IF('ENCUESTA CONDUCTORES'!V10="X",1,0)</f>
        <v>0</v>
      </c>
      <c r="U10" s="15">
        <f>IF('ENCUESTA CONDUCTORES'!W10="X",1,0)</f>
        <v>0</v>
      </c>
      <c r="V10" s="15">
        <f>IF('ENCUESTA CONDUCTORES'!X10="X",1,0)</f>
        <v>0</v>
      </c>
      <c r="W10" s="15">
        <f>IF('ENCUESTA CONDUCTORES'!Y10="X",1,0)</f>
        <v>0</v>
      </c>
      <c r="X10" s="15">
        <f>IF('ENCUESTA CONDUCTORES'!Z10="X",1,0)</f>
        <v>0</v>
      </c>
      <c r="Y10" s="15">
        <f>+'ENCUESTA CONDUCTORES'!AG10</f>
        <v>0</v>
      </c>
      <c r="Z10" s="15">
        <f>+'ENCUESTA CONDUCTORES'!AH10</f>
        <v>1982</v>
      </c>
      <c r="AA10" s="1">
        <f>+'ENCUESTA CONDUCTORES'!AI10</f>
        <v>520000</v>
      </c>
      <c r="AB10" s="15">
        <f>IF('ENCUESTA CONDUCTORES'!AJ10="X",1,0)</f>
        <v>0</v>
      </c>
      <c r="AC10" s="15">
        <f>IF('ENCUESTA CONDUCTORES'!AK10="X",1,0)</f>
        <v>0</v>
      </c>
      <c r="AD10" s="15">
        <f>IF('ENCUESTA CONDUCTORES'!AL10="X",1,0)</f>
        <v>1</v>
      </c>
      <c r="AE10" s="15">
        <f>IF('ENCUESTA CONDUCTORES'!AM10="X",1,0)</f>
        <v>0</v>
      </c>
      <c r="AF10" s="15">
        <f>IF('ENCUESTA CONDUCTORES'!AN10="X",1,0)</f>
        <v>0</v>
      </c>
      <c r="AG10" s="15">
        <f>IF('ENCUESTA CONDUCTORES'!AO10="X",1,0)</f>
        <v>0</v>
      </c>
      <c r="AH10" s="15">
        <f>IF('ENCUESTA CONDUCTORES'!AP10="X",1,0)</f>
        <v>1</v>
      </c>
      <c r="AI10" s="15">
        <f>IF('ENCUESTA CONDUCTORES'!AQ10="X",1,0)</f>
        <v>0</v>
      </c>
      <c r="AJ10" s="15">
        <f>IF('ENCUESTA CONDUCTORES'!AR10="X",1,0)</f>
        <v>0</v>
      </c>
      <c r="AK10" s="15">
        <f>+'ENCUESTA CONDUCTORES'!AS10</f>
        <v>0</v>
      </c>
      <c r="AL10" s="15" t="str">
        <f>+'ENCUESTA CONDUCTORES'!AT10</f>
        <v>DINA</v>
      </c>
      <c r="AM10" s="1">
        <f>+'ENCUESTA CONDUCTORES'!AU10</f>
        <v>2500</v>
      </c>
      <c r="AN10" s="48">
        <f>+'ENCUESTA CONDUCTORES'!AV10</f>
        <v>0.5</v>
      </c>
      <c r="AO10" s="15">
        <f>+'ENCUESTA CONDUCTORES'!AW10</f>
        <v>2</v>
      </c>
      <c r="AP10" s="15">
        <f>+'ENCUESTA CONDUCTORES'!AX10</f>
        <v>1.5</v>
      </c>
      <c r="AQ10" s="15">
        <f>+'ENCUESTA CONDUCTORES'!AY10</f>
        <v>1</v>
      </c>
      <c r="AR10" s="15">
        <f>+'ENCUESTA CONDUCTORES'!AZ10</f>
        <v>380</v>
      </c>
      <c r="AS10" s="15">
        <f>+'ENCUESTA CONDUCTORES'!BA10</f>
        <v>650</v>
      </c>
      <c r="AT10" s="15">
        <f>IF('ENCUESTA CONDUCTORES'!BB10="X",1,0)</f>
        <v>0</v>
      </c>
      <c r="AU10" s="15">
        <f>IF('ENCUESTA CONDUCTORES'!BC10="X",1,0)</f>
        <v>1</v>
      </c>
      <c r="AV10" s="15">
        <f>IF('ENCUESTA CONDUCTORES'!BD10="X",1,0)</f>
        <v>0</v>
      </c>
      <c r="AW10" s="1">
        <f>+'ENCUESTA CONDUCTORES'!BE10</f>
        <v>6000</v>
      </c>
      <c r="AX10" s="1">
        <f>+'ENCUESTA CONDUCTORES'!BF10</f>
        <v>5000</v>
      </c>
      <c r="AY10" s="1">
        <f>+'ENCUESTA CONDUCTORES'!BG10</f>
        <v>10000</v>
      </c>
      <c r="AZ10" s="1">
        <f>+'ENCUESTA CONDUCTORES'!BH10</f>
        <v>70000</v>
      </c>
      <c r="BA10" s="1">
        <f>+'ENCUESTA CONDUCTORES'!BI10</f>
        <v>10000</v>
      </c>
      <c r="BB10" s="15">
        <f>IF('ENCUESTA CONDUCTORES'!BJ10="X",1,0)</f>
        <v>0</v>
      </c>
      <c r="BC10" s="15">
        <f>IF('ENCUESTA CONDUCTORES'!BK10="X",1,0)</f>
        <v>0</v>
      </c>
      <c r="BD10" s="15">
        <f>IF('ENCUESTA CONDUCTORES'!BL10="X",1,0)</f>
        <v>0</v>
      </c>
      <c r="BE10" s="15">
        <f>IF('ENCUESTA CONDUCTORES'!BM10="X",1,0)</f>
        <v>0</v>
      </c>
      <c r="BF10" s="15">
        <f>IF('ENCUESTA CONDUCTORES'!BN10="X",1,0)</f>
        <v>0</v>
      </c>
      <c r="BG10" s="15">
        <f>IF('ENCUESTA CONDUCTORES'!BO10="X",1,0)</f>
        <v>1</v>
      </c>
      <c r="BH10" s="15">
        <f>IF('ENCUESTA CONDUCTORES'!BP10="X",1,0)</f>
        <v>0</v>
      </c>
      <c r="BI10" s="15">
        <f>IF('ENCUESTA CONDUCTORES'!BQ10="X",1,0)</f>
        <v>0</v>
      </c>
      <c r="BJ10" s="15">
        <f>IF('ENCUESTA CONDUCTORES'!BR10="X",1,0)</f>
        <v>0</v>
      </c>
      <c r="BK10" s="15">
        <f>+'ENCUESTA CONDUCTORES'!BS10</f>
        <v>0</v>
      </c>
      <c r="BL10" s="15">
        <f>IF('ENCUESTA CONDUCTORES'!BT10="X",1,0)</f>
        <v>0</v>
      </c>
      <c r="BM10" s="15">
        <f>IF('ENCUESTA CONDUCTORES'!BU10="X",1,0)</f>
        <v>1</v>
      </c>
      <c r="BN10" s="15">
        <f>IF('ENCUESTA CONDUCTORES'!BV10="X",1,0)</f>
        <v>0</v>
      </c>
      <c r="BO10" s="15">
        <f>IF('ENCUESTA CONDUCTORES'!BW10="X",1,0)</f>
        <v>0</v>
      </c>
      <c r="BP10" s="15">
        <f>+'ENCUESTA CONDUCTORES'!BX10</f>
        <v>1</v>
      </c>
      <c r="BQ10" s="15">
        <f>+'ENCUESTA CONDUCTORES'!BY10</f>
        <v>3</v>
      </c>
      <c r="BR10" s="15">
        <f>+'ENCUESTA CONDUCTORES'!BZ10</f>
        <v>2</v>
      </c>
      <c r="BS10" s="15">
        <f>+'ENCUESTA CONDUCTORES'!CA10</f>
        <v>0</v>
      </c>
      <c r="BT10" s="15">
        <f>IF('ENCUESTA CONDUCTORES'!CB10="X",1,0)</f>
        <v>1</v>
      </c>
      <c r="BU10" s="15">
        <f>IF('ENCUESTA CONDUCTORES'!CC10="X",1,0)</f>
        <v>0</v>
      </c>
      <c r="BV10" s="15">
        <f>IF('ENCUESTA CONDUCTORES'!CD10="X",1,0)</f>
        <v>0</v>
      </c>
      <c r="BW10" s="15">
        <f>IF('ENCUESTA CONDUCTORES'!CE10="X",1,0)</f>
        <v>0</v>
      </c>
      <c r="BX10" s="15">
        <f>IF('ENCUESTA CONDUCTORES'!CF10="X",1,0)</f>
        <v>0</v>
      </c>
      <c r="BY10" s="15">
        <f>IF('ENCUESTA CONDUCTORES'!CG10="X",1,0)</f>
        <v>0</v>
      </c>
      <c r="BZ10" s="15">
        <f>IF('ENCUESTA CONDUCTORES'!CH10="X",1,0)</f>
        <v>0</v>
      </c>
      <c r="CA10" s="15">
        <f>IF('ENCUESTA CONDUCTORES'!CI10="X",1,0)</f>
        <v>0</v>
      </c>
      <c r="CB10" s="15">
        <f>IF('ENCUESTA CONDUCTORES'!CJ10="X",1,0)</f>
        <v>0</v>
      </c>
      <c r="CC10" s="15">
        <f>IF('ENCUESTA CONDUCTORES'!CK10="X",1,0)</f>
        <v>1</v>
      </c>
      <c r="CD10" s="15">
        <f>IF('ENCUESTA CONDUCTORES'!CL10="X",1,0)</f>
        <v>0</v>
      </c>
      <c r="CE10" s="15">
        <f>IF('ENCUESTA CONDUCTORES'!CM10="X",1,0)</f>
        <v>0</v>
      </c>
      <c r="CF10" s="15">
        <f>+'ENCUESTA CONDUCTORES'!CN10</f>
        <v>0</v>
      </c>
      <c r="CG10" s="15">
        <f>IF('ENCUESTA CONDUCTORES'!CO10="X",1,0)</f>
        <v>0</v>
      </c>
      <c r="CH10" s="15" t="str">
        <f>+'ENCUESTA CONDUCTORES'!CP10</f>
        <v>NO SABE</v>
      </c>
      <c r="CI10" s="15" t="str">
        <f>+'ENCUESTA CONDUCTORES'!CQ10</f>
        <v>DARLO A CONOCER</v>
      </c>
      <c r="CJ10" s="15">
        <f>IF('ENCUESTA CONDUCTORES'!CR10="X",1,0)</f>
        <v>1</v>
      </c>
      <c r="CK10" s="15">
        <f>IF('ENCUESTA CONDUCTORES'!CS10="X",1,0)</f>
        <v>0</v>
      </c>
      <c r="CL10" s="15">
        <f>IF('ENCUESTA CONDUCTORES'!CT10="X",1,0)</f>
        <v>0</v>
      </c>
      <c r="CM10" s="15">
        <f>+'ENCUESTA CONDUCTORES'!CU10</f>
        <v>0</v>
      </c>
      <c r="CN10" s="15">
        <f>IF('ENCUESTA CONDUCTORES'!CV10="X",1,0)</f>
        <v>0</v>
      </c>
      <c r="CO10" s="15">
        <f>+'ENCUESTA CONDUCTORES'!CW10</f>
        <v>0</v>
      </c>
      <c r="CP10" s="15">
        <f>IF('ENCUESTA CONDUCTORES'!CX10="X",1,0)</f>
        <v>1</v>
      </c>
      <c r="CQ10" s="15">
        <f>IF('ENCUESTA CONDUCTORES'!CY10="X",1,0)</f>
        <v>1</v>
      </c>
      <c r="CR10" s="3">
        <f>+'ENCUESTA CONDUCTORES'!CZ10</f>
        <v>0</v>
      </c>
      <c r="CS10" s="49" t="str">
        <f>+'ENCUESTA CONDUCTORES'!DA10</f>
        <v>CAMINA POR CAMINOS SIN PAVIMENTO Y A VECES BRECHAS</v>
      </c>
    </row>
    <row r="11" spans="1:97" x14ac:dyDescent="0.25">
      <c r="B11" s="14" t="str">
        <f>+'ENCUESTA CONDUCTORES'!D11</f>
        <v>C-007</v>
      </c>
      <c r="C11" s="15">
        <f>IF('ENCUESTA CONDUCTORES'!E11="X",1,0)</f>
        <v>0</v>
      </c>
      <c r="D11" s="15">
        <f>IF('ENCUESTA CONDUCTORES'!F11="X",1,0)</f>
        <v>0</v>
      </c>
      <c r="E11" s="15">
        <f>IF('ENCUESTA CONDUCTORES'!G11="X",1,0)</f>
        <v>1</v>
      </c>
      <c r="F11" s="15">
        <f>IF('ENCUESTA CONDUCTORES'!H11="X",1,0)</f>
        <v>0</v>
      </c>
      <c r="G11" s="15">
        <f>+'ENCUESTA CONDUCTORES'!I11</f>
        <v>30</v>
      </c>
      <c r="H11" s="15" t="str">
        <f>+'ENCUESTA CONDUCTORES'!J11</f>
        <v>M</v>
      </c>
      <c r="I11" s="15" t="str">
        <f>+'ENCUESTA CONDUCTORES'!K11</f>
        <v>PREPARATORIA</v>
      </c>
      <c r="J11" s="15" t="str">
        <f>+'ENCUESTA CONDUCTORES'!L11</f>
        <v>COATEPEC, VER.</v>
      </c>
      <c r="K11" s="50" t="str">
        <f>+'ENCUESTA CONDUCTORES'!M11</f>
        <v>COATEPEC</v>
      </c>
      <c r="L11" s="15" t="str">
        <f>+'ENCUESTA CONDUCTORES'!N11</f>
        <v>VERACRUZ</v>
      </c>
      <c r="M11" s="15">
        <f>+'ENCUESTA CONDUCTORES'!O11</f>
        <v>12</v>
      </c>
      <c r="N11" s="15">
        <f>IF('ENCUESTA CONDUCTORES'!P11="X",1,0)</f>
        <v>0</v>
      </c>
      <c r="O11" s="15">
        <f>IF('ENCUESTA CONDUCTORES'!Q11="X",1,0)</f>
        <v>1</v>
      </c>
      <c r="P11" s="15">
        <f>IF('ENCUESTA CONDUCTORES'!R11="X",1,0)</f>
        <v>0</v>
      </c>
      <c r="Q11" s="15">
        <f>IF('ENCUESTA CONDUCTORES'!S11="X",1,0)</f>
        <v>0</v>
      </c>
      <c r="R11" s="15">
        <f>IF('ENCUESTA CONDUCTORES'!T11="X",1,0)</f>
        <v>0</v>
      </c>
      <c r="S11" s="15">
        <f>IF('ENCUESTA CONDUCTORES'!U11="X",1,0)</f>
        <v>0</v>
      </c>
      <c r="T11" s="15">
        <f>IF('ENCUESTA CONDUCTORES'!V11="X",1,0)</f>
        <v>0</v>
      </c>
      <c r="U11" s="15">
        <f>IF('ENCUESTA CONDUCTORES'!W11="X",1,0)</f>
        <v>0</v>
      </c>
      <c r="V11" s="15">
        <f>IF('ENCUESTA CONDUCTORES'!X11="X",1,0)</f>
        <v>0</v>
      </c>
      <c r="W11" s="15">
        <f>IF('ENCUESTA CONDUCTORES'!Y11="X",1,0)</f>
        <v>0</v>
      </c>
      <c r="X11" s="15">
        <f>IF('ENCUESTA CONDUCTORES'!Z11="X",1,0)</f>
        <v>0</v>
      </c>
      <c r="Y11" s="15">
        <f>+'ENCUESTA CONDUCTORES'!AG11</f>
        <v>0</v>
      </c>
      <c r="Z11" s="15">
        <f>+'ENCUESTA CONDUCTORES'!AH11</f>
        <v>1987</v>
      </c>
      <c r="AA11" s="1">
        <f>+'ENCUESTA CONDUCTORES'!AI11</f>
        <v>1550000</v>
      </c>
      <c r="AB11" s="15">
        <f>IF('ENCUESTA CONDUCTORES'!AJ11="X",1,0)</f>
        <v>0</v>
      </c>
      <c r="AC11" s="15">
        <f>IF('ENCUESTA CONDUCTORES'!AK11="X",1,0)</f>
        <v>0</v>
      </c>
      <c r="AD11" s="15">
        <f>IF('ENCUESTA CONDUCTORES'!AL11="X",1,0)</f>
        <v>1</v>
      </c>
      <c r="AE11" s="15">
        <f>IF('ENCUESTA CONDUCTORES'!AM11="X",1,0)</f>
        <v>0</v>
      </c>
      <c r="AF11" s="15">
        <f>IF('ENCUESTA CONDUCTORES'!AN11="X",1,0)</f>
        <v>0</v>
      </c>
      <c r="AG11" s="15">
        <f>IF('ENCUESTA CONDUCTORES'!AO11="X",1,0)</f>
        <v>0</v>
      </c>
      <c r="AH11" s="15">
        <f>IF('ENCUESTA CONDUCTORES'!AP11="X",1,0)</f>
        <v>1</v>
      </c>
      <c r="AI11" s="15">
        <f>IF('ENCUESTA CONDUCTORES'!AQ11="X",1,0)</f>
        <v>0</v>
      </c>
      <c r="AJ11" s="15">
        <f>IF('ENCUESTA CONDUCTORES'!AR11="X",1,0)</f>
        <v>0</v>
      </c>
      <c r="AK11" s="15">
        <f>+'ENCUESTA CONDUCTORES'!AS11</f>
        <v>0</v>
      </c>
      <c r="AL11" s="15" t="str">
        <f>+'ENCUESTA CONDUCTORES'!AT11</f>
        <v>INTERNATIONAL</v>
      </c>
      <c r="AM11" s="1">
        <f>+'ENCUESTA CONDUCTORES'!AU11</f>
        <v>3500</v>
      </c>
      <c r="AN11" s="48">
        <f>+'ENCUESTA CONDUCTORES'!AV11</f>
        <v>0.5</v>
      </c>
      <c r="AO11" s="15">
        <f>+'ENCUESTA CONDUCTORES'!AW11</f>
        <v>2.1</v>
      </c>
      <c r="AP11" s="15">
        <f>+'ENCUESTA CONDUCTORES'!AX11</f>
        <v>1.8</v>
      </c>
      <c r="AQ11" s="15">
        <f>+'ENCUESTA CONDUCTORES'!AY11</f>
        <v>1</v>
      </c>
      <c r="AR11" s="15">
        <f>+'ENCUESTA CONDUCTORES'!AZ11</f>
        <v>350</v>
      </c>
      <c r="AS11" s="15">
        <f>+'ENCUESTA CONDUCTORES'!BA11</f>
        <v>700</v>
      </c>
      <c r="AT11" s="15">
        <f>IF('ENCUESTA CONDUCTORES'!BB11="X",1,0)</f>
        <v>0</v>
      </c>
      <c r="AU11" s="15">
        <f>IF('ENCUESTA CONDUCTORES'!BC11="X",1,0)</f>
        <v>0</v>
      </c>
      <c r="AV11" s="15">
        <f>IF('ENCUESTA CONDUCTORES'!BD11="X",1,0)</f>
        <v>0</v>
      </c>
      <c r="AW11" s="1">
        <f>+'ENCUESTA CONDUCTORES'!BE11</f>
        <v>7500</v>
      </c>
      <c r="AX11" s="1">
        <f>+'ENCUESTA CONDUCTORES'!BF11</f>
        <v>7000</v>
      </c>
      <c r="AY11" s="1">
        <f>+'ENCUESTA CONDUCTORES'!BG11</f>
        <v>10000</v>
      </c>
      <c r="AZ11" s="1">
        <f>+'ENCUESTA CONDUCTORES'!BH11</f>
        <v>80000</v>
      </c>
      <c r="BA11" s="1">
        <f>+'ENCUESTA CONDUCTORES'!BI11</f>
        <v>10000</v>
      </c>
      <c r="BB11" s="15">
        <f>IF('ENCUESTA CONDUCTORES'!BJ11="X",1,0)</f>
        <v>0</v>
      </c>
      <c r="BC11" s="15">
        <f>IF('ENCUESTA CONDUCTORES'!BK11="X",1,0)</f>
        <v>0</v>
      </c>
      <c r="BD11" s="15">
        <f>IF('ENCUESTA CONDUCTORES'!BL11="X",1,0)</f>
        <v>0</v>
      </c>
      <c r="BE11" s="15">
        <f>IF('ENCUESTA CONDUCTORES'!BM11="X",1,0)</f>
        <v>0</v>
      </c>
      <c r="BF11" s="15">
        <f>IF('ENCUESTA CONDUCTORES'!BN11="X",1,0)</f>
        <v>0</v>
      </c>
      <c r="BG11" s="15">
        <f>IF('ENCUESTA CONDUCTORES'!BO11="X",1,0)</f>
        <v>1</v>
      </c>
      <c r="BH11" s="15">
        <f>IF('ENCUESTA CONDUCTORES'!BP11="X",1,0)</f>
        <v>0</v>
      </c>
      <c r="BI11" s="15">
        <f>IF('ENCUESTA CONDUCTORES'!BQ11="X",1,0)</f>
        <v>0</v>
      </c>
      <c r="BJ11" s="15">
        <f>IF('ENCUESTA CONDUCTORES'!BR11="X",1,0)</f>
        <v>0</v>
      </c>
      <c r="BK11" s="15">
        <f>+'ENCUESTA CONDUCTORES'!BS11</f>
        <v>0</v>
      </c>
      <c r="BL11" s="15">
        <f>IF('ENCUESTA CONDUCTORES'!BT11="X",1,0)</f>
        <v>0</v>
      </c>
      <c r="BM11" s="15">
        <f>IF('ENCUESTA CONDUCTORES'!BU11="X",1,0)</f>
        <v>1</v>
      </c>
      <c r="BN11" s="15">
        <f>IF('ENCUESTA CONDUCTORES'!BV11="X",1,0)</f>
        <v>0</v>
      </c>
      <c r="BO11" s="15">
        <f>IF('ENCUESTA CONDUCTORES'!BW11="X",1,0)</f>
        <v>0</v>
      </c>
      <c r="BP11" s="15">
        <f>+'ENCUESTA CONDUCTORES'!BX11</f>
        <v>2</v>
      </c>
      <c r="BQ11" s="15">
        <f>+'ENCUESTA CONDUCTORES'!BY11</f>
        <v>3</v>
      </c>
      <c r="BR11" s="15">
        <f>+'ENCUESTA CONDUCTORES'!BZ11</f>
        <v>1</v>
      </c>
      <c r="BS11" s="15">
        <f>+'ENCUESTA CONDUCTORES'!CA11</f>
        <v>0</v>
      </c>
      <c r="BT11" s="15">
        <f>IF('ENCUESTA CONDUCTORES'!CB11="X",1,0)</f>
        <v>1</v>
      </c>
      <c r="BU11" s="15">
        <f>IF('ENCUESTA CONDUCTORES'!CC11="X",1,0)</f>
        <v>0</v>
      </c>
      <c r="BV11" s="15">
        <f>IF('ENCUESTA CONDUCTORES'!CD11="X",1,0)</f>
        <v>0</v>
      </c>
      <c r="BW11" s="15">
        <f>IF('ENCUESTA CONDUCTORES'!CE11="X",1,0)</f>
        <v>0</v>
      </c>
      <c r="BX11" s="15">
        <f>IF('ENCUESTA CONDUCTORES'!CF11="X",1,0)</f>
        <v>0</v>
      </c>
      <c r="BY11" s="15">
        <f>IF('ENCUESTA CONDUCTORES'!CG11="X",1,0)</f>
        <v>0</v>
      </c>
      <c r="BZ11" s="15">
        <f>IF('ENCUESTA CONDUCTORES'!CH11="X",1,0)</f>
        <v>0</v>
      </c>
      <c r="CA11" s="15">
        <f>IF('ENCUESTA CONDUCTORES'!CI11="X",1,0)</f>
        <v>0</v>
      </c>
      <c r="CB11" s="15">
        <f>IF('ENCUESTA CONDUCTORES'!CJ11="X",1,0)</f>
        <v>0</v>
      </c>
      <c r="CC11" s="15">
        <f>IF('ENCUESTA CONDUCTORES'!CK11="X",1,0)</f>
        <v>1</v>
      </c>
      <c r="CD11" s="15">
        <f>IF('ENCUESTA CONDUCTORES'!CL11="X",1,0)</f>
        <v>0</v>
      </c>
      <c r="CE11" s="15">
        <f>IF('ENCUESTA CONDUCTORES'!CM11="X",1,0)</f>
        <v>0</v>
      </c>
      <c r="CF11" s="15">
        <f>+'ENCUESTA CONDUCTORES'!CN11</f>
        <v>0</v>
      </c>
      <c r="CG11" s="15">
        <f>IF('ENCUESTA CONDUCTORES'!CO11="X",1,0)</f>
        <v>0</v>
      </c>
      <c r="CH11" s="15" t="str">
        <f>+'ENCUESTA CONDUCTORES'!CP11</f>
        <v>NO SABE</v>
      </c>
      <c r="CI11" s="15" t="str">
        <f>+'ENCUESTA CONDUCTORES'!CQ11</f>
        <v>DARLO A CONOCER</v>
      </c>
      <c r="CJ11" s="15">
        <f>IF('ENCUESTA CONDUCTORES'!CR11="X",1,0)</f>
        <v>1</v>
      </c>
      <c r="CK11" s="15">
        <f>IF('ENCUESTA CONDUCTORES'!CS11="X",1,0)</f>
        <v>0</v>
      </c>
      <c r="CL11" s="15">
        <f>IF('ENCUESTA CONDUCTORES'!CT11="X",1,0)</f>
        <v>0</v>
      </c>
      <c r="CM11" s="15">
        <f>+'ENCUESTA CONDUCTORES'!CU11</f>
        <v>0</v>
      </c>
      <c r="CN11" s="15">
        <f>IF('ENCUESTA CONDUCTORES'!CV11="X",1,0)</f>
        <v>0</v>
      </c>
      <c r="CO11" s="15">
        <f>+'ENCUESTA CONDUCTORES'!CW11</f>
        <v>0</v>
      </c>
      <c r="CP11" s="15">
        <f>IF('ENCUESTA CONDUCTORES'!CX11="X",1,0)</f>
        <v>0</v>
      </c>
      <c r="CQ11" s="15">
        <f>IF('ENCUESTA CONDUCTORES'!CY11="X",1,0)</f>
        <v>1</v>
      </c>
      <c r="CR11" s="3">
        <f>+'ENCUESTA CONDUCTORES'!CZ11</f>
        <v>0</v>
      </c>
      <c r="CS11" s="49">
        <f>+'ENCUESTA CONDUCTORES'!DA11</f>
        <v>0</v>
      </c>
    </row>
    <row r="12" spans="1:97" x14ac:dyDescent="0.25">
      <c r="B12" s="14" t="str">
        <f>+'ENCUESTA CONDUCTORES'!D12</f>
        <v>C-008</v>
      </c>
      <c r="C12" s="15">
        <f>IF('ENCUESTA CONDUCTORES'!E12="X",1,0)</f>
        <v>0</v>
      </c>
      <c r="D12" s="15">
        <f>IF('ENCUESTA CONDUCTORES'!F12="X",1,0)</f>
        <v>1</v>
      </c>
      <c r="E12" s="15">
        <f>IF('ENCUESTA CONDUCTORES'!G12="X",1,0)</f>
        <v>0</v>
      </c>
      <c r="F12" s="15">
        <f>IF('ENCUESTA CONDUCTORES'!H12="X",1,0)</f>
        <v>0</v>
      </c>
      <c r="G12" s="15">
        <f>+'ENCUESTA CONDUCTORES'!I12</f>
        <v>35</v>
      </c>
      <c r="H12" s="15" t="str">
        <f>+'ENCUESTA CONDUCTORES'!J12</f>
        <v>M</v>
      </c>
      <c r="I12" s="15" t="str">
        <f>+'ENCUESTA CONDUCTORES'!K12</f>
        <v>SECUNDARIA</v>
      </c>
      <c r="J12" s="15" t="str">
        <f>+'ENCUESTA CONDUCTORES'!L12</f>
        <v>OAXACA,OAX.</v>
      </c>
      <c r="K12" s="15" t="str">
        <f>+'ENCUESTA CONDUCTORES'!M12</f>
        <v>OAXACA</v>
      </c>
      <c r="L12" s="15" t="str">
        <f>+'ENCUESTA CONDUCTORES'!N12</f>
        <v>OAXACA</v>
      </c>
      <c r="M12" s="15">
        <f>+'ENCUESTA CONDUCTORES'!O12</f>
        <v>15</v>
      </c>
      <c r="N12" s="15">
        <f>IF('ENCUESTA CONDUCTORES'!P12="X",1,0)</f>
        <v>0</v>
      </c>
      <c r="O12" s="15">
        <f>IF('ENCUESTA CONDUCTORES'!Q12="X",1,0)</f>
        <v>0</v>
      </c>
      <c r="P12" s="15">
        <f>IF('ENCUESTA CONDUCTORES'!R12="X",1,0)</f>
        <v>0</v>
      </c>
      <c r="Q12" s="15">
        <f>IF('ENCUESTA CONDUCTORES'!S12="X",1,0)</f>
        <v>1</v>
      </c>
      <c r="R12" s="15">
        <f>IF('ENCUESTA CONDUCTORES'!T12="X",1,0)</f>
        <v>0</v>
      </c>
      <c r="S12" s="15">
        <f>IF('ENCUESTA CONDUCTORES'!U12="X",1,0)</f>
        <v>0</v>
      </c>
      <c r="T12" s="15">
        <f>IF('ENCUESTA CONDUCTORES'!V12="X",1,0)</f>
        <v>0</v>
      </c>
      <c r="U12" s="15">
        <f>IF('ENCUESTA CONDUCTORES'!W12="X",1,0)</f>
        <v>0</v>
      </c>
      <c r="V12" s="15">
        <f>IF('ENCUESTA CONDUCTORES'!X12="X",1,0)</f>
        <v>0</v>
      </c>
      <c r="W12" s="15">
        <f>IF('ENCUESTA CONDUCTORES'!Y12="X",1,0)</f>
        <v>1</v>
      </c>
      <c r="X12" s="15">
        <f>IF('ENCUESTA CONDUCTORES'!Z12="X",1,0)</f>
        <v>0</v>
      </c>
      <c r="Y12" s="15">
        <f>+'ENCUESTA CONDUCTORES'!AG12</f>
        <v>0</v>
      </c>
      <c r="Z12" s="15">
        <f>+'ENCUESTA CONDUCTORES'!AH12</f>
        <v>1990</v>
      </c>
      <c r="AA12" s="1">
        <f>+'ENCUESTA CONDUCTORES'!AI12</f>
        <v>1000000</v>
      </c>
      <c r="AB12" s="15">
        <f>IF('ENCUESTA CONDUCTORES'!AJ12="X",1,0)</f>
        <v>0</v>
      </c>
      <c r="AC12" s="15">
        <f>IF('ENCUESTA CONDUCTORES'!AK12="X",1,0)</f>
        <v>0</v>
      </c>
      <c r="AD12" s="15">
        <f>IF('ENCUESTA CONDUCTORES'!AL12="X",1,0)</f>
        <v>1</v>
      </c>
      <c r="AE12" s="15">
        <f>IF('ENCUESTA CONDUCTORES'!AM12="X",1,0)</f>
        <v>0</v>
      </c>
      <c r="AF12" s="15">
        <f>IF('ENCUESTA CONDUCTORES'!AN12="X",1,0)</f>
        <v>0</v>
      </c>
      <c r="AG12" s="15">
        <f>IF('ENCUESTA CONDUCTORES'!AO12="X",1,0)</f>
        <v>1</v>
      </c>
      <c r="AH12" s="15">
        <f>IF('ENCUESTA CONDUCTORES'!AP12="X",1,0)</f>
        <v>0</v>
      </c>
      <c r="AI12" s="15">
        <f>IF('ENCUESTA CONDUCTORES'!AQ12="X",1,0)</f>
        <v>0</v>
      </c>
      <c r="AJ12" s="15">
        <f>IF('ENCUESTA CONDUCTORES'!AR12="X",1,0)</f>
        <v>0</v>
      </c>
      <c r="AK12" s="15">
        <f>+'ENCUESTA CONDUCTORES'!AS12</f>
        <v>0</v>
      </c>
      <c r="AL12" s="15" t="str">
        <f>+'ENCUESTA CONDUCTORES'!AT12</f>
        <v>INTERNATIONAL</v>
      </c>
      <c r="AM12" s="1">
        <f>+'ENCUESTA CONDUCTORES'!AU12</f>
        <v>4000</v>
      </c>
      <c r="AN12" s="48">
        <f>+'ENCUESTA CONDUCTORES'!AV12</f>
        <v>0.5</v>
      </c>
      <c r="AO12" s="15">
        <f>+'ENCUESTA CONDUCTORES'!AW12</f>
        <v>2.1</v>
      </c>
      <c r="AP12" s="15">
        <f>+'ENCUESTA CONDUCTORES'!AX12</f>
        <v>1.6</v>
      </c>
      <c r="AQ12" s="15">
        <f>+'ENCUESTA CONDUCTORES'!AY12</f>
        <v>1</v>
      </c>
      <c r="AR12" s="15">
        <f>+'ENCUESTA CONDUCTORES'!AZ12</f>
        <v>380</v>
      </c>
      <c r="AS12" s="15">
        <f>+'ENCUESTA CONDUCTORES'!BA12</f>
        <v>700</v>
      </c>
      <c r="AT12" s="15">
        <f>IF('ENCUESTA CONDUCTORES'!BB12="X",1,0)</f>
        <v>1</v>
      </c>
      <c r="AU12" s="15">
        <f>IF('ENCUESTA CONDUCTORES'!BC12="X",1,0)</f>
        <v>0</v>
      </c>
      <c r="AV12" s="15">
        <f>IF('ENCUESTA CONDUCTORES'!BD12="X",1,0)</f>
        <v>0</v>
      </c>
      <c r="AW12" s="1">
        <f>+'ENCUESTA CONDUCTORES'!BE12</f>
        <v>6000</v>
      </c>
      <c r="AX12" s="1">
        <f>+'ENCUESTA CONDUCTORES'!BF12</f>
        <v>8000</v>
      </c>
      <c r="AY12" s="1">
        <f>+'ENCUESTA CONDUCTORES'!BG12</f>
        <v>15000</v>
      </c>
      <c r="AZ12" s="1">
        <f>+'ENCUESTA CONDUCTORES'!BH12</f>
        <v>100000</v>
      </c>
      <c r="BA12" s="1">
        <f>+'ENCUESTA CONDUCTORES'!BI12</f>
        <v>15000</v>
      </c>
      <c r="BB12" s="15">
        <f>IF('ENCUESTA CONDUCTORES'!BJ12="X",1,0)</f>
        <v>0</v>
      </c>
      <c r="BC12" s="15">
        <f>IF('ENCUESTA CONDUCTORES'!BK12="X",1,0)</f>
        <v>0</v>
      </c>
      <c r="BD12" s="15">
        <f>IF('ENCUESTA CONDUCTORES'!BL12="X",1,0)</f>
        <v>1</v>
      </c>
      <c r="BE12" s="15">
        <f>IF('ENCUESTA CONDUCTORES'!BM12="X",1,0)</f>
        <v>0</v>
      </c>
      <c r="BF12" s="15">
        <f>IF('ENCUESTA CONDUCTORES'!BN12="X",1,0)</f>
        <v>0</v>
      </c>
      <c r="BG12" s="15">
        <f>IF('ENCUESTA CONDUCTORES'!BO12="X",1,0)</f>
        <v>0</v>
      </c>
      <c r="BH12" s="15">
        <f>IF('ENCUESTA CONDUCTORES'!BP12="X",1,0)</f>
        <v>0</v>
      </c>
      <c r="BI12" s="15">
        <f>IF('ENCUESTA CONDUCTORES'!BQ12="X",1,0)</f>
        <v>0</v>
      </c>
      <c r="BJ12" s="15">
        <f>IF('ENCUESTA CONDUCTORES'!BR12="X",1,0)</f>
        <v>0</v>
      </c>
      <c r="BK12" s="15">
        <f>+'ENCUESTA CONDUCTORES'!BS12</f>
        <v>0</v>
      </c>
      <c r="BL12" s="15">
        <f>IF('ENCUESTA CONDUCTORES'!BT12="X",1,0)</f>
        <v>0</v>
      </c>
      <c r="BM12" s="15">
        <f>IF('ENCUESTA CONDUCTORES'!BU12="X",1,0)</f>
        <v>0</v>
      </c>
      <c r="BN12" s="15">
        <f>IF('ENCUESTA CONDUCTORES'!BV12="X",1,0)</f>
        <v>1</v>
      </c>
      <c r="BO12" s="15">
        <f>IF('ENCUESTA CONDUCTORES'!BW12="X",1,0)</f>
        <v>0</v>
      </c>
      <c r="BP12" s="15">
        <f>+'ENCUESTA CONDUCTORES'!BX12</f>
        <v>1</v>
      </c>
      <c r="BQ12" s="15">
        <f>+'ENCUESTA CONDUCTORES'!BY12</f>
        <v>3</v>
      </c>
      <c r="BR12" s="15">
        <f>+'ENCUESTA CONDUCTORES'!BZ12</f>
        <v>2</v>
      </c>
      <c r="BS12" s="15">
        <f>+'ENCUESTA CONDUCTORES'!CA12</f>
        <v>0</v>
      </c>
      <c r="BT12" s="15">
        <f>IF('ENCUESTA CONDUCTORES'!CB12="X",1,0)</f>
        <v>1</v>
      </c>
      <c r="BU12" s="15">
        <f>IF('ENCUESTA CONDUCTORES'!CC12="X",1,0)</f>
        <v>0</v>
      </c>
      <c r="BV12" s="15">
        <f>IF('ENCUESTA CONDUCTORES'!CD12="X",1,0)</f>
        <v>0</v>
      </c>
      <c r="BW12" s="15">
        <f>IF('ENCUESTA CONDUCTORES'!CE12="X",1,0)</f>
        <v>0</v>
      </c>
      <c r="BX12" s="15">
        <f>IF('ENCUESTA CONDUCTORES'!CF12="X",1,0)</f>
        <v>0</v>
      </c>
      <c r="BY12" s="15">
        <f>IF('ENCUESTA CONDUCTORES'!CG12="X",1,0)</f>
        <v>0</v>
      </c>
      <c r="BZ12" s="15">
        <f>IF('ENCUESTA CONDUCTORES'!CH12="X",1,0)</f>
        <v>0</v>
      </c>
      <c r="CA12" s="15">
        <f>IF('ENCUESTA CONDUCTORES'!CI12="X",1,0)</f>
        <v>0</v>
      </c>
      <c r="CB12" s="15">
        <f>IF('ENCUESTA CONDUCTORES'!CJ12="X",1,0)</f>
        <v>0</v>
      </c>
      <c r="CC12" s="15">
        <f>IF('ENCUESTA CONDUCTORES'!CK12="X",1,0)</f>
        <v>1</v>
      </c>
      <c r="CD12" s="15">
        <f>IF('ENCUESTA CONDUCTORES'!CL12="X",1,0)</f>
        <v>0</v>
      </c>
      <c r="CE12" s="15">
        <f>IF('ENCUESTA CONDUCTORES'!CM12="X",1,0)</f>
        <v>0</v>
      </c>
      <c r="CF12" s="15">
        <f>+'ENCUESTA CONDUCTORES'!CN12</f>
        <v>0</v>
      </c>
      <c r="CG12" s="15">
        <f>IF('ENCUESTA CONDUCTORES'!CO12="X",1,0)</f>
        <v>0</v>
      </c>
      <c r="CH12" s="15" t="str">
        <f>+'ENCUESTA CONDUCTORES'!CP12</f>
        <v>NO SABE</v>
      </c>
      <c r="CI12" s="15" t="str">
        <f>+'ENCUESTA CONDUCTORES'!CQ12</f>
        <v>NO SABE</v>
      </c>
      <c r="CJ12" s="15">
        <f>IF('ENCUESTA CONDUCTORES'!CR12="X",1,0)</f>
        <v>1</v>
      </c>
      <c r="CK12" s="15">
        <f>IF('ENCUESTA CONDUCTORES'!CS12="X",1,0)</f>
        <v>0</v>
      </c>
      <c r="CL12" s="15">
        <f>IF('ENCUESTA CONDUCTORES'!CT12="X",1,0)</f>
        <v>0</v>
      </c>
      <c r="CM12" s="15">
        <f>+'ENCUESTA CONDUCTORES'!CU12</f>
        <v>0</v>
      </c>
      <c r="CN12" s="15">
        <f>IF('ENCUESTA CONDUCTORES'!CV12="X",1,0)</f>
        <v>1</v>
      </c>
      <c r="CO12" s="15" t="str">
        <f>+'ENCUESTA CONDUCTORES'!CW12</f>
        <v>PÉRDIDA DE TIEMPO</v>
      </c>
      <c r="CP12" s="15">
        <f>IF('ENCUESTA CONDUCTORES'!CX12="X",1,0)</f>
        <v>0</v>
      </c>
      <c r="CQ12" s="15">
        <f>IF('ENCUESTA CONDUCTORES'!CY12="X",1,0)</f>
        <v>0</v>
      </c>
      <c r="CR12" s="3">
        <f>+'ENCUESTA CONDUCTORES'!CZ12</f>
        <v>0</v>
      </c>
      <c r="CS12" s="49">
        <f>+'ENCUESTA CONDUCTORES'!DA12</f>
        <v>0</v>
      </c>
    </row>
    <row r="13" spans="1:97" x14ac:dyDescent="0.25">
      <c r="B13" s="14" t="str">
        <f>+'ENCUESTA CONDUCTORES'!D13</f>
        <v>C-010</v>
      </c>
      <c r="C13" s="15">
        <f>IF('ENCUESTA CONDUCTORES'!E13="X",1,0)</f>
        <v>0</v>
      </c>
      <c r="D13" s="15">
        <f>IF('ENCUESTA CONDUCTORES'!F13="X",1,0)</f>
        <v>0</v>
      </c>
      <c r="E13" s="15">
        <f>IF('ENCUESTA CONDUCTORES'!G13="X",1,0)</f>
        <v>0</v>
      </c>
      <c r="F13" s="15">
        <f>IF('ENCUESTA CONDUCTORES'!H13="X",1,0)</f>
        <v>1</v>
      </c>
      <c r="G13" s="15">
        <f>+'ENCUESTA CONDUCTORES'!I13</f>
        <v>48</v>
      </c>
      <c r="H13" s="15" t="str">
        <f>+'ENCUESTA CONDUCTORES'!J13</f>
        <v>M</v>
      </c>
      <c r="I13" s="15" t="str">
        <f>+'ENCUESTA CONDUCTORES'!K13</f>
        <v>PRIMARIA</v>
      </c>
      <c r="J13" s="15" t="str">
        <f>+'ENCUESTA CONDUCTORES'!L13</f>
        <v>VERACRUZ, VER.</v>
      </c>
      <c r="K13" s="15" t="str">
        <f>+'ENCUESTA CONDUCTORES'!M13</f>
        <v>VERACRUZ</v>
      </c>
      <c r="L13" s="15" t="str">
        <f>+'ENCUESTA CONDUCTORES'!N13</f>
        <v>VERACRUZ</v>
      </c>
      <c r="M13" s="15">
        <f>+'ENCUESTA CONDUCTORES'!O13</f>
        <v>25</v>
      </c>
      <c r="N13" s="15">
        <f>IF('ENCUESTA CONDUCTORES'!P13="X",1,0)</f>
        <v>0</v>
      </c>
      <c r="O13" s="15">
        <f>IF('ENCUESTA CONDUCTORES'!Q13="X",1,0)</f>
        <v>0</v>
      </c>
      <c r="P13" s="15">
        <f>IF('ENCUESTA CONDUCTORES'!R13="X",1,0)</f>
        <v>0</v>
      </c>
      <c r="Q13" s="15">
        <f>IF('ENCUESTA CONDUCTORES'!S13="X",1,0)</f>
        <v>1</v>
      </c>
      <c r="R13" s="15">
        <f>IF('ENCUESTA CONDUCTORES'!T13="X",1,0)</f>
        <v>0</v>
      </c>
      <c r="S13" s="15">
        <f>IF('ENCUESTA CONDUCTORES'!U13="X",1,0)</f>
        <v>0</v>
      </c>
      <c r="T13" s="15">
        <f>IF('ENCUESTA CONDUCTORES'!V13="X",1,0)</f>
        <v>1</v>
      </c>
      <c r="U13" s="15">
        <f>IF('ENCUESTA CONDUCTORES'!W13="X",1,0)</f>
        <v>0</v>
      </c>
      <c r="V13" s="15">
        <f>IF('ENCUESTA CONDUCTORES'!X13="X",1,0)</f>
        <v>0</v>
      </c>
      <c r="W13" s="15">
        <f>IF('ENCUESTA CONDUCTORES'!Y13="X",1,0)</f>
        <v>0</v>
      </c>
      <c r="X13" s="15">
        <f>IF('ENCUESTA CONDUCTORES'!Z13="X",1,0)</f>
        <v>0</v>
      </c>
      <c r="Y13" s="15">
        <f>+'ENCUESTA CONDUCTORES'!AG13</f>
        <v>0</v>
      </c>
      <c r="Z13" s="15">
        <f>+'ENCUESTA CONDUCTORES'!AH13</f>
        <v>1992</v>
      </c>
      <c r="AA13" s="1">
        <f>+'ENCUESTA CONDUCTORES'!AI13</f>
        <v>1100000</v>
      </c>
      <c r="AB13" s="15">
        <f>IF('ENCUESTA CONDUCTORES'!AJ13="X",1,0)</f>
        <v>0</v>
      </c>
      <c r="AC13" s="15">
        <f>IF('ENCUESTA CONDUCTORES'!AK13="X",1,0)</f>
        <v>0</v>
      </c>
      <c r="AD13" s="15">
        <f>IF('ENCUESTA CONDUCTORES'!AL13="X",1,0)</f>
        <v>1</v>
      </c>
      <c r="AE13" s="15">
        <f>IF('ENCUESTA CONDUCTORES'!AM13="X",1,0)</f>
        <v>0</v>
      </c>
      <c r="AF13" s="15">
        <f>IF('ENCUESTA CONDUCTORES'!AN13="X",1,0)</f>
        <v>0</v>
      </c>
      <c r="AG13" s="15">
        <f>IF('ENCUESTA CONDUCTORES'!AO13="X",1,0)</f>
        <v>0</v>
      </c>
      <c r="AH13" s="15">
        <f>IF('ENCUESTA CONDUCTORES'!AP13="X",1,0)</f>
        <v>1</v>
      </c>
      <c r="AI13" s="15">
        <f>IF('ENCUESTA CONDUCTORES'!AQ13="X",1,0)</f>
        <v>0</v>
      </c>
      <c r="AJ13" s="15">
        <f>IF('ENCUESTA CONDUCTORES'!AR13="X",1,0)</f>
        <v>0</v>
      </c>
      <c r="AK13" s="15">
        <f>+'ENCUESTA CONDUCTORES'!AS13</f>
        <v>0</v>
      </c>
      <c r="AL13" s="15" t="str">
        <f>+'ENCUESTA CONDUCTORES'!AT13</f>
        <v>FREIGHTLINER</v>
      </c>
      <c r="AM13" s="1">
        <f>+'ENCUESTA CONDUCTORES'!AU13</f>
        <v>5500</v>
      </c>
      <c r="AN13" s="48">
        <f>+'ENCUESTA CONDUCTORES'!AV13</f>
        <v>0.3</v>
      </c>
      <c r="AO13" s="15">
        <f>+'ENCUESTA CONDUCTORES'!AW13</f>
        <v>2</v>
      </c>
      <c r="AP13" s="15">
        <f>+'ENCUESTA CONDUCTORES'!AX13</f>
        <v>1.7</v>
      </c>
      <c r="AQ13" s="15">
        <f>+'ENCUESTA CONDUCTORES'!AY13</f>
        <v>1</v>
      </c>
      <c r="AR13" s="15">
        <f>+'ENCUESTA CONDUCTORES'!AZ13</f>
        <v>350</v>
      </c>
      <c r="AS13" s="15">
        <f>+'ENCUESTA CONDUCTORES'!BA13</f>
        <v>650</v>
      </c>
      <c r="AT13" s="15">
        <f>IF('ENCUESTA CONDUCTORES'!BB13="X",1,0)</f>
        <v>0</v>
      </c>
      <c r="AU13" s="15">
        <f>IF('ENCUESTA CONDUCTORES'!BC13="X",1,0)</f>
        <v>0</v>
      </c>
      <c r="AV13" s="15">
        <f>IF('ENCUESTA CONDUCTORES'!BD13="X",1,0)</f>
        <v>0</v>
      </c>
      <c r="AW13" s="1">
        <f>+'ENCUESTA CONDUCTORES'!BE13</f>
        <v>7000</v>
      </c>
      <c r="AX13" s="1">
        <f>+'ENCUESTA CONDUCTORES'!BF13</f>
        <v>8500</v>
      </c>
      <c r="AY13" s="1">
        <f>+'ENCUESTA CONDUCTORES'!BG13</f>
        <v>15000</v>
      </c>
      <c r="AZ13" s="1">
        <f>+'ENCUESTA CONDUCTORES'!BH13</f>
        <v>100000</v>
      </c>
      <c r="BA13" s="1">
        <f>+'ENCUESTA CONDUCTORES'!BI13</f>
        <v>15000</v>
      </c>
      <c r="BB13" s="15">
        <f>IF('ENCUESTA CONDUCTORES'!BJ13="X",1,0)</f>
        <v>1</v>
      </c>
      <c r="BC13" s="15">
        <f>IF('ENCUESTA CONDUCTORES'!BK13="X",1,0)</f>
        <v>0</v>
      </c>
      <c r="BD13" s="15">
        <f>IF('ENCUESTA CONDUCTORES'!BL13="X",1,0)</f>
        <v>0</v>
      </c>
      <c r="BE13" s="15">
        <f>IF('ENCUESTA CONDUCTORES'!BM13="X",1,0)</f>
        <v>0</v>
      </c>
      <c r="BF13" s="15">
        <f>IF('ENCUESTA CONDUCTORES'!BN13="X",1,0)</f>
        <v>0</v>
      </c>
      <c r="BG13" s="15">
        <f>IF('ENCUESTA CONDUCTORES'!BO13="X",1,0)</f>
        <v>0</v>
      </c>
      <c r="BH13" s="15">
        <f>IF('ENCUESTA CONDUCTORES'!BP13="X",1,0)</f>
        <v>0</v>
      </c>
      <c r="BI13" s="15">
        <f>IF('ENCUESTA CONDUCTORES'!BQ13="X",1,0)</f>
        <v>1</v>
      </c>
      <c r="BJ13" s="15">
        <f>IF('ENCUESTA CONDUCTORES'!BR13="X",1,0)</f>
        <v>0</v>
      </c>
      <c r="BK13" s="15">
        <f>+'ENCUESTA CONDUCTORES'!BS13</f>
        <v>0</v>
      </c>
      <c r="BL13" s="15">
        <f>IF('ENCUESTA CONDUCTORES'!BT13="X",1,0)</f>
        <v>0</v>
      </c>
      <c r="BM13" s="15">
        <f>IF('ENCUESTA CONDUCTORES'!BU13="X",1,0)</f>
        <v>0</v>
      </c>
      <c r="BN13" s="15">
        <f>IF('ENCUESTA CONDUCTORES'!BV13="X",1,0)</f>
        <v>1</v>
      </c>
      <c r="BO13" s="15">
        <f>IF('ENCUESTA CONDUCTORES'!BW13="X",1,0)</f>
        <v>0</v>
      </c>
      <c r="BP13" s="15">
        <f>+'ENCUESTA CONDUCTORES'!BX13</f>
        <v>2</v>
      </c>
      <c r="BQ13" s="15">
        <f>+'ENCUESTA CONDUCTORES'!BY13</f>
        <v>4</v>
      </c>
      <c r="BR13" s="15">
        <f>+'ENCUESTA CONDUCTORES'!BZ13</f>
        <v>3</v>
      </c>
      <c r="BS13" s="15" t="str">
        <f>+'ENCUESTA CONDUCTORES'!CA13</f>
        <v>SEGURIDAD</v>
      </c>
      <c r="BT13" s="15">
        <f>IF('ENCUESTA CONDUCTORES'!CB13="X",1,0)</f>
        <v>1</v>
      </c>
      <c r="BU13" s="15">
        <f>IF('ENCUESTA CONDUCTORES'!CC13="X",1,0)</f>
        <v>0</v>
      </c>
      <c r="BV13" s="15">
        <f>IF('ENCUESTA CONDUCTORES'!CD13="X",1,0)</f>
        <v>0</v>
      </c>
      <c r="BW13" s="15">
        <f>IF('ENCUESTA CONDUCTORES'!CE13="X",1,0)</f>
        <v>0</v>
      </c>
      <c r="BX13" s="15">
        <f>IF('ENCUESTA CONDUCTORES'!CF13="X",1,0)</f>
        <v>0</v>
      </c>
      <c r="BY13" s="15">
        <f>IF('ENCUESTA CONDUCTORES'!CG13="X",1,0)</f>
        <v>0</v>
      </c>
      <c r="BZ13" s="15">
        <f>IF('ENCUESTA CONDUCTORES'!CH13="X",1,0)</f>
        <v>0</v>
      </c>
      <c r="CA13" s="15">
        <f>IF('ENCUESTA CONDUCTORES'!CI13="X",1,0)</f>
        <v>0</v>
      </c>
      <c r="CB13" s="15">
        <f>IF('ENCUESTA CONDUCTORES'!CJ13="X",1,0)</f>
        <v>0</v>
      </c>
      <c r="CC13" s="15">
        <f>IF('ENCUESTA CONDUCTORES'!CK13="X",1,0)</f>
        <v>1</v>
      </c>
      <c r="CD13" s="15">
        <f>IF('ENCUESTA CONDUCTORES'!CL13="X",1,0)</f>
        <v>0</v>
      </c>
      <c r="CE13" s="15">
        <f>IF('ENCUESTA CONDUCTORES'!CM13="X",1,0)</f>
        <v>0</v>
      </c>
      <c r="CF13" s="15">
        <f>+'ENCUESTA CONDUCTORES'!CN13</f>
        <v>0</v>
      </c>
      <c r="CG13" s="15">
        <f>IF('ENCUESTA CONDUCTORES'!CO13="X",1,0)</f>
        <v>0</v>
      </c>
      <c r="CH13" s="15" t="str">
        <f>+'ENCUESTA CONDUCTORES'!CP13</f>
        <v>NO SABE</v>
      </c>
      <c r="CI13" s="15" t="str">
        <f>+'ENCUESTA CONDUCTORES'!CQ13</f>
        <v>DARLO A CONOCER</v>
      </c>
      <c r="CJ13" s="15">
        <f>IF('ENCUESTA CONDUCTORES'!CR13="X",1,0)</f>
        <v>0</v>
      </c>
      <c r="CK13" s="15">
        <f>IF('ENCUESTA CONDUCTORES'!CS13="X",1,0)</f>
        <v>0</v>
      </c>
      <c r="CL13" s="15">
        <f>IF('ENCUESTA CONDUCTORES'!CT13="X",1,0)</f>
        <v>1</v>
      </c>
      <c r="CM13" s="15">
        <f>+'ENCUESTA CONDUCTORES'!CU13</f>
        <v>0</v>
      </c>
      <c r="CN13" s="15">
        <f>IF('ENCUESTA CONDUCTORES'!CV13="X",1,0)</f>
        <v>0</v>
      </c>
      <c r="CO13" s="15">
        <f>+'ENCUESTA CONDUCTORES'!CW13</f>
        <v>0</v>
      </c>
      <c r="CP13" s="15">
        <f>IF('ENCUESTA CONDUCTORES'!CX13="X",1,0)</f>
        <v>1</v>
      </c>
      <c r="CQ13" s="15">
        <f>IF('ENCUESTA CONDUCTORES'!CY13="X",1,0)</f>
        <v>0</v>
      </c>
      <c r="CR13" s="3">
        <f>+'ENCUESTA CONDUCTORES'!CZ13</f>
        <v>0</v>
      </c>
      <c r="CS13" s="49">
        <f>+'ENCUESTA CONDUCTORES'!DA13</f>
        <v>0</v>
      </c>
    </row>
    <row r="14" spans="1:97" x14ac:dyDescent="0.25">
      <c r="B14" s="14" t="str">
        <f>+'ENCUESTA CONDUCTORES'!D14</f>
        <v>C-011</v>
      </c>
      <c r="C14" s="15">
        <f>IF('ENCUESTA CONDUCTORES'!E14="X",1,0)</f>
        <v>0</v>
      </c>
      <c r="D14" s="15">
        <f>IF('ENCUESTA CONDUCTORES'!F14="X",1,0)</f>
        <v>1</v>
      </c>
      <c r="E14" s="15">
        <f>IF('ENCUESTA CONDUCTORES'!G14="X",1,0)</f>
        <v>0</v>
      </c>
      <c r="F14" s="15">
        <f>IF('ENCUESTA CONDUCTORES'!H14="X",1,0)</f>
        <v>0</v>
      </c>
      <c r="G14" s="15">
        <f>+'ENCUESTA CONDUCTORES'!I14</f>
        <v>43</v>
      </c>
      <c r="H14" s="15" t="str">
        <f>+'ENCUESTA CONDUCTORES'!J14</f>
        <v>M</v>
      </c>
      <c r="I14" s="15" t="str">
        <f>+'ENCUESTA CONDUCTORES'!K14</f>
        <v>BACHILLERATO</v>
      </c>
      <c r="J14" s="15" t="str">
        <f>+'ENCUESTA CONDUCTORES'!L14</f>
        <v>PUEBLA, PUE</v>
      </c>
      <c r="K14" s="15" t="str">
        <f>+'ENCUESTA CONDUCTORES'!M14</f>
        <v>PUEBLA</v>
      </c>
      <c r="L14" s="15" t="str">
        <f>+'ENCUESTA CONDUCTORES'!N14</f>
        <v>PUEBLA</v>
      </c>
      <c r="M14" s="15">
        <f>+'ENCUESTA CONDUCTORES'!O14</f>
        <v>22</v>
      </c>
      <c r="N14" s="15">
        <f>IF('ENCUESTA CONDUCTORES'!P14="X",1,0)</f>
        <v>0</v>
      </c>
      <c r="O14" s="15">
        <f>IF('ENCUESTA CONDUCTORES'!Q14="X",1,0)</f>
        <v>1</v>
      </c>
      <c r="P14" s="15">
        <f>IF('ENCUESTA CONDUCTORES'!R14="X",1,0)</f>
        <v>0</v>
      </c>
      <c r="Q14" s="15">
        <f>IF('ENCUESTA CONDUCTORES'!S14="X",1,0)</f>
        <v>0</v>
      </c>
      <c r="R14" s="15">
        <f>IF('ENCUESTA CONDUCTORES'!T14="X",1,0)</f>
        <v>0</v>
      </c>
      <c r="S14" s="15">
        <f>IF('ENCUESTA CONDUCTORES'!U14="X",1,0)</f>
        <v>1</v>
      </c>
      <c r="T14" s="15">
        <f>IF('ENCUESTA CONDUCTORES'!V14="X",1,0)</f>
        <v>0</v>
      </c>
      <c r="U14" s="15">
        <f>IF('ENCUESTA CONDUCTORES'!W14="X",1,0)</f>
        <v>0</v>
      </c>
      <c r="V14" s="15">
        <f>IF('ENCUESTA CONDUCTORES'!X14="X",1,0)</f>
        <v>0</v>
      </c>
      <c r="W14" s="15">
        <f>IF('ENCUESTA CONDUCTORES'!Y14="X",1,0)</f>
        <v>0</v>
      </c>
      <c r="X14" s="15">
        <f>IF('ENCUESTA CONDUCTORES'!Z14="X",1,0)</f>
        <v>0</v>
      </c>
      <c r="Y14" s="15">
        <f>+'ENCUESTA CONDUCTORES'!AG14</f>
        <v>0</v>
      </c>
      <c r="Z14" s="15">
        <f>+'ENCUESTA CONDUCTORES'!AH14</f>
        <v>1976</v>
      </c>
      <c r="AA14" s="1">
        <f>+'ENCUESTA CONDUCTORES'!AI14</f>
        <v>2350000</v>
      </c>
      <c r="AB14" s="15">
        <f>IF('ENCUESTA CONDUCTORES'!AJ14="X",1,0)</f>
        <v>0</v>
      </c>
      <c r="AC14" s="15">
        <f>IF('ENCUESTA CONDUCTORES'!AK14="X",1,0)</f>
        <v>0</v>
      </c>
      <c r="AD14" s="15">
        <f>IF('ENCUESTA CONDUCTORES'!AL14="X",1,0)</f>
        <v>1</v>
      </c>
      <c r="AE14" s="15">
        <f>IF('ENCUESTA CONDUCTORES'!AM14="X",1,0)</f>
        <v>0</v>
      </c>
      <c r="AF14" s="15">
        <f>IF('ENCUESTA CONDUCTORES'!AN14="X",1,0)</f>
        <v>0</v>
      </c>
      <c r="AG14" s="15">
        <f>IF('ENCUESTA CONDUCTORES'!AO14="X",1,0)</f>
        <v>0</v>
      </c>
      <c r="AH14" s="15">
        <f>IF('ENCUESTA CONDUCTORES'!AP14="X",1,0)</f>
        <v>0</v>
      </c>
      <c r="AI14" s="15">
        <f>IF('ENCUESTA CONDUCTORES'!AQ14="X",1,0)</f>
        <v>0</v>
      </c>
      <c r="AJ14" s="15">
        <f>IF('ENCUESTA CONDUCTORES'!AR14="X",1,0)</f>
        <v>1</v>
      </c>
      <c r="AK14" s="15">
        <f>+'ENCUESTA CONDUCTORES'!AS14</f>
        <v>1998</v>
      </c>
      <c r="AL14" s="15" t="str">
        <f>+'ENCUESTA CONDUCTORES'!AT14</f>
        <v>INTERNATIONAL</v>
      </c>
      <c r="AM14" s="1">
        <f>+'ENCUESTA CONDUCTORES'!AU14</f>
        <v>6000</v>
      </c>
      <c r="AN14" s="48">
        <f>+'ENCUESTA CONDUCTORES'!AV14</f>
        <v>0.5</v>
      </c>
      <c r="AO14" s="15">
        <f>+'ENCUESTA CONDUCTORES'!AW14</f>
        <v>1.9</v>
      </c>
      <c r="AP14" s="15">
        <f>+'ENCUESTA CONDUCTORES'!AX14</f>
        <v>1.7</v>
      </c>
      <c r="AQ14" s="15">
        <f>+'ENCUESTA CONDUCTORES'!AY14</f>
        <v>1</v>
      </c>
      <c r="AR14" s="15">
        <f>+'ENCUESTA CONDUCTORES'!AZ14</f>
        <v>380</v>
      </c>
      <c r="AS14" s="15">
        <f>+'ENCUESTA CONDUCTORES'!BA14</f>
        <v>700</v>
      </c>
      <c r="AT14" s="15">
        <f>IF('ENCUESTA CONDUCTORES'!BB14="X",1,0)</f>
        <v>0</v>
      </c>
      <c r="AU14" s="15">
        <f>IF('ENCUESTA CONDUCTORES'!BC14="X",1,0)</f>
        <v>0</v>
      </c>
      <c r="AV14" s="15">
        <f>IF('ENCUESTA CONDUCTORES'!BD14="X",1,0)</f>
        <v>0</v>
      </c>
      <c r="AW14" s="1">
        <f>+'ENCUESTA CONDUCTORES'!BE14</f>
        <v>8000</v>
      </c>
      <c r="AX14" s="1">
        <f>+'ENCUESTA CONDUCTORES'!BF14</f>
        <v>10000</v>
      </c>
      <c r="AY14" s="1">
        <f>+'ENCUESTA CONDUCTORES'!BG14</f>
        <v>15000</v>
      </c>
      <c r="AZ14" s="1">
        <f>+'ENCUESTA CONDUCTORES'!BH14</f>
        <v>90000</v>
      </c>
      <c r="BA14" s="1">
        <f>+'ENCUESTA CONDUCTORES'!BI14</f>
        <v>15000</v>
      </c>
      <c r="BB14" s="15">
        <f>IF('ENCUESTA CONDUCTORES'!BJ14="X",1,0)</f>
        <v>0</v>
      </c>
      <c r="BC14" s="15">
        <f>IF('ENCUESTA CONDUCTORES'!BK14="X",1,0)</f>
        <v>1</v>
      </c>
      <c r="BD14" s="15">
        <f>IF('ENCUESTA CONDUCTORES'!BL14="X",1,0)</f>
        <v>0</v>
      </c>
      <c r="BE14" s="15">
        <f>IF('ENCUESTA CONDUCTORES'!BM14="X",1,0)</f>
        <v>0</v>
      </c>
      <c r="BF14" s="15">
        <f>IF('ENCUESTA CONDUCTORES'!BN14="X",1,0)</f>
        <v>0</v>
      </c>
      <c r="BG14" s="15">
        <f>IF('ENCUESTA CONDUCTORES'!BO14="X",1,0)</f>
        <v>0</v>
      </c>
      <c r="BH14" s="15">
        <f>IF('ENCUESTA CONDUCTORES'!BP14="X",1,0)</f>
        <v>0</v>
      </c>
      <c r="BI14" s="15">
        <f>IF('ENCUESTA CONDUCTORES'!BQ14="X",1,0)</f>
        <v>0</v>
      </c>
      <c r="BJ14" s="15">
        <f>IF('ENCUESTA CONDUCTORES'!BR14="X",1,0)</f>
        <v>0</v>
      </c>
      <c r="BK14" s="15">
        <f>+'ENCUESTA CONDUCTORES'!BS14</f>
        <v>0</v>
      </c>
      <c r="BL14" s="15">
        <f>IF('ENCUESTA CONDUCTORES'!BT14="X",1,0)</f>
        <v>0</v>
      </c>
      <c r="BM14" s="15">
        <f>IF('ENCUESTA CONDUCTORES'!BU14="X",1,0)</f>
        <v>1</v>
      </c>
      <c r="BN14" s="15">
        <f>IF('ENCUESTA CONDUCTORES'!BV14="X",1,0)</f>
        <v>0</v>
      </c>
      <c r="BO14" s="15">
        <f>IF('ENCUESTA CONDUCTORES'!BW14="X",1,0)</f>
        <v>0</v>
      </c>
      <c r="BP14" s="15">
        <f>+'ENCUESTA CONDUCTORES'!BX14</f>
        <v>1</v>
      </c>
      <c r="BQ14" s="15">
        <f>+'ENCUESTA CONDUCTORES'!BY14</f>
        <v>3</v>
      </c>
      <c r="BR14" s="15">
        <f>+'ENCUESTA CONDUCTORES'!BZ14</f>
        <v>2</v>
      </c>
      <c r="BS14" s="15">
        <f>+'ENCUESTA CONDUCTORES'!CA14</f>
        <v>0</v>
      </c>
      <c r="BT14" s="15">
        <f>IF('ENCUESTA CONDUCTORES'!CB14="X",1,0)</f>
        <v>1</v>
      </c>
      <c r="BU14" s="15">
        <f>IF('ENCUESTA CONDUCTORES'!CC14="X",1,0)</f>
        <v>0</v>
      </c>
      <c r="BV14" s="15">
        <f>IF('ENCUESTA CONDUCTORES'!CD14="X",1,0)</f>
        <v>0</v>
      </c>
      <c r="BW14" s="15">
        <f>IF('ENCUESTA CONDUCTORES'!CE14="X",1,0)</f>
        <v>0</v>
      </c>
      <c r="BX14" s="15">
        <f>IF('ENCUESTA CONDUCTORES'!CF14="X",1,0)</f>
        <v>0</v>
      </c>
      <c r="BY14" s="15">
        <f>IF('ENCUESTA CONDUCTORES'!CG14="X",1,0)</f>
        <v>0</v>
      </c>
      <c r="BZ14" s="15">
        <f>IF('ENCUESTA CONDUCTORES'!CH14="X",1,0)</f>
        <v>0</v>
      </c>
      <c r="CA14" s="15">
        <f>IF('ENCUESTA CONDUCTORES'!CI14="X",1,0)</f>
        <v>0</v>
      </c>
      <c r="CB14" s="15">
        <f>IF('ENCUESTA CONDUCTORES'!CJ14="X",1,0)</f>
        <v>0</v>
      </c>
      <c r="CC14" s="15">
        <f>IF('ENCUESTA CONDUCTORES'!CK14="X",1,0)</f>
        <v>1</v>
      </c>
      <c r="CD14" s="15">
        <f>IF('ENCUESTA CONDUCTORES'!CL14="X",1,0)</f>
        <v>0</v>
      </c>
      <c r="CE14" s="15">
        <f>IF('ENCUESTA CONDUCTORES'!CM14="X",1,0)</f>
        <v>0</v>
      </c>
      <c r="CF14" s="15">
        <f>+'ENCUESTA CONDUCTORES'!CN14</f>
        <v>0</v>
      </c>
      <c r="CG14" s="15">
        <f>IF('ENCUESTA CONDUCTORES'!CO14="X",1,0)</f>
        <v>0</v>
      </c>
      <c r="CH14" s="15" t="str">
        <f>+'ENCUESTA CONDUCTORES'!CP14</f>
        <v>NO SABE</v>
      </c>
      <c r="CI14" s="15" t="str">
        <f>+'ENCUESTA CONDUCTORES'!CQ14</f>
        <v>DARLO A CONOCER</v>
      </c>
      <c r="CJ14" s="15">
        <f>IF('ENCUESTA CONDUCTORES'!CR14="X",1,0)</f>
        <v>0</v>
      </c>
      <c r="CK14" s="15">
        <f>IF('ENCUESTA CONDUCTORES'!CS14="X",1,0)</f>
        <v>0</v>
      </c>
      <c r="CL14" s="15">
        <f>IF('ENCUESTA CONDUCTORES'!CT14="X",1,0)</f>
        <v>1</v>
      </c>
      <c r="CM14" s="15">
        <f>+'ENCUESTA CONDUCTORES'!CU14</f>
        <v>0</v>
      </c>
      <c r="CN14" s="15">
        <f>IF('ENCUESTA CONDUCTORES'!CV14="X",1,0)</f>
        <v>0</v>
      </c>
      <c r="CO14" s="15">
        <f>+'ENCUESTA CONDUCTORES'!CW14</f>
        <v>0</v>
      </c>
      <c r="CP14" s="15">
        <f>IF('ENCUESTA CONDUCTORES'!CX14="X",1,0)</f>
        <v>1</v>
      </c>
      <c r="CQ14" s="15">
        <f>IF('ENCUESTA CONDUCTORES'!CY14="X",1,0)</f>
        <v>1</v>
      </c>
      <c r="CR14" s="3">
        <f>+'ENCUESTA CONDUCTORES'!CZ14</f>
        <v>0</v>
      </c>
      <c r="CS14" s="49">
        <f>+'ENCUESTA CONDUCTORES'!DA14</f>
        <v>0</v>
      </c>
    </row>
    <row r="15" spans="1:97" x14ac:dyDescent="0.25">
      <c r="B15" s="14" t="str">
        <f>+'ENCUESTA CONDUCTORES'!D15</f>
        <v>C-012</v>
      </c>
      <c r="C15" s="15">
        <f>IF('ENCUESTA CONDUCTORES'!E15="X",1,0)</f>
        <v>0</v>
      </c>
      <c r="D15" s="15">
        <f>IF('ENCUESTA CONDUCTORES'!F15="X",1,0)</f>
        <v>0</v>
      </c>
      <c r="E15" s="15">
        <f>IF('ENCUESTA CONDUCTORES'!G15="X",1,0)</f>
        <v>1</v>
      </c>
      <c r="F15" s="15">
        <f>IF('ENCUESTA CONDUCTORES'!H15="X",1,0)</f>
        <v>0</v>
      </c>
      <c r="G15" s="15">
        <f>+'ENCUESTA CONDUCTORES'!I15</f>
        <v>41</v>
      </c>
      <c r="H15" s="15" t="str">
        <f>+'ENCUESTA CONDUCTORES'!J15</f>
        <v>M</v>
      </c>
      <c r="I15" s="15" t="str">
        <f>+'ENCUESTA CONDUCTORES'!K15</f>
        <v>SECUNDARIA</v>
      </c>
      <c r="J15" s="15" t="str">
        <f>+'ENCUESTA CONDUCTORES'!L15</f>
        <v>PUEBLA, PUE</v>
      </c>
      <c r="K15" s="15" t="str">
        <f>+'ENCUESTA CONDUCTORES'!M15</f>
        <v>PUEBLA</v>
      </c>
      <c r="L15" s="15" t="str">
        <f>+'ENCUESTA CONDUCTORES'!N15</f>
        <v>PUEBLA</v>
      </c>
      <c r="M15" s="15">
        <f>+'ENCUESTA CONDUCTORES'!O15</f>
        <v>22</v>
      </c>
      <c r="N15" s="15">
        <f>IF('ENCUESTA CONDUCTORES'!P15="X",1,0)</f>
        <v>0</v>
      </c>
      <c r="O15" s="15">
        <f>IF('ENCUESTA CONDUCTORES'!Q15="X",1,0)</f>
        <v>0</v>
      </c>
      <c r="P15" s="15">
        <f>IF('ENCUESTA CONDUCTORES'!R15="X",1,0)</f>
        <v>0</v>
      </c>
      <c r="Q15" s="15">
        <f>IF('ENCUESTA CONDUCTORES'!S15="X",1,0)</f>
        <v>1</v>
      </c>
      <c r="R15" s="15">
        <f>IF('ENCUESTA CONDUCTORES'!T15="X",1,0)</f>
        <v>0</v>
      </c>
      <c r="S15" s="15">
        <f>IF('ENCUESTA CONDUCTORES'!U15="X",1,0)</f>
        <v>1</v>
      </c>
      <c r="T15" s="15">
        <f>IF('ENCUESTA CONDUCTORES'!V15="X",1,0)</f>
        <v>0</v>
      </c>
      <c r="U15" s="15">
        <f>IF('ENCUESTA CONDUCTORES'!W15="X",1,0)</f>
        <v>0</v>
      </c>
      <c r="V15" s="15">
        <f>IF('ENCUESTA CONDUCTORES'!X15="X",1,0)</f>
        <v>0</v>
      </c>
      <c r="W15" s="15">
        <f>IF('ENCUESTA CONDUCTORES'!Y15="X",1,0)</f>
        <v>0</v>
      </c>
      <c r="X15" s="15">
        <f>IF('ENCUESTA CONDUCTORES'!Z15="X",1,0)</f>
        <v>0</v>
      </c>
      <c r="Y15" s="15">
        <f>+'ENCUESTA CONDUCTORES'!AG15</f>
        <v>0</v>
      </c>
      <c r="Z15" s="15">
        <f>+'ENCUESTA CONDUCTORES'!AH15</f>
        <v>1985</v>
      </c>
      <c r="AA15" s="1">
        <f>+'ENCUESTA CONDUCTORES'!AI15</f>
        <v>2850000</v>
      </c>
      <c r="AB15" s="15">
        <f>IF('ENCUESTA CONDUCTORES'!AJ15="X",1,0)</f>
        <v>0</v>
      </c>
      <c r="AC15" s="15">
        <f>IF('ENCUESTA CONDUCTORES'!AK15="X",1,0)</f>
        <v>0</v>
      </c>
      <c r="AD15" s="15">
        <f>IF('ENCUESTA CONDUCTORES'!AL15="X",1,0)</f>
        <v>1</v>
      </c>
      <c r="AE15" s="15">
        <f>IF('ENCUESTA CONDUCTORES'!AM15="X",1,0)</f>
        <v>0</v>
      </c>
      <c r="AF15" s="15">
        <f>IF('ENCUESTA CONDUCTORES'!AN15="X",1,0)</f>
        <v>0</v>
      </c>
      <c r="AG15" s="15">
        <f>IF('ENCUESTA CONDUCTORES'!AO15="X",1,0)</f>
        <v>1</v>
      </c>
      <c r="AH15" s="15">
        <f>IF('ENCUESTA CONDUCTORES'!AP15="X",1,0)</f>
        <v>0</v>
      </c>
      <c r="AI15" s="15">
        <f>IF('ENCUESTA CONDUCTORES'!AQ15="X",1,0)</f>
        <v>0</v>
      </c>
      <c r="AJ15" s="15">
        <f>IF('ENCUESTA CONDUCTORES'!AR15="X",1,0)</f>
        <v>0</v>
      </c>
      <c r="AK15" s="15">
        <f>+'ENCUESTA CONDUCTORES'!AS15</f>
        <v>0</v>
      </c>
      <c r="AL15" s="15" t="str">
        <f>+'ENCUESTA CONDUCTORES'!AT15</f>
        <v>FREIGHTLINER</v>
      </c>
      <c r="AM15" s="1">
        <f>+'ENCUESTA CONDUCTORES'!AU15</f>
        <v>10000</v>
      </c>
      <c r="AN15" s="48">
        <f>+'ENCUESTA CONDUCTORES'!AV15</f>
        <v>0.25</v>
      </c>
      <c r="AO15" s="15">
        <f>+'ENCUESTA CONDUCTORES'!AW15</f>
        <v>1.8</v>
      </c>
      <c r="AP15" s="15">
        <f>+'ENCUESTA CONDUCTORES'!AX15</f>
        <v>1.6</v>
      </c>
      <c r="AQ15" s="15">
        <f>+'ENCUESTA CONDUCTORES'!AY15</f>
        <v>2</v>
      </c>
      <c r="AR15" s="15">
        <f>+'ENCUESTA CONDUCTORES'!AZ15</f>
        <v>670</v>
      </c>
      <c r="AS15" s="15">
        <f>+'ENCUESTA CONDUCTORES'!BA15</f>
        <v>1150</v>
      </c>
      <c r="AT15" s="15">
        <f>IF('ENCUESTA CONDUCTORES'!BB15="X",1,0)</f>
        <v>1</v>
      </c>
      <c r="AU15" s="15">
        <f>IF('ENCUESTA CONDUCTORES'!BC15="X",1,0)</f>
        <v>1</v>
      </c>
      <c r="AV15" s="15">
        <f>IF('ENCUESTA CONDUCTORES'!BD15="X",1,0)</f>
        <v>0</v>
      </c>
      <c r="AW15" s="1">
        <f>+'ENCUESTA CONDUCTORES'!BE15</f>
        <v>6000</v>
      </c>
      <c r="AX15" s="1">
        <f>+'ENCUESTA CONDUCTORES'!BF15</f>
        <v>10000</v>
      </c>
      <c r="AY15" s="1">
        <f>+'ENCUESTA CONDUCTORES'!BG15</f>
        <v>15000</v>
      </c>
      <c r="AZ15" s="1">
        <f>+'ENCUESTA CONDUCTORES'!BH15</f>
        <v>110000</v>
      </c>
      <c r="BA15" s="1">
        <f>+'ENCUESTA CONDUCTORES'!BI15</f>
        <v>15000</v>
      </c>
      <c r="BB15" s="15">
        <f>IF('ENCUESTA CONDUCTORES'!BJ15="X",1,0)</f>
        <v>0</v>
      </c>
      <c r="BC15" s="15">
        <f>IF('ENCUESTA CONDUCTORES'!BK15="X",1,0)</f>
        <v>0</v>
      </c>
      <c r="BD15" s="15">
        <f>IF('ENCUESTA CONDUCTORES'!BL15="X",1,0)</f>
        <v>0</v>
      </c>
      <c r="BE15" s="15">
        <f>IF('ENCUESTA CONDUCTORES'!BM15="X",1,0)</f>
        <v>0</v>
      </c>
      <c r="BF15" s="15">
        <f>IF('ENCUESTA CONDUCTORES'!BN15="X",1,0)</f>
        <v>1</v>
      </c>
      <c r="BG15" s="15">
        <f>IF('ENCUESTA CONDUCTORES'!BO15="X",1,0)</f>
        <v>0</v>
      </c>
      <c r="BH15" s="15">
        <f>IF('ENCUESTA CONDUCTORES'!BP15="X",1,0)</f>
        <v>1</v>
      </c>
      <c r="BI15" s="15">
        <f>IF('ENCUESTA CONDUCTORES'!BQ15="X",1,0)</f>
        <v>0</v>
      </c>
      <c r="BJ15" s="15">
        <f>IF('ENCUESTA CONDUCTORES'!BR15="X",1,0)</f>
        <v>0</v>
      </c>
      <c r="BK15" s="15">
        <f>+'ENCUESTA CONDUCTORES'!BS15</f>
        <v>0</v>
      </c>
      <c r="BL15" s="15">
        <f>IF('ENCUESTA CONDUCTORES'!BT15="X",1,0)</f>
        <v>0</v>
      </c>
      <c r="BM15" s="15">
        <f>IF('ENCUESTA CONDUCTORES'!BU15="X",1,0)</f>
        <v>1</v>
      </c>
      <c r="BN15" s="15">
        <f>IF('ENCUESTA CONDUCTORES'!BV15="X",1,0)</f>
        <v>0</v>
      </c>
      <c r="BO15" s="15">
        <f>IF('ENCUESTA CONDUCTORES'!BW15="X",1,0)</f>
        <v>0</v>
      </c>
      <c r="BP15" s="15">
        <f>+'ENCUESTA CONDUCTORES'!BX15</f>
        <v>3</v>
      </c>
      <c r="BQ15" s="15">
        <f>+'ENCUESTA CONDUCTORES'!BY15</f>
        <v>4</v>
      </c>
      <c r="BR15" s="15">
        <f>+'ENCUESTA CONDUCTORES'!BZ15</f>
        <v>2</v>
      </c>
      <c r="BS15" s="15" t="str">
        <f>+'ENCUESTA CONDUCTORES'!CA15</f>
        <v>SEGURIDAD</v>
      </c>
      <c r="BT15" s="15">
        <f>IF('ENCUESTA CONDUCTORES'!CB15="X",1,0)</f>
        <v>1</v>
      </c>
      <c r="BU15" s="15">
        <f>IF('ENCUESTA CONDUCTORES'!CC15="X",1,0)</f>
        <v>0</v>
      </c>
      <c r="BV15" s="15">
        <f>IF('ENCUESTA CONDUCTORES'!CD15="X",1,0)</f>
        <v>0</v>
      </c>
      <c r="BW15" s="15">
        <f>IF('ENCUESTA CONDUCTORES'!CE15="X",1,0)</f>
        <v>0</v>
      </c>
      <c r="BX15" s="15">
        <f>IF('ENCUESTA CONDUCTORES'!CF15="X",1,0)</f>
        <v>0</v>
      </c>
      <c r="BY15" s="15">
        <f>IF('ENCUESTA CONDUCTORES'!CG15="X",1,0)</f>
        <v>0</v>
      </c>
      <c r="BZ15" s="15">
        <f>IF('ENCUESTA CONDUCTORES'!CH15="X",1,0)</f>
        <v>0</v>
      </c>
      <c r="CA15" s="15">
        <f>IF('ENCUESTA CONDUCTORES'!CI15="X",1,0)</f>
        <v>0</v>
      </c>
      <c r="CB15" s="15">
        <f>IF('ENCUESTA CONDUCTORES'!CJ15="X",1,0)</f>
        <v>0</v>
      </c>
      <c r="CC15" s="15">
        <f>IF('ENCUESTA CONDUCTORES'!CK15="X",1,0)</f>
        <v>0</v>
      </c>
      <c r="CD15" s="15">
        <f>IF('ENCUESTA CONDUCTORES'!CL15="X",1,0)</f>
        <v>1</v>
      </c>
      <c r="CE15" s="15">
        <f>IF('ENCUESTA CONDUCTORES'!CM15="X",1,0)</f>
        <v>1</v>
      </c>
      <c r="CF15" s="15" t="str">
        <f>+'ENCUESTA CONDUCTORES'!CN15</f>
        <v>NO HAY INCENTIVOS</v>
      </c>
      <c r="CG15" s="15">
        <f>IF('ENCUESTA CONDUCTORES'!CO15="X",1,0)</f>
        <v>0</v>
      </c>
      <c r="CH15" s="15" t="str">
        <f>+'ENCUESTA CONDUCTORES'!CP15</f>
        <v>NO HAY INCENTIVOS</v>
      </c>
      <c r="CI15" s="15" t="str">
        <f>+'ENCUESTA CONDUCTORES'!CQ15</f>
        <v>DAR INCENTIVOS</v>
      </c>
      <c r="CJ15" s="15">
        <f>IF('ENCUESTA CONDUCTORES'!CR15="X",1,0)</f>
        <v>0</v>
      </c>
      <c r="CK15" s="15">
        <f>IF('ENCUESTA CONDUCTORES'!CS15="X",1,0)</f>
        <v>0</v>
      </c>
      <c r="CL15" s="15">
        <f>IF('ENCUESTA CONDUCTORES'!CT15="X",1,0)</f>
        <v>1</v>
      </c>
      <c r="CM15" s="15">
        <f>+'ENCUESTA CONDUCTORES'!CU15</f>
        <v>0</v>
      </c>
      <c r="CN15" s="15">
        <f>IF('ENCUESTA CONDUCTORES'!CV15="X",1,0)</f>
        <v>0</v>
      </c>
      <c r="CO15" s="15">
        <f>+'ENCUESTA CONDUCTORES'!CW15</f>
        <v>0</v>
      </c>
      <c r="CP15" s="15">
        <f>IF('ENCUESTA CONDUCTORES'!CX15="X",1,0)</f>
        <v>1</v>
      </c>
      <c r="CQ15" s="15">
        <f>IF('ENCUESTA CONDUCTORES'!CY15="X",1,0)</f>
        <v>1</v>
      </c>
      <c r="CR15" s="3">
        <f>+'ENCUESTA CONDUCTORES'!CZ15</f>
        <v>0</v>
      </c>
      <c r="CS15" s="49">
        <f>+'ENCUESTA CONDUCTORES'!DA15</f>
        <v>0</v>
      </c>
    </row>
    <row r="16" spans="1:97" x14ac:dyDescent="0.25">
      <c r="B16" s="14" t="str">
        <f>+'ENCUESTA CONDUCTORES'!D16</f>
        <v>C-014</v>
      </c>
      <c r="C16" s="15">
        <f>IF('ENCUESTA CONDUCTORES'!E16="X",1,0)</f>
        <v>0</v>
      </c>
      <c r="D16" s="15">
        <f>IF('ENCUESTA CONDUCTORES'!F16="X",1,0)</f>
        <v>1</v>
      </c>
      <c r="E16" s="15">
        <f>IF('ENCUESTA CONDUCTORES'!G16="X",1,0)</f>
        <v>0</v>
      </c>
      <c r="F16" s="15">
        <f>IF('ENCUESTA CONDUCTORES'!H16="X",1,0)</f>
        <v>0</v>
      </c>
      <c r="G16" s="15">
        <f>+'ENCUESTA CONDUCTORES'!I16</f>
        <v>26</v>
      </c>
      <c r="H16" s="15" t="str">
        <f>+'ENCUESTA CONDUCTORES'!J16</f>
        <v>M</v>
      </c>
      <c r="I16" s="15" t="str">
        <f>+'ENCUESTA CONDUCTORES'!K16</f>
        <v>PRIMARIA</v>
      </c>
      <c r="J16" s="15" t="str">
        <f>+'ENCUESTA CONDUCTORES'!L16</f>
        <v>OAXACA,OAX.</v>
      </c>
      <c r="K16" s="15" t="str">
        <f>+'ENCUESTA CONDUCTORES'!M16</f>
        <v>OAXACA</v>
      </c>
      <c r="L16" s="15" t="str">
        <f>+'ENCUESTA CONDUCTORES'!N16</f>
        <v>OAXACA</v>
      </c>
      <c r="M16" s="15">
        <f>+'ENCUESTA CONDUCTORES'!O16</f>
        <v>6</v>
      </c>
      <c r="N16" s="15">
        <f>IF('ENCUESTA CONDUCTORES'!P16="X",1,0)</f>
        <v>1</v>
      </c>
      <c r="O16" s="15">
        <f>IF('ENCUESTA CONDUCTORES'!Q16="X",1,0)</f>
        <v>0</v>
      </c>
      <c r="P16" s="15">
        <f>IF('ENCUESTA CONDUCTORES'!R16="X",1,0)</f>
        <v>0</v>
      </c>
      <c r="Q16" s="15">
        <f>IF('ENCUESTA CONDUCTORES'!S16="X",1,0)</f>
        <v>0</v>
      </c>
      <c r="R16" s="15">
        <f>IF('ENCUESTA CONDUCTORES'!T16="X",1,0)</f>
        <v>0</v>
      </c>
      <c r="S16" s="15">
        <f>IF('ENCUESTA CONDUCTORES'!U16="X",1,0)</f>
        <v>1</v>
      </c>
      <c r="T16" s="15">
        <f>IF('ENCUESTA CONDUCTORES'!V16="X",1,0)</f>
        <v>0</v>
      </c>
      <c r="U16" s="15">
        <f>IF('ENCUESTA CONDUCTORES'!W16="X",1,0)</f>
        <v>0</v>
      </c>
      <c r="V16" s="15">
        <f>IF('ENCUESTA CONDUCTORES'!X16="X",1,0)</f>
        <v>0</v>
      </c>
      <c r="W16" s="15">
        <f>IF('ENCUESTA CONDUCTORES'!Y16="X",1,0)</f>
        <v>0</v>
      </c>
      <c r="X16" s="15">
        <f>IF('ENCUESTA CONDUCTORES'!Z16="X",1,0)</f>
        <v>0</v>
      </c>
      <c r="Y16" s="15">
        <f>+'ENCUESTA CONDUCTORES'!AG16</f>
        <v>0</v>
      </c>
      <c r="Z16" s="15">
        <f>+'ENCUESTA CONDUCTORES'!AH16</f>
        <v>1997</v>
      </c>
      <c r="AA16" s="1">
        <f>+'ENCUESTA CONDUCTORES'!AI16</f>
        <v>995000</v>
      </c>
      <c r="AB16" s="15">
        <f>IF('ENCUESTA CONDUCTORES'!AJ16="X",1,0)</f>
        <v>0</v>
      </c>
      <c r="AC16" s="15">
        <f>IF('ENCUESTA CONDUCTORES'!AK16="X",1,0)</f>
        <v>0</v>
      </c>
      <c r="AD16" s="15">
        <f>IF('ENCUESTA CONDUCTORES'!AL16="X",1,0)</f>
        <v>1</v>
      </c>
      <c r="AE16" s="15">
        <f>IF('ENCUESTA CONDUCTORES'!AM16="X",1,0)</f>
        <v>0</v>
      </c>
      <c r="AF16" s="15">
        <f>IF('ENCUESTA CONDUCTORES'!AN16="X",1,0)</f>
        <v>0</v>
      </c>
      <c r="AG16" s="15">
        <f>IF('ENCUESTA CONDUCTORES'!AO16="X",1,0)</f>
        <v>0</v>
      </c>
      <c r="AH16" s="15">
        <f>IF('ENCUESTA CONDUCTORES'!AP16="X",1,0)</f>
        <v>1</v>
      </c>
      <c r="AI16" s="15">
        <f>IF('ENCUESTA CONDUCTORES'!AQ16="X",1,0)</f>
        <v>0</v>
      </c>
      <c r="AJ16" s="15">
        <f>IF('ENCUESTA CONDUCTORES'!AR16="X",1,0)</f>
        <v>0</v>
      </c>
      <c r="AK16" s="15">
        <f>+'ENCUESTA CONDUCTORES'!AS16</f>
        <v>0</v>
      </c>
      <c r="AL16" s="15" t="str">
        <f>+'ENCUESTA CONDUCTORES'!AT16</f>
        <v>FREIGHTLINER</v>
      </c>
      <c r="AM16" s="1">
        <f>+'ENCUESTA CONDUCTORES'!AU16</f>
        <v>7000</v>
      </c>
      <c r="AN16" s="48">
        <f>+'ENCUESTA CONDUCTORES'!AV16</f>
        <v>0.5</v>
      </c>
      <c r="AO16" s="15">
        <f>+'ENCUESTA CONDUCTORES'!AW16</f>
        <v>2</v>
      </c>
      <c r="AP16" s="15">
        <f>+'ENCUESTA CONDUCTORES'!AX16</f>
        <v>1.8</v>
      </c>
      <c r="AQ16" s="15">
        <f>+'ENCUESTA CONDUCTORES'!AY16</f>
        <v>1</v>
      </c>
      <c r="AR16" s="15">
        <f>+'ENCUESTA CONDUCTORES'!AZ16</f>
        <v>380</v>
      </c>
      <c r="AS16" s="15">
        <f>+'ENCUESTA CONDUCTORES'!BA16</f>
        <v>750</v>
      </c>
      <c r="AT16" s="15">
        <f>IF('ENCUESTA CONDUCTORES'!BB16="X",1,0)</f>
        <v>0</v>
      </c>
      <c r="AU16" s="15">
        <f>IF('ENCUESTA CONDUCTORES'!BC16="X",1,0)</f>
        <v>0</v>
      </c>
      <c r="AV16" s="15">
        <f>IF('ENCUESTA CONDUCTORES'!BD16="X",1,0)</f>
        <v>0</v>
      </c>
      <c r="AW16" s="1">
        <f>+'ENCUESTA CONDUCTORES'!BE16</f>
        <v>7000</v>
      </c>
      <c r="AX16" s="1">
        <f>+'ENCUESTA CONDUCTORES'!BF16</f>
        <v>8000</v>
      </c>
      <c r="AY16" s="1">
        <f>+'ENCUESTA CONDUCTORES'!BG16</f>
        <v>10000</v>
      </c>
      <c r="AZ16" s="1">
        <f>+'ENCUESTA CONDUCTORES'!BH16</f>
        <v>90000</v>
      </c>
      <c r="BA16" s="1" t="str">
        <f>+'ENCUESTA CONDUCTORES'!BI16</f>
        <v>NO APLICA</v>
      </c>
      <c r="BB16" s="15">
        <f>IF('ENCUESTA CONDUCTORES'!BJ16="X",1,0)</f>
        <v>0</v>
      </c>
      <c r="BC16" s="15">
        <f>IF('ENCUESTA CONDUCTORES'!BK16="X",1,0)</f>
        <v>0</v>
      </c>
      <c r="BD16" s="15">
        <f>IF('ENCUESTA CONDUCTORES'!BL16="X",1,0)</f>
        <v>0</v>
      </c>
      <c r="BE16" s="15">
        <f>IF('ENCUESTA CONDUCTORES'!BM16="X",1,0)</f>
        <v>1</v>
      </c>
      <c r="BF16" s="15">
        <f>IF('ENCUESTA CONDUCTORES'!BN16="X",1,0)</f>
        <v>0</v>
      </c>
      <c r="BG16" s="15">
        <f>IF('ENCUESTA CONDUCTORES'!BO16="X",1,0)</f>
        <v>0</v>
      </c>
      <c r="BH16" s="15">
        <f>IF('ENCUESTA CONDUCTORES'!BP16="X",1,0)</f>
        <v>0</v>
      </c>
      <c r="BI16" s="15">
        <f>IF('ENCUESTA CONDUCTORES'!BQ16="X",1,0)</f>
        <v>0</v>
      </c>
      <c r="BJ16" s="15">
        <f>IF('ENCUESTA CONDUCTORES'!BR16="X",1,0)</f>
        <v>0</v>
      </c>
      <c r="BK16" s="15">
        <f>+'ENCUESTA CONDUCTORES'!BS16</f>
        <v>0</v>
      </c>
      <c r="BL16" s="15">
        <f>IF('ENCUESTA CONDUCTORES'!BT16="X",1,0)</f>
        <v>0</v>
      </c>
      <c r="BM16" s="15">
        <f>IF('ENCUESTA CONDUCTORES'!BU16="X",1,0)</f>
        <v>1</v>
      </c>
      <c r="BN16" s="15">
        <f>IF('ENCUESTA CONDUCTORES'!BV16="X",1,0)</f>
        <v>0</v>
      </c>
      <c r="BO16" s="15">
        <f>IF('ENCUESTA CONDUCTORES'!BW16="X",1,0)</f>
        <v>0</v>
      </c>
      <c r="BP16" s="15">
        <f>+'ENCUESTA CONDUCTORES'!BX16</f>
        <v>2</v>
      </c>
      <c r="BQ16" s="15">
        <f>+'ENCUESTA CONDUCTORES'!BY16</f>
        <v>3</v>
      </c>
      <c r="BR16" s="15">
        <f>+'ENCUESTA CONDUCTORES'!BZ16</f>
        <v>1</v>
      </c>
      <c r="BS16" s="15">
        <f>+'ENCUESTA CONDUCTORES'!CA16</f>
        <v>0</v>
      </c>
      <c r="BT16" s="15">
        <f>IF('ENCUESTA CONDUCTORES'!CB16="X",1,0)</f>
        <v>1</v>
      </c>
      <c r="BU16" s="15">
        <f>IF('ENCUESTA CONDUCTORES'!CC16="X",1,0)</f>
        <v>0</v>
      </c>
      <c r="BV16" s="15">
        <f>IF('ENCUESTA CONDUCTORES'!CD16="X",1,0)</f>
        <v>0</v>
      </c>
      <c r="BW16" s="15">
        <f>IF('ENCUESTA CONDUCTORES'!CE16="X",1,0)</f>
        <v>0</v>
      </c>
      <c r="BX16" s="15">
        <f>IF('ENCUESTA CONDUCTORES'!CF16="X",1,0)</f>
        <v>0</v>
      </c>
      <c r="BY16" s="15">
        <f>IF('ENCUESTA CONDUCTORES'!CG16="X",1,0)</f>
        <v>0</v>
      </c>
      <c r="BZ16" s="15">
        <f>IF('ENCUESTA CONDUCTORES'!CH16="X",1,0)</f>
        <v>0</v>
      </c>
      <c r="CA16" s="15">
        <f>IF('ENCUESTA CONDUCTORES'!CI16="X",1,0)</f>
        <v>0</v>
      </c>
      <c r="CB16" s="15">
        <f>IF('ENCUESTA CONDUCTORES'!CJ16="X",1,0)</f>
        <v>0</v>
      </c>
      <c r="CC16" s="15">
        <f>IF('ENCUESTA CONDUCTORES'!CK16="X",1,0)</f>
        <v>1</v>
      </c>
      <c r="CD16" s="15">
        <f>IF('ENCUESTA CONDUCTORES'!CL16="X",1,0)</f>
        <v>0</v>
      </c>
      <c r="CE16" s="15">
        <f>IF('ENCUESTA CONDUCTORES'!CM16="X",1,0)</f>
        <v>0</v>
      </c>
      <c r="CF16" s="15">
        <f>+'ENCUESTA CONDUCTORES'!CN16</f>
        <v>0</v>
      </c>
      <c r="CG16" s="15">
        <f>IF('ENCUESTA CONDUCTORES'!CO16="X",1,0)</f>
        <v>0</v>
      </c>
      <c r="CH16" s="15" t="str">
        <f>+'ENCUESTA CONDUCTORES'!CP16</f>
        <v>NO SABE</v>
      </c>
      <c r="CI16" s="15" t="str">
        <f>+'ENCUESTA CONDUCTORES'!CQ16</f>
        <v>NO SABE</v>
      </c>
      <c r="CJ16" s="15">
        <f>IF('ENCUESTA CONDUCTORES'!CR16="X",1,0)</f>
        <v>1</v>
      </c>
      <c r="CK16" s="15">
        <f>IF('ENCUESTA CONDUCTORES'!CS16="X",1,0)</f>
        <v>0</v>
      </c>
      <c r="CL16" s="15">
        <f>IF('ENCUESTA CONDUCTORES'!CT16="X",1,0)</f>
        <v>0</v>
      </c>
      <c r="CM16" s="15">
        <f>+'ENCUESTA CONDUCTORES'!CU16</f>
        <v>0</v>
      </c>
      <c r="CN16" s="15">
        <f>IF('ENCUESTA CONDUCTORES'!CV16="X",1,0)</f>
        <v>0</v>
      </c>
      <c r="CO16" s="15">
        <f>+'ENCUESTA CONDUCTORES'!CW16</f>
        <v>0</v>
      </c>
      <c r="CP16" s="15">
        <f>IF('ENCUESTA CONDUCTORES'!CX16="X",1,0)</f>
        <v>0</v>
      </c>
      <c r="CQ16" s="15">
        <f>IF('ENCUESTA CONDUCTORES'!CY16="X",1,0)</f>
        <v>1</v>
      </c>
      <c r="CR16" s="3">
        <f>+'ENCUESTA CONDUCTORES'!CZ16</f>
        <v>0</v>
      </c>
      <c r="CS16" s="49">
        <f>+'ENCUESTA CONDUCTORES'!DA16</f>
        <v>0</v>
      </c>
    </row>
    <row r="17" spans="2:97" x14ac:dyDescent="0.25">
      <c r="B17" s="14" t="str">
        <f>+'ENCUESTA CONDUCTORES'!D17</f>
        <v>C-015</v>
      </c>
      <c r="C17" s="15">
        <f>IF('ENCUESTA CONDUCTORES'!E17="X",1,0)</f>
        <v>0</v>
      </c>
      <c r="D17" s="15">
        <f>IF('ENCUESTA CONDUCTORES'!F17="X",1,0)</f>
        <v>0</v>
      </c>
      <c r="E17" s="15">
        <f>IF('ENCUESTA CONDUCTORES'!G17="X",1,0)</f>
        <v>1</v>
      </c>
      <c r="F17" s="15">
        <f>IF('ENCUESTA CONDUCTORES'!H17="X",1,0)</f>
        <v>0</v>
      </c>
      <c r="G17" s="15">
        <f>+'ENCUESTA CONDUCTORES'!I17</f>
        <v>33</v>
      </c>
      <c r="H17" s="15" t="str">
        <f>+'ENCUESTA CONDUCTORES'!J17</f>
        <v>M</v>
      </c>
      <c r="I17" s="15" t="str">
        <f>+'ENCUESTA CONDUCTORES'!K17</f>
        <v>PREPARATORIA</v>
      </c>
      <c r="J17" s="15" t="str">
        <f>+'ENCUESTA CONDUCTORES'!L17</f>
        <v>IZTAPALAPA, D.F.</v>
      </c>
      <c r="K17" s="50" t="str">
        <f>+'ENCUESTA CONDUCTORES'!M17</f>
        <v>IZTAPALAPA</v>
      </c>
      <c r="L17" s="10" t="str">
        <f>+'ENCUESTA CONDUCTORES'!N17</f>
        <v>D.F.</v>
      </c>
      <c r="M17" s="15">
        <f>+'ENCUESTA CONDUCTORES'!O17</f>
        <v>14</v>
      </c>
      <c r="N17" s="15">
        <f>IF('ENCUESTA CONDUCTORES'!P17="X",1,0)</f>
        <v>0</v>
      </c>
      <c r="O17" s="15">
        <f>IF('ENCUESTA CONDUCTORES'!Q17="X",1,0)</f>
        <v>0</v>
      </c>
      <c r="P17" s="15">
        <f>IF('ENCUESTA CONDUCTORES'!R17="X",1,0)</f>
        <v>0</v>
      </c>
      <c r="Q17" s="15">
        <f>IF('ENCUESTA CONDUCTORES'!S17="X",1,0)</f>
        <v>1</v>
      </c>
      <c r="R17" s="15">
        <f>IF('ENCUESTA CONDUCTORES'!T17="X",1,0)</f>
        <v>0</v>
      </c>
      <c r="S17" s="15">
        <f>IF('ENCUESTA CONDUCTORES'!U17="X",1,0)</f>
        <v>0</v>
      </c>
      <c r="T17" s="15">
        <f>IF('ENCUESTA CONDUCTORES'!V17="X",1,0)</f>
        <v>1</v>
      </c>
      <c r="U17" s="15">
        <f>IF('ENCUESTA CONDUCTORES'!W17="X",1,0)</f>
        <v>0</v>
      </c>
      <c r="V17" s="15">
        <f>IF('ENCUESTA CONDUCTORES'!X17="X",1,0)</f>
        <v>0</v>
      </c>
      <c r="W17" s="15">
        <f>IF('ENCUESTA CONDUCTORES'!Y17="X",1,0)</f>
        <v>0</v>
      </c>
      <c r="X17" s="15">
        <f>IF('ENCUESTA CONDUCTORES'!Z17="X",1,0)</f>
        <v>0</v>
      </c>
      <c r="Y17" s="15">
        <f>+'ENCUESTA CONDUCTORES'!AG17</f>
        <v>0</v>
      </c>
      <c r="Z17" s="15">
        <f>+'ENCUESTA CONDUCTORES'!AH17</f>
        <v>2004</v>
      </c>
      <c r="AA17" s="1">
        <f>+'ENCUESTA CONDUCTORES'!AI17</f>
        <v>1050000</v>
      </c>
      <c r="AB17" s="15">
        <f>IF('ENCUESTA CONDUCTORES'!AJ17="X",1,0)</f>
        <v>0</v>
      </c>
      <c r="AC17" s="15">
        <f>IF('ENCUESTA CONDUCTORES'!AK17="X",1,0)</f>
        <v>0</v>
      </c>
      <c r="AD17" s="15">
        <f>IF('ENCUESTA CONDUCTORES'!AL17="X",1,0)</f>
        <v>1</v>
      </c>
      <c r="AE17" s="15">
        <f>IF('ENCUESTA CONDUCTORES'!AM17="X",1,0)</f>
        <v>0</v>
      </c>
      <c r="AF17" s="15">
        <f>IF('ENCUESTA CONDUCTORES'!AN17="X",1,0)</f>
        <v>0</v>
      </c>
      <c r="AG17" s="15">
        <f>IF('ENCUESTA CONDUCTORES'!AO17="X",1,0)</f>
        <v>0</v>
      </c>
      <c r="AH17" s="15">
        <f>IF('ENCUESTA CONDUCTORES'!AP17="X",1,0)</f>
        <v>1</v>
      </c>
      <c r="AI17" s="15">
        <f>IF('ENCUESTA CONDUCTORES'!AQ17="X",1,0)</f>
        <v>0</v>
      </c>
      <c r="AJ17" s="15">
        <f>IF('ENCUESTA CONDUCTORES'!AR17="X",1,0)</f>
        <v>0</v>
      </c>
      <c r="AK17" s="15">
        <f>+'ENCUESTA CONDUCTORES'!AS17</f>
        <v>0</v>
      </c>
      <c r="AL17" s="15" t="str">
        <f>+'ENCUESTA CONDUCTORES'!AT17</f>
        <v>NAVISTAR</v>
      </c>
      <c r="AM17" s="1">
        <f>+'ENCUESTA CONDUCTORES'!AU17</f>
        <v>9000</v>
      </c>
      <c r="AN17" s="48">
        <f>+'ENCUESTA CONDUCTORES'!AV17</f>
        <v>0.3</v>
      </c>
      <c r="AO17" s="15">
        <f>+'ENCUESTA CONDUCTORES'!AW17</f>
        <v>2.2000000000000002</v>
      </c>
      <c r="AP17" s="15">
        <f>+'ENCUESTA CONDUCTORES'!AX17</f>
        <v>1.9</v>
      </c>
      <c r="AQ17" s="15">
        <f>+'ENCUESTA CONDUCTORES'!AY17</f>
        <v>2</v>
      </c>
      <c r="AR17" s="15">
        <f>+'ENCUESTA CONDUCTORES'!AZ17</f>
        <v>700</v>
      </c>
      <c r="AS17" s="15">
        <f>+'ENCUESTA CONDUCTORES'!BA17</f>
        <v>1500</v>
      </c>
      <c r="AT17" s="15">
        <f>IF('ENCUESTA CONDUCTORES'!BB17="X",1,0)</f>
        <v>1</v>
      </c>
      <c r="AU17" s="15">
        <f>IF('ENCUESTA CONDUCTORES'!BC17="X",1,0)</f>
        <v>1</v>
      </c>
      <c r="AV17" s="15">
        <f>IF('ENCUESTA CONDUCTORES'!BD17="X",1,0)</f>
        <v>0</v>
      </c>
      <c r="AW17" s="1">
        <f>+'ENCUESTA CONDUCTORES'!BE17</f>
        <v>10000</v>
      </c>
      <c r="AX17" s="1">
        <f>+'ENCUESTA CONDUCTORES'!BF17</f>
        <v>9000</v>
      </c>
      <c r="AY17" s="1">
        <f>+'ENCUESTA CONDUCTORES'!BG17</f>
        <v>10000</v>
      </c>
      <c r="AZ17" s="1">
        <f>+'ENCUESTA CONDUCTORES'!BH17</f>
        <v>100000</v>
      </c>
      <c r="BA17" s="1">
        <f>+'ENCUESTA CONDUCTORES'!BI17</f>
        <v>10000</v>
      </c>
      <c r="BB17" s="15">
        <f>IF('ENCUESTA CONDUCTORES'!BJ17="X",1,0)</f>
        <v>0</v>
      </c>
      <c r="BC17" s="15">
        <f>IF('ENCUESTA CONDUCTORES'!BK17="X",1,0)</f>
        <v>0</v>
      </c>
      <c r="BD17" s="15">
        <f>IF('ENCUESTA CONDUCTORES'!BL17="X",1,0)</f>
        <v>0</v>
      </c>
      <c r="BE17" s="15">
        <f>IF('ENCUESTA CONDUCTORES'!BM17="X",1,0)</f>
        <v>0</v>
      </c>
      <c r="BF17" s="15">
        <f>IF('ENCUESTA CONDUCTORES'!BN17="X",1,0)</f>
        <v>0</v>
      </c>
      <c r="BG17" s="15">
        <f>IF('ENCUESTA CONDUCTORES'!BO17="X",1,0)</f>
        <v>0</v>
      </c>
      <c r="BH17" s="15">
        <f>IF('ENCUESTA CONDUCTORES'!BP17="X",1,0)</f>
        <v>0</v>
      </c>
      <c r="BI17" s="15">
        <f>IF('ENCUESTA CONDUCTORES'!BQ17="X",1,0)</f>
        <v>1</v>
      </c>
      <c r="BJ17" s="15">
        <f>IF('ENCUESTA CONDUCTORES'!BR17="X",1,0)</f>
        <v>0</v>
      </c>
      <c r="BK17" s="15">
        <f>+'ENCUESTA CONDUCTORES'!BS17</f>
        <v>0</v>
      </c>
      <c r="BL17" s="15">
        <f>IF('ENCUESTA CONDUCTORES'!BT17="X",1,0)</f>
        <v>0</v>
      </c>
      <c r="BM17" s="15">
        <f>IF('ENCUESTA CONDUCTORES'!BU17="X",1,0)</f>
        <v>1</v>
      </c>
      <c r="BN17" s="15">
        <f>IF('ENCUESTA CONDUCTORES'!BV17="X",1,0)</f>
        <v>0</v>
      </c>
      <c r="BO17" s="15">
        <f>IF('ENCUESTA CONDUCTORES'!BW17="X",1,0)</f>
        <v>0</v>
      </c>
      <c r="BP17" s="15">
        <f>+'ENCUESTA CONDUCTORES'!BX17</f>
        <v>1</v>
      </c>
      <c r="BQ17" s="15">
        <f>+'ENCUESTA CONDUCTORES'!BY17</f>
        <v>3</v>
      </c>
      <c r="BR17" s="15">
        <f>+'ENCUESTA CONDUCTORES'!BZ17</f>
        <v>2</v>
      </c>
      <c r="BS17" s="15">
        <f>+'ENCUESTA CONDUCTORES'!CA17</f>
        <v>0</v>
      </c>
      <c r="BT17" s="15">
        <f>IF('ENCUESTA CONDUCTORES'!CB17="X",1,0)</f>
        <v>0</v>
      </c>
      <c r="BU17" s="15">
        <f>IF('ENCUESTA CONDUCTORES'!CC17="X",1,0)</f>
        <v>1</v>
      </c>
      <c r="BV17" s="15">
        <f>IF('ENCUESTA CONDUCTORES'!CD17="X",1,0)</f>
        <v>0</v>
      </c>
      <c r="BW17" s="15">
        <f>IF('ENCUESTA CONDUCTORES'!CE17="X",1,0)</f>
        <v>0</v>
      </c>
      <c r="BX17" s="15">
        <f>IF('ENCUESTA CONDUCTORES'!CF17="X",1,0)</f>
        <v>0</v>
      </c>
      <c r="BY17" s="15">
        <f>IF('ENCUESTA CONDUCTORES'!CG17="X",1,0)</f>
        <v>1</v>
      </c>
      <c r="BZ17" s="15">
        <f>IF('ENCUESTA CONDUCTORES'!CH17="X",1,0)</f>
        <v>1</v>
      </c>
      <c r="CA17" s="15">
        <f>IF('ENCUESTA CONDUCTORES'!CI17="X",1,0)</f>
        <v>0</v>
      </c>
      <c r="CB17" s="15">
        <f>IF('ENCUESTA CONDUCTORES'!CJ17="X",1,0)</f>
        <v>0</v>
      </c>
      <c r="CC17" s="15">
        <f>IF('ENCUESTA CONDUCTORES'!CK17="X",1,0)</f>
        <v>1</v>
      </c>
      <c r="CD17" s="15">
        <f>IF('ENCUESTA CONDUCTORES'!CL17="X",1,0)</f>
        <v>0</v>
      </c>
      <c r="CE17" s="15">
        <f>IF('ENCUESTA CONDUCTORES'!CM17="X",1,0)</f>
        <v>0</v>
      </c>
      <c r="CF17" s="15">
        <f>+'ENCUESTA CONDUCTORES'!CN17</f>
        <v>0</v>
      </c>
      <c r="CG17" s="15">
        <f>IF('ENCUESTA CONDUCTORES'!CO17="X",1,0)</f>
        <v>0</v>
      </c>
      <c r="CH17" s="15" t="str">
        <f>+'ENCUESTA CONDUCTORES'!CP17</f>
        <v>NO SABE</v>
      </c>
      <c r="CI17" s="15" t="str">
        <f>+'ENCUESTA CONDUCTORES'!CQ17</f>
        <v>NO SABE</v>
      </c>
      <c r="CJ17" s="15">
        <f>IF('ENCUESTA CONDUCTORES'!CR17="X",1,0)</f>
        <v>1</v>
      </c>
      <c r="CK17" s="15">
        <f>IF('ENCUESTA CONDUCTORES'!CS17="X",1,0)</f>
        <v>0</v>
      </c>
      <c r="CL17" s="15">
        <f>IF('ENCUESTA CONDUCTORES'!CT17="X",1,0)</f>
        <v>0</v>
      </c>
      <c r="CM17" s="15">
        <f>+'ENCUESTA CONDUCTORES'!CU17</f>
        <v>0</v>
      </c>
      <c r="CN17" s="15">
        <f>IF('ENCUESTA CONDUCTORES'!CV17="X",1,0)</f>
        <v>0</v>
      </c>
      <c r="CO17" s="15">
        <f>+'ENCUESTA CONDUCTORES'!CW17</f>
        <v>0</v>
      </c>
      <c r="CP17" s="15">
        <f>IF('ENCUESTA CONDUCTORES'!CX17="X",1,0)</f>
        <v>1</v>
      </c>
      <c r="CQ17" s="15">
        <f>IF('ENCUESTA CONDUCTORES'!CY17="X",1,0)</f>
        <v>1</v>
      </c>
      <c r="CR17" s="3">
        <f>+'ENCUESTA CONDUCTORES'!CZ17</f>
        <v>0</v>
      </c>
      <c r="CS17" s="49">
        <f>+'ENCUESTA CONDUCTORES'!DA17</f>
        <v>0</v>
      </c>
    </row>
    <row r="18" spans="2:97" x14ac:dyDescent="0.25">
      <c r="B18" s="14" t="str">
        <f>+'ENCUESTA CONDUCTORES'!D18</f>
        <v>C-016</v>
      </c>
      <c r="C18" s="15">
        <f>IF('ENCUESTA CONDUCTORES'!E18="X",1,0)</f>
        <v>0</v>
      </c>
      <c r="D18" s="15">
        <f>IF('ENCUESTA CONDUCTORES'!F18="X",1,0)</f>
        <v>1</v>
      </c>
      <c r="E18" s="15">
        <f>IF('ENCUESTA CONDUCTORES'!G18="X",1,0)</f>
        <v>0</v>
      </c>
      <c r="F18" s="15">
        <f>IF('ENCUESTA CONDUCTORES'!H18="X",1,0)</f>
        <v>0</v>
      </c>
      <c r="G18" s="15">
        <f>+'ENCUESTA CONDUCTORES'!I18</f>
        <v>44</v>
      </c>
      <c r="H18" s="15" t="str">
        <f>+'ENCUESTA CONDUCTORES'!J18</f>
        <v>M</v>
      </c>
      <c r="I18" s="15" t="str">
        <f>+'ENCUESTA CONDUCTORES'!K18</f>
        <v>SECUNDARIA</v>
      </c>
      <c r="J18" s="15" t="str">
        <f>+'ENCUESTA CONDUCTORES'!L18</f>
        <v>OAXACA,OAX.</v>
      </c>
      <c r="K18" s="15" t="str">
        <f>+'ENCUESTA CONDUCTORES'!M18</f>
        <v>OAXACA</v>
      </c>
      <c r="L18" s="15" t="str">
        <f>+'ENCUESTA CONDUCTORES'!N18</f>
        <v>OAXACA</v>
      </c>
      <c r="M18" s="15">
        <f>+'ENCUESTA CONDUCTORES'!O18</f>
        <v>20</v>
      </c>
      <c r="N18" s="15">
        <f>IF('ENCUESTA CONDUCTORES'!P18="X",1,0)</f>
        <v>0</v>
      </c>
      <c r="O18" s="15">
        <f>IF('ENCUESTA CONDUCTORES'!Q18="X",1,0)</f>
        <v>1</v>
      </c>
      <c r="P18" s="15">
        <f>IF('ENCUESTA CONDUCTORES'!R18="X",1,0)</f>
        <v>0</v>
      </c>
      <c r="Q18" s="15">
        <f>IF('ENCUESTA CONDUCTORES'!S18="X",1,0)</f>
        <v>0</v>
      </c>
      <c r="R18" s="15">
        <f>IF('ENCUESTA CONDUCTORES'!T18="X",1,0)</f>
        <v>0</v>
      </c>
      <c r="S18" s="15">
        <f>IF('ENCUESTA CONDUCTORES'!U18="X",1,0)</f>
        <v>0</v>
      </c>
      <c r="T18" s="15">
        <f>IF('ENCUESTA CONDUCTORES'!V18="X",1,0)</f>
        <v>0</v>
      </c>
      <c r="U18" s="15">
        <f>IF('ENCUESTA CONDUCTORES'!W18="X",1,0)</f>
        <v>0</v>
      </c>
      <c r="V18" s="15">
        <f>IF('ENCUESTA CONDUCTORES'!X18="X",1,0)</f>
        <v>0</v>
      </c>
      <c r="W18" s="15">
        <f>IF('ENCUESTA CONDUCTORES'!Y18="X",1,0)</f>
        <v>1</v>
      </c>
      <c r="X18" s="15">
        <f>IF('ENCUESTA CONDUCTORES'!Z18="X",1,0)</f>
        <v>0</v>
      </c>
      <c r="Y18" s="15">
        <f>+'ENCUESTA CONDUCTORES'!AG18</f>
        <v>0</v>
      </c>
      <c r="Z18" s="15">
        <f>+'ENCUESTA CONDUCTORES'!AH18</f>
        <v>2002</v>
      </c>
      <c r="AA18" s="1">
        <f>+'ENCUESTA CONDUCTORES'!AI18</f>
        <v>792000</v>
      </c>
      <c r="AB18" s="15">
        <f>IF('ENCUESTA CONDUCTORES'!AJ18="X",1,0)</f>
        <v>0</v>
      </c>
      <c r="AC18" s="15">
        <f>IF('ENCUESTA CONDUCTORES'!AK18="X",1,0)</f>
        <v>0</v>
      </c>
      <c r="AD18" s="15">
        <f>IF('ENCUESTA CONDUCTORES'!AL18="X",1,0)</f>
        <v>1</v>
      </c>
      <c r="AE18" s="15">
        <f>IF('ENCUESTA CONDUCTORES'!AM18="X",1,0)</f>
        <v>0</v>
      </c>
      <c r="AF18" s="15">
        <f>IF('ENCUESTA CONDUCTORES'!AN18="X",1,0)</f>
        <v>0</v>
      </c>
      <c r="AG18" s="15">
        <f>IF('ENCUESTA CONDUCTORES'!AO18="X",1,0)</f>
        <v>0</v>
      </c>
      <c r="AH18" s="15">
        <f>IF('ENCUESTA CONDUCTORES'!AP18="X",1,0)</f>
        <v>1</v>
      </c>
      <c r="AI18" s="15">
        <f>IF('ENCUESTA CONDUCTORES'!AQ18="X",1,0)</f>
        <v>0</v>
      </c>
      <c r="AJ18" s="15">
        <f>IF('ENCUESTA CONDUCTORES'!AR18="X",1,0)</f>
        <v>0</v>
      </c>
      <c r="AK18" s="15">
        <f>+'ENCUESTA CONDUCTORES'!AS18</f>
        <v>0</v>
      </c>
      <c r="AL18" s="15" t="str">
        <f>+'ENCUESTA CONDUCTORES'!AT18</f>
        <v>INTERNATIONAL</v>
      </c>
      <c r="AM18" s="1">
        <f>+'ENCUESTA CONDUCTORES'!AU18</f>
        <v>6000</v>
      </c>
      <c r="AN18" s="48">
        <f>+'ENCUESTA CONDUCTORES'!AV18</f>
        <v>0.5</v>
      </c>
      <c r="AO18" s="15">
        <f>+'ENCUESTA CONDUCTORES'!AW18</f>
        <v>2.2000000000000002</v>
      </c>
      <c r="AP18" s="15">
        <f>+'ENCUESTA CONDUCTORES'!AX18</f>
        <v>1.8</v>
      </c>
      <c r="AQ18" s="15">
        <f>+'ENCUESTA CONDUCTORES'!AY18</f>
        <v>2</v>
      </c>
      <c r="AR18" s="15">
        <f>+'ENCUESTA CONDUCTORES'!AZ18</f>
        <v>750</v>
      </c>
      <c r="AS18" s="15">
        <f>+'ENCUESTA CONDUCTORES'!BA18</f>
        <v>1500</v>
      </c>
      <c r="AT18" s="15">
        <f>IF('ENCUESTA CONDUCTORES'!BB18="X",1,0)</f>
        <v>1</v>
      </c>
      <c r="AU18" s="15">
        <f>IF('ENCUESTA CONDUCTORES'!BC18="X",1,0)</f>
        <v>1</v>
      </c>
      <c r="AV18" s="15">
        <f>IF('ENCUESTA CONDUCTORES'!BD18="X",1,0)</f>
        <v>0</v>
      </c>
      <c r="AW18" s="1">
        <f>+'ENCUESTA CONDUCTORES'!BE18</f>
        <v>8000</v>
      </c>
      <c r="AX18" s="1">
        <f>+'ENCUESTA CONDUCTORES'!BF18</f>
        <v>8000</v>
      </c>
      <c r="AY18" s="1">
        <f>+'ENCUESTA CONDUCTORES'!BG18</f>
        <v>12000</v>
      </c>
      <c r="AZ18" s="1">
        <f>+'ENCUESTA CONDUCTORES'!BH18</f>
        <v>90000</v>
      </c>
      <c r="BA18" s="1">
        <f>+'ENCUESTA CONDUCTORES'!BI18</f>
        <v>12000</v>
      </c>
      <c r="BB18" s="15">
        <f>IF('ENCUESTA CONDUCTORES'!BJ18="X",1,0)</f>
        <v>0</v>
      </c>
      <c r="BC18" s="15">
        <f>IF('ENCUESTA CONDUCTORES'!BK18="X",1,0)</f>
        <v>0</v>
      </c>
      <c r="BD18" s="15">
        <f>IF('ENCUESTA CONDUCTORES'!BL18="X",1,0)</f>
        <v>0</v>
      </c>
      <c r="BE18" s="15">
        <f>IF('ENCUESTA CONDUCTORES'!BM18="X",1,0)</f>
        <v>0</v>
      </c>
      <c r="BF18" s="15">
        <f>IF('ENCUESTA CONDUCTORES'!BN18="X",1,0)</f>
        <v>0</v>
      </c>
      <c r="BG18" s="15">
        <f>IF('ENCUESTA CONDUCTORES'!BO18="X",1,0)</f>
        <v>0</v>
      </c>
      <c r="BH18" s="15">
        <f>IF('ENCUESTA CONDUCTORES'!BP18="X",1,0)</f>
        <v>0</v>
      </c>
      <c r="BI18" s="15">
        <f>IF('ENCUESTA CONDUCTORES'!BQ18="X",1,0)</f>
        <v>0</v>
      </c>
      <c r="BJ18" s="15">
        <f>IF('ENCUESTA CONDUCTORES'!BR18="X",1,0)</f>
        <v>1</v>
      </c>
      <c r="BK18" s="15">
        <f>+'ENCUESTA CONDUCTORES'!BS18</f>
        <v>0</v>
      </c>
      <c r="BL18" s="15">
        <f>IF('ENCUESTA CONDUCTORES'!BT18="X",1,0)</f>
        <v>0</v>
      </c>
      <c r="BM18" s="15">
        <f>IF('ENCUESTA CONDUCTORES'!BU18="X",1,0)</f>
        <v>1</v>
      </c>
      <c r="BN18" s="15">
        <f>IF('ENCUESTA CONDUCTORES'!BV18="X",1,0)</f>
        <v>0</v>
      </c>
      <c r="BO18" s="15">
        <f>IF('ENCUESTA CONDUCTORES'!BW18="X",1,0)</f>
        <v>0</v>
      </c>
      <c r="BP18" s="15">
        <f>+'ENCUESTA CONDUCTORES'!BX18</f>
        <v>2</v>
      </c>
      <c r="BQ18" s="15">
        <f>+'ENCUESTA CONDUCTORES'!BY18</f>
        <v>3</v>
      </c>
      <c r="BR18" s="15">
        <f>+'ENCUESTA CONDUCTORES'!BZ18</f>
        <v>1</v>
      </c>
      <c r="BS18" s="15">
        <f>+'ENCUESTA CONDUCTORES'!CA18</f>
        <v>0</v>
      </c>
      <c r="BT18" s="15">
        <f>IF('ENCUESTA CONDUCTORES'!CB18="X",1,0)</f>
        <v>0</v>
      </c>
      <c r="BU18" s="15">
        <f>IF('ENCUESTA CONDUCTORES'!CC18="X",1,0)</f>
        <v>1</v>
      </c>
      <c r="BV18" s="15">
        <f>IF('ENCUESTA CONDUCTORES'!CD18="X",1,0)</f>
        <v>0</v>
      </c>
      <c r="BW18" s="15">
        <f>IF('ENCUESTA CONDUCTORES'!CE18="X",1,0)</f>
        <v>0</v>
      </c>
      <c r="BX18" s="15">
        <f>IF('ENCUESTA CONDUCTORES'!CF18="X",1,0)</f>
        <v>0</v>
      </c>
      <c r="BY18" s="15">
        <f>IF('ENCUESTA CONDUCTORES'!CG18="X",1,0)</f>
        <v>1</v>
      </c>
      <c r="BZ18" s="15">
        <f>IF('ENCUESTA CONDUCTORES'!CH18="X",1,0)</f>
        <v>0</v>
      </c>
      <c r="CA18" s="15">
        <f>IF('ENCUESTA CONDUCTORES'!CI18="X",1,0)</f>
        <v>0</v>
      </c>
      <c r="CB18" s="15">
        <f>IF('ENCUESTA CONDUCTORES'!CJ18="X",1,0)</f>
        <v>0</v>
      </c>
      <c r="CC18" s="15">
        <f>IF('ENCUESTA CONDUCTORES'!CK18="X",1,0)</f>
        <v>1</v>
      </c>
      <c r="CD18" s="15">
        <f>IF('ENCUESTA CONDUCTORES'!CL18="X",1,0)</f>
        <v>0</v>
      </c>
      <c r="CE18" s="15">
        <f>IF('ENCUESTA CONDUCTORES'!CM18="X",1,0)</f>
        <v>0</v>
      </c>
      <c r="CF18" s="15">
        <f>+'ENCUESTA CONDUCTORES'!CN18</f>
        <v>0</v>
      </c>
      <c r="CG18" s="15">
        <f>IF('ENCUESTA CONDUCTORES'!CO18="X",1,0)</f>
        <v>0</v>
      </c>
      <c r="CH18" s="15" t="str">
        <f>+'ENCUESTA CONDUCTORES'!CP18</f>
        <v>NO SABE</v>
      </c>
      <c r="CI18" s="15" t="str">
        <f>+'ENCUESTA CONDUCTORES'!CQ18</f>
        <v>NO SABE</v>
      </c>
      <c r="CJ18" s="15">
        <f>IF('ENCUESTA CONDUCTORES'!CR18="X",1,0)</f>
        <v>0</v>
      </c>
      <c r="CK18" s="15">
        <f>IF('ENCUESTA CONDUCTORES'!CS18="X",1,0)</f>
        <v>0</v>
      </c>
      <c r="CL18" s="15">
        <f>IF('ENCUESTA CONDUCTORES'!CT18="X",1,0)</f>
        <v>1</v>
      </c>
      <c r="CM18" s="15">
        <f>+'ENCUESTA CONDUCTORES'!CU18</f>
        <v>0</v>
      </c>
      <c r="CN18" s="15">
        <f>IF('ENCUESTA CONDUCTORES'!CV18="X",1,0)</f>
        <v>0</v>
      </c>
      <c r="CO18" s="15">
        <f>+'ENCUESTA CONDUCTORES'!CW18</f>
        <v>0</v>
      </c>
      <c r="CP18" s="15">
        <f>IF('ENCUESTA CONDUCTORES'!CX18="X",1,0)</f>
        <v>1</v>
      </c>
      <c r="CQ18" s="15">
        <f>IF('ENCUESTA CONDUCTORES'!CY18="X",1,0)</f>
        <v>1</v>
      </c>
      <c r="CR18" s="3">
        <f>+'ENCUESTA CONDUCTORES'!CZ18</f>
        <v>0</v>
      </c>
      <c r="CS18" s="49" t="str">
        <f>+'ENCUESTA CONDUCTORES'!DA18</f>
        <v>TRANSPORTA DIESEL</v>
      </c>
    </row>
    <row r="19" spans="2:97" x14ac:dyDescent="0.25">
      <c r="B19" s="14" t="str">
        <f>+'ENCUESTA CONDUCTORES'!D19</f>
        <v>C-017</v>
      </c>
      <c r="C19" s="15">
        <f>IF('ENCUESTA CONDUCTORES'!E19="X",1,0)</f>
        <v>1</v>
      </c>
      <c r="D19" s="15">
        <f>IF('ENCUESTA CONDUCTORES'!F19="X",1,0)</f>
        <v>0</v>
      </c>
      <c r="E19" s="15">
        <f>IF('ENCUESTA CONDUCTORES'!G19="X",1,0)</f>
        <v>0</v>
      </c>
      <c r="F19" s="15">
        <f>IF('ENCUESTA CONDUCTORES'!H19="X",1,0)</f>
        <v>0</v>
      </c>
      <c r="G19" s="15">
        <f>+'ENCUESTA CONDUCTORES'!I19</f>
        <v>27</v>
      </c>
      <c r="H19" s="15" t="str">
        <f>+'ENCUESTA CONDUCTORES'!J19</f>
        <v>M</v>
      </c>
      <c r="I19" s="15" t="str">
        <f>+'ENCUESTA CONDUCTORES'!K19</f>
        <v>PRIMARIA</v>
      </c>
      <c r="J19" s="15" t="str">
        <f>+'ENCUESTA CONDUCTORES'!L19</f>
        <v>XOXOCOTLÁN,OAX.</v>
      </c>
      <c r="K19" s="50" t="str">
        <f>+'ENCUESTA CONDUCTORES'!M19</f>
        <v>XOXOCOTLÁN</v>
      </c>
      <c r="L19" s="15" t="str">
        <f>+'ENCUESTA CONDUCTORES'!N19</f>
        <v>OAXACA</v>
      </c>
      <c r="M19" s="15">
        <f>+'ENCUESTA CONDUCTORES'!O19</f>
        <v>6</v>
      </c>
      <c r="N19" s="15">
        <f>IF('ENCUESTA CONDUCTORES'!P19="X",1,0)</f>
        <v>1</v>
      </c>
      <c r="O19" s="15">
        <f>IF('ENCUESTA CONDUCTORES'!Q19="X",1,0)</f>
        <v>0</v>
      </c>
      <c r="P19" s="15">
        <f>IF('ENCUESTA CONDUCTORES'!R19="X",1,0)</f>
        <v>0</v>
      </c>
      <c r="Q19" s="15">
        <f>IF('ENCUESTA CONDUCTORES'!S19="X",1,0)</f>
        <v>0</v>
      </c>
      <c r="R19" s="15">
        <f>IF('ENCUESTA CONDUCTORES'!T19="X",1,0)</f>
        <v>0</v>
      </c>
      <c r="S19" s="15">
        <f>IF('ENCUESTA CONDUCTORES'!U19="X",1,0)</f>
        <v>0</v>
      </c>
      <c r="T19" s="15">
        <f>IF('ENCUESTA CONDUCTORES'!V19="X",1,0)</f>
        <v>0</v>
      </c>
      <c r="U19" s="15">
        <f>IF('ENCUESTA CONDUCTORES'!W19="X",1,0)</f>
        <v>0</v>
      </c>
      <c r="V19" s="15">
        <f>IF('ENCUESTA CONDUCTORES'!X19="X",1,0)</f>
        <v>0</v>
      </c>
      <c r="W19" s="15">
        <f>IF('ENCUESTA CONDUCTORES'!Y19="X",1,0)</f>
        <v>0</v>
      </c>
      <c r="X19" s="15">
        <f>IF('ENCUESTA CONDUCTORES'!Z19="X",1,0)</f>
        <v>0</v>
      </c>
      <c r="Y19" s="15">
        <f>+'ENCUESTA CONDUCTORES'!AG19</f>
        <v>0</v>
      </c>
      <c r="Z19" s="15">
        <f>+'ENCUESTA CONDUCTORES'!AH19</f>
        <v>1998</v>
      </c>
      <c r="AA19" s="1">
        <f>+'ENCUESTA CONDUCTORES'!AI19</f>
        <v>545000</v>
      </c>
      <c r="AB19" s="15">
        <f>IF('ENCUESTA CONDUCTORES'!AJ19="X",1,0)</f>
        <v>1</v>
      </c>
      <c r="AC19" s="15">
        <f>IF('ENCUESTA CONDUCTORES'!AK19="X",1,0)</f>
        <v>0</v>
      </c>
      <c r="AD19" s="15">
        <f>IF('ENCUESTA CONDUCTORES'!AL19="X",1,0)</f>
        <v>0</v>
      </c>
      <c r="AE19" s="15">
        <f>IF('ENCUESTA CONDUCTORES'!AM19="X",1,0)</f>
        <v>0</v>
      </c>
      <c r="AF19" s="15">
        <f>IF('ENCUESTA CONDUCTORES'!AN19="X",1,0)</f>
        <v>0</v>
      </c>
      <c r="AG19" s="15">
        <f>IF('ENCUESTA CONDUCTORES'!AO19="X",1,0)</f>
        <v>0</v>
      </c>
      <c r="AH19" s="15">
        <f>IF('ENCUESTA CONDUCTORES'!AP19="X",1,0)</f>
        <v>1</v>
      </c>
      <c r="AI19" s="15">
        <f>IF('ENCUESTA CONDUCTORES'!AQ19="X",1,0)</f>
        <v>0</v>
      </c>
      <c r="AJ19" s="15">
        <f>IF('ENCUESTA CONDUCTORES'!AR19="X",1,0)</f>
        <v>0</v>
      </c>
      <c r="AK19" s="15">
        <f>+'ENCUESTA CONDUCTORES'!AS19</f>
        <v>0</v>
      </c>
      <c r="AL19" s="15" t="str">
        <f>+'ENCUESTA CONDUCTORES'!AT19</f>
        <v>FORD</v>
      </c>
      <c r="AM19" s="1">
        <f>+'ENCUESTA CONDUCTORES'!AU19</f>
        <v>3000</v>
      </c>
      <c r="AN19" s="48">
        <f>+'ENCUESTA CONDUCTORES'!AV19</f>
        <v>0.5</v>
      </c>
      <c r="AO19" s="15">
        <f>+'ENCUESTA CONDUCTORES'!AW19</f>
        <v>3.5</v>
      </c>
      <c r="AP19" s="15">
        <f>+'ENCUESTA CONDUCTORES'!AX19</f>
        <v>2.2000000000000002</v>
      </c>
      <c r="AQ19" s="15">
        <f>+'ENCUESTA CONDUCTORES'!AY19</f>
        <v>1</v>
      </c>
      <c r="AR19" s="15">
        <f>+'ENCUESTA CONDUCTORES'!AZ19</f>
        <v>250</v>
      </c>
      <c r="AS19" s="15">
        <f>+'ENCUESTA CONDUCTORES'!BA19</f>
        <v>650</v>
      </c>
      <c r="AT19" s="15">
        <f>IF('ENCUESTA CONDUCTORES'!BB19="X",1,0)</f>
        <v>0</v>
      </c>
      <c r="AU19" s="15">
        <f>IF('ENCUESTA CONDUCTORES'!BC19="X",1,0)</f>
        <v>0</v>
      </c>
      <c r="AV19" s="15">
        <f>IF('ENCUESTA CONDUCTORES'!BD19="X",1,0)</f>
        <v>0</v>
      </c>
      <c r="AW19" s="1">
        <f>+'ENCUESTA CONDUCTORES'!BE19</f>
        <v>5000</v>
      </c>
      <c r="AX19" s="1">
        <f>+'ENCUESTA CONDUCTORES'!BF19</f>
        <v>6000</v>
      </c>
      <c r="AY19" s="1">
        <f>+'ENCUESTA CONDUCTORES'!BG19</f>
        <v>10000</v>
      </c>
      <c r="AZ19" s="1">
        <f>+'ENCUESTA CONDUCTORES'!BH19</f>
        <v>100000</v>
      </c>
      <c r="BA19" s="1" t="str">
        <f>+'ENCUESTA CONDUCTORES'!BI19</f>
        <v>NO APLICA</v>
      </c>
      <c r="BB19" s="15">
        <f>IF('ENCUESTA CONDUCTORES'!BJ19="X",1,0)</f>
        <v>1</v>
      </c>
      <c r="BC19" s="15">
        <f>IF('ENCUESTA CONDUCTORES'!BK19="X",1,0)</f>
        <v>0</v>
      </c>
      <c r="BD19" s="15">
        <f>IF('ENCUESTA CONDUCTORES'!BL19="X",1,0)</f>
        <v>0</v>
      </c>
      <c r="BE19" s="15">
        <f>IF('ENCUESTA CONDUCTORES'!BM19="X",1,0)</f>
        <v>0</v>
      </c>
      <c r="BF19" s="15">
        <f>IF('ENCUESTA CONDUCTORES'!BN19="X",1,0)</f>
        <v>0</v>
      </c>
      <c r="BG19" s="15">
        <f>IF('ENCUESTA CONDUCTORES'!BO19="X",1,0)</f>
        <v>1</v>
      </c>
      <c r="BH19" s="15">
        <f>IF('ENCUESTA CONDUCTORES'!BP19="X",1,0)</f>
        <v>0</v>
      </c>
      <c r="BI19" s="15">
        <f>IF('ENCUESTA CONDUCTORES'!BQ19="X",1,0)</f>
        <v>0</v>
      </c>
      <c r="BJ19" s="15">
        <f>IF('ENCUESTA CONDUCTORES'!BR19="X",1,0)</f>
        <v>0</v>
      </c>
      <c r="BK19" s="15">
        <f>+'ENCUESTA CONDUCTORES'!BS19</f>
        <v>0</v>
      </c>
      <c r="BL19" s="15">
        <f>IF('ENCUESTA CONDUCTORES'!BT19="X",1,0)</f>
        <v>0</v>
      </c>
      <c r="BM19" s="15">
        <f>IF('ENCUESTA CONDUCTORES'!BU19="X",1,0)</f>
        <v>1</v>
      </c>
      <c r="BN19" s="15">
        <f>IF('ENCUESTA CONDUCTORES'!BV19="X",1,0)</f>
        <v>0</v>
      </c>
      <c r="BO19" s="15">
        <f>IF('ENCUESTA CONDUCTORES'!BW19="X",1,0)</f>
        <v>0</v>
      </c>
      <c r="BP19" s="15">
        <f>+'ENCUESTA CONDUCTORES'!BX19</f>
        <v>1</v>
      </c>
      <c r="BQ19" s="15">
        <f>+'ENCUESTA CONDUCTORES'!BY19</f>
        <v>3</v>
      </c>
      <c r="BR19" s="15">
        <f>+'ENCUESTA CONDUCTORES'!BZ19</f>
        <v>2</v>
      </c>
      <c r="BS19" s="15">
        <f>+'ENCUESTA CONDUCTORES'!CA19</f>
        <v>0</v>
      </c>
      <c r="BT19" s="15">
        <f>IF('ENCUESTA CONDUCTORES'!CB19="X",1,0)</f>
        <v>1</v>
      </c>
      <c r="BU19" s="15">
        <f>IF('ENCUESTA CONDUCTORES'!CC19="X",1,0)</f>
        <v>0</v>
      </c>
      <c r="BV19" s="15">
        <f>IF('ENCUESTA CONDUCTORES'!CD19="X",1,0)</f>
        <v>0</v>
      </c>
      <c r="BW19" s="15">
        <f>IF('ENCUESTA CONDUCTORES'!CE19="X",1,0)</f>
        <v>0</v>
      </c>
      <c r="BX19" s="15">
        <f>IF('ENCUESTA CONDUCTORES'!CF19="X",1,0)</f>
        <v>0</v>
      </c>
      <c r="BY19" s="15">
        <f>IF('ENCUESTA CONDUCTORES'!CG19="X",1,0)</f>
        <v>0</v>
      </c>
      <c r="BZ19" s="15">
        <f>IF('ENCUESTA CONDUCTORES'!CH19="X",1,0)</f>
        <v>0</v>
      </c>
      <c r="CA19" s="15">
        <f>IF('ENCUESTA CONDUCTORES'!CI19="X",1,0)</f>
        <v>0</v>
      </c>
      <c r="CB19" s="15">
        <f>IF('ENCUESTA CONDUCTORES'!CJ19="X",1,0)</f>
        <v>0</v>
      </c>
      <c r="CC19" s="15">
        <f>IF('ENCUESTA CONDUCTORES'!CK19="X",1,0)</f>
        <v>1</v>
      </c>
      <c r="CD19" s="15">
        <f>IF('ENCUESTA CONDUCTORES'!CL19="X",1,0)</f>
        <v>0</v>
      </c>
      <c r="CE19" s="15">
        <f>IF('ENCUESTA CONDUCTORES'!CM19="X",1,0)</f>
        <v>0</v>
      </c>
      <c r="CF19" s="15">
        <f>+'ENCUESTA CONDUCTORES'!CN19</f>
        <v>0</v>
      </c>
      <c r="CG19" s="15">
        <f>IF('ENCUESTA CONDUCTORES'!CO19="X",1,0)</f>
        <v>0</v>
      </c>
      <c r="CH19" s="15" t="str">
        <f>+'ENCUESTA CONDUCTORES'!CP19</f>
        <v>NO SABE</v>
      </c>
      <c r="CI19" s="15" t="str">
        <f>+'ENCUESTA CONDUCTORES'!CQ19</f>
        <v>NO SABE</v>
      </c>
      <c r="CJ19" s="15">
        <f>IF('ENCUESTA CONDUCTORES'!CR19="X",1,0)</f>
        <v>1</v>
      </c>
      <c r="CK19" s="15">
        <f>IF('ENCUESTA CONDUCTORES'!CS19="X",1,0)</f>
        <v>0</v>
      </c>
      <c r="CL19" s="15">
        <f>IF('ENCUESTA CONDUCTORES'!CT19="X",1,0)</f>
        <v>0</v>
      </c>
      <c r="CM19" s="15">
        <f>+'ENCUESTA CONDUCTORES'!CU19</f>
        <v>0</v>
      </c>
      <c r="CN19" s="15">
        <f>IF('ENCUESTA CONDUCTORES'!CV19="X",1,0)</f>
        <v>0</v>
      </c>
      <c r="CO19" s="15">
        <f>+'ENCUESTA CONDUCTORES'!CW19</f>
        <v>0</v>
      </c>
      <c r="CP19" s="15">
        <f>IF('ENCUESTA CONDUCTORES'!CX19="X",1,0)</f>
        <v>0</v>
      </c>
      <c r="CQ19" s="15">
        <f>IF('ENCUESTA CONDUCTORES'!CY19="X",1,0)</f>
        <v>1</v>
      </c>
      <c r="CR19" s="3">
        <f>+'ENCUESTA CONDUCTORES'!CZ19</f>
        <v>0</v>
      </c>
      <c r="CS19" s="49">
        <f>+'ENCUESTA CONDUCTORES'!DA19</f>
        <v>0</v>
      </c>
    </row>
    <row r="20" spans="2:97" x14ac:dyDescent="0.25">
      <c r="B20" s="14" t="str">
        <f>+'ENCUESTA CONDUCTORES'!D20</f>
        <v>C-019</v>
      </c>
      <c r="C20" s="15">
        <f>IF('ENCUESTA CONDUCTORES'!E20="X",1,0)</f>
        <v>0</v>
      </c>
      <c r="D20" s="15">
        <f>IF('ENCUESTA CONDUCTORES'!F20="X",1,0)</f>
        <v>0</v>
      </c>
      <c r="E20" s="15">
        <f>IF('ENCUESTA CONDUCTORES'!G20="X",1,0)</f>
        <v>1</v>
      </c>
      <c r="F20" s="15">
        <f>IF('ENCUESTA CONDUCTORES'!H20="X",1,0)</f>
        <v>0</v>
      </c>
      <c r="G20" s="15">
        <f>+'ENCUESTA CONDUCTORES'!I20</f>
        <v>31</v>
      </c>
      <c r="H20" s="15" t="str">
        <f>+'ENCUESTA CONDUCTORES'!J20</f>
        <v>M</v>
      </c>
      <c r="I20" s="15" t="str">
        <f>+'ENCUESTA CONDUCTORES'!K20</f>
        <v>SECUNDARIA</v>
      </c>
      <c r="J20" s="15" t="str">
        <f>+'ENCUESTA CONDUCTORES'!L20</f>
        <v>CÓRDOBA, VER</v>
      </c>
      <c r="K20" s="50" t="str">
        <f>+'ENCUESTA CONDUCTORES'!M20</f>
        <v>CÓRDOBA</v>
      </c>
      <c r="L20" s="15" t="str">
        <f>+'ENCUESTA CONDUCTORES'!N20</f>
        <v>VERACRUZ</v>
      </c>
      <c r="M20" s="15">
        <f>+'ENCUESTA CONDUCTORES'!O20</f>
        <v>10</v>
      </c>
      <c r="N20" s="15">
        <f>IF('ENCUESTA CONDUCTORES'!P20="X",1,0)</f>
        <v>0</v>
      </c>
      <c r="O20" s="15">
        <f>IF('ENCUESTA CONDUCTORES'!Q20="X",1,0)</f>
        <v>0</v>
      </c>
      <c r="P20" s="15">
        <f>IF('ENCUESTA CONDUCTORES'!R20="X",1,0)</f>
        <v>0</v>
      </c>
      <c r="Q20" s="15">
        <f>IF('ENCUESTA CONDUCTORES'!S20="X",1,0)</f>
        <v>1</v>
      </c>
      <c r="R20" s="15">
        <f>IF('ENCUESTA CONDUCTORES'!T20="X",1,0)</f>
        <v>0</v>
      </c>
      <c r="S20" s="15">
        <f>IF('ENCUESTA CONDUCTORES'!U20="X",1,0)</f>
        <v>1</v>
      </c>
      <c r="T20" s="15">
        <f>IF('ENCUESTA CONDUCTORES'!V20="X",1,0)</f>
        <v>0</v>
      </c>
      <c r="U20" s="15">
        <f>IF('ENCUESTA CONDUCTORES'!W20="X",1,0)</f>
        <v>0</v>
      </c>
      <c r="V20" s="15">
        <f>IF('ENCUESTA CONDUCTORES'!X20="X",1,0)</f>
        <v>0</v>
      </c>
      <c r="W20" s="15">
        <f>IF('ENCUESTA CONDUCTORES'!Y20="X",1,0)</f>
        <v>0</v>
      </c>
      <c r="X20" s="15">
        <f>IF('ENCUESTA CONDUCTORES'!Z20="X",1,0)</f>
        <v>0</v>
      </c>
      <c r="Y20" s="15">
        <f>+'ENCUESTA CONDUCTORES'!AG20</f>
        <v>0</v>
      </c>
      <c r="Z20" s="15">
        <f>+'ENCUESTA CONDUCTORES'!AH20</f>
        <v>2000</v>
      </c>
      <c r="AA20" s="1">
        <f>+'ENCUESTA CONDUCTORES'!AI20</f>
        <v>1050000</v>
      </c>
      <c r="AB20" s="15">
        <f>IF('ENCUESTA CONDUCTORES'!AJ20="X",1,0)</f>
        <v>0</v>
      </c>
      <c r="AC20" s="15">
        <f>IF('ENCUESTA CONDUCTORES'!AK20="X",1,0)</f>
        <v>0</v>
      </c>
      <c r="AD20" s="15">
        <f>IF('ENCUESTA CONDUCTORES'!AL20="X",1,0)</f>
        <v>1</v>
      </c>
      <c r="AE20" s="15">
        <f>IF('ENCUESTA CONDUCTORES'!AM20="X",1,0)</f>
        <v>0</v>
      </c>
      <c r="AF20" s="15">
        <f>IF('ENCUESTA CONDUCTORES'!AN20="X",1,0)</f>
        <v>0</v>
      </c>
      <c r="AG20" s="15">
        <f>IF('ENCUESTA CONDUCTORES'!AO20="X",1,0)</f>
        <v>0</v>
      </c>
      <c r="AH20" s="15">
        <f>IF('ENCUESTA CONDUCTORES'!AP20="X",1,0)</f>
        <v>1</v>
      </c>
      <c r="AI20" s="15">
        <f>IF('ENCUESTA CONDUCTORES'!AQ20="X",1,0)</f>
        <v>0</v>
      </c>
      <c r="AJ20" s="15">
        <f>IF('ENCUESTA CONDUCTORES'!AR20="X",1,0)</f>
        <v>0</v>
      </c>
      <c r="AK20" s="15">
        <f>+'ENCUESTA CONDUCTORES'!AS20</f>
        <v>0</v>
      </c>
      <c r="AL20" s="15" t="str">
        <f>+'ENCUESTA CONDUCTORES'!AT20</f>
        <v>MERCEDES BENZ</v>
      </c>
      <c r="AM20" s="1">
        <f>+'ENCUESTA CONDUCTORES'!AU20</f>
        <v>8000</v>
      </c>
      <c r="AN20" s="48">
        <f>+'ENCUESTA CONDUCTORES'!AV20</f>
        <v>0.5</v>
      </c>
      <c r="AO20" s="15">
        <f>+'ENCUESTA CONDUCTORES'!AW20</f>
        <v>2.1</v>
      </c>
      <c r="AP20" s="15">
        <f>+'ENCUESTA CONDUCTORES'!AX20</f>
        <v>1.8</v>
      </c>
      <c r="AQ20" s="15">
        <f>+'ENCUESTA CONDUCTORES'!AY20</f>
        <v>2</v>
      </c>
      <c r="AR20" s="15">
        <f>+'ENCUESTA CONDUCTORES'!AZ20</f>
        <v>650</v>
      </c>
      <c r="AS20" s="15">
        <f>+'ENCUESTA CONDUCTORES'!BA20</f>
        <v>1250</v>
      </c>
      <c r="AT20" s="15">
        <f>IF('ENCUESTA CONDUCTORES'!BB20="X",1,0)</f>
        <v>1</v>
      </c>
      <c r="AU20" s="15">
        <f>IF('ENCUESTA CONDUCTORES'!BC20="X",1,0)</f>
        <v>0</v>
      </c>
      <c r="AV20" s="15">
        <f>IF('ENCUESTA CONDUCTORES'!BD20="X",1,0)</f>
        <v>0</v>
      </c>
      <c r="AW20" s="1">
        <f>+'ENCUESTA CONDUCTORES'!BE20</f>
        <v>7500</v>
      </c>
      <c r="AX20" s="1">
        <f>+'ENCUESTA CONDUCTORES'!BF20</f>
        <v>8000</v>
      </c>
      <c r="AY20" s="1">
        <f>+'ENCUESTA CONDUCTORES'!BG20</f>
        <v>11000</v>
      </c>
      <c r="AZ20" s="1">
        <f>+'ENCUESTA CONDUCTORES'!BH20</f>
        <v>110000</v>
      </c>
      <c r="BA20" s="1">
        <f>+'ENCUESTA CONDUCTORES'!BI20</f>
        <v>11000</v>
      </c>
      <c r="BB20" s="15">
        <f>IF('ENCUESTA CONDUCTORES'!BJ20="X",1,0)</f>
        <v>0</v>
      </c>
      <c r="BC20" s="15">
        <f>IF('ENCUESTA CONDUCTORES'!BK20="X",1,0)</f>
        <v>0</v>
      </c>
      <c r="BD20" s="15">
        <f>IF('ENCUESTA CONDUCTORES'!BL20="X",1,0)</f>
        <v>0</v>
      </c>
      <c r="BE20" s="15">
        <f>IF('ENCUESTA CONDUCTORES'!BM20="X",1,0)</f>
        <v>1</v>
      </c>
      <c r="BF20" s="15">
        <f>IF('ENCUESTA CONDUCTORES'!BN20="X",1,0)</f>
        <v>0</v>
      </c>
      <c r="BG20" s="15">
        <f>IF('ENCUESTA CONDUCTORES'!BO20="X",1,0)</f>
        <v>0</v>
      </c>
      <c r="BH20" s="15">
        <f>IF('ENCUESTA CONDUCTORES'!BP20="X",1,0)</f>
        <v>0</v>
      </c>
      <c r="BI20" s="15">
        <f>IF('ENCUESTA CONDUCTORES'!BQ20="X",1,0)</f>
        <v>0</v>
      </c>
      <c r="BJ20" s="15">
        <f>IF('ENCUESTA CONDUCTORES'!BR20="X",1,0)</f>
        <v>0</v>
      </c>
      <c r="BK20" s="15">
        <f>+'ENCUESTA CONDUCTORES'!BS20</f>
        <v>0</v>
      </c>
      <c r="BL20" s="15">
        <f>IF('ENCUESTA CONDUCTORES'!BT20="X",1,0)</f>
        <v>0</v>
      </c>
      <c r="BM20" s="15">
        <f>IF('ENCUESTA CONDUCTORES'!BU20="X",1,0)</f>
        <v>1</v>
      </c>
      <c r="BN20" s="15">
        <f>IF('ENCUESTA CONDUCTORES'!BV20="X",1,0)</f>
        <v>0</v>
      </c>
      <c r="BO20" s="15">
        <f>IF('ENCUESTA CONDUCTORES'!BW20="X",1,0)</f>
        <v>0</v>
      </c>
      <c r="BP20" s="15">
        <f>+'ENCUESTA CONDUCTORES'!BX20</f>
        <v>1</v>
      </c>
      <c r="BQ20" s="15">
        <f>+'ENCUESTA CONDUCTORES'!BY20</f>
        <v>3</v>
      </c>
      <c r="BR20" s="15">
        <f>+'ENCUESTA CONDUCTORES'!BZ20</f>
        <v>2</v>
      </c>
      <c r="BS20" s="15">
        <f>+'ENCUESTA CONDUCTORES'!CA20</f>
        <v>0</v>
      </c>
      <c r="BT20" s="15">
        <f>IF('ENCUESTA CONDUCTORES'!CB20="X",1,0)</f>
        <v>0</v>
      </c>
      <c r="BU20" s="15">
        <f>IF('ENCUESTA CONDUCTORES'!CC20="X",1,0)</f>
        <v>1</v>
      </c>
      <c r="BV20" s="15">
        <f>IF('ENCUESTA CONDUCTORES'!CD20="X",1,0)</f>
        <v>0</v>
      </c>
      <c r="BW20" s="15">
        <f>IF('ENCUESTA CONDUCTORES'!CE20="X",1,0)</f>
        <v>0</v>
      </c>
      <c r="BX20" s="15">
        <f>IF('ENCUESTA CONDUCTORES'!CF20="X",1,0)</f>
        <v>0</v>
      </c>
      <c r="BY20" s="15">
        <f>IF('ENCUESTA CONDUCTORES'!CG20="X",1,0)</f>
        <v>1</v>
      </c>
      <c r="BZ20" s="15">
        <f>IF('ENCUESTA CONDUCTORES'!CH20="X",1,0)</f>
        <v>0</v>
      </c>
      <c r="CA20" s="15">
        <f>IF('ENCUESTA CONDUCTORES'!CI20="X",1,0)</f>
        <v>0</v>
      </c>
      <c r="CB20" s="15">
        <f>IF('ENCUESTA CONDUCTORES'!CJ20="X",1,0)</f>
        <v>0</v>
      </c>
      <c r="CC20" s="15">
        <f>IF('ENCUESTA CONDUCTORES'!CK20="X",1,0)</f>
        <v>1</v>
      </c>
      <c r="CD20" s="15">
        <f>IF('ENCUESTA CONDUCTORES'!CL20="X",1,0)</f>
        <v>0</v>
      </c>
      <c r="CE20" s="15">
        <f>IF('ENCUESTA CONDUCTORES'!CM20="X",1,0)</f>
        <v>0</v>
      </c>
      <c r="CF20" s="15">
        <f>+'ENCUESTA CONDUCTORES'!CN20</f>
        <v>0</v>
      </c>
      <c r="CG20" s="15">
        <f>IF('ENCUESTA CONDUCTORES'!CO20="X",1,0)</f>
        <v>0</v>
      </c>
      <c r="CH20" s="15" t="str">
        <f>+'ENCUESTA CONDUCTORES'!CP20</f>
        <v>NO SABE</v>
      </c>
      <c r="CI20" s="15" t="str">
        <f>+'ENCUESTA CONDUCTORES'!CQ20</f>
        <v>NO SABE</v>
      </c>
      <c r="CJ20" s="15">
        <f>IF('ENCUESTA CONDUCTORES'!CR20="X",1,0)</f>
        <v>0</v>
      </c>
      <c r="CK20" s="15">
        <f>IF('ENCUESTA CONDUCTORES'!CS20="X",1,0)</f>
        <v>0</v>
      </c>
      <c r="CL20" s="15">
        <f>IF('ENCUESTA CONDUCTORES'!CT20="X",1,0)</f>
        <v>1</v>
      </c>
      <c r="CM20" s="15">
        <f>+'ENCUESTA CONDUCTORES'!CU20</f>
        <v>0</v>
      </c>
      <c r="CN20" s="15">
        <f>IF('ENCUESTA CONDUCTORES'!CV20="X",1,0)</f>
        <v>0</v>
      </c>
      <c r="CO20" s="15">
        <f>+'ENCUESTA CONDUCTORES'!CW20</f>
        <v>0</v>
      </c>
      <c r="CP20" s="15">
        <f>IF('ENCUESTA CONDUCTORES'!CX20="X",1,0)</f>
        <v>1</v>
      </c>
      <c r="CQ20" s="15">
        <f>IF('ENCUESTA CONDUCTORES'!CY20="X",1,0)</f>
        <v>1</v>
      </c>
      <c r="CR20" s="3">
        <f>+'ENCUESTA CONDUCTORES'!CZ20</f>
        <v>0</v>
      </c>
      <c r="CS20" s="49">
        <f>+'ENCUESTA CONDUCTORES'!DA20</f>
        <v>0</v>
      </c>
    </row>
    <row r="21" spans="2:97" x14ac:dyDescent="0.25">
      <c r="B21" s="14" t="str">
        <f>+'ENCUESTA CONDUCTORES'!D21</f>
        <v>C-020</v>
      </c>
      <c r="C21" s="15">
        <f>IF('ENCUESTA CONDUCTORES'!E21="X",1,0)</f>
        <v>0</v>
      </c>
      <c r="D21" s="15">
        <f>IF('ENCUESTA CONDUCTORES'!F21="X",1,0)</f>
        <v>0</v>
      </c>
      <c r="E21" s="15">
        <f>IF('ENCUESTA CONDUCTORES'!G21="X",1,0)</f>
        <v>1</v>
      </c>
      <c r="F21" s="15">
        <f>IF('ENCUESTA CONDUCTORES'!H21="X",1,0)</f>
        <v>0</v>
      </c>
      <c r="G21" s="15">
        <f>+'ENCUESTA CONDUCTORES'!I21</f>
        <v>38</v>
      </c>
      <c r="H21" s="15" t="str">
        <f>+'ENCUESTA CONDUCTORES'!J21</f>
        <v>M</v>
      </c>
      <c r="I21" s="15" t="str">
        <f>+'ENCUESTA CONDUCTORES'!K21</f>
        <v>SECUNDARIA</v>
      </c>
      <c r="J21" s="15" t="str">
        <f>+'ENCUESTA CONDUCTORES'!L21</f>
        <v>OAXACA,OAX.</v>
      </c>
      <c r="K21" s="15" t="str">
        <f>+'ENCUESTA CONDUCTORES'!M21</f>
        <v>OAXACA</v>
      </c>
      <c r="L21" s="15" t="str">
        <f>+'ENCUESTA CONDUCTORES'!N21</f>
        <v>OAXACA</v>
      </c>
      <c r="M21" s="15">
        <f>+'ENCUESTA CONDUCTORES'!O21</f>
        <v>19</v>
      </c>
      <c r="N21" s="15">
        <f>IF('ENCUESTA CONDUCTORES'!P21="X",1,0)</f>
        <v>0</v>
      </c>
      <c r="O21" s="15">
        <f>IF('ENCUESTA CONDUCTORES'!Q21="X",1,0)</f>
        <v>1</v>
      </c>
      <c r="P21" s="15">
        <f>IF('ENCUESTA CONDUCTORES'!R21="X",1,0)</f>
        <v>0</v>
      </c>
      <c r="Q21" s="15">
        <f>IF('ENCUESTA CONDUCTORES'!S21="X",1,0)</f>
        <v>0</v>
      </c>
      <c r="R21" s="15">
        <f>IF('ENCUESTA CONDUCTORES'!T21="X",1,0)</f>
        <v>0</v>
      </c>
      <c r="S21" s="15">
        <f>IF('ENCUESTA CONDUCTORES'!U21="X",1,0)</f>
        <v>0</v>
      </c>
      <c r="T21" s="15">
        <f>IF('ENCUESTA CONDUCTORES'!V21="X",1,0)</f>
        <v>0</v>
      </c>
      <c r="U21" s="15">
        <f>IF('ENCUESTA CONDUCTORES'!W21="X",1,0)</f>
        <v>0</v>
      </c>
      <c r="V21" s="15">
        <f>IF('ENCUESTA CONDUCTORES'!X21="X",1,0)</f>
        <v>0</v>
      </c>
      <c r="W21" s="15">
        <f>IF('ENCUESTA CONDUCTORES'!Y21="X",1,0)</f>
        <v>0</v>
      </c>
      <c r="X21" s="15">
        <f>IF('ENCUESTA CONDUCTORES'!Z21="X",1,0)</f>
        <v>0</v>
      </c>
      <c r="Y21" s="15">
        <f>+'ENCUESTA CONDUCTORES'!AG21</f>
        <v>0</v>
      </c>
      <c r="Z21" s="15">
        <f>+'ENCUESTA CONDUCTORES'!AH21</f>
        <v>2001</v>
      </c>
      <c r="AA21" s="1">
        <f>+'ENCUESTA CONDUCTORES'!AI21</f>
        <v>920000</v>
      </c>
      <c r="AB21" s="15">
        <f>IF('ENCUESTA CONDUCTORES'!AJ21="X",1,0)</f>
        <v>1</v>
      </c>
      <c r="AC21" s="15">
        <f>IF('ENCUESTA CONDUCTORES'!AK21="X",1,0)</f>
        <v>0</v>
      </c>
      <c r="AD21" s="15">
        <f>IF('ENCUESTA CONDUCTORES'!AL21="X",1,0)</f>
        <v>0</v>
      </c>
      <c r="AE21" s="15">
        <f>IF('ENCUESTA CONDUCTORES'!AM21="X",1,0)</f>
        <v>0</v>
      </c>
      <c r="AF21" s="15">
        <f>IF('ENCUESTA CONDUCTORES'!AN21="X",1,0)</f>
        <v>0</v>
      </c>
      <c r="AG21" s="15">
        <f>IF('ENCUESTA CONDUCTORES'!AO21="X",1,0)</f>
        <v>0</v>
      </c>
      <c r="AH21" s="15">
        <f>IF('ENCUESTA CONDUCTORES'!AP21="X",1,0)</f>
        <v>1</v>
      </c>
      <c r="AI21" s="15">
        <f>IF('ENCUESTA CONDUCTORES'!AQ21="X",1,0)</f>
        <v>0</v>
      </c>
      <c r="AJ21" s="15">
        <f>IF('ENCUESTA CONDUCTORES'!AR21="X",1,0)</f>
        <v>0</v>
      </c>
      <c r="AK21" s="15">
        <f>+'ENCUESTA CONDUCTORES'!AS21</f>
        <v>0</v>
      </c>
      <c r="AL21" s="15" t="str">
        <f>+'ENCUESTA CONDUCTORES'!AT21</f>
        <v>CHEVROLET</v>
      </c>
      <c r="AM21" s="1">
        <f>+'ENCUESTA CONDUCTORES'!AU21</f>
        <v>6600</v>
      </c>
      <c r="AN21" s="48">
        <f>+'ENCUESTA CONDUCTORES'!AV21</f>
        <v>0.5</v>
      </c>
      <c r="AO21" s="15">
        <f>+'ENCUESTA CONDUCTORES'!AW21</f>
        <v>4</v>
      </c>
      <c r="AP21" s="15">
        <f>+'ENCUESTA CONDUCTORES'!AX21</f>
        <v>2.8</v>
      </c>
      <c r="AQ21" s="15">
        <f>+'ENCUESTA CONDUCTORES'!AY21</f>
        <v>1</v>
      </c>
      <c r="AR21" s="15">
        <f>+'ENCUESTA CONDUCTORES'!AZ21</f>
        <v>250</v>
      </c>
      <c r="AS21" s="15" t="str">
        <f>+'ENCUESTA CONDUCTORES'!BA21</f>
        <v>NO SABE</v>
      </c>
      <c r="AT21" s="15">
        <f>IF('ENCUESTA CONDUCTORES'!BB21="X",1,0)</f>
        <v>0</v>
      </c>
      <c r="AU21" s="15">
        <f>IF('ENCUESTA CONDUCTORES'!BC21="X",1,0)</f>
        <v>1</v>
      </c>
      <c r="AV21" s="15">
        <f>IF('ENCUESTA CONDUCTORES'!BD21="X",1,0)</f>
        <v>0</v>
      </c>
      <c r="AW21" s="1">
        <f>+'ENCUESTA CONDUCTORES'!BE21</f>
        <v>6000</v>
      </c>
      <c r="AX21" s="1">
        <f>+'ENCUESTA CONDUCTORES'!BF21</f>
        <v>7000</v>
      </c>
      <c r="AY21" s="1">
        <f>+'ENCUESTA CONDUCTORES'!BG21</f>
        <v>10000</v>
      </c>
      <c r="AZ21" s="1">
        <f>+'ENCUESTA CONDUCTORES'!BH21</f>
        <v>85000</v>
      </c>
      <c r="BA21" s="1">
        <f>+'ENCUESTA CONDUCTORES'!BI21</f>
        <v>10000</v>
      </c>
      <c r="BB21" s="15">
        <f>IF('ENCUESTA CONDUCTORES'!BJ21="X",1,0)</f>
        <v>0</v>
      </c>
      <c r="BC21" s="15">
        <f>IF('ENCUESTA CONDUCTORES'!BK21="X",1,0)</f>
        <v>0</v>
      </c>
      <c r="BD21" s="15">
        <f>IF('ENCUESTA CONDUCTORES'!BL21="X",1,0)</f>
        <v>0</v>
      </c>
      <c r="BE21" s="15">
        <f>IF('ENCUESTA CONDUCTORES'!BM21="X",1,0)</f>
        <v>0</v>
      </c>
      <c r="BF21" s="15">
        <f>IF('ENCUESTA CONDUCTORES'!BN21="X",1,0)</f>
        <v>0</v>
      </c>
      <c r="BG21" s="15">
        <f>IF('ENCUESTA CONDUCTORES'!BO21="X",1,0)</f>
        <v>1</v>
      </c>
      <c r="BH21" s="15">
        <f>IF('ENCUESTA CONDUCTORES'!BP21="X",1,0)</f>
        <v>0</v>
      </c>
      <c r="BI21" s="15">
        <f>IF('ENCUESTA CONDUCTORES'!BQ21="X",1,0)</f>
        <v>0</v>
      </c>
      <c r="BJ21" s="15">
        <f>IF('ENCUESTA CONDUCTORES'!BR21="X",1,0)</f>
        <v>0</v>
      </c>
      <c r="BK21" s="15">
        <f>+'ENCUESTA CONDUCTORES'!BS21</f>
        <v>0</v>
      </c>
      <c r="BL21" s="15">
        <f>IF('ENCUESTA CONDUCTORES'!BT21="X",1,0)</f>
        <v>0</v>
      </c>
      <c r="BM21" s="15">
        <f>IF('ENCUESTA CONDUCTORES'!BU21="X",1,0)</f>
        <v>1</v>
      </c>
      <c r="BN21" s="15">
        <f>IF('ENCUESTA CONDUCTORES'!BV21="X",1,0)</f>
        <v>0</v>
      </c>
      <c r="BO21" s="15">
        <f>IF('ENCUESTA CONDUCTORES'!BW21="X",1,0)</f>
        <v>0</v>
      </c>
      <c r="BP21" s="15">
        <f>+'ENCUESTA CONDUCTORES'!BX21</f>
        <v>2</v>
      </c>
      <c r="BQ21" s="15">
        <f>+'ENCUESTA CONDUCTORES'!BY21</f>
        <v>4</v>
      </c>
      <c r="BR21" s="15">
        <f>+'ENCUESTA CONDUCTORES'!BZ21</f>
        <v>3</v>
      </c>
      <c r="BS21" s="15" t="str">
        <f>+'ENCUESTA CONDUCTORES'!CA21</f>
        <v>SEGURIDAD</v>
      </c>
      <c r="BT21" s="15">
        <f>IF('ENCUESTA CONDUCTORES'!CB21="X",1,0)</f>
        <v>1</v>
      </c>
      <c r="BU21" s="15">
        <f>IF('ENCUESTA CONDUCTORES'!CC21="X",1,0)</f>
        <v>0</v>
      </c>
      <c r="BV21" s="15">
        <f>IF('ENCUESTA CONDUCTORES'!CD21="X",1,0)</f>
        <v>0</v>
      </c>
      <c r="BW21" s="15">
        <f>IF('ENCUESTA CONDUCTORES'!CE21="X",1,0)</f>
        <v>0</v>
      </c>
      <c r="BX21" s="15">
        <f>IF('ENCUESTA CONDUCTORES'!CF21="X",1,0)</f>
        <v>0</v>
      </c>
      <c r="BY21" s="15">
        <f>IF('ENCUESTA CONDUCTORES'!CG21="X",1,0)</f>
        <v>0</v>
      </c>
      <c r="BZ21" s="15">
        <f>IF('ENCUESTA CONDUCTORES'!CH21="X",1,0)</f>
        <v>0</v>
      </c>
      <c r="CA21" s="15">
        <f>IF('ENCUESTA CONDUCTORES'!CI21="X",1,0)</f>
        <v>0</v>
      </c>
      <c r="CB21" s="15">
        <f>IF('ENCUESTA CONDUCTORES'!CJ21="X",1,0)</f>
        <v>0</v>
      </c>
      <c r="CC21" s="15">
        <f>IF('ENCUESTA CONDUCTORES'!CK21="X",1,0)</f>
        <v>1</v>
      </c>
      <c r="CD21" s="15">
        <f>IF('ENCUESTA CONDUCTORES'!CL21="X",1,0)</f>
        <v>0</v>
      </c>
      <c r="CE21" s="15">
        <f>IF('ENCUESTA CONDUCTORES'!CM21="X",1,0)</f>
        <v>0</v>
      </c>
      <c r="CF21" s="15">
        <f>+'ENCUESTA CONDUCTORES'!CN21</f>
        <v>0</v>
      </c>
      <c r="CG21" s="15">
        <f>IF('ENCUESTA CONDUCTORES'!CO21="X",1,0)</f>
        <v>0</v>
      </c>
      <c r="CH21" s="15" t="str">
        <f>+'ENCUESTA CONDUCTORES'!CP21</f>
        <v>NO SABE</v>
      </c>
      <c r="CI21" s="15" t="str">
        <f>+'ENCUESTA CONDUCTORES'!CQ21</f>
        <v>NO SABE</v>
      </c>
      <c r="CJ21" s="15">
        <f>IF('ENCUESTA CONDUCTORES'!CR21="X",1,0)</f>
        <v>1</v>
      </c>
      <c r="CK21" s="15">
        <f>IF('ENCUESTA CONDUCTORES'!CS21="X",1,0)</f>
        <v>0</v>
      </c>
      <c r="CL21" s="15">
        <f>IF('ENCUESTA CONDUCTORES'!CT21="X",1,0)</f>
        <v>0</v>
      </c>
      <c r="CM21" s="15">
        <f>+'ENCUESTA CONDUCTORES'!CU21</f>
        <v>0</v>
      </c>
      <c r="CN21" s="15">
        <f>IF('ENCUESTA CONDUCTORES'!CV21="X",1,0)</f>
        <v>0</v>
      </c>
      <c r="CO21" s="15">
        <f>+'ENCUESTA CONDUCTORES'!CW21</f>
        <v>0</v>
      </c>
      <c r="CP21" s="15">
        <f>IF('ENCUESTA CONDUCTORES'!CX21="X",1,0)</f>
        <v>0</v>
      </c>
      <c r="CQ21" s="15">
        <f>IF('ENCUESTA CONDUCTORES'!CY21="X",1,0)</f>
        <v>1</v>
      </c>
      <c r="CR21" s="3">
        <f>+'ENCUESTA CONDUCTORES'!CZ21</f>
        <v>0</v>
      </c>
      <c r="CS21" s="49">
        <f>+'ENCUESTA CONDUCTORES'!DA21</f>
        <v>0</v>
      </c>
    </row>
    <row r="22" spans="2:97" x14ac:dyDescent="0.25">
      <c r="B22" s="14" t="str">
        <f>+'ENCUESTA CONDUCTORES'!D22</f>
        <v>C-021</v>
      </c>
      <c r="C22" s="15">
        <f>IF('ENCUESTA CONDUCTORES'!E22="X",1,0)</f>
        <v>0</v>
      </c>
      <c r="D22" s="15">
        <f>IF('ENCUESTA CONDUCTORES'!F22="X",1,0)</f>
        <v>0</v>
      </c>
      <c r="E22" s="15">
        <f>IF('ENCUESTA CONDUCTORES'!G22="X",1,0)</f>
        <v>0</v>
      </c>
      <c r="F22" s="15">
        <f>IF('ENCUESTA CONDUCTORES'!H22="X",1,0)</f>
        <v>1</v>
      </c>
      <c r="G22" s="15">
        <f>+'ENCUESTA CONDUCTORES'!I22</f>
        <v>38</v>
      </c>
      <c r="H22" s="15" t="str">
        <f>+'ENCUESTA CONDUCTORES'!J22</f>
        <v>M</v>
      </c>
      <c r="I22" s="15" t="str">
        <f>+'ENCUESTA CONDUCTORES'!K22</f>
        <v>LICENCIATURA</v>
      </c>
      <c r="J22" s="15" t="str">
        <f>+'ENCUESTA CONDUCTORES'!L22</f>
        <v>PUEBLA, PUE</v>
      </c>
      <c r="K22" s="15" t="str">
        <f>+'ENCUESTA CONDUCTORES'!M22</f>
        <v>PUEBLA</v>
      </c>
      <c r="L22" s="15" t="str">
        <f>+'ENCUESTA CONDUCTORES'!N22</f>
        <v>PUEBLA</v>
      </c>
      <c r="M22" s="15">
        <f>+'ENCUESTA CONDUCTORES'!O22</f>
        <v>12</v>
      </c>
      <c r="N22" s="15">
        <f>IF('ENCUESTA CONDUCTORES'!P22="X",1,0)</f>
        <v>0</v>
      </c>
      <c r="O22" s="15">
        <f>IF('ENCUESTA CONDUCTORES'!Q22="X",1,0)</f>
        <v>0</v>
      </c>
      <c r="P22" s="15">
        <f>IF('ENCUESTA CONDUCTORES'!R22="X",1,0)</f>
        <v>0</v>
      </c>
      <c r="Q22" s="15">
        <f>IF('ENCUESTA CONDUCTORES'!S22="X",1,0)</f>
        <v>1</v>
      </c>
      <c r="R22" s="15">
        <f>IF('ENCUESTA CONDUCTORES'!T22="X",1,0)</f>
        <v>0</v>
      </c>
      <c r="S22" s="15">
        <f>IF('ENCUESTA CONDUCTORES'!U22="X",1,0)</f>
        <v>0</v>
      </c>
      <c r="T22" s="15">
        <f>IF('ENCUESTA CONDUCTORES'!V22="X",1,0)</f>
        <v>1</v>
      </c>
      <c r="U22" s="15">
        <f>IF('ENCUESTA CONDUCTORES'!W22="X",1,0)</f>
        <v>0</v>
      </c>
      <c r="V22" s="15">
        <f>IF('ENCUESTA CONDUCTORES'!X22="X",1,0)</f>
        <v>0</v>
      </c>
      <c r="W22" s="15">
        <f>IF('ENCUESTA CONDUCTORES'!Y22="X",1,0)</f>
        <v>0</v>
      </c>
      <c r="X22" s="15">
        <f>IF('ENCUESTA CONDUCTORES'!Z22="X",1,0)</f>
        <v>0</v>
      </c>
      <c r="Y22" s="15">
        <f>+'ENCUESTA CONDUCTORES'!AG22</f>
        <v>0</v>
      </c>
      <c r="Z22" s="15">
        <f>+'ENCUESTA CONDUCTORES'!AH22</f>
        <v>2003</v>
      </c>
      <c r="AA22" s="1">
        <f>+'ENCUESTA CONDUCTORES'!AI22</f>
        <v>932000</v>
      </c>
      <c r="AB22" s="15">
        <f>IF('ENCUESTA CONDUCTORES'!AJ22="X",1,0)</f>
        <v>0</v>
      </c>
      <c r="AC22" s="15">
        <f>IF('ENCUESTA CONDUCTORES'!AK22="X",1,0)</f>
        <v>0</v>
      </c>
      <c r="AD22" s="15">
        <f>IF('ENCUESTA CONDUCTORES'!AL22="X",1,0)</f>
        <v>1</v>
      </c>
      <c r="AE22" s="15">
        <f>IF('ENCUESTA CONDUCTORES'!AM22="X",1,0)</f>
        <v>0</v>
      </c>
      <c r="AF22" s="15">
        <f>IF('ENCUESTA CONDUCTORES'!AN22="X",1,0)</f>
        <v>0</v>
      </c>
      <c r="AG22" s="15">
        <f>IF('ENCUESTA CONDUCTORES'!AO22="X",1,0)</f>
        <v>0</v>
      </c>
      <c r="AH22" s="15">
        <f>IF('ENCUESTA CONDUCTORES'!AP22="X",1,0)</f>
        <v>1</v>
      </c>
      <c r="AI22" s="15">
        <f>IF('ENCUESTA CONDUCTORES'!AQ22="X",1,0)</f>
        <v>0</v>
      </c>
      <c r="AJ22" s="15">
        <f>IF('ENCUESTA CONDUCTORES'!AR22="X",1,0)</f>
        <v>0</v>
      </c>
      <c r="AK22" s="15">
        <f>+'ENCUESTA CONDUCTORES'!AS22</f>
        <v>0</v>
      </c>
      <c r="AL22" s="15" t="str">
        <f>+'ENCUESTA CONDUCTORES'!AT22</f>
        <v>MERCEDES BENZ</v>
      </c>
      <c r="AM22" s="1">
        <f>+'ENCUESTA CONDUCTORES'!AU22</f>
        <v>7600</v>
      </c>
      <c r="AN22" s="48">
        <f>+'ENCUESTA CONDUCTORES'!AV22</f>
        <v>0.5</v>
      </c>
      <c r="AO22" s="15">
        <f>+'ENCUESTA CONDUCTORES'!AW22</f>
        <v>2.2000000000000002</v>
      </c>
      <c r="AP22" s="15">
        <f>+'ENCUESTA CONDUCTORES'!AX22</f>
        <v>1.9</v>
      </c>
      <c r="AQ22" s="15">
        <f>+'ENCUESTA CONDUCTORES'!AY22</f>
        <v>2</v>
      </c>
      <c r="AR22" s="15">
        <f>+'ENCUESTA CONDUCTORES'!AZ22</f>
        <v>700</v>
      </c>
      <c r="AS22" s="15">
        <f>+'ENCUESTA CONDUCTORES'!BA22</f>
        <v>1500</v>
      </c>
      <c r="AT22" s="15">
        <f>IF('ENCUESTA CONDUCTORES'!BB22="X",1,0)</f>
        <v>1</v>
      </c>
      <c r="AU22" s="15">
        <f>IF('ENCUESTA CONDUCTORES'!BC22="X",1,0)</f>
        <v>1</v>
      </c>
      <c r="AV22" s="15">
        <f>IF('ENCUESTA CONDUCTORES'!BD22="X",1,0)</f>
        <v>0</v>
      </c>
      <c r="AW22" s="1">
        <f>+'ENCUESTA CONDUCTORES'!BE22</f>
        <v>7500</v>
      </c>
      <c r="AX22" s="1">
        <f>+'ENCUESTA CONDUCTORES'!BF22</f>
        <v>6500</v>
      </c>
      <c r="AY22" s="1">
        <f>+'ENCUESTA CONDUCTORES'!BG22</f>
        <v>12000</v>
      </c>
      <c r="AZ22" s="1">
        <f>+'ENCUESTA CONDUCTORES'!BH22</f>
        <v>95000</v>
      </c>
      <c r="BA22" s="1">
        <f>+'ENCUESTA CONDUCTORES'!BI22</f>
        <v>12000</v>
      </c>
      <c r="BB22" s="15">
        <f>IF('ENCUESTA CONDUCTORES'!BJ22="X",1,0)</f>
        <v>0</v>
      </c>
      <c r="BC22" s="15">
        <f>IF('ENCUESTA CONDUCTORES'!BK22="X",1,0)</f>
        <v>0</v>
      </c>
      <c r="BD22" s="15">
        <f>IF('ENCUESTA CONDUCTORES'!BL22="X",1,0)</f>
        <v>0</v>
      </c>
      <c r="BE22" s="15">
        <f>IF('ENCUESTA CONDUCTORES'!BM22="X",1,0)</f>
        <v>0</v>
      </c>
      <c r="BF22" s="15">
        <f>IF('ENCUESTA CONDUCTORES'!BN22="X",1,0)</f>
        <v>0</v>
      </c>
      <c r="BG22" s="15">
        <f>IF('ENCUESTA CONDUCTORES'!BO22="X",1,0)</f>
        <v>0</v>
      </c>
      <c r="BH22" s="15">
        <f>IF('ENCUESTA CONDUCTORES'!BP22="X",1,0)</f>
        <v>0</v>
      </c>
      <c r="BI22" s="15">
        <f>IF('ENCUESTA CONDUCTORES'!BQ22="X",1,0)</f>
        <v>1</v>
      </c>
      <c r="BJ22" s="15">
        <f>IF('ENCUESTA CONDUCTORES'!BR22="X",1,0)</f>
        <v>0</v>
      </c>
      <c r="BK22" s="15">
        <f>+'ENCUESTA CONDUCTORES'!BS22</f>
        <v>0</v>
      </c>
      <c r="BL22" s="15">
        <f>IF('ENCUESTA CONDUCTORES'!BT22="X",1,0)</f>
        <v>0</v>
      </c>
      <c r="BM22" s="15">
        <f>IF('ENCUESTA CONDUCTORES'!BU22="X",1,0)</f>
        <v>1</v>
      </c>
      <c r="BN22" s="15">
        <f>IF('ENCUESTA CONDUCTORES'!BV22="X",1,0)</f>
        <v>0</v>
      </c>
      <c r="BO22" s="15">
        <f>IF('ENCUESTA CONDUCTORES'!BW22="X",1,0)</f>
        <v>0</v>
      </c>
      <c r="BP22" s="15">
        <f>+'ENCUESTA CONDUCTORES'!BX22</f>
        <v>2</v>
      </c>
      <c r="BQ22" s="15">
        <f>+'ENCUESTA CONDUCTORES'!BY22</f>
        <v>4</v>
      </c>
      <c r="BR22" s="15">
        <f>+'ENCUESTA CONDUCTORES'!BZ22</f>
        <v>3</v>
      </c>
      <c r="BS22" s="15" t="str">
        <f>+'ENCUESTA CONDUCTORES'!CA22</f>
        <v>SEGURIDAD</v>
      </c>
      <c r="BT22" s="15">
        <f>IF('ENCUESTA CONDUCTORES'!CB22="X",1,0)</f>
        <v>0</v>
      </c>
      <c r="BU22" s="15">
        <f>IF('ENCUESTA CONDUCTORES'!CC22="X",1,0)</f>
        <v>1</v>
      </c>
      <c r="BV22" s="15">
        <f>IF('ENCUESTA CONDUCTORES'!CD22="X",1,0)</f>
        <v>0</v>
      </c>
      <c r="BW22" s="15">
        <f>IF('ENCUESTA CONDUCTORES'!CE22="X",1,0)</f>
        <v>0</v>
      </c>
      <c r="BX22" s="15">
        <f>IF('ENCUESTA CONDUCTORES'!CF22="X",1,0)</f>
        <v>0</v>
      </c>
      <c r="BY22" s="15">
        <f>IF('ENCUESTA CONDUCTORES'!CG22="X",1,0)</f>
        <v>1</v>
      </c>
      <c r="BZ22" s="15">
        <f>IF('ENCUESTA CONDUCTORES'!CH22="X",1,0)</f>
        <v>0</v>
      </c>
      <c r="CA22" s="15">
        <f>IF('ENCUESTA CONDUCTORES'!CI22="X",1,0)</f>
        <v>0</v>
      </c>
      <c r="CB22" s="15">
        <f>IF('ENCUESTA CONDUCTORES'!CJ22="X",1,0)</f>
        <v>0</v>
      </c>
      <c r="CC22" s="15">
        <f>IF('ENCUESTA CONDUCTORES'!CK22="X",1,0)</f>
        <v>0</v>
      </c>
      <c r="CD22" s="15">
        <f>IF('ENCUESTA CONDUCTORES'!CL22="X",1,0)</f>
        <v>1</v>
      </c>
      <c r="CE22" s="15">
        <f>IF('ENCUESTA CONDUCTORES'!CM22="X",1,0)</f>
        <v>0</v>
      </c>
      <c r="CF22" s="15" t="str">
        <f>+'ENCUESTA CONDUCTORES'!CN22</f>
        <v>AL PATRON NO LE INTERESA</v>
      </c>
      <c r="CG22" s="15">
        <f>IF('ENCUESTA CONDUCTORES'!CO22="X",1,0)</f>
        <v>0</v>
      </c>
      <c r="CH22" s="15" t="str">
        <f>+'ENCUESTA CONDUCTORES'!CP22</f>
        <v>ES BUENO, AHORRA COMBUSTIBLE</v>
      </c>
      <c r="CI22" s="15" t="str">
        <f>+'ENCUESTA CONDUCTORES'!CQ22</f>
        <v>DAR INCENTIVOS</v>
      </c>
      <c r="CJ22" s="15">
        <f>IF('ENCUESTA CONDUCTORES'!CR22="X",1,0)</f>
        <v>0</v>
      </c>
      <c r="CK22" s="15">
        <f>IF('ENCUESTA CONDUCTORES'!CS22="X",1,0)</f>
        <v>0</v>
      </c>
      <c r="CL22" s="15">
        <f>IF('ENCUESTA CONDUCTORES'!CT22="X",1,0)</f>
        <v>1</v>
      </c>
      <c r="CM22" s="15">
        <f>+'ENCUESTA CONDUCTORES'!CU22</f>
        <v>0</v>
      </c>
      <c r="CN22" s="15">
        <f>IF('ENCUESTA CONDUCTORES'!CV22="X",1,0)</f>
        <v>0</v>
      </c>
      <c r="CO22" s="15">
        <f>+'ENCUESTA CONDUCTORES'!CW22</f>
        <v>0</v>
      </c>
      <c r="CP22" s="15">
        <f>IF('ENCUESTA CONDUCTORES'!CX22="X",1,0)</f>
        <v>1</v>
      </c>
      <c r="CQ22" s="15">
        <f>IF('ENCUESTA CONDUCTORES'!CY22="X",1,0)</f>
        <v>1</v>
      </c>
      <c r="CR22" s="3">
        <f>+'ENCUESTA CONDUCTORES'!CZ22</f>
        <v>0</v>
      </c>
      <c r="CS22" s="49" t="str">
        <f>+'ENCUESTA CONDUCTORES'!DA22</f>
        <v>CARRERA TRUNCA 2 AÑOS</v>
      </c>
    </row>
    <row r="23" spans="2:97" x14ac:dyDescent="0.25">
      <c r="B23" s="14" t="str">
        <f>+'ENCUESTA CONDUCTORES'!D23</f>
        <v>C-022</v>
      </c>
      <c r="C23" s="15">
        <f>IF('ENCUESTA CONDUCTORES'!E23="X",1,0)</f>
        <v>0</v>
      </c>
      <c r="D23" s="15">
        <f>IF('ENCUESTA CONDUCTORES'!F23="X",1,0)</f>
        <v>1</v>
      </c>
      <c r="E23" s="15">
        <f>IF('ENCUESTA CONDUCTORES'!G23="X",1,0)</f>
        <v>0</v>
      </c>
      <c r="F23" s="15">
        <f>IF('ENCUESTA CONDUCTORES'!H23="X",1,0)</f>
        <v>0</v>
      </c>
      <c r="G23" s="15">
        <f>+'ENCUESTA CONDUCTORES'!I23</f>
        <v>29</v>
      </c>
      <c r="H23" s="15" t="str">
        <f>+'ENCUESTA CONDUCTORES'!J23</f>
        <v>M</v>
      </c>
      <c r="I23" s="15" t="str">
        <f>+'ENCUESTA CONDUCTORES'!K23</f>
        <v>PRIMARIA</v>
      </c>
      <c r="J23" s="15" t="str">
        <f>+'ENCUESTA CONDUCTORES'!L23</f>
        <v>ETLA,OAX.</v>
      </c>
      <c r="K23" s="50" t="str">
        <f>+'ENCUESTA CONDUCTORES'!M23</f>
        <v>ETLA</v>
      </c>
      <c r="L23" s="15" t="str">
        <f>+'ENCUESTA CONDUCTORES'!N23</f>
        <v>OAXACA</v>
      </c>
      <c r="M23" s="15">
        <f>+'ENCUESTA CONDUCTORES'!O23</f>
        <v>9</v>
      </c>
      <c r="N23" s="15">
        <f>IF('ENCUESTA CONDUCTORES'!P23="X",1,0)</f>
        <v>0</v>
      </c>
      <c r="O23" s="15">
        <f>IF('ENCUESTA CONDUCTORES'!Q23="X",1,0)</f>
        <v>1</v>
      </c>
      <c r="P23" s="15">
        <f>IF('ENCUESTA CONDUCTORES'!R23="X",1,0)</f>
        <v>0</v>
      </c>
      <c r="Q23" s="15">
        <f>IF('ENCUESTA CONDUCTORES'!S23="X",1,0)</f>
        <v>0</v>
      </c>
      <c r="R23" s="15">
        <f>IF('ENCUESTA CONDUCTORES'!T23="X",1,0)</f>
        <v>0</v>
      </c>
      <c r="S23" s="15">
        <f>IF('ENCUESTA CONDUCTORES'!U23="X",1,0)</f>
        <v>0</v>
      </c>
      <c r="T23" s="15">
        <f>IF('ENCUESTA CONDUCTORES'!V23="X",1,0)</f>
        <v>0</v>
      </c>
      <c r="U23" s="15">
        <f>IF('ENCUESTA CONDUCTORES'!W23="X",1,0)</f>
        <v>0</v>
      </c>
      <c r="V23" s="15">
        <f>IF('ENCUESTA CONDUCTORES'!X23="X",1,0)</f>
        <v>0</v>
      </c>
      <c r="W23" s="15">
        <f>IF('ENCUESTA CONDUCTORES'!Y23="X",1,0)</f>
        <v>0</v>
      </c>
      <c r="X23" s="15">
        <f>IF('ENCUESTA CONDUCTORES'!Z23="X",1,0)</f>
        <v>0</v>
      </c>
      <c r="Y23" s="15">
        <f>+'ENCUESTA CONDUCTORES'!AG23</f>
        <v>0</v>
      </c>
      <c r="Z23" s="15">
        <f>+'ENCUESTA CONDUCTORES'!AH23</f>
        <v>1979</v>
      </c>
      <c r="AA23" s="1">
        <f>+'ENCUESTA CONDUCTORES'!AI23</f>
        <v>2455000</v>
      </c>
      <c r="AB23" s="15">
        <f>IF('ENCUESTA CONDUCTORES'!AJ23="X",1,0)</f>
        <v>1</v>
      </c>
      <c r="AC23" s="15">
        <f>IF('ENCUESTA CONDUCTORES'!AK23="X",1,0)</f>
        <v>0</v>
      </c>
      <c r="AD23" s="15">
        <f>IF('ENCUESTA CONDUCTORES'!AL23="X",1,0)</f>
        <v>0</v>
      </c>
      <c r="AE23" s="15">
        <f>IF('ENCUESTA CONDUCTORES'!AM23="X",1,0)</f>
        <v>0</v>
      </c>
      <c r="AF23" s="15">
        <f>IF('ENCUESTA CONDUCTORES'!AN23="X",1,0)</f>
        <v>0</v>
      </c>
      <c r="AG23" s="15">
        <f>IF('ENCUESTA CONDUCTORES'!AO23="X",1,0)</f>
        <v>0</v>
      </c>
      <c r="AH23" s="15">
        <f>IF('ENCUESTA CONDUCTORES'!AP23="X",1,0)</f>
        <v>0</v>
      </c>
      <c r="AI23" s="15">
        <f>IF('ENCUESTA CONDUCTORES'!AQ23="X",1,0)</f>
        <v>1</v>
      </c>
      <c r="AJ23" s="15">
        <f>IF('ENCUESTA CONDUCTORES'!AR23="X",1,0)</f>
        <v>0</v>
      </c>
      <c r="AK23" s="15">
        <f>+'ENCUESTA CONDUCTORES'!AS23</f>
        <v>1995</v>
      </c>
      <c r="AL23" s="15" t="str">
        <f>+'ENCUESTA CONDUCTORES'!AT23</f>
        <v>DINA</v>
      </c>
      <c r="AM23" s="1">
        <f>+'ENCUESTA CONDUCTORES'!AU23</f>
        <v>4100</v>
      </c>
      <c r="AN23" s="48">
        <f>+'ENCUESTA CONDUCTORES'!AV23</f>
        <v>0.5</v>
      </c>
      <c r="AO23" s="15">
        <f>+'ENCUESTA CONDUCTORES'!AW23</f>
        <v>3</v>
      </c>
      <c r="AP23" s="15">
        <f>+'ENCUESTA CONDUCTORES'!AX23</f>
        <v>2.1</v>
      </c>
      <c r="AQ23" s="15">
        <f>+'ENCUESTA CONDUCTORES'!AY23</f>
        <v>1</v>
      </c>
      <c r="AR23" s="15">
        <f>+'ENCUESTA CONDUCTORES'!AZ23</f>
        <v>380</v>
      </c>
      <c r="AS23" s="15">
        <f>+'ENCUESTA CONDUCTORES'!BA23</f>
        <v>900</v>
      </c>
      <c r="AT23" s="15">
        <f>IF('ENCUESTA CONDUCTORES'!BB23="X",1,0)</f>
        <v>0</v>
      </c>
      <c r="AU23" s="15">
        <f>IF('ENCUESTA CONDUCTORES'!BC23="X",1,0)</f>
        <v>0</v>
      </c>
      <c r="AV23" s="15">
        <f>IF('ENCUESTA CONDUCTORES'!BD23="X",1,0)</f>
        <v>0</v>
      </c>
      <c r="AW23" s="1">
        <f>+'ENCUESTA CONDUCTORES'!BE23</f>
        <v>6000</v>
      </c>
      <c r="AX23" s="1">
        <f>+'ENCUESTA CONDUCTORES'!BF23</f>
        <v>8000</v>
      </c>
      <c r="AY23" s="1">
        <f>+'ENCUESTA CONDUCTORES'!BG23</f>
        <v>8000</v>
      </c>
      <c r="AZ23" s="1">
        <f>+'ENCUESTA CONDUCTORES'!BH23</f>
        <v>80000</v>
      </c>
      <c r="BA23" s="1" t="str">
        <f>+'ENCUESTA CONDUCTORES'!BI23</f>
        <v>NO APLICA</v>
      </c>
      <c r="BB23" s="15">
        <f>IF('ENCUESTA CONDUCTORES'!BJ23="X",1,0)</f>
        <v>1</v>
      </c>
      <c r="BC23" s="15">
        <f>IF('ENCUESTA CONDUCTORES'!BK23="X",1,0)</f>
        <v>0</v>
      </c>
      <c r="BD23" s="15">
        <f>IF('ENCUESTA CONDUCTORES'!BL23="X",1,0)</f>
        <v>0</v>
      </c>
      <c r="BE23" s="15">
        <f>IF('ENCUESTA CONDUCTORES'!BM23="X",1,0)</f>
        <v>0</v>
      </c>
      <c r="BF23" s="15">
        <f>IF('ENCUESTA CONDUCTORES'!BN23="X",1,0)</f>
        <v>0</v>
      </c>
      <c r="BG23" s="15">
        <f>IF('ENCUESTA CONDUCTORES'!BO23="X",1,0)</f>
        <v>1</v>
      </c>
      <c r="BH23" s="15">
        <f>IF('ENCUESTA CONDUCTORES'!BP23="X",1,0)</f>
        <v>0</v>
      </c>
      <c r="BI23" s="15">
        <f>IF('ENCUESTA CONDUCTORES'!BQ23="X",1,0)</f>
        <v>0</v>
      </c>
      <c r="BJ23" s="15">
        <f>IF('ENCUESTA CONDUCTORES'!BR23="X",1,0)</f>
        <v>0</v>
      </c>
      <c r="BK23" s="15">
        <f>+'ENCUESTA CONDUCTORES'!BS23</f>
        <v>0</v>
      </c>
      <c r="BL23" s="15">
        <f>IF('ENCUESTA CONDUCTORES'!BT23="X",1,0)</f>
        <v>0</v>
      </c>
      <c r="BM23" s="15">
        <f>IF('ENCUESTA CONDUCTORES'!BU23="X",1,0)</f>
        <v>1</v>
      </c>
      <c r="BN23" s="15">
        <f>IF('ENCUESTA CONDUCTORES'!BV23="X",1,0)</f>
        <v>0</v>
      </c>
      <c r="BO23" s="15">
        <f>IF('ENCUESTA CONDUCTORES'!BW23="X",1,0)</f>
        <v>0</v>
      </c>
      <c r="BP23" s="15">
        <f>+'ENCUESTA CONDUCTORES'!BX23</f>
        <v>2</v>
      </c>
      <c r="BQ23" s="15">
        <f>+'ENCUESTA CONDUCTORES'!BY23</f>
        <v>3</v>
      </c>
      <c r="BR23" s="15">
        <f>+'ENCUESTA CONDUCTORES'!BZ23</f>
        <v>1</v>
      </c>
      <c r="BS23" s="15">
        <f>+'ENCUESTA CONDUCTORES'!CA23</f>
        <v>0</v>
      </c>
      <c r="BT23" s="15">
        <f>IF('ENCUESTA CONDUCTORES'!CB23="X",1,0)</f>
        <v>1</v>
      </c>
      <c r="BU23" s="15">
        <f>IF('ENCUESTA CONDUCTORES'!CC23="X",1,0)</f>
        <v>0</v>
      </c>
      <c r="BV23" s="15">
        <f>IF('ENCUESTA CONDUCTORES'!CD23="X",1,0)</f>
        <v>0</v>
      </c>
      <c r="BW23" s="15">
        <f>IF('ENCUESTA CONDUCTORES'!CE23="X",1,0)</f>
        <v>0</v>
      </c>
      <c r="BX23" s="15">
        <f>IF('ENCUESTA CONDUCTORES'!CF23="X",1,0)</f>
        <v>0</v>
      </c>
      <c r="BY23" s="15">
        <f>IF('ENCUESTA CONDUCTORES'!CG23="X",1,0)</f>
        <v>0</v>
      </c>
      <c r="BZ23" s="15">
        <f>IF('ENCUESTA CONDUCTORES'!CH23="X",1,0)</f>
        <v>0</v>
      </c>
      <c r="CA23" s="15">
        <f>IF('ENCUESTA CONDUCTORES'!CI23="X",1,0)</f>
        <v>0</v>
      </c>
      <c r="CB23" s="15">
        <f>IF('ENCUESTA CONDUCTORES'!CJ23="X",1,0)</f>
        <v>0</v>
      </c>
      <c r="CC23" s="15">
        <f>IF('ENCUESTA CONDUCTORES'!CK23="X",1,0)</f>
        <v>1</v>
      </c>
      <c r="CD23" s="15">
        <f>IF('ENCUESTA CONDUCTORES'!CL23="X",1,0)</f>
        <v>0</v>
      </c>
      <c r="CE23" s="15">
        <f>IF('ENCUESTA CONDUCTORES'!CM23="X",1,0)</f>
        <v>0</v>
      </c>
      <c r="CF23" s="15">
        <f>+'ENCUESTA CONDUCTORES'!CN23</f>
        <v>0</v>
      </c>
      <c r="CG23" s="15">
        <f>IF('ENCUESTA CONDUCTORES'!CO23="X",1,0)</f>
        <v>0</v>
      </c>
      <c r="CH23" s="15" t="str">
        <f>+'ENCUESTA CONDUCTORES'!CP23</f>
        <v>NO SABE</v>
      </c>
      <c r="CI23" s="15" t="str">
        <f>+'ENCUESTA CONDUCTORES'!CQ23</f>
        <v>DARLO A CONOCER</v>
      </c>
      <c r="CJ23" s="15">
        <f>IF('ENCUESTA CONDUCTORES'!CR23="X",1,0)</f>
        <v>1</v>
      </c>
      <c r="CK23" s="15">
        <f>IF('ENCUESTA CONDUCTORES'!CS23="X",1,0)</f>
        <v>0</v>
      </c>
      <c r="CL23" s="15">
        <f>IF('ENCUESTA CONDUCTORES'!CT23="X",1,0)</f>
        <v>0</v>
      </c>
      <c r="CM23" s="15">
        <f>+'ENCUESTA CONDUCTORES'!CU23</f>
        <v>0</v>
      </c>
      <c r="CN23" s="15">
        <f>IF('ENCUESTA CONDUCTORES'!CV23="X",1,0)</f>
        <v>0</v>
      </c>
      <c r="CO23" s="15">
        <f>+'ENCUESTA CONDUCTORES'!CW23</f>
        <v>0</v>
      </c>
      <c r="CP23" s="15">
        <f>IF('ENCUESTA CONDUCTORES'!CX23="X",1,0)</f>
        <v>0</v>
      </c>
      <c r="CQ23" s="15">
        <f>IF('ENCUESTA CONDUCTORES'!CY23="X",1,0)</f>
        <v>1</v>
      </c>
      <c r="CR23" s="3">
        <f>+'ENCUESTA CONDUCTORES'!CZ23</f>
        <v>0</v>
      </c>
      <c r="CS23" s="49">
        <f>+'ENCUESTA CONDUCTORES'!DA23</f>
        <v>0</v>
      </c>
    </row>
    <row r="24" spans="2:97" x14ac:dyDescent="0.25">
      <c r="B24" s="14" t="str">
        <f>+'ENCUESTA CONDUCTORES'!D24</f>
        <v>C-024</v>
      </c>
      <c r="C24" s="15">
        <f>IF('ENCUESTA CONDUCTORES'!E24="X",1,0)</f>
        <v>0</v>
      </c>
      <c r="D24" s="15">
        <f>IF('ENCUESTA CONDUCTORES'!F24="X",1,0)</f>
        <v>0</v>
      </c>
      <c r="E24" s="15">
        <f>IF('ENCUESTA CONDUCTORES'!G24="X",1,0)</f>
        <v>1</v>
      </c>
      <c r="F24" s="15">
        <f>IF('ENCUESTA CONDUCTORES'!H24="X",1,0)</f>
        <v>0</v>
      </c>
      <c r="G24" s="15">
        <f>+'ENCUESTA CONDUCTORES'!I24</f>
        <v>34</v>
      </c>
      <c r="H24" s="15" t="str">
        <f>+'ENCUESTA CONDUCTORES'!J24</f>
        <v>M</v>
      </c>
      <c r="I24" s="15" t="str">
        <f>+'ENCUESTA CONDUCTORES'!K24</f>
        <v>PRIMARIA</v>
      </c>
      <c r="J24" s="15" t="str">
        <f>+'ENCUESTA CONDUCTORES'!L24</f>
        <v>SAN ANDRÉS ZAUTLA, OAX.</v>
      </c>
      <c r="K24" s="50" t="str">
        <f>+'ENCUESTA CONDUCTORES'!M24</f>
        <v>SAN ANDRÉS ZAUTLA</v>
      </c>
      <c r="L24" s="15" t="str">
        <f>+'ENCUESTA CONDUCTORES'!N24</f>
        <v>OAXACA</v>
      </c>
      <c r="M24" s="15">
        <f>+'ENCUESTA CONDUCTORES'!O24</f>
        <v>15</v>
      </c>
      <c r="N24" s="15">
        <f>IF('ENCUESTA CONDUCTORES'!P24="X",1,0)</f>
        <v>0</v>
      </c>
      <c r="O24" s="15">
        <f>IF('ENCUESTA CONDUCTORES'!Q24="X",1,0)</f>
        <v>1</v>
      </c>
      <c r="P24" s="15">
        <f>IF('ENCUESTA CONDUCTORES'!R24="X",1,0)</f>
        <v>0</v>
      </c>
      <c r="Q24" s="15">
        <f>IF('ENCUESTA CONDUCTORES'!S24="X",1,0)</f>
        <v>0</v>
      </c>
      <c r="R24" s="15">
        <f>IF('ENCUESTA CONDUCTORES'!T24="X",1,0)</f>
        <v>0</v>
      </c>
      <c r="S24" s="15">
        <f>IF('ENCUESTA CONDUCTORES'!U24="X",1,0)</f>
        <v>0</v>
      </c>
      <c r="T24" s="15">
        <f>IF('ENCUESTA CONDUCTORES'!V24="X",1,0)</f>
        <v>0</v>
      </c>
      <c r="U24" s="15">
        <f>IF('ENCUESTA CONDUCTORES'!W24="X",1,0)</f>
        <v>0</v>
      </c>
      <c r="V24" s="15">
        <f>IF('ENCUESTA CONDUCTORES'!X24="X",1,0)</f>
        <v>0</v>
      </c>
      <c r="W24" s="15">
        <f>IF('ENCUESTA CONDUCTORES'!Y24="X",1,0)</f>
        <v>0</v>
      </c>
      <c r="X24" s="15">
        <f>IF('ENCUESTA CONDUCTORES'!Z24="X",1,0)</f>
        <v>0</v>
      </c>
      <c r="Y24" s="15">
        <f>+'ENCUESTA CONDUCTORES'!AG24</f>
        <v>0</v>
      </c>
      <c r="Z24" s="15">
        <f>+'ENCUESTA CONDUCTORES'!AH24</f>
        <v>1984</v>
      </c>
      <c r="AA24" s="1">
        <f>+'ENCUESTA CONDUCTORES'!AI24</f>
        <v>1975000</v>
      </c>
      <c r="AB24" s="15">
        <f>IF('ENCUESTA CONDUCTORES'!AJ24="X",1,0)</f>
        <v>0</v>
      </c>
      <c r="AC24" s="15">
        <f>IF('ENCUESTA CONDUCTORES'!AK24="X",1,0)</f>
        <v>0</v>
      </c>
      <c r="AD24" s="15">
        <f>IF('ENCUESTA CONDUCTORES'!AL24="X",1,0)</f>
        <v>1</v>
      </c>
      <c r="AE24" s="15">
        <f>IF('ENCUESTA CONDUCTORES'!AM24="X",1,0)</f>
        <v>0</v>
      </c>
      <c r="AF24" s="15">
        <f>IF('ENCUESTA CONDUCTORES'!AN24="X",1,0)</f>
        <v>0</v>
      </c>
      <c r="AG24" s="15">
        <f>IF('ENCUESTA CONDUCTORES'!AO24="X",1,0)</f>
        <v>1</v>
      </c>
      <c r="AH24" s="15">
        <f>IF('ENCUESTA CONDUCTORES'!AP24="X",1,0)</f>
        <v>0</v>
      </c>
      <c r="AI24" s="15">
        <f>IF('ENCUESTA CONDUCTORES'!AQ24="X",1,0)</f>
        <v>0</v>
      </c>
      <c r="AJ24" s="15">
        <f>IF('ENCUESTA CONDUCTORES'!AR24="X",1,0)</f>
        <v>0</v>
      </c>
      <c r="AK24" s="15">
        <f>+'ENCUESTA CONDUCTORES'!AS24</f>
        <v>0</v>
      </c>
      <c r="AL24" s="15" t="str">
        <f>+'ENCUESTA CONDUCTORES'!AT24</f>
        <v>INTERNATIONAL</v>
      </c>
      <c r="AM24" s="1">
        <f>+'ENCUESTA CONDUCTORES'!AU24</f>
        <v>2800</v>
      </c>
      <c r="AN24" s="48">
        <f>+'ENCUESTA CONDUCTORES'!AV24</f>
        <v>0.5</v>
      </c>
      <c r="AO24" s="15">
        <f>+'ENCUESTA CONDUCTORES'!AW24</f>
        <v>1.9</v>
      </c>
      <c r="AP24" s="15">
        <f>+'ENCUESTA CONDUCTORES'!AX24</f>
        <v>1.6</v>
      </c>
      <c r="AQ24" s="15">
        <f>+'ENCUESTA CONDUCTORES'!AY24</f>
        <v>1</v>
      </c>
      <c r="AR24" s="15">
        <f>+'ENCUESTA CONDUCTORES'!AZ24</f>
        <v>250</v>
      </c>
      <c r="AS24" s="15">
        <f>+'ENCUESTA CONDUCTORES'!BA24</f>
        <v>425</v>
      </c>
      <c r="AT24" s="15">
        <f>IF('ENCUESTA CONDUCTORES'!BB24="X",1,0)</f>
        <v>0</v>
      </c>
      <c r="AU24" s="15">
        <f>IF('ENCUESTA CONDUCTORES'!BC24="X",1,0)</f>
        <v>0</v>
      </c>
      <c r="AV24" s="15">
        <f>IF('ENCUESTA CONDUCTORES'!BD24="X",1,0)</f>
        <v>0</v>
      </c>
      <c r="AW24" s="1">
        <f>+'ENCUESTA CONDUCTORES'!BE24</f>
        <v>6000</v>
      </c>
      <c r="AX24" s="1">
        <f>+'ENCUESTA CONDUCTORES'!BF24</f>
        <v>6500</v>
      </c>
      <c r="AY24" s="1">
        <f>+'ENCUESTA CONDUCTORES'!BG24</f>
        <v>12000</v>
      </c>
      <c r="AZ24" s="1">
        <f>+'ENCUESTA CONDUCTORES'!BH24</f>
        <v>85000</v>
      </c>
      <c r="BA24" s="1">
        <f>+'ENCUESTA CONDUCTORES'!BI24</f>
        <v>12000</v>
      </c>
      <c r="BB24" s="15">
        <f>IF('ENCUESTA CONDUCTORES'!BJ24="X",1,0)</f>
        <v>1</v>
      </c>
      <c r="BC24" s="15">
        <f>IF('ENCUESTA CONDUCTORES'!BK24="X",1,0)</f>
        <v>0</v>
      </c>
      <c r="BD24" s="15">
        <f>IF('ENCUESTA CONDUCTORES'!BL24="X",1,0)</f>
        <v>0</v>
      </c>
      <c r="BE24" s="15">
        <f>IF('ENCUESTA CONDUCTORES'!BM24="X",1,0)</f>
        <v>0</v>
      </c>
      <c r="BF24" s="15">
        <f>IF('ENCUESTA CONDUCTORES'!BN24="X",1,0)</f>
        <v>0</v>
      </c>
      <c r="BG24" s="15">
        <f>IF('ENCUESTA CONDUCTORES'!BO24="X",1,0)</f>
        <v>0</v>
      </c>
      <c r="BH24" s="15">
        <f>IF('ENCUESTA CONDUCTORES'!BP24="X",1,0)</f>
        <v>0</v>
      </c>
      <c r="BI24" s="15">
        <f>IF('ENCUESTA CONDUCTORES'!BQ24="X",1,0)</f>
        <v>0</v>
      </c>
      <c r="BJ24" s="15">
        <f>IF('ENCUESTA CONDUCTORES'!BR24="X",1,0)</f>
        <v>0</v>
      </c>
      <c r="BK24" s="15">
        <f>+'ENCUESTA CONDUCTORES'!BS24</f>
        <v>0</v>
      </c>
      <c r="BL24" s="15">
        <f>IF('ENCUESTA CONDUCTORES'!BT24="X",1,0)</f>
        <v>0</v>
      </c>
      <c r="BM24" s="15">
        <f>IF('ENCUESTA CONDUCTORES'!BU24="X",1,0)</f>
        <v>1</v>
      </c>
      <c r="BN24" s="15">
        <f>IF('ENCUESTA CONDUCTORES'!BV24="X",1,0)</f>
        <v>0</v>
      </c>
      <c r="BO24" s="15">
        <f>IF('ENCUESTA CONDUCTORES'!BW24="X",1,0)</f>
        <v>0</v>
      </c>
      <c r="BP24" s="15">
        <f>+'ENCUESTA CONDUCTORES'!BX24</f>
        <v>1</v>
      </c>
      <c r="BQ24" s="15">
        <f>+'ENCUESTA CONDUCTORES'!BY24</f>
        <v>3</v>
      </c>
      <c r="BR24" s="15">
        <f>+'ENCUESTA CONDUCTORES'!BZ24</f>
        <v>2</v>
      </c>
      <c r="BS24" s="15">
        <f>+'ENCUESTA CONDUCTORES'!CA24</f>
        <v>0</v>
      </c>
      <c r="BT24" s="15">
        <f>IF('ENCUESTA CONDUCTORES'!CB24="X",1,0)</f>
        <v>1</v>
      </c>
      <c r="BU24" s="15">
        <f>IF('ENCUESTA CONDUCTORES'!CC24="X",1,0)</f>
        <v>0</v>
      </c>
      <c r="BV24" s="15">
        <f>IF('ENCUESTA CONDUCTORES'!CD24="X",1,0)</f>
        <v>0</v>
      </c>
      <c r="BW24" s="15">
        <f>IF('ENCUESTA CONDUCTORES'!CE24="X",1,0)</f>
        <v>0</v>
      </c>
      <c r="BX24" s="15">
        <f>IF('ENCUESTA CONDUCTORES'!CF24="X",1,0)</f>
        <v>0</v>
      </c>
      <c r="BY24" s="15">
        <f>IF('ENCUESTA CONDUCTORES'!CG24="X",1,0)</f>
        <v>0</v>
      </c>
      <c r="BZ24" s="15">
        <f>IF('ENCUESTA CONDUCTORES'!CH24="X",1,0)</f>
        <v>0</v>
      </c>
      <c r="CA24" s="15">
        <f>IF('ENCUESTA CONDUCTORES'!CI24="X",1,0)</f>
        <v>0</v>
      </c>
      <c r="CB24" s="15">
        <f>IF('ENCUESTA CONDUCTORES'!CJ24="X",1,0)</f>
        <v>0</v>
      </c>
      <c r="CC24" s="15">
        <f>IF('ENCUESTA CONDUCTORES'!CK24="X",1,0)</f>
        <v>1</v>
      </c>
      <c r="CD24" s="15">
        <f>IF('ENCUESTA CONDUCTORES'!CL24="X",1,0)</f>
        <v>0</v>
      </c>
      <c r="CE24" s="15">
        <f>IF('ENCUESTA CONDUCTORES'!CM24="X",1,0)</f>
        <v>0</v>
      </c>
      <c r="CF24" s="15">
        <f>+'ENCUESTA CONDUCTORES'!CN24</f>
        <v>0</v>
      </c>
      <c r="CG24" s="15">
        <f>IF('ENCUESTA CONDUCTORES'!CO24="X",1,0)</f>
        <v>0</v>
      </c>
      <c r="CH24" s="15" t="str">
        <f>+'ENCUESTA CONDUCTORES'!CP24</f>
        <v>NO SABE</v>
      </c>
      <c r="CI24" s="15" t="str">
        <f>+'ENCUESTA CONDUCTORES'!CQ24</f>
        <v>NO SABE</v>
      </c>
      <c r="CJ24" s="15">
        <f>IF('ENCUESTA CONDUCTORES'!CR24="X",1,0)</f>
        <v>1</v>
      </c>
      <c r="CK24" s="15">
        <f>IF('ENCUESTA CONDUCTORES'!CS24="X",1,0)</f>
        <v>0</v>
      </c>
      <c r="CL24" s="15">
        <f>IF('ENCUESTA CONDUCTORES'!CT24="X",1,0)</f>
        <v>0</v>
      </c>
      <c r="CM24" s="15">
        <f>+'ENCUESTA CONDUCTORES'!CU24</f>
        <v>0</v>
      </c>
      <c r="CN24" s="15">
        <f>IF('ENCUESTA CONDUCTORES'!CV24="X",1,0)</f>
        <v>0</v>
      </c>
      <c r="CO24" s="15">
        <f>+'ENCUESTA CONDUCTORES'!CW24</f>
        <v>0</v>
      </c>
      <c r="CP24" s="15">
        <f>IF('ENCUESTA CONDUCTORES'!CX24="X",1,0)</f>
        <v>0</v>
      </c>
      <c r="CQ24" s="15">
        <f>IF('ENCUESTA CONDUCTORES'!CY24="X",1,0)</f>
        <v>1</v>
      </c>
      <c r="CR24" s="3">
        <f>+'ENCUESTA CONDUCTORES'!CZ24</f>
        <v>0</v>
      </c>
      <c r="CS24" s="49">
        <f>+'ENCUESTA CONDUCTORES'!DA24</f>
        <v>0</v>
      </c>
    </row>
    <row r="25" spans="2:97" x14ac:dyDescent="0.25">
      <c r="B25" s="14" t="str">
        <f>+'ENCUESTA CONDUCTORES'!D25</f>
        <v>C-025</v>
      </c>
      <c r="C25" s="15">
        <f>IF('ENCUESTA CONDUCTORES'!E25="X",1,0)</f>
        <v>0</v>
      </c>
      <c r="D25" s="15">
        <f>IF('ENCUESTA CONDUCTORES'!F25="X",1,0)</f>
        <v>1</v>
      </c>
      <c r="E25" s="15">
        <f>IF('ENCUESTA CONDUCTORES'!G25="X",1,0)</f>
        <v>0</v>
      </c>
      <c r="F25" s="15">
        <f>IF('ENCUESTA CONDUCTORES'!H25="X",1,0)</f>
        <v>0</v>
      </c>
      <c r="G25" s="15">
        <f>+'ENCUESTA CONDUCTORES'!I25</f>
        <v>36</v>
      </c>
      <c r="H25" s="15" t="str">
        <f>+'ENCUESTA CONDUCTORES'!J25</f>
        <v>M</v>
      </c>
      <c r="I25" s="15" t="str">
        <f>+'ENCUESTA CONDUCTORES'!K25</f>
        <v>PRIMARIA</v>
      </c>
      <c r="J25" s="15" t="str">
        <f>+'ENCUESTA CONDUCTORES'!L25</f>
        <v>CUILAPAN, OAX</v>
      </c>
      <c r="K25" s="50" t="str">
        <f>+'ENCUESTA CONDUCTORES'!M25</f>
        <v>CUILAPAN</v>
      </c>
      <c r="L25" s="15" t="str">
        <f>+'ENCUESTA CONDUCTORES'!N25</f>
        <v>OAXACA</v>
      </c>
      <c r="M25" s="15">
        <f>+'ENCUESTA CONDUCTORES'!O25</f>
        <v>12</v>
      </c>
      <c r="N25" s="15">
        <f>IF('ENCUESTA CONDUCTORES'!P25="X",1,0)</f>
        <v>1</v>
      </c>
      <c r="O25" s="15">
        <f>IF('ENCUESTA CONDUCTORES'!Q25="X",1,0)</f>
        <v>0</v>
      </c>
      <c r="P25" s="15">
        <f>IF('ENCUESTA CONDUCTORES'!R25="X",1,0)</f>
        <v>0</v>
      </c>
      <c r="Q25" s="15">
        <f>IF('ENCUESTA CONDUCTORES'!S25="X",1,0)</f>
        <v>0</v>
      </c>
      <c r="R25" s="15">
        <f>IF('ENCUESTA CONDUCTORES'!T25="X",1,0)</f>
        <v>0</v>
      </c>
      <c r="S25" s="15">
        <f>IF('ENCUESTA CONDUCTORES'!U25="X",1,0)</f>
        <v>1</v>
      </c>
      <c r="T25" s="15">
        <f>IF('ENCUESTA CONDUCTORES'!V25="X",1,0)</f>
        <v>0</v>
      </c>
      <c r="U25" s="15">
        <f>IF('ENCUESTA CONDUCTORES'!W25="X",1,0)</f>
        <v>0</v>
      </c>
      <c r="V25" s="15">
        <f>IF('ENCUESTA CONDUCTORES'!X25="X",1,0)</f>
        <v>0</v>
      </c>
      <c r="W25" s="15">
        <f>IF('ENCUESTA CONDUCTORES'!Y25="X",1,0)</f>
        <v>0</v>
      </c>
      <c r="X25" s="15">
        <f>IF('ENCUESTA CONDUCTORES'!Z25="X",1,0)</f>
        <v>0</v>
      </c>
      <c r="Y25" s="15">
        <f>+'ENCUESTA CONDUCTORES'!AG25</f>
        <v>0</v>
      </c>
      <c r="Z25" s="15">
        <f>+'ENCUESTA CONDUCTORES'!AH25</f>
        <v>1990</v>
      </c>
      <c r="AA25" s="1">
        <f>+'ENCUESTA CONDUCTORES'!AI25</f>
        <v>414000</v>
      </c>
      <c r="AB25" s="15">
        <f>IF('ENCUESTA CONDUCTORES'!AJ25="X",1,0)</f>
        <v>1</v>
      </c>
      <c r="AC25" s="15">
        <f>IF('ENCUESTA CONDUCTORES'!AK25="X",1,0)</f>
        <v>0</v>
      </c>
      <c r="AD25" s="15">
        <f>IF('ENCUESTA CONDUCTORES'!AL25="X",1,0)</f>
        <v>0</v>
      </c>
      <c r="AE25" s="15">
        <f>IF('ENCUESTA CONDUCTORES'!AM25="X",1,0)</f>
        <v>0</v>
      </c>
      <c r="AF25" s="15">
        <f>IF('ENCUESTA CONDUCTORES'!AN25="X",1,0)</f>
        <v>0</v>
      </c>
      <c r="AG25" s="15">
        <f>IF('ENCUESTA CONDUCTORES'!AO25="X",1,0)</f>
        <v>0</v>
      </c>
      <c r="AH25" s="15">
        <f>IF('ENCUESTA CONDUCTORES'!AP25="X",1,0)</f>
        <v>1</v>
      </c>
      <c r="AI25" s="15">
        <f>IF('ENCUESTA CONDUCTORES'!AQ25="X",1,0)</f>
        <v>0</v>
      </c>
      <c r="AJ25" s="15">
        <f>IF('ENCUESTA CONDUCTORES'!AR25="X",1,0)</f>
        <v>0</v>
      </c>
      <c r="AK25" s="15">
        <f>+'ENCUESTA CONDUCTORES'!AS25</f>
        <v>0</v>
      </c>
      <c r="AL25" s="15" t="str">
        <f>+'ENCUESTA CONDUCTORES'!AT25</f>
        <v>NISSAN</v>
      </c>
      <c r="AM25" s="1">
        <f>+'ENCUESTA CONDUCTORES'!AU25</f>
        <v>1500</v>
      </c>
      <c r="AN25" s="48">
        <f>+'ENCUESTA CONDUCTORES'!AV25</f>
        <v>0.5</v>
      </c>
      <c r="AO25" s="15">
        <f>+'ENCUESTA CONDUCTORES'!AW25</f>
        <v>3.5</v>
      </c>
      <c r="AP25" s="15">
        <f>+'ENCUESTA CONDUCTORES'!AX25</f>
        <v>2.8</v>
      </c>
      <c r="AQ25" s="15">
        <f>+'ENCUESTA CONDUCTORES'!AY25</f>
        <v>1</v>
      </c>
      <c r="AR25" s="15">
        <f>+'ENCUESTA CONDUCTORES'!AZ25</f>
        <v>60</v>
      </c>
      <c r="AS25" s="15">
        <f>+'ENCUESTA CONDUCTORES'!BA25</f>
        <v>200</v>
      </c>
      <c r="AT25" s="15">
        <f>IF('ENCUESTA CONDUCTORES'!BB25="X",1,0)</f>
        <v>0</v>
      </c>
      <c r="AU25" s="15">
        <f>IF('ENCUESTA CONDUCTORES'!BC25="X",1,0)</f>
        <v>0</v>
      </c>
      <c r="AV25" s="15">
        <f>IF('ENCUESTA CONDUCTORES'!BD25="X",1,0)</f>
        <v>0</v>
      </c>
      <c r="AW25" s="1">
        <f>+'ENCUESTA CONDUCTORES'!BE25</f>
        <v>5000</v>
      </c>
      <c r="AX25" s="1">
        <f>+'ENCUESTA CONDUCTORES'!BF25</f>
        <v>7500</v>
      </c>
      <c r="AY25" s="1">
        <f>+'ENCUESTA CONDUCTORES'!BG25</f>
        <v>5000</v>
      </c>
      <c r="AZ25" s="1">
        <f>+'ENCUESTA CONDUCTORES'!BH25</f>
        <v>70000</v>
      </c>
      <c r="BA25" s="1" t="str">
        <f>+'ENCUESTA CONDUCTORES'!BI25</f>
        <v>NO APLICA</v>
      </c>
      <c r="BB25" s="15">
        <f>IF('ENCUESTA CONDUCTORES'!BJ25="X",1,0)</f>
        <v>0</v>
      </c>
      <c r="BC25" s="15">
        <f>IF('ENCUESTA CONDUCTORES'!BK25="X",1,0)</f>
        <v>1</v>
      </c>
      <c r="BD25" s="15">
        <f>IF('ENCUESTA CONDUCTORES'!BL25="X",1,0)</f>
        <v>0</v>
      </c>
      <c r="BE25" s="15">
        <f>IF('ENCUESTA CONDUCTORES'!BM25="X",1,0)</f>
        <v>0</v>
      </c>
      <c r="BF25" s="15">
        <f>IF('ENCUESTA CONDUCTORES'!BN25="X",1,0)</f>
        <v>0</v>
      </c>
      <c r="BG25" s="15">
        <f>IF('ENCUESTA CONDUCTORES'!BO25="X",1,0)</f>
        <v>0</v>
      </c>
      <c r="BH25" s="15">
        <f>IF('ENCUESTA CONDUCTORES'!BP25="X",1,0)</f>
        <v>0</v>
      </c>
      <c r="BI25" s="15">
        <f>IF('ENCUESTA CONDUCTORES'!BQ25="X",1,0)</f>
        <v>0</v>
      </c>
      <c r="BJ25" s="15">
        <f>IF('ENCUESTA CONDUCTORES'!BR25="X",1,0)</f>
        <v>0</v>
      </c>
      <c r="BK25" s="15">
        <f>+'ENCUESTA CONDUCTORES'!BS25</f>
        <v>0</v>
      </c>
      <c r="BL25" s="15">
        <f>IF('ENCUESTA CONDUCTORES'!BT25="X",1,0)</f>
        <v>0</v>
      </c>
      <c r="BM25" s="15">
        <f>IF('ENCUESTA CONDUCTORES'!BU25="X",1,0)</f>
        <v>1</v>
      </c>
      <c r="BN25" s="15">
        <f>IF('ENCUESTA CONDUCTORES'!BV25="X",1,0)</f>
        <v>0</v>
      </c>
      <c r="BO25" s="15">
        <f>IF('ENCUESTA CONDUCTORES'!BW25="X",1,0)</f>
        <v>0</v>
      </c>
      <c r="BP25" s="15">
        <f>+'ENCUESTA CONDUCTORES'!BX25</f>
        <v>1</v>
      </c>
      <c r="BQ25" s="15">
        <f>+'ENCUESTA CONDUCTORES'!BY25</f>
        <v>3</v>
      </c>
      <c r="BR25" s="15">
        <f>+'ENCUESTA CONDUCTORES'!BZ25</f>
        <v>2</v>
      </c>
      <c r="BS25" s="15">
        <f>+'ENCUESTA CONDUCTORES'!CA25</f>
        <v>0</v>
      </c>
      <c r="BT25" s="15">
        <f>IF('ENCUESTA CONDUCTORES'!CB25="X",1,0)</f>
        <v>1</v>
      </c>
      <c r="BU25" s="15">
        <f>IF('ENCUESTA CONDUCTORES'!CC25="X",1,0)</f>
        <v>0</v>
      </c>
      <c r="BV25" s="15">
        <f>IF('ENCUESTA CONDUCTORES'!CD25="X",1,0)</f>
        <v>0</v>
      </c>
      <c r="BW25" s="15">
        <f>IF('ENCUESTA CONDUCTORES'!CE25="X",1,0)</f>
        <v>0</v>
      </c>
      <c r="BX25" s="15">
        <f>IF('ENCUESTA CONDUCTORES'!CF25="X",1,0)</f>
        <v>0</v>
      </c>
      <c r="BY25" s="15">
        <f>IF('ENCUESTA CONDUCTORES'!CG25="X",1,0)</f>
        <v>0</v>
      </c>
      <c r="BZ25" s="15">
        <f>IF('ENCUESTA CONDUCTORES'!CH25="X",1,0)</f>
        <v>0</v>
      </c>
      <c r="CA25" s="15">
        <f>IF('ENCUESTA CONDUCTORES'!CI25="X",1,0)</f>
        <v>0</v>
      </c>
      <c r="CB25" s="15">
        <f>IF('ENCUESTA CONDUCTORES'!CJ25="X",1,0)</f>
        <v>0</v>
      </c>
      <c r="CC25" s="15">
        <f>IF('ENCUESTA CONDUCTORES'!CK25="X",1,0)</f>
        <v>1</v>
      </c>
      <c r="CD25" s="15">
        <f>IF('ENCUESTA CONDUCTORES'!CL25="X",1,0)</f>
        <v>0</v>
      </c>
      <c r="CE25" s="15">
        <f>IF('ENCUESTA CONDUCTORES'!CM25="X",1,0)</f>
        <v>0</v>
      </c>
      <c r="CF25" s="15">
        <f>+'ENCUESTA CONDUCTORES'!CN25</f>
        <v>0</v>
      </c>
      <c r="CG25" s="15">
        <f>IF('ENCUESTA CONDUCTORES'!CO25="X",1,0)</f>
        <v>0</v>
      </c>
      <c r="CH25" s="15" t="str">
        <f>+'ENCUESTA CONDUCTORES'!CP25</f>
        <v>NO SABE</v>
      </c>
      <c r="CI25" s="15" t="str">
        <f>+'ENCUESTA CONDUCTORES'!CQ25</f>
        <v>NO SABE</v>
      </c>
      <c r="CJ25" s="15">
        <f>IF('ENCUESTA CONDUCTORES'!CR25="X",1,0)</f>
        <v>1</v>
      </c>
      <c r="CK25" s="15">
        <f>IF('ENCUESTA CONDUCTORES'!CS25="X",1,0)</f>
        <v>0</v>
      </c>
      <c r="CL25" s="15">
        <f>IF('ENCUESTA CONDUCTORES'!CT25="X",1,0)</f>
        <v>0</v>
      </c>
      <c r="CM25" s="15">
        <f>+'ENCUESTA CONDUCTORES'!CU25</f>
        <v>0</v>
      </c>
      <c r="CN25" s="15">
        <f>IF('ENCUESTA CONDUCTORES'!CV25="X",1,0)</f>
        <v>0</v>
      </c>
      <c r="CO25" s="15">
        <f>+'ENCUESTA CONDUCTORES'!CW25</f>
        <v>0</v>
      </c>
      <c r="CP25" s="15">
        <f>IF('ENCUESTA CONDUCTORES'!CX25="X",1,0)</f>
        <v>0</v>
      </c>
      <c r="CQ25" s="15">
        <f>IF('ENCUESTA CONDUCTORES'!CY25="X",1,0)</f>
        <v>1</v>
      </c>
      <c r="CR25" s="3">
        <f>+'ENCUESTA CONDUCTORES'!CZ25</f>
        <v>0</v>
      </c>
      <c r="CS25" s="49">
        <f>+'ENCUESTA CONDUCTORES'!DA25</f>
        <v>0</v>
      </c>
    </row>
    <row r="26" spans="2:97" x14ac:dyDescent="0.25">
      <c r="B26" s="14" t="str">
        <f>+'ENCUESTA CONDUCTORES'!D26</f>
        <v>C-026</v>
      </c>
      <c r="C26" s="15">
        <f>IF('ENCUESTA CONDUCTORES'!E26="X",1,0)</f>
        <v>0</v>
      </c>
      <c r="D26" s="15">
        <f>IF('ENCUESTA CONDUCTORES'!F26="X",1,0)</f>
        <v>0</v>
      </c>
      <c r="E26" s="15">
        <f>IF('ENCUESTA CONDUCTORES'!G26="X",1,0)</f>
        <v>1</v>
      </c>
      <c r="F26" s="15">
        <f>IF('ENCUESTA CONDUCTORES'!H26="X",1,0)</f>
        <v>0</v>
      </c>
      <c r="G26" s="15">
        <f>+'ENCUESTA CONDUCTORES'!I26</f>
        <v>47</v>
      </c>
      <c r="H26" s="15" t="str">
        <f>+'ENCUESTA CONDUCTORES'!J26</f>
        <v>M</v>
      </c>
      <c r="I26" s="15" t="str">
        <f>+'ENCUESTA CONDUCTORES'!K26</f>
        <v>SECUNDARIA</v>
      </c>
      <c r="J26" s="15" t="str">
        <f>+'ENCUESTA CONDUCTORES'!L26</f>
        <v>OAXACA,OAX.</v>
      </c>
      <c r="K26" s="15" t="str">
        <f>+'ENCUESTA CONDUCTORES'!M26</f>
        <v>OAXACA</v>
      </c>
      <c r="L26" s="15" t="str">
        <f>+'ENCUESTA CONDUCTORES'!N26</f>
        <v>OAXACA</v>
      </c>
      <c r="M26" s="15">
        <f>+'ENCUESTA CONDUCTORES'!O26</f>
        <v>26</v>
      </c>
      <c r="N26" s="15">
        <f>IF('ENCUESTA CONDUCTORES'!P26="X",1,0)</f>
        <v>0</v>
      </c>
      <c r="O26" s="15">
        <f>IF('ENCUESTA CONDUCTORES'!Q26="X",1,0)</f>
        <v>1</v>
      </c>
      <c r="P26" s="15">
        <f>IF('ENCUESTA CONDUCTORES'!R26="X",1,0)</f>
        <v>0</v>
      </c>
      <c r="Q26" s="15">
        <f>IF('ENCUESTA CONDUCTORES'!S26="X",1,0)</f>
        <v>0</v>
      </c>
      <c r="R26" s="15">
        <f>IF('ENCUESTA CONDUCTORES'!T26="X",1,0)</f>
        <v>0</v>
      </c>
      <c r="S26" s="15">
        <f>IF('ENCUESTA CONDUCTORES'!U26="X",1,0)</f>
        <v>0</v>
      </c>
      <c r="T26" s="15">
        <f>IF('ENCUESTA CONDUCTORES'!V26="X",1,0)</f>
        <v>0</v>
      </c>
      <c r="U26" s="15">
        <f>IF('ENCUESTA CONDUCTORES'!W26="X",1,0)</f>
        <v>0</v>
      </c>
      <c r="V26" s="15">
        <f>IF('ENCUESTA CONDUCTORES'!X26="X",1,0)</f>
        <v>0</v>
      </c>
      <c r="W26" s="15">
        <f>IF('ENCUESTA CONDUCTORES'!Y26="X",1,0)</f>
        <v>0</v>
      </c>
      <c r="X26" s="15">
        <f>IF('ENCUESTA CONDUCTORES'!Z26="X",1,0)</f>
        <v>0</v>
      </c>
      <c r="Y26" s="15">
        <f>+'ENCUESTA CONDUCTORES'!AG26</f>
        <v>0</v>
      </c>
      <c r="Z26" s="15">
        <f>+'ENCUESTA CONDUCTORES'!AH26</f>
        <v>2006</v>
      </c>
      <c r="AA26" s="1">
        <f>+'ENCUESTA CONDUCTORES'!AI26</f>
        <v>334000</v>
      </c>
      <c r="AB26" s="15">
        <f>IF('ENCUESTA CONDUCTORES'!AJ26="X",1,0)</f>
        <v>0</v>
      </c>
      <c r="AC26" s="15">
        <f>IF('ENCUESTA CONDUCTORES'!AK26="X",1,0)</f>
        <v>0</v>
      </c>
      <c r="AD26" s="15">
        <f>IF('ENCUESTA CONDUCTORES'!AL26="X",1,0)</f>
        <v>1</v>
      </c>
      <c r="AE26" s="15">
        <f>IF('ENCUESTA CONDUCTORES'!AM26="X",1,0)</f>
        <v>0</v>
      </c>
      <c r="AF26" s="15">
        <f>IF('ENCUESTA CONDUCTORES'!AN26="X",1,0)</f>
        <v>0</v>
      </c>
      <c r="AG26" s="15">
        <f>IF('ENCUESTA CONDUCTORES'!AO26="X",1,0)</f>
        <v>0</v>
      </c>
      <c r="AH26" s="15">
        <f>IF('ENCUESTA CONDUCTORES'!AP26="X",1,0)</f>
        <v>1</v>
      </c>
      <c r="AI26" s="15">
        <f>IF('ENCUESTA CONDUCTORES'!AQ26="X",1,0)</f>
        <v>0</v>
      </c>
      <c r="AJ26" s="15">
        <f>IF('ENCUESTA CONDUCTORES'!AR26="X",1,0)</f>
        <v>0</v>
      </c>
      <c r="AK26" s="15">
        <f>+'ENCUESTA CONDUCTORES'!AS26</f>
        <v>0</v>
      </c>
      <c r="AL26" s="15" t="str">
        <f>+'ENCUESTA CONDUCTORES'!AT26</f>
        <v>INTERNATIONAL</v>
      </c>
      <c r="AM26" s="1">
        <f>+'ENCUESTA CONDUCTORES'!AU26</f>
        <v>4000</v>
      </c>
      <c r="AN26" s="48">
        <f>+'ENCUESTA CONDUCTORES'!AV26</f>
        <v>0.5</v>
      </c>
      <c r="AO26" s="15">
        <f>+'ENCUESTA CONDUCTORES'!AW26</f>
        <v>2.2999999999999998</v>
      </c>
      <c r="AP26" s="15">
        <f>+'ENCUESTA CONDUCTORES'!AX26</f>
        <v>1.9</v>
      </c>
      <c r="AQ26" s="15">
        <f>+'ENCUESTA CONDUCTORES'!AY26</f>
        <v>1</v>
      </c>
      <c r="AR26" s="15">
        <f>+'ENCUESTA CONDUCTORES'!AZ26</f>
        <v>380</v>
      </c>
      <c r="AS26" s="15">
        <f>+'ENCUESTA CONDUCTORES'!BA26</f>
        <v>800</v>
      </c>
      <c r="AT26" s="15">
        <f>IF('ENCUESTA CONDUCTORES'!BB26="X",1,0)</f>
        <v>1</v>
      </c>
      <c r="AU26" s="15">
        <f>IF('ENCUESTA CONDUCTORES'!BC26="X",1,0)</f>
        <v>1</v>
      </c>
      <c r="AV26" s="15">
        <f>IF('ENCUESTA CONDUCTORES'!BD26="X",1,0)</f>
        <v>0</v>
      </c>
      <c r="AW26" s="1">
        <f>+'ENCUESTA CONDUCTORES'!BE26</f>
        <v>7500</v>
      </c>
      <c r="AX26" s="1">
        <f>+'ENCUESTA CONDUCTORES'!BF26</f>
        <v>10000</v>
      </c>
      <c r="AY26" s="1">
        <f>+'ENCUESTA CONDUCTORES'!BG26</f>
        <v>12000</v>
      </c>
      <c r="AZ26" s="1">
        <f>+'ENCUESTA CONDUCTORES'!BH26</f>
        <v>95000</v>
      </c>
      <c r="BA26" s="1">
        <f>+'ENCUESTA CONDUCTORES'!BI26</f>
        <v>12000</v>
      </c>
      <c r="BB26" s="15">
        <f>IF('ENCUESTA CONDUCTORES'!BJ26="X",1,0)</f>
        <v>1</v>
      </c>
      <c r="BC26" s="15">
        <f>IF('ENCUESTA CONDUCTORES'!BK26="X",1,0)</f>
        <v>0</v>
      </c>
      <c r="BD26" s="15">
        <f>IF('ENCUESTA CONDUCTORES'!BL26="X",1,0)</f>
        <v>0</v>
      </c>
      <c r="BE26" s="15">
        <f>IF('ENCUESTA CONDUCTORES'!BM26="X",1,0)</f>
        <v>0</v>
      </c>
      <c r="BF26" s="15">
        <f>IF('ENCUESTA CONDUCTORES'!BN26="X",1,0)</f>
        <v>0</v>
      </c>
      <c r="BG26" s="15">
        <f>IF('ENCUESTA CONDUCTORES'!BO26="X",1,0)</f>
        <v>1</v>
      </c>
      <c r="BH26" s="15">
        <f>IF('ENCUESTA CONDUCTORES'!BP26="X",1,0)</f>
        <v>0</v>
      </c>
      <c r="BI26" s="15">
        <f>IF('ENCUESTA CONDUCTORES'!BQ26="X",1,0)</f>
        <v>0</v>
      </c>
      <c r="BJ26" s="15">
        <f>IF('ENCUESTA CONDUCTORES'!BR26="X",1,0)</f>
        <v>0</v>
      </c>
      <c r="BK26" s="15">
        <f>+'ENCUESTA CONDUCTORES'!BS26</f>
        <v>0</v>
      </c>
      <c r="BL26" s="15">
        <f>IF('ENCUESTA CONDUCTORES'!BT26="X",1,0)</f>
        <v>0</v>
      </c>
      <c r="BM26" s="15">
        <f>IF('ENCUESTA CONDUCTORES'!BU26="X",1,0)</f>
        <v>1</v>
      </c>
      <c r="BN26" s="15">
        <f>IF('ENCUESTA CONDUCTORES'!BV26="X",1,0)</f>
        <v>0</v>
      </c>
      <c r="BO26" s="15">
        <f>IF('ENCUESTA CONDUCTORES'!BW26="X",1,0)</f>
        <v>0</v>
      </c>
      <c r="BP26" s="15">
        <f>+'ENCUESTA CONDUCTORES'!BX26</f>
        <v>1</v>
      </c>
      <c r="BQ26" s="15">
        <f>+'ENCUESTA CONDUCTORES'!BY26</f>
        <v>3</v>
      </c>
      <c r="BR26" s="15">
        <f>+'ENCUESTA CONDUCTORES'!BZ26</f>
        <v>2</v>
      </c>
      <c r="BS26" s="15">
        <f>+'ENCUESTA CONDUCTORES'!CA26</f>
        <v>0</v>
      </c>
      <c r="BT26" s="15">
        <f>IF('ENCUESTA CONDUCTORES'!CB26="X",1,0)</f>
        <v>0</v>
      </c>
      <c r="BU26" s="15">
        <f>IF('ENCUESTA CONDUCTORES'!CC26="X",1,0)</f>
        <v>1</v>
      </c>
      <c r="BV26" s="15">
        <f>IF('ENCUESTA CONDUCTORES'!CD26="X",1,0)</f>
        <v>0</v>
      </c>
      <c r="BW26" s="15">
        <f>IF('ENCUESTA CONDUCTORES'!CE26="X",1,0)</f>
        <v>0</v>
      </c>
      <c r="BX26" s="15">
        <f>IF('ENCUESTA CONDUCTORES'!CF26="X",1,0)</f>
        <v>0</v>
      </c>
      <c r="BY26" s="15">
        <f>IF('ENCUESTA CONDUCTORES'!CG26="X",1,0)</f>
        <v>1</v>
      </c>
      <c r="BZ26" s="15">
        <f>IF('ENCUESTA CONDUCTORES'!CH26="X",1,0)</f>
        <v>0</v>
      </c>
      <c r="CA26" s="15">
        <f>IF('ENCUESTA CONDUCTORES'!CI26="X",1,0)</f>
        <v>0</v>
      </c>
      <c r="CB26" s="15">
        <f>IF('ENCUESTA CONDUCTORES'!CJ26="X",1,0)</f>
        <v>0</v>
      </c>
      <c r="CC26" s="15">
        <f>IF('ENCUESTA CONDUCTORES'!CK26="X",1,0)</f>
        <v>1</v>
      </c>
      <c r="CD26" s="15">
        <f>IF('ENCUESTA CONDUCTORES'!CL26="X",1,0)</f>
        <v>0</v>
      </c>
      <c r="CE26" s="15">
        <f>IF('ENCUESTA CONDUCTORES'!CM26="X",1,0)</f>
        <v>0</v>
      </c>
      <c r="CF26" s="15">
        <f>+'ENCUESTA CONDUCTORES'!CN26</f>
        <v>0</v>
      </c>
      <c r="CG26" s="15">
        <f>IF('ENCUESTA CONDUCTORES'!CO26="X",1,0)</f>
        <v>0</v>
      </c>
      <c r="CH26" s="15" t="str">
        <f>+'ENCUESTA CONDUCTORES'!CP26</f>
        <v>NO SABE</v>
      </c>
      <c r="CI26" s="15" t="str">
        <f>+'ENCUESTA CONDUCTORES'!CQ26</f>
        <v>NO SABE</v>
      </c>
      <c r="CJ26" s="15">
        <f>IF('ENCUESTA CONDUCTORES'!CR26="X",1,0)</f>
        <v>0</v>
      </c>
      <c r="CK26" s="15">
        <f>IF('ENCUESTA CONDUCTORES'!CS26="X",1,0)</f>
        <v>0</v>
      </c>
      <c r="CL26" s="15">
        <f>IF('ENCUESTA CONDUCTORES'!CT26="X",1,0)</f>
        <v>1</v>
      </c>
      <c r="CM26" s="15">
        <f>+'ENCUESTA CONDUCTORES'!CU26</f>
        <v>0</v>
      </c>
      <c r="CN26" s="15">
        <f>IF('ENCUESTA CONDUCTORES'!CV26="X",1,0)</f>
        <v>0</v>
      </c>
      <c r="CO26" s="15">
        <f>+'ENCUESTA CONDUCTORES'!CW26</f>
        <v>0</v>
      </c>
      <c r="CP26" s="15">
        <f>IF('ENCUESTA CONDUCTORES'!CX26="X",1,0)</f>
        <v>1</v>
      </c>
      <c r="CQ26" s="15">
        <f>IF('ENCUESTA CONDUCTORES'!CY26="X",1,0)</f>
        <v>0</v>
      </c>
      <c r="CR26" s="3">
        <f>+'ENCUESTA CONDUCTORES'!CZ26</f>
        <v>0</v>
      </c>
      <c r="CS26" s="49">
        <f>+'ENCUESTA CONDUCTORES'!DA26</f>
        <v>0</v>
      </c>
    </row>
    <row r="27" spans="2:97" x14ac:dyDescent="0.25">
      <c r="B27" s="14" t="str">
        <f>+'ENCUESTA CONDUCTORES'!D27</f>
        <v>C-029</v>
      </c>
      <c r="C27" s="15">
        <f>IF('ENCUESTA CONDUCTORES'!E27="X",1,0)</f>
        <v>0</v>
      </c>
      <c r="D27" s="15">
        <f>IF('ENCUESTA CONDUCTORES'!F27="X",1,0)</f>
        <v>0</v>
      </c>
      <c r="E27" s="15">
        <f>IF('ENCUESTA CONDUCTORES'!G27="X",1,0)</f>
        <v>1</v>
      </c>
      <c r="F27" s="15">
        <f>IF('ENCUESTA CONDUCTORES'!H27="X",1,0)</f>
        <v>0</v>
      </c>
      <c r="G27" s="15">
        <f>+'ENCUESTA CONDUCTORES'!I27</f>
        <v>60</v>
      </c>
      <c r="H27" s="15" t="str">
        <f>+'ENCUESTA CONDUCTORES'!J27</f>
        <v>M</v>
      </c>
      <c r="I27" s="15" t="str">
        <f>+'ENCUESTA CONDUCTORES'!K27</f>
        <v>SECUNDARIA</v>
      </c>
      <c r="J27" s="15" t="str">
        <f>+'ENCUESTA CONDUCTORES'!L27</f>
        <v>PUEBLA, PUE</v>
      </c>
      <c r="K27" s="15" t="str">
        <f>+'ENCUESTA CONDUCTORES'!M27</f>
        <v>PUEBLA</v>
      </c>
      <c r="L27" s="15" t="str">
        <f>+'ENCUESTA CONDUCTORES'!N27</f>
        <v>PUEBLA</v>
      </c>
      <c r="M27" s="15">
        <f>+'ENCUESTA CONDUCTORES'!O27</f>
        <v>35</v>
      </c>
      <c r="N27" s="15">
        <f>IF('ENCUESTA CONDUCTORES'!P27="X",1,0)</f>
        <v>0</v>
      </c>
      <c r="O27" s="15">
        <f>IF('ENCUESTA CONDUCTORES'!Q27="X",1,0)</f>
        <v>0</v>
      </c>
      <c r="P27" s="15">
        <f>IF('ENCUESTA CONDUCTORES'!R27="X",1,0)</f>
        <v>0</v>
      </c>
      <c r="Q27" s="15">
        <f>IF('ENCUESTA CONDUCTORES'!S27="X",1,0)</f>
        <v>1</v>
      </c>
      <c r="R27" s="15">
        <f>IF('ENCUESTA CONDUCTORES'!T27="X",1,0)</f>
        <v>0</v>
      </c>
      <c r="S27" s="15">
        <f>IF('ENCUESTA CONDUCTORES'!U27="X",1,0)</f>
        <v>0</v>
      </c>
      <c r="T27" s="15">
        <f>IF('ENCUESTA CONDUCTORES'!V27="X",1,0)</f>
        <v>0</v>
      </c>
      <c r="U27" s="15">
        <f>IF('ENCUESTA CONDUCTORES'!W27="X",1,0)</f>
        <v>0</v>
      </c>
      <c r="V27" s="15">
        <f>IF('ENCUESTA CONDUCTORES'!X27="X",1,0)</f>
        <v>0</v>
      </c>
      <c r="W27" s="15">
        <f>IF('ENCUESTA CONDUCTORES'!Y27="X",1,0)</f>
        <v>1</v>
      </c>
      <c r="X27" s="15">
        <f>IF('ENCUESTA CONDUCTORES'!Z27="X",1,0)</f>
        <v>0</v>
      </c>
      <c r="Y27" s="15">
        <f>+'ENCUESTA CONDUCTORES'!AG27</f>
        <v>0</v>
      </c>
      <c r="Z27" s="15">
        <f>+'ENCUESTA CONDUCTORES'!AH27</f>
        <v>1998</v>
      </c>
      <c r="AA27" s="1">
        <f>+'ENCUESTA CONDUCTORES'!AI27</f>
        <v>1125000</v>
      </c>
      <c r="AB27" s="15">
        <f>IF('ENCUESTA CONDUCTORES'!AJ27="X",1,0)</f>
        <v>0</v>
      </c>
      <c r="AC27" s="15">
        <f>IF('ENCUESTA CONDUCTORES'!AK27="X",1,0)</f>
        <v>0</v>
      </c>
      <c r="AD27" s="15">
        <f>IF('ENCUESTA CONDUCTORES'!AL27="X",1,0)</f>
        <v>1</v>
      </c>
      <c r="AE27" s="15">
        <f>IF('ENCUESTA CONDUCTORES'!AM27="X",1,0)</f>
        <v>0</v>
      </c>
      <c r="AF27" s="15">
        <f>IF('ENCUESTA CONDUCTORES'!AN27="X",1,0)</f>
        <v>0</v>
      </c>
      <c r="AG27" s="15">
        <f>IF('ENCUESTA CONDUCTORES'!AO27="X",1,0)</f>
        <v>0</v>
      </c>
      <c r="AH27" s="15">
        <f>IF('ENCUESTA CONDUCTORES'!AP27="X",1,0)</f>
        <v>1</v>
      </c>
      <c r="AI27" s="15">
        <f>IF('ENCUESTA CONDUCTORES'!AQ27="X",1,0)</f>
        <v>0</v>
      </c>
      <c r="AJ27" s="15">
        <f>IF('ENCUESTA CONDUCTORES'!AR27="X",1,0)</f>
        <v>0</v>
      </c>
      <c r="AK27" s="15">
        <f>+'ENCUESTA CONDUCTORES'!AS27</f>
        <v>0</v>
      </c>
      <c r="AL27" s="15" t="str">
        <f>+'ENCUESTA CONDUCTORES'!AT27</f>
        <v>INTERNATIONAL</v>
      </c>
      <c r="AM27" s="1">
        <f>+'ENCUESTA CONDUCTORES'!AU27</f>
        <v>6250</v>
      </c>
      <c r="AN27" s="48">
        <f>+'ENCUESTA CONDUCTORES'!AV27</f>
        <v>0.5</v>
      </c>
      <c r="AO27" s="15">
        <f>+'ENCUESTA CONDUCTORES'!AW27</f>
        <v>2.1</v>
      </c>
      <c r="AP27" s="15">
        <f>+'ENCUESTA CONDUCTORES'!AX27</f>
        <v>1.7</v>
      </c>
      <c r="AQ27" s="15">
        <f>+'ENCUESTA CONDUCTORES'!AY27</f>
        <v>2</v>
      </c>
      <c r="AR27" s="15">
        <f>+'ENCUESTA CONDUCTORES'!AZ27</f>
        <v>650</v>
      </c>
      <c r="AS27" s="15">
        <f>+'ENCUESTA CONDUCTORES'!BA27</f>
        <v>1250</v>
      </c>
      <c r="AT27" s="15">
        <f>IF('ENCUESTA CONDUCTORES'!BB27="X",1,0)</f>
        <v>1</v>
      </c>
      <c r="AU27" s="15">
        <f>IF('ENCUESTA CONDUCTORES'!BC27="X",1,0)</f>
        <v>1</v>
      </c>
      <c r="AV27" s="15">
        <f>IF('ENCUESTA CONDUCTORES'!BD27="X",1,0)</f>
        <v>0</v>
      </c>
      <c r="AW27" s="1">
        <f>+'ENCUESTA CONDUCTORES'!BE27</f>
        <v>8000</v>
      </c>
      <c r="AX27" s="1">
        <f>+'ENCUESTA CONDUCTORES'!BF27</f>
        <v>12000</v>
      </c>
      <c r="AY27" s="1">
        <f>+'ENCUESTA CONDUCTORES'!BG27</f>
        <v>15000</v>
      </c>
      <c r="AZ27" s="1">
        <f>+'ENCUESTA CONDUCTORES'!BH27</f>
        <v>90000</v>
      </c>
      <c r="BA27" s="1">
        <f>+'ENCUESTA CONDUCTORES'!BI27</f>
        <v>12000</v>
      </c>
      <c r="BB27" s="15">
        <f>IF('ENCUESTA CONDUCTORES'!BJ27="X",1,0)</f>
        <v>0</v>
      </c>
      <c r="BC27" s="15">
        <f>IF('ENCUESTA CONDUCTORES'!BK27="X",1,0)</f>
        <v>0</v>
      </c>
      <c r="BD27" s="15">
        <f>IF('ENCUESTA CONDUCTORES'!BL27="X",1,0)</f>
        <v>0</v>
      </c>
      <c r="BE27" s="15">
        <f>IF('ENCUESTA CONDUCTORES'!BM27="X",1,0)</f>
        <v>1</v>
      </c>
      <c r="BF27" s="15">
        <f>IF('ENCUESTA CONDUCTORES'!BN27="X",1,0)</f>
        <v>0</v>
      </c>
      <c r="BG27" s="15">
        <f>IF('ENCUESTA CONDUCTORES'!BO27="X",1,0)</f>
        <v>0</v>
      </c>
      <c r="BH27" s="15">
        <f>IF('ENCUESTA CONDUCTORES'!BP27="X",1,0)</f>
        <v>0</v>
      </c>
      <c r="BI27" s="15">
        <f>IF('ENCUESTA CONDUCTORES'!BQ27="X",1,0)</f>
        <v>0</v>
      </c>
      <c r="BJ27" s="15">
        <f>IF('ENCUESTA CONDUCTORES'!BR27="X",1,0)</f>
        <v>0</v>
      </c>
      <c r="BK27" s="15">
        <f>+'ENCUESTA CONDUCTORES'!BS27</f>
        <v>0</v>
      </c>
      <c r="BL27" s="15">
        <f>IF('ENCUESTA CONDUCTORES'!BT27="X",1,0)</f>
        <v>0</v>
      </c>
      <c r="BM27" s="15">
        <f>IF('ENCUESTA CONDUCTORES'!BU27="X",1,0)</f>
        <v>1</v>
      </c>
      <c r="BN27" s="15">
        <f>IF('ENCUESTA CONDUCTORES'!BV27="X",1,0)</f>
        <v>0</v>
      </c>
      <c r="BO27" s="15">
        <f>IF('ENCUESTA CONDUCTORES'!BW27="X",1,0)</f>
        <v>0</v>
      </c>
      <c r="BP27" s="15">
        <f>+'ENCUESTA CONDUCTORES'!BX27</f>
        <v>2</v>
      </c>
      <c r="BQ27" s="15">
        <f>+'ENCUESTA CONDUCTORES'!BY27</f>
        <v>3</v>
      </c>
      <c r="BR27" s="15">
        <f>+'ENCUESTA CONDUCTORES'!BZ27</f>
        <v>1</v>
      </c>
      <c r="BS27" s="15">
        <f>+'ENCUESTA CONDUCTORES'!CA27</f>
        <v>0</v>
      </c>
      <c r="BT27" s="15">
        <f>IF('ENCUESTA CONDUCTORES'!CB27="X",1,0)</f>
        <v>1</v>
      </c>
      <c r="BU27" s="15">
        <f>IF('ENCUESTA CONDUCTORES'!CC27="X",1,0)</f>
        <v>0</v>
      </c>
      <c r="BV27" s="15">
        <f>IF('ENCUESTA CONDUCTORES'!CD27="X",1,0)</f>
        <v>0</v>
      </c>
      <c r="BW27" s="15">
        <f>IF('ENCUESTA CONDUCTORES'!CE27="X",1,0)</f>
        <v>0</v>
      </c>
      <c r="BX27" s="15">
        <f>IF('ENCUESTA CONDUCTORES'!CF27="X",1,0)</f>
        <v>0</v>
      </c>
      <c r="BY27" s="15">
        <f>IF('ENCUESTA CONDUCTORES'!CG27="X",1,0)</f>
        <v>0</v>
      </c>
      <c r="BZ27" s="15">
        <f>IF('ENCUESTA CONDUCTORES'!CH27="X",1,0)</f>
        <v>0</v>
      </c>
      <c r="CA27" s="15">
        <f>IF('ENCUESTA CONDUCTORES'!CI27="X",1,0)</f>
        <v>0</v>
      </c>
      <c r="CB27" s="15">
        <f>IF('ENCUESTA CONDUCTORES'!CJ27="X",1,0)</f>
        <v>0</v>
      </c>
      <c r="CC27" s="15">
        <f>IF('ENCUESTA CONDUCTORES'!CK27="X",1,0)</f>
        <v>1</v>
      </c>
      <c r="CD27" s="15">
        <f>IF('ENCUESTA CONDUCTORES'!CL27="X",1,0)</f>
        <v>0</v>
      </c>
      <c r="CE27" s="15">
        <f>IF('ENCUESTA CONDUCTORES'!CM27="X",1,0)</f>
        <v>0</v>
      </c>
      <c r="CF27" s="15">
        <f>+'ENCUESTA CONDUCTORES'!CN27</f>
        <v>0</v>
      </c>
      <c r="CG27" s="15">
        <f>IF('ENCUESTA CONDUCTORES'!CO27="X",1,0)</f>
        <v>0</v>
      </c>
      <c r="CH27" s="15" t="str">
        <f>+'ENCUESTA CONDUCTORES'!CP27</f>
        <v>NO SABE</v>
      </c>
      <c r="CI27" s="15" t="str">
        <f>+'ENCUESTA CONDUCTORES'!CQ27</f>
        <v>DARLO A CONOCER</v>
      </c>
      <c r="CJ27" s="15">
        <f>IF('ENCUESTA CONDUCTORES'!CR27="X",1,0)</f>
        <v>0</v>
      </c>
      <c r="CK27" s="15">
        <f>IF('ENCUESTA CONDUCTORES'!CS27="X",1,0)</f>
        <v>0</v>
      </c>
      <c r="CL27" s="15">
        <f>IF('ENCUESTA CONDUCTORES'!CT27="X",1,0)</f>
        <v>1</v>
      </c>
      <c r="CM27" s="15">
        <f>+'ENCUESTA CONDUCTORES'!CU27</f>
        <v>0</v>
      </c>
      <c r="CN27" s="15">
        <f>IF('ENCUESTA CONDUCTORES'!CV27="X",1,0)</f>
        <v>0</v>
      </c>
      <c r="CO27" s="15">
        <f>+'ENCUESTA CONDUCTORES'!CW27</f>
        <v>0</v>
      </c>
      <c r="CP27" s="15">
        <f>IF('ENCUESTA CONDUCTORES'!CX27="X",1,0)</f>
        <v>1</v>
      </c>
      <c r="CQ27" s="15">
        <f>IF('ENCUESTA CONDUCTORES'!CY27="X",1,0)</f>
        <v>1</v>
      </c>
      <c r="CR27" s="3">
        <f>+'ENCUESTA CONDUCTORES'!CZ27</f>
        <v>0</v>
      </c>
      <c r="CS27" s="49">
        <f>+'ENCUESTA CONDUCTORES'!DA27</f>
        <v>0</v>
      </c>
    </row>
    <row r="28" spans="2:97" x14ac:dyDescent="0.25">
      <c r="B28" s="14" t="str">
        <f>+'ENCUESTA CONDUCTORES'!D28</f>
        <v>C-030</v>
      </c>
      <c r="C28" s="15">
        <f>IF('ENCUESTA CONDUCTORES'!E28="X",1,0)</f>
        <v>0</v>
      </c>
      <c r="D28" s="15">
        <f>IF('ENCUESTA CONDUCTORES'!F28="X",1,0)</f>
        <v>0</v>
      </c>
      <c r="E28" s="15">
        <f>IF('ENCUESTA CONDUCTORES'!G28="X",1,0)</f>
        <v>1</v>
      </c>
      <c r="F28" s="15">
        <f>IF('ENCUESTA CONDUCTORES'!H28="X",1,0)</f>
        <v>0</v>
      </c>
      <c r="G28" s="15">
        <f>+'ENCUESTA CONDUCTORES'!I28</f>
        <v>48</v>
      </c>
      <c r="H28" s="15" t="str">
        <f>+'ENCUESTA CONDUCTORES'!J28</f>
        <v>M</v>
      </c>
      <c r="I28" s="15" t="str">
        <f>+'ENCUESTA CONDUCTORES'!K28</f>
        <v>PREPARATORIA</v>
      </c>
      <c r="J28" s="15" t="str">
        <f>+'ENCUESTA CONDUCTORES'!L28</f>
        <v>ETLA,OAX.</v>
      </c>
      <c r="K28" s="15" t="str">
        <f>+'ENCUESTA CONDUCTORES'!M28</f>
        <v>ETLA</v>
      </c>
      <c r="L28" s="15" t="str">
        <f>+'ENCUESTA CONDUCTORES'!N28</f>
        <v>OAXACA</v>
      </c>
      <c r="M28" s="15">
        <f>+'ENCUESTA CONDUCTORES'!O28</f>
        <v>23</v>
      </c>
      <c r="N28" s="15">
        <f>IF('ENCUESTA CONDUCTORES'!P28="X",1,0)</f>
        <v>0</v>
      </c>
      <c r="O28" s="15">
        <f>IF('ENCUESTA CONDUCTORES'!Q28="X",1,0)</f>
        <v>0</v>
      </c>
      <c r="P28" s="15">
        <f>IF('ENCUESTA CONDUCTORES'!R28="X",1,0)</f>
        <v>0</v>
      </c>
      <c r="Q28" s="15">
        <f>IF('ENCUESTA CONDUCTORES'!S28="X",1,0)</f>
        <v>1</v>
      </c>
      <c r="R28" s="15">
        <f>IF('ENCUESTA CONDUCTORES'!T28="X",1,0)</f>
        <v>0</v>
      </c>
      <c r="S28" s="15">
        <f>IF('ENCUESTA CONDUCTORES'!U28="X",1,0)</f>
        <v>0</v>
      </c>
      <c r="T28" s="15">
        <f>IF('ENCUESTA CONDUCTORES'!V28="X",1,0)</f>
        <v>0</v>
      </c>
      <c r="U28" s="15">
        <f>IF('ENCUESTA CONDUCTORES'!W28="X",1,0)</f>
        <v>0</v>
      </c>
      <c r="V28" s="15">
        <f>IF('ENCUESTA CONDUCTORES'!X28="X",1,0)</f>
        <v>0</v>
      </c>
      <c r="W28" s="15">
        <f>IF('ENCUESTA CONDUCTORES'!Y28="X",1,0)</f>
        <v>0</v>
      </c>
      <c r="X28" s="15">
        <f>IF('ENCUESTA CONDUCTORES'!Z28="X",1,0)</f>
        <v>0</v>
      </c>
      <c r="Y28" s="15">
        <f>+'ENCUESTA CONDUCTORES'!AG28</f>
        <v>0</v>
      </c>
      <c r="Z28" s="15">
        <f>+'ENCUESTA CONDUCTORES'!AH28</f>
        <v>1986</v>
      </c>
      <c r="AA28" s="1">
        <f>+'ENCUESTA CONDUCTORES'!AI28</f>
        <v>985000</v>
      </c>
      <c r="AB28" s="15">
        <f>IF('ENCUESTA CONDUCTORES'!AJ28="X",1,0)</f>
        <v>0</v>
      </c>
      <c r="AC28" s="15">
        <f>IF('ENCUESTA CONDUCTORES'!AK28="X",1,0)</f>
        <v>0</v>
      </c>
      <c r="AD28" s="15">
        <f>IF('ENCUESTA CONDUCTORES'!AL28="X",1,0)</f>
        <v>1</v>
      </c>
      <c r="AE28" s="15">
        <f>IF('ENCUESTA CONDUCTORES'!AM28="X",1,0)</f>
        <v>0</v>
      </c>
      <c r="AF28" s="15">
        <f>IF('ENCUESTA CONDUCTORES'!AN28="X",1,0)</f>
        <v>0</v>
      </c>
      <c r="AG28" s="15">
        <f>IF('ENCUESTA CONDUCTORES'!AO28="X",1,0)</f>
        <v>0</v>
      </c>
      <c r="AH28" s="15">
        <f>IF('ENCUESTA CONDUCTORES'!AP28="X",1,0)</f>
        <v>1</v>
      </c>
      <c r="AI28" s="15">
        <f>IF('ENCUESTA CONDUCTORES'!AQ28="X",1,0)</f>
        <v>0</v>
      </c>
      <c r="AJ28" s="15">
        <f>IF('ENCUESTA CONDUCTORES'!AR28="X",1,0)</f>
        <v>0</v>
      </c>
      <c r="AK28" s="15">
        <f>+'ENCUESTA CONDUCTORES'!AS28</f>
        <v>0</v>
      </c>
      <c r="AL28" s="15" t="str">
        <f>+'ENCUESTA CONDUCTORES'!AT28</f>
        <v>FREIGHTLINER</v>
      </c>
      <c r="AM28" s="1">
        <f>+'ENCUESTA CONDUCTORES'!AU28</f>
        <v>3200</v>
      </c>
      <c r="AN28" s="48">
        <f>+'ENCUESTA CONDUCTORES'!AV28</f>
        <v>0.5</v>
      </c>
      <c r="AO28" s="15">
        <f>+'ENCUESTA CONDUCTORES'!AW28</f>
        <v>1.9</v>
      </c>
      <c r="AP28" s="15">
        <f>+'ENCUESTA CONDUCTORES'!AX28</f>
        <v>1.6</v>
      </c>
      <c r="AQ28" s="15">
        <f>+'ENCUESTA CONDUCTORES'!AY28</f>
        <v>1</v>
      </c>
      <c r="AR28" s="15">
        <f>+'ENCUESTA CONDUCTORES'!AZ28</f>
        <v>380</v>
      </c>
      <c r="AS28" s="15">
        <f>+'ENCUESTA CONDUCTORES'!BA28</f>
        <v>650</v>
      </c>
      <c r="AT28" s="15">
        <f>IF('ENCUESTA CONDUCTORES'!BB28="X",1,0)</f>
        <v>0</v>
      </c>
      <c r="AU28" s="15">
        <f>IF('ENCUESTA CONDUCTORES'!BC28="X",1,0)</f>
        <v>0</v>
      </c>
      <c r="AV28" s="15">
        <f>IF('ENCUESTA CONDUCTORES'!BD28="X",1,0)</f>
        <v>0</v>
      </c>
      <c r="AW28" s="1">
        <f>+'ENCUESTA CONDUCTORES'!BE28</f>
        <v>6000</v>
      </c>
      <c r="AX28" s="1">
        <f>+'ENCUESTA CONDUCTORES'!BF28</f>
        <v>10000</v>
      </c>
      <c r="AY28" s="1">
        <f>+'ENCUESTA CONDUCTORES'!BG28</f>
        <v>12000</v>
      </c>
      <c r="AZ28" s="1">
        <f>+'ENCUESTA CONDUCTORES'!BH28</f>
        <v>100000</v>
      </c>
      <c r="BA28" s="1">
        <f>+'ENCUESTA CONDUCTORES'!BI28</f>
        <v>12000</v>
      </c>
      <c r="BB28" s="15">
        <f>IF('ENCUESTA CONDUCTORES'!BJ28="X",1,0)</f>
        <v>1</v>
      </c>
      <c r="BC28" s="15">
        <f>IF('ENCUESTA CONDUCTORES'!BK28="X",1,0)</f>
        <v>0</v>
      </c>
      <c r="BD28" s="15">
        <f>IF('ENCUESTA CONDUCTORES'!BL28="X",1,0)</f>
        <v>0</v>
      </c>
      <c r="BE28" s="15">
        <f>IF('ENCUESTA CONDUCTORES'!BM28="X",1,0)</f>
        <v>0</v>
      </c>
      <c r="BF28" s="15">
        <f>IF('ENCUESTA CONDUCTORES'!BN28="X",1,0)</f>
        <v>0</v>
      </c>
      <c r="BG28" s="15">
        <f>IF('ENCUESTA CONDUCTORES'!BO28="X",1,0)</f>
        <v>0</v>
      </c>
      <c r="BH28" s="15">
        <f>IF('ENCUESTA CONDUCTORES'!BP28="X",1,0)</f>
        <v>0</v>
      </c>
      <c r="BI28" s="15">
        <f>IF('ENCUESTA CONDUCTORES'!BQ28="X",1,0)</f>
        <v>0</v>
      </c>
      <c r="BJ28" s="15">
        <f>IF('ENCUESTA CONDUCTORES'!BR28="X",1,0)</f>
        <v>0</v>
      </c>
      <c r="BK28" s="15">
        <f>+'ENCUESTA CONDUCTORES'!BS28</f>
        <v>0</v>
      </c>
      <c r="BL28" s="15">
        <f>IF('ENCUESTA CONDUCTORES'!BT28="X",1,0)</f>
        <v>0</v>
      </c>
      <c r="BM28" s="15">
        <f>IF('ENCUESTA CONDUCTORES'!BU28="X",1,0)</f>
        <v>1</v>
      </c>
      <c r="BN28" s="15">
        <f>IF('ENCUESTA CONDUCTORES'!BV28="X",1,0)</f>
        <v>0</v>
      </c>
      <c r="BO28" s="15">
        <f>IF('ENCUESTA CONDUCTORES'!BW28="X",1,0)</f>
        <v>0</v>
      </c>
      <c r="BP28" s="15">
        <f>+'ENCUESTA CONDUCTORES'!BX28</f>
        <v>1</v>
      </c>
      <c r="BQ28" s="15">
        <f>+'ENCUESTA CONDUCTORES'!BY28</f>
        <v>3</v>
      </c>
      <c r="BR28" s="15">
        <f>+'ENCUESTA CONDUCTORES'!BZ28</f>
        <v>2</v>
      </c>
      <c r="BS28" s="15">
        <f>+'ENCUESTA CONDUCTORES'!CA28</f>
        <v>0</v>
      </c>
      <c r="BT28" s="15">
        <f>IF('ENCUESTA CONDUCTORES'!CB28="X",1,0)</f>
        <v>1</v>
      </c>
      <c r="BU28" s="15">
        <f>IF('ENCUESTA CONDUCTORES'!CC28="X",1,0)</f>
        <v>0</v>
      </c>
      <c r="BV28" s="15">
        <f>IF('ENCUESTA CONDUCTORES'!CD28="X",1,0)</f>
        <v>0</v>
      </c>
      <c r="BW28" s="15">
        <f>IF('ENCUESTA CONDUCTORES'!CE28="X",1,0)</f>
        <v>0</v>
      </c>
      <c r="BX28" s="15">
        <f>IF('ENCUESTA CONDUCTORES'!CF28="X",1,0)</f>
        <v>0</v>
      </c>
      <c r="BY28" s="15">
        <f>IF('ENCUESTA CONDUCTORES'!CG28="X",1,0)</f>
        <v>0</v>
      </c>
      <c r="BZ28" s="15">
        <f>IF('ENCUESTA CONDUCTORES'!CH28="X",1,0)</f>
        <v>0</v>
      </c>
      <c r="CA28" s="15">
        <f>IF('ENCUESTA CONDUCTORES'!CI28="X",1,0)</f>
        <v>0</v>
      </c>
      <c r="CB28" s="15">
        <f>IF('ENCUESTA CONDUCTORES'!CJ28="X",1,0)</f>
        <v>0</v>
      </c>
      <c r="CC28" s="15">
        <f>IF('ENCUESTA CONDUCTORES'!CK28="X",1,0)</f>
        <v>1</v>
      </c>
      <c r="CD28" s="15">
        <f>IF('ENCUESTA CONDUCTORES'!CL28="X",1,0)</f>
        <v>0</v>
      </c>
      <c r="CE28" s="15">
        <f>IF('ENCUESTA CONDUCTORES'!CM28="X",1,0)</f>
        <v>0</v>
      </c>
      <c r="CF28" s="15">
        <f>+'ENCUESTA CONDUCTORES'!CN28</f>
        <v>0</v>
      </c>
      <c r="CG28" s="15">
        <f>IF('ENCUESTA CONDUCTORES'!CO28="X",1,0)</f>
        <v>0</v>
      </c>
      <c r="CH28" s="15" t="str">
        <f>+'ENCUESTA CONDUCTORES'!CP28</f>
        <v>NO SABE</v>
      </c>
      <c r="CI28" s="15" t="str">
        <f>+'ENCUESTA CONDUCTORES'!CQ28</f>
        <v>DARLO A CONOCER</v>
      </c>
      <c r="CJ28" s="15">
        <f>IF('ENCUESTA CONDUCTORES'!CR28="X",1,0)</f>
        <v>1</v>
      </c>
      <c r="CK28" s="15">
        <f>IF('ENCUESTA CONDUCTORES'!CS28="X",1,0)</f>
        <v>0</v>
      </c>
      <c r="CL28" s="15">
        <f>IF('ENCUESTA CONDUCTORES'!CT28="X",1,0)</f>
        <v>0</v>
      </c>
      <c r="CM28" s="15">
        <f>+'ENCUESTA CONDUCTORES'!CU28</f>
        <v>0</v>
      </c>
      <c r="CN28" s="15">
        <f>IF('ENCUESTA CONDUCTORES'!CV28="X",1,0)</f>
        <v>0</v>
      </c>
      <c r="CO28" s="15">
        <f>+'ENCUESTA CONDUCTORES'!CW28</f>
        <v>0</v>
      </c>
      <c r="CP28" s="15">
        <f>IF('ENCUESTA CONDUCTORES'!CX28="X",1,0)</f>
        <v>1</v>
      </c>
      <c r="CQ28" s="15">
        <f>IF('ENCUESTA CONDUCTORES'!CY28="X",1,0)</f>
        <v>1</v>
      </c>
      <c r="CR28" s="3">
        <f>+'ENCUESTA CONDUCTORES'!CZ28</f>
        <v>0</v>
      </c>
      <c r="CS28" s="49">
        <f>+'ENCUESTA CONDUCTORES'!DA28</f>
        <v>0</v>
      </c>
    </row>
    <row r="29" spans="2:97" x14ac:dyDescent="0.25">
      <c r="B29" s="14" t="str">
        <f>+'ENCUESTA CONDUCTORES'!D29</f>
        <v>C-031</v>
      </c>
      <c r="C29" s="15">
        <f>IF('ENCUESTA CONDUCTORES'!E29="X",1,0)</f>
        <v>0</v>
      </c>
      <c r="D29" s="15">
        <f>IF('ENCUESTA CONDUCTORES'!F29="X",1,0)</f>
        <v>0</v>
      </c>
      <c r="E29" s="15">
        <f>IF('ENCUESTA CONDUCTORES'!G29="X",1,0)</f>
        <v>1</v>
      </c>
      <c r="F29" s="15">
        <f>IF('ENCUESTA CONDUCTORES'!H29="X",1,0)</f>
        <v>0</v>
      </c>
      <c r="G29" s="15">
        <f>+'ENCUESTA CONDUCTORES'!I29</f>
        <v>50</v>
      </c>
      <c r="H29" s="15" t="str">
        <f>+'ENCUESTA CONDUCTORES'!J29</f>
        <v>M</v>
      </c>
      <c r="I29" s="15" t="str">
        <f>+'ENCUESTA CONDUCTORES'!K29</f>
        <v>SECUNDARIA</v>
      </c>
      <c r="J29" s="15" t="str">
        <f>+'ENCUESTA CONDUCTORES'!L29</f>
        <v>OAXACA,OAX.</v>
      </c>
      <c r="K29" s="15" t="str">
        <f>+'ENCUESTA CONDUCTORES'!M29</f>
        <v>OAXACA</v>
      </c>
      <c r="L29" s="15" t="str">
        <f>+'ENCUESTA CONDUCTORES'!N29</f>
        <v>OAXACA</v>
      </c>
      <c r="M29" s="15">
        <f>+'ENCUESTA CONDUCTORES'!O29</f>
        <v>16</v>
      </c>
      <c r="N29" s="15">
        <f>IF('ENCUESTA CONDUCTORES'!P29="X",1,0)</f>
        <v>0</v>
      </c>
      <c r="O29" s="15">
        <f>IF('ENCUESTA CONDUCTORES'!Q29="X",1,0)</f>
        <v>1</v>
      </c>
      <c r="P29" s="15">
        <f>IF('ENCUESTA CONDUCTORES'!R29="X",1,0)</f>
        <v>0</v>
      </c>
      <c r="Q29" s="15">
        <f>IF('ENCUESTA CONDUCTORES'!S29="X",1,0)</f>
        <v>0</v>
      </c>
      <c r="R29" s="15">
        <f>IF('ENCUESTA CONDUCTORES'!T29="X",1,0)</f>
        <v>0</v>
      </c>
      <c r="S29" s="15">
        <f>IF('ENCUESTA CONDUCTORES'!U29="X",1,0)</f>
        <v>0</v>
      </c>
      <c r="T29" s="15">
        <f>IF('ENCUESTA CONDUCTORES'!V29="X",1,0)</f>
        <v>0</v>
      </c>
      <c r="U29" s="15">
        <f>IF('ENCUESTA CONDUCTORES'!W29="X",1,0)</f>
        <v>0</v>
      </c>
      <c r="V29" s="15">
        <f>IF('ENCUESTA CONDUCTORES'!X29="X",1,0)</f>
        <v>0</v>
      </c>
      <c r="W29" s="15">
        <f>IF('ENCUESTA CONDUCTORES'!Y29="X",1,0)</f>
        <v>0</v>
      </c>
      <c r="X29" s="15">
        <f>IF('ENCUESTA CONDUCTORES'!Z29="X",1,0)</f>
        <v>0</v>
      </c>
      <c r="Y29" s="15">
        <f>+'ENCUESTA CONDUCTORES'!AG29</f>
        <v>0</v>
      </c>
      <c r="Z29" s="15">
        <f>+'ENCUESTA CONDUCTORES'!AH29</f>
        <v>1976</v>
      </c>
      <c r="AA29" s="1">
        <f>+'ENCUESTA CONDUCTORES'!AI29</f>
        <v>2325000</v>
      </c>
      <c r="AB29" s="15">
        <f>IF('ENCUESTA CONDUCTORES'!AJ29="X",1,0)</f>
        <v>0</v>
      </c>
      <c r="AC29" s="15">
        <f>IF('ENCUESTA CONDUCTORES'!AK29="X",1,0)</f>
        <v>0</v>
      </c>
      <c r="AD29" s="15">
        <f>IF('ENCUESTA CONDUCTORES'!AL29="X",1,0)</f>
        <v>1</v>
      </c>
      <c r="AE29" s="15">
        <f>IF('ENCUESTA CONDUCTORES'!AM29="X",1,0)</f>
        <v>0</v>
      </c>
      <c r="AF29" s="15">
        <f>IF('ENCUESTA CONDUCTORES'!AN29="X",1,0)</f>
        <v>0</v>
      </c>
      <c r="AG29" s="15">
        <f>IF('ENCUESTA CONDUCTORES'!AO29="X",1,0)</f>
        <v>0</v>
      </c>
      <c r="AH29" s="15">
        <f>IF('ENCUESTA CONDUCTORES'!AP29="X",1,0)</f>
        <v>0</v>
      </c>
      <c r="AI29" s="15">
        <f>IF('ENCUESTA CONDUCTORES'!AQ29="X",1,0)</f>
        <v>1</v>
      </c>
      <c r="AJ29" s="15">
        <f>IF('ENCUESTA CONDUCTORES'!AR29="X",1,0)</f>
        <v>0</v>
      </c>
      <c r="AK29" s="15">
        <f>+'ENCUESTA CONDUCTORES'!AS29</f>
        <v>2000</v>
      </c>
      <c r="AL29" s="15" t="str">
        <f>+'ENCUESTA CONDUCTORES'!AT29</f>
        <v>DINA</v>
      </c>
      <c r="AM29" s="1">
        <f>+'ENCUESTA CONDUCTORES'!AU29</f>
        <v>4000</v>
      </c>
      <c r="AN29" s="48">
        <f>+'ENCUESTA CONDUCTORES'!AV29</f>
        <v>0.5</v>
      </c>
      <c r="AO29" s="15">
        <f>+'ENCUESTA CONDUCTORES'!AW29</f>
        <v>2</v>
      </c>
      <c r="AP29" s="15">
        <f>+'ENCUESTA CONDUCTORES'!AX29</f>
        <v>1.7</v>
      </c>
      <c r="AQ29" s="15">
        <f>+'ENCUESTA CONDUCTORES'!AY29</f>
        <v>1</v>
      </c>
      <c r="AR29" s="15">
        <f>+'ENCUESTA CONDUCTORES'!AZ29</f>
        <v>350</v>
      </c>
      <c r="AS29" s="15">
        <f>+'ENCUESTA CONDUCTORES'!BA29</f>
        <v>650</v>
      </c>
      <c r="AT29" s="15">
        <f>IF('ENCUESTA CONDUCTORES'!BB29="X",1,0)</f>
        <v>0</v>
      </c>
      <c r="AU29" s="15">
        <f>IF('ENCUESTA CONDUCTORES'!BC29="X",1,0)</f>
        <v>0</v>
      </c>
      <c r="AV29" s="15">
        <f>IF('ENCUESTA CONDUCTORES'!BD29="X",1,0)</f>
        <v>0</v>
      </c>
      <c r="AW29" s="1">
        <f>+'ENCUESTA CONDUCTORES'!BE29</f>
        <v>7000</v>
      </c>
      <c r="AX29" s="1">
        <f>+'ENCUESTA CONDUCTORES'!BF29</f>
        <v>10000</v>
      </c>
      <c r="AY29" s="1">
        <f>+'ENCUESTA CONDUCTORES'!BG29</f>
        <v>10000</v>
      </c>
      <c r="AZ29" s="1">
        <f>+'ENCUESTA CONDUCTORES'!BH29</f>
        <v>95000</v>
      </c>
      <c r="BA29" s="1">
        <f>+'ENCUESTA CONDUCTORES'!BI29</f>
        <v>10000</v>
      </c>
      <c r="BB29" s="15">
        <f>IF('ENCUESTA CONDUCTORES'!BJ29="X",1,0)</f>
        <v>1</v>
      </c>
      <c r="BC29" s="15">
        <f>IF('ENCUESTA CONDUCTORES'!BK29="X",1,0)</f>
        <v>0</v>
      </c>
      <c r="BD29" s="15">
        <f>IF('ENCUESTA CONDUCTORES'!BL29="X",1,0)</f>
        <v>0</v>
      </c>
      <c r="BE29" s="15">
        <f>IF('ENCUESTA CONDUCTORES'!BM29="X",1,0)</f>
        <v>0</v>
      </c>
      <c r="BF29" s="15">
        <f>IF('ENCUESTA CONDUCTORES'!BN29="X",1,0)</f>
        <v>0</v>
      </c>
      <c r="BG29" s="15">
        <f>IF('ENCUESTA CONDUCTORES'!BO29="X",1,0)</f>
        <v>1</v>
      </c>
      <c r="BH29" s="15">
        <f>IF('ENCUESTA CONDUCTORES'!BP29="X",1,0)</f>
        <v>0</v>
      </c>
      <c r="BI29" s="15">
        <f>IF('ENCUESTA CONDUCTORES'!BQ29="X",1,0)</f>
        <v>0</v>
      </c>
      <c r="BJ29" s="15">
        <f>IF('ENCUESTA CONDUCTORES'!BR29="X",1,0)</f>
        <v>0</v>
      </c>
      <c r="BK29" s="15">
        <f>+'ENCUESTA CONDUCTORES'!BS29</f>
        <v>0</v>
      </c>
      <c r="BL29" s="15">
        <f>IF('ENCUESTA CONDUCTORES'!BT29="X",1,0)</f>
        <v>0</v>
      </c>
      <c r="BM29" s="15">
        <f>IF('ENCUESTA CONDUCTORES'!BU29="X",1,0)</f>
        <v>1</v>
      </c>
      <c r="BN29" s="15">
        <f>IF('ENCUESTA CONDUCTORES'!BV29="X",1,0)</f>
        <v>0</v>
      </c>
      <c r="BO29" s="15">
        <f>IF('ENCUESTA CONDUCTORES'!BW29="X",1,0)</f>
        <v>0</v>
      </c>
      <c r="BP29" s="15">
        <f>+'ENCUESTA CONDUCTORES'!BX29</f>
        <v>2</v>
      </c>
      <c r="BQ29" s="15">
        <f>+'ENCUESTA CONDUCTORES'!BY29</f>
        <v>3</v>
      </c>
      <c r="BR29" s="15">
        <f>+'ENCUESTA CONDUCTORES'!BZ29</f>
        <v>1</v>
      </c>
      <c r="BS29" s="15">
        <f>+'ENCUESTA CONDUCTORES'!CA29</f>
        <v>0</v>
      </c>
      <c r="BT29" s="15">
        <f>IF('ENCUESTA CONDUCTORES'!CB29="X",1,0)</f>
        <v>1</v>
      </c>
      <c r="BU29" s="15">
        <f>IF('ENCUESTA CONDUCTORES'!CC29="X",1,0)</f>
        <v>0</v>
      </c>
      <c r="BV29" s="15">
        <f>IF('ENCUESTA CONDUCTORES'!CD29="X",1,0)</f>
        <v>0</v>
      </c>
      <c r="BW29" s="15">
        <f>IF('ENCUESTA CONDUCTORES'!CE29="X",1,0)</f>
        <v>0</v>
      </c>
      <c r="BX29" s="15">
        <f>IF('ENCUESTA CONDUCTORES'!CF29="X",1,0)</f>
        <v>0</v>
      </c>
      <c r="BY29" s="15">
        <f>IF('ENCUESTA CONDUCTORES'!CG29="X",1,0)</f>
        <v>0</v>
      </c>
      <c r="BZ29" s="15">
        <f>IF('ENCUESTA CONDUCTORES'!CH29="X",1,0)</f>
        <v>0</v>
      </c>
      <c r="CA29" s="15">
        <f>IF('ENCUESTA CONDUCTORES'!CI29="X",1,0)</f>
        <v>0</v>
      </c>
      <c r="CB29" s="15">
        <f>IF('ENCUESTA CONDUCTORES'!CJ29="X",1,0)</f>
        <v>0</v>
      </c>
      <c r="CC29" s="15">
        <f>IF('ENCUESTA CONDUCTORES'!CK29="X",1,0)</f>
        <v>1</v>
      </c>
      <c r="CD29" s="15">
        <f>IF('ENCUESTA CONDUCTORES'!CL29="X",1,0)</f>
        <v>0</v>
      </c>
      <c r="CE29" s="15">
        <f>IF('ENCUESTA CONDUCTORES'!CM29="X",1,0)</f>
        <v>0</v>
      </c>
      <c r="CF29" s="15">
        <f>+'ENCUESTA CONDUCTORES'!CN29</f>
        <v>0</v>
      </c>
      <c r="CG29" s="15">
        <f>IF('ENCUESTA CONDUCTORES'!CO29="X",1,0)</f>
        <v>0</v>
      </c>
      <c r="CH29" s="15" t="str">
        <f>+'ENCUESTA CONDUCTORES'!CP29</f>
        <v>NO SABE</v>
      </c>
      <c r="CI29" s="15" t="str">
        <f>+'ENCUESTA CONDUCTORES'!CQ29</f>
        <v>NO SABE</v>
      </c>
      <c r="CJ29" s="15">
        <f>IF('ENCUESTA CONDUCTORES'!CR29="X",1,0)</f>
        <v>0</v>
      </c>
      <c r="CK29" s="15">
        <f>IF('ENCUESTA CONDUCTORES'!CS29="X",1,0)</f>
        <v>0</v>
      </c>
      <c r="CL29" s="15">
        <f>IF('ENCUESTA CONDUCTORES'!CT29="X",1,0)</f>
        <v>1</v>
      </c>
      <c r="CM29" s="15">
        <f>+'ENCUESTA CONDUCTORES'!CU29</f>
        <v>0</v>
      </c>
      <c r="CN29" s="15">
        <f>IF('ENCUESTA CONDUCTORES'!CV29="X",1,0)</f>
        <v>0</v>
      </c>
      <c r="CO29" s="15">
        <f>+'ENCUESTA CONDUCTORES'!CW29</f>
        <v>0</v>
      </c>
      <c r="CP29" s="15">
        <f>IF('ENCUESTA CONDUCTORES'!CX29="X",1,0)</f>
        <v>1</v>
      </c>
      <c r="CQ29" s="15">
        <f>IF('ENCUESTA CONDUCTORES'!CY29="X",1,0)</f>
        <v>1</v>
      </c>
      <c r="CR29" s="3">
        <f>+'ENCUESTA CONDUCTORES'!CZ29</f>
        <v>0</v>
      </c>
      <c r="CS29" s="49">
        <f>+'ENCUESTA CONDUCTORES'!DA29</f>
        <v>0</v>
      </c>
    </row>
    <row r="30" spans="2:97" x14ac:dyDescent="0.25">
      <c r="B30" s="14" t="str">
        <f>+'ENCUESTA CONDUCTORES'!D30</f>
        <v>C-034</v>
      </c>
      <c r="C30" s="15">
        <f>IF('ENCUESTA CONDUCTORES'!E30="X",1,0)</f>
        <v>0</v>
      </c>
      <c r="D30" s="15">
        <f>IF('ENCUESTA CONDUCTORES'!F30="X",1,0)</f>
        <v>1</v>
      </c>
      <c r="E30" s="15">
        <f>IF('ENCUESTA CONDUCTORES'!G30="X",1,0)</f>
        <v>0</v>
      </c>
      <c r="F30" s="15">
        <f>IF('ENCUESTA CONDUCTORES'!H30="X",1,0)</f>
        <v>0</v>
      </c>
      <c r="G30" s="15">
        <f>+'ENCUESTA CONDUCTORES'!I30</f>
        <v>39</v>
      </c>
      <c r="H30" s="15" t="str">
        <f>+'ENCUESTA CONDUCTORES'!J30</f>
        <v>M</v>
      </c>
      <c r="I30" s="15" t="str">
        <f>+'ENCUESTA CONDUCTORES'!K30</f>
        <v>PRIMARIA</v>
      </c>
      <c r="J30" s="15" t="str">
        <f>+'ENCUESTA CONDUCTORES'!L30</f>
        <v>ETLA,OAX.</v>
      </c>
      <c r="K30" s="15" t="str">
        <f>+'ENCUESTA CONDUCTORES'!M30</f>
        <v>ETLA</v>
      </c>
      <c r="L30" s="15" t="str">
        <f>+'ENCUESTA CONDUCTORES'!N30</f>
        <v>OAXACA</v>
      </c>
      <c r="M30" s="15">
        <f>+'ENCUESTA CONDUCTORES'!O30</f>
        <v>19</v>
      </c>
      <c r="N30" s="15">
        <f>IF('ENCUESTA CONDUCTORES'!P30="X",1,0)</f>
        <v>1</v>
      </c>
      <c r="O30" s="15">
        <f>IF('ENCUESTA CONDUCTORES'!Q30="X",1,0)</f>
        <v>0</v>
      </c>
      <c r="P30" s="15">
        <f>IF('ENCUESTA CONDUCTORES'!R30="X",1,0)</f>
        <v>0</v>
      </c>
      <c r="Q30" s="15">
        <f>IF('ENCUESTA CONDUCTORES'!S30="X",1,0)</f>
        <v>0</v>
      </c>
      <c r="R30" s="15">
        <f>IF('ENCUESTA CONDUCTORES'!T30="X",1,0)</f>
        <v>0</v>
      </c>
      <c r="S30" s="15">
        <f>IF('ENCUESTA CONDUCTORES'!U30="X",1,0)</f>
        <v>0</v>
      </c>
      <c r="T30" s="15">
        <f>IF('ENCUESTA CONDUCTORES'!V30="X",1,0)</f>
        <v>0</v>
      </c>
      <c r="U30" s="15">
        <f>IF('ENCUESTA CONDUCTORES'!W30="X",1,0)</f>
        <v>0</v>
      </c>
      <c r="V30" s="15">
        <f>IF('ENCUESTA CONDUCTORES'!X30="X",1,0)</f>
        <v>0</v>
      </c>
      <c r="W30" s="15">
        <f>IF('ENCUESTA CONDUCTORES'!Y30="X",1,0)</f>
        <v>0</v>
      </c>
      <c r="X30" s="15">
        <f>IF('ENCUESTA CONDUCTORES'!Z30="X",1,0)</f>
        <v>0</v>
      </c>
      <c r="Y30" s="15">
        <f>+'ENCUESTA CONDUCTORES'!AG30</f>
        <v>0</v>
      </c>
      <c r="Z30" s="15">
        <f>+'ENCUESTA CONDUCTORES'!AH30</f>
        <v>1995</v>
      </c>
      <c r="AA30" s="1">
        <f>+'ENCUESTA CONDUCTORES'!AI30</f>
        <v>1525000</v>
      </c>
      <c r="AB30" s="15">
        <f>IF('ENCUESTA CONDUCTORES'!AJ30="X",1,0)</f>
        <v>1</v>
      </c>
      <c r="AC30" s="15">
        <f>IF('ENCUESTA CONDUCTORES'!AK30="X",1,0)</f>
        <v>0</v>
      </c>
      <c r="AD30" s="15">
        <f>IF('ENCUESTA CONDUCTORES'!AL30="X",1,0)</f>
        <v>0</v>
      </c>
      <c r="AE30" s="15">
        <f>IF('ENCUESTA CONDUCTORES'!AM30="X",1,0)</f>
        <v>0</v>
      </c>
      <c r="AF30" s="15">
        <f>IF('ENCUESTA CONDUCTORES'!AN30="X",1,0)</f>
        <v>0</v>
      </c>
      <c r="AG30" s="15">
        <f>IF('ENCUESTA CONDUCTORES'!AO30="X",1,0)</f>
        <v>0</v>
      </c>
      <c r="AH30" s="15">
        <f>IF('ENCUESTA CONDUCTORES'!AP30="X",1,0)</f>
        <v>0</v>
      </c>
      <c r="AI30" s="15">
        <f>IF('ENCUESTA CONDUCTORES'!AQ30="X",1,0)</f>
        <v>1</v>
      </c>
      <c r="AJ30" s="15">
        <f>IF('ENCUESTA CONDUCTORES'!AR30="X",1,0)</f>
        <v>0</v>
      </c>
      <c r="AK30" s="15">
        <f>+'ENCUESTA CONDUCTORES'!AS30</f>
        <v>2005</v>
      </c>
      <c r="AL30" s="15" t="str">
        <f>+'ENCUESTA CONDUCTORES'!AT30</f>
        <v>NISSAN</v>
      </c>
      <c r="AM30" s="1">
        <f>+'ENCUESTA CONDUCTORES'!AU30</f>
        <v>4500</v>
      </c>
      <c r="AN30" s="48">
        <f>+'ENCUESTA CONDUCTORES'!AV30</f>
        <v>0.5</v>
      </c>
      <c r="AO30" s="15">
        <f>+'ENCUESTA CONDUCTORES'!AW30</f>
        <v>4</v>
      </c>
      <c r="AP30" s="15">
        <f>+'ENCUESTA CONDUCTORES'!AX30</f>
        <v>2.9</v>
      </c>
      <c r="AQ30" s="15">
        <f>+'ENCUESTA CONDUCTORES'!AY30</f>
        <v>1</v>
      </c>
      <c r="AR30" s="15">
        <f>+'ENCUESTA CONDUCTORES'!AZ30</f>
        <v>60</v>
      </c>
      <c r="AS30" s="15">
        <f>+'ENCUESTA CONDUCTORES'!BA30</f>
        <v>200</v>
      </c>
      <c r="AT30" s="15">
        <f>IF('ENCUESTA CONDUCTORES'!BB30="X",1,0)</f>
        <v>0</v>
      </c>
      <c r="AU30" s="15">
        <f>IF('ENCUESTA CONDUCTORES'!BC30="X",1,0)</f>
        <v>0</v>
      </c>
      <c r="AV30" s="15">
        <f>IF('ENCUESTA CONDUCTORES'!BD30="X",1,0)</f>
        <v>0</v>
      </c>
      <c r="AW30" s="1">
        <f>+'ENCUESTA CONDUCTORES'!BE30</f>
        <v>5000</v>
      </c>
      <c r="AX30" s="1">
        <f>+'ENCUESTA CONDUCTORES'!BF30</f>
        <v>10000</v>
      </c>
      <c r="AY30" s="1">
        <f>+'ENCUESTA CONDUCTORES'!BG30</f>
        <v>10000</v>
      </c>
      <c r="AZ30" s="1">
        <f>+'ENCUESTA CONDUCTORES'!BH30</f>
        <v>70000</v>
      </c>
      <c r="BA30" s="1" t="str">
        <f>+'ENCUESTA CONDUCTORES'!BI30</f>
        <v>NO APLICA</v>
      </c>
      <c r="BB30" s="15">
        <f>IF('ENCUESTA CONDUCTORES'!BJ30="X",1,0)</f>
        <v>0</v>
      </c>
      <c r="BC30" s="15">
        <f>IF('ENCUESTA CONDUCTORES'!BK30="X",1,0)</f>
        <v>1</v>
      </c>
      <c r="BD30" s="15">
        <f>IF('ENCUESTA CONDUCTORES'!BL30="X",1,0)</f>
        <v>0</v>
      </c>
      <c r="BE30" s="15">
        <f>IF('ENCUESTA CONDUCTORES'!BM30="X",1,0)</f>
        <v>0</v>
      </c>
      <c r="BF30" s="15">
        <f>IF('ENCUESTA CONDUCTORES'!BN30="X",1,0)</f>
        <v>0</v>
      </c>
      <c r="BG30" s="15">
        <f>IF('ENCUESTA CONDUCTORES'!BO30="X",1,0)</f>
        <v>0</v>
      </c>
      <c r="BH30" s="15">
        <f>IF('ENCUESTA CONDUCTORES'!BP30="X",1,0)</f>
        <v>0</v>
      </c>
      <c r="BI30" s="15">
        <f>IF('ENCUESTA CONDUCTORES'!BQ30="X",1,0)</f>
        <v>0</v>
      </c>
      <c r="BJ30" s="15">
        <f>IF('ENCUESTA CONDUCTORES'!BR30="X",1,0)</f>
        <v>0</v>
      </c>
      <c r="BK30" s="15">
        <f>+'ENCUESTA CONDUCTORES'!BS30</f>
        <v>0</v>
      </c>
      <c r="BL30" s="15">
        <f>IF('ENCUESTA CONDUCTORES'!BT30="X",1,0)</f>
        <v>0</v>
      </c>
      <c r="BM30" s="15">
        <f>IF('ENCUESTA CONDUCTORES'!BU30="X",1,0)</f>
        <v>1</v>
      </c>
      <c r="BN30" s="15">
        <f>IF('ENCUESTA CONDUCTORES'!BV30="X",1,0)</f>
        <v>0</v>
      </c>
      <c r="BO30" s="15">
        <f>IF('ENCUESTA CONDUCTORES'!BW30="X",1,0)</f>
        <v>0</v>
      </c>
      <c r="BP30" s="15">
        <f>+'ENCUESTA CONDUCTORES'!BX30</f>
        <v>1</v>
      </c>
      <c r="BQ30" s="15">
        <f>+'ENCUESTA CONDUCTORES'!BY30</f>
        <v>3</v>
      </c>
      <c r="BR30" s="15">
        <f>+'ENCUESTA CONDUCTORES'!BZ30</f>
        <v>2</v>
      </c>
      <c r="BS30" s="15">
        <f>+'ENCUESTA CONDUCTORES'!CA30</f>
        <v>0</v>
      </c>
      <c r="BT30" s="15">
        <f>IF('ENCUESTA CONDUCTORES'!CB30="X",1,0)</f>
        <v>1</v>
      </c>
      <c r="BU30" s="15">
        <f>IF('ENCUESTA CONDUCTORES'!CC30="X",1,0)</f>
        <v>0</v>
      </c>
      <c r="BV30" s="15">
        <f>IF('ENCUESTA CONDUCTORES'!CD30="X",1,0)</f>
        <v>0</v>
      </c>
      <c r="BW30" s="15">
        <f>IF('ENCUESTA CONDUCTORES'!CE30="X",1,0)</f>
        <v>0</v>
      </c>
      <c r="BX30" s="15">
        <f>IF('ENCUESTA CONDUCTORES'!CF30="X",1,0)</f>
        <v>0</v>
      </c>
      <c r="BY30" s="15">
        <f>IF('ENCUESTA CONDUCTORES'!CG30="X",1,0)</f>
        <v>0</v>
      </c>
      <c r="BZ30" s="15">
        <f>IF('ENCUESTA CONDUCTORES'!CH30="X",1,0)</f>
        <v>0</v>
      </c>
      <c r="CA30" s="15">
        <f>IF('ENCUESTA CONDUCTORES'!CI30="X",1,0)</f>
        <v>0</v>
      </c>
      <c r="CB30" s="15">
        <f>IF('ENCUESTA CONDUCTORES'!CJ30="X",1,0)</f>
        <v>0</v>
      </c>
      <c r="CC30" s="15">
        <f>IF('ENCUESTA CONDUCTORES'!CK30="X",1,0)</f>
        <v>1</v>
      </c>
      <c r="CD30" s="15">
        <f>IF('ENCUESTA CONDUCTORES'!CL30="X",1,0)</f>
        <v>0</v>
      </c>
      <c r="CE30" s="15">
        <f>IF('ENCUESTA CONDUCTORES'!CM30="X",1,0)</f>
        <v>0</v>
      </c>
      <c r="CF30" s="15">
        <f>+'ENCUESTA CONDUCTORES'!CN30</f>
        <v>0</v>
      </c>
      <c r="CG30" s="15">
        <f>IF('ENCUESTA CONDUCTORES'!CO30="X",1,0)</f>
        <v>0</v>
      </c>
      <c r="CH30" s="15" t="str">
        <f>+'ENCUESTA CONDUCTORES'!CP30</f>
        <v>NO SABE</v>
      </c>
      <c r="CI30" s="15" t="str">
        <f>+'ENCUESTA CONDUCTORES'!CQ30</f>
        <v>NO SABE</v>
      </c>
      <c r="CJ30" s="15">
        <f>IF('ENCUESTA CONDUCTORES'!CR30="X",1,0)</f>
        <v>1</v>
      </c>
      <c r="CK30" s="15">
        <f>IF('ENCUESTA CONDUCTORES'!CS30="X",1,0)</f>
        <v>0</v>
      </c>
      <c r="CL30" s="15">
        <f>IF('ENCUESTA CONDUCTORES'!CT30="X",1,0)</f>
        <v>0</v>
      </c>
      <c r="CM30" s="15">
        <f>+'ENCUESTA CONDUCTORES'!CU30</f>
        <v>0</v>
      </c>
      <c r="CN30" s="15">
        <f>IF('ENCUESTA CONDUCTORES'!CV30="X",1,0)</f>
        <v>0</v>
      </c>
      <c r="CO30" s="15">
        <f>+'ENCUESTA CONDUCTORES'!CW30</f>
        <v>0</v>
      </c>
      <c r="CP30" s="15">
        <f>IF('ENCUESTA CONDUCTORES'!CX30="X",1,0)</f>
        <v>0</v>
      </c>
      <c r="CQ30" s="15">
        <f>IF('ENCUESTA CONDUCTORES'!CY30="X",1,0)</f>
        <v>1</v>
      </c>
      <c r="CR30" s="3">
        <f>+'ENCUESTA CONDUCTORES'!CZ30</f>
        <v>0</v>
      </c>
      <c r="CS30" s="49">
        <f>+'ENCUESTA CONDUCTORES'!DA30</f>
        <v>0</v>
      </c>
    </row>
    <row r="31" spans="2:97" x14ac:dyDescent="0.25">
      <c r="B31" s="14" t="str">
        <f>+'ENCUESTA CONDUCTORES'!D31</f>
        <v>C-035</v>
      </c>
      <c r="C31" s="15">
        <f>IF('ENCUESTA CONDUCTORES'!E31="X",1,0)</f>
        <v>0</v>
      </c>
      <c r="D31" s="15">
        <f>IF('ENCUESTA CONDUCTORES'!F31="X",1,0)</f>
        <v>0</v>
      </c>
      <c r="E31" s="15">
        <f>IF('ENCUESTA CONDUCTORES'!G31="X",1,0)</f>
        <v>1</v>
      </c>
      <c r="F31" s="15">
        <f>IF('ENCUESTA CONDUCTORES'!H31="X",1,0)</f>
        <v>0</v>
      </c>
      <c r="G31" s="15">
        <f>+'ENCUESTA CONDUCTORES'!I31</f>
        <v>55</v>
      </c>
      <c r="H31" s="15" t="str">
        <f>+'ENCUESTA CONDUCTORES'!J31</f>
        <v>M</v>
      </c>
      <c r="I31" s="15" t="str">
        <f>+'ENCUESTA CONDUCTORES'!K31</f>
        <v>PRIMARIA</v>
      </c>
      <c r="J31" s="15" t="str">
        <f>+'ENCUESTA CONDUCTORES'!L31</f>
        <v>OAXACA,OAX.</v>
      </c>
      <c r="K31" s="15" t="str">
        <f>+'ENCUESTA CONDUCTORES'!M31</f>
        <v>OAXACA</v>
      </c>
      <c r="L31" s="15" t="str">
        <f>+'ENCUESTA CONDUCTORES'!N31</f>
        <v>OAXACA</v>
      </c>
      <c r="M31" s="15">
        <f>+'ENCUESTA CONDUCTORES'!O31</f>
        <v>35</v>
      </c>
      <c r="N31" s="15">
        <f>IF('ENCUESTA CONDUCTORES'!P31="X",1,0)</f>
        <v>0</v>
      </c>
      <c r="O31" s="15">
        <f>IF('ENCUESTA CONDUCTORES'!Q31="X",1,0)</f>
        <v>1</v>
      </c>
      <c r="P31" s="15">
        <f>IF('ENCUESTA CONDUCTORES'!R31="X",1,0)</f>
        <v>0</v>
      </c>
      <c r="Q31" s="15">
        <f>IF('ENCUESTA CONDUCTORES'!S31="X",1,0)</f>
        <v>0</v>
      </c>
      <c r="R31" s="15">
        <f>IF('ENCUESTA CONDUCTORES'!T31="X",1,0)</f>
        <v>0</v>
      </c>
      <c r="S31" s="15">
        <f>IF('ENCUESTA CONDUCTORES'!U31="X",1,0)</f>
        <v>0</v>
      </c>
      <c r="T31" s="15">
        <f>IF('ENCUESTA CONDUCTORES'!V31="X",1,0)</f>
        <v>0</v>
      </c>
      <c r="U31" s="15">
        <f>IF('ENCUESTA CONDUCTORES'!W31="X",1,0)</f>
        <v>0</v>
      </c>
      <c r="V31" s="15">
        <f>IF('ENCUESTA CONDUCTORES'!X31="X",1,0)</f>
        <v>0</v>
      </c>
      <c r="W31" s="15">
        <f>IF('ENCUESTA CONDUCTORES'!Y31="X",1,0)</f>
        <v>0</v>
      </c>
      <c r="X31" s="15">
        <f>IF('ENCUESTA CONDUCTORES'!Z31="X",1,0)</f>
        <v>0</v>
      </c>
      <c r="Y31" s="15">
        <f>+'ENCUESTA CONDUCTORES'!AG31</f>
        <v>0</v>
      </c>
      <c r="Z31" s="15">
        <f>+'ENCUESTA CONDUCTORES'!AH31</f>
        <v>1981</v>
      </c>
      <c r="AA31" s="1">
        <f>+'ENCUESTA CONDUCTORES'!AI31</f>
        <v>2050000</v>
      </c>
      <c r="AB31" s="15">
        <f>IF('ENCUESTA CONDUCTORES'!AJ31="X",1,0)</f>
        <v>0</v>
      </c>
      <c r="AC31" s="15">
        <f>IF('ENCUESTA CONDUCTORES'!AK31="X",1,0)</f>
        <v>0</v>
      </c>
      <c r="AD31" s="15">
        <f>IF('ENCUESTA CONDUCTORES'!AL31="X",1,0)</f>
        <v>1</v>
      </c>
      <c r="AE31" s="15">
        <f>IF('ENCUESTA CONDUCTORES'!AM31="X",1,0)</f>
        <v>0</v>
      </c>
      <c r="AF31" s="15">
        <f>IF('ENCUESTA CONDUCTORES'!AN31="X",1,0)</f>
        <v>0</v>
      </c>
      <c r="AG31" s="15">
        <f>IF('ENCUESTA CONDUCTORES'!AO31="X",1,0)</f>
        <v>1</v>
      </c>
      <c r="AH31" s="15">
        <f>IF('ENCUESTA CONDUCTORES'!AP31="X",1,0)</f>
        <v>0</v>
      </c>
      <c r="AI31" s="15">
        <f>IF('ENCUESTA CONDUCTORES'!AQ31="X",1,0)</f>
        <v>0</v>
      </c>
      <c r="AJ31" s="15">
        <f>IF('ENCUESTA CONDUCTORES'!AR31="X",1,0)</f>
        <v>0</v>
      </c>
      <c r="AK31" s="15">
        <f>+'ENCUESTA CONDUCTORES'!AS31</f>
        <v>0</v>
      </c>
      <c r="AL31" s="15" t="str">
        <f>+'ENCUESTA CONDUCTORES'!AT31</f>
        <v>INTERNATIONAL</v>
      </c>
      <c r="AM31" s="1">
        <f>+'ENCUESTA CONDUCTORES'!AU31</f>
        <v>5500</v>
      </c>
      <c r="AN31" s="48">
        <f>+'ENCUESTA CONDUCTORES'!AV31</f>
        <v>0.5</v>
      </c>
      <c r="AO31" s="15">
        <f>+'ENCUESTA CONDUCTORES'!AW31</f>
        <v>1.8</v>
      </c>
      <c r="AP31" s="15">
        <f>+'ENCUESTA CONDUCTORES'!AX31</f>
        <v>1.5</v>
      </c>
      <c r="AQ31" s="15">
        <f>+'ENCUESTA CONDUCTORES'!AY31</f>
        <v>1</v>
      </c>
      <c r="AR31" s="15">
        <f>+'ENCUESTA CONDUCTORES'!AZ31</f>
        <v>380</v>
      </c>
      <c r="AS31" s="15" t="str">
        <f>+'ENCUESTA CONDUCTORES'!BA31</f>
        <v>NO SABE</v>
      </c>
      <c r="AT31" s="15">
        <f>IF('ENCUESTA CONDUCTORES'!BB31="X",1,0)</f>
        <v>0</v>
      </c>
      <c r="AU31" s="15">
        <f>IF('ENCUESTA CONDUCTORES'!BC31="X",1,0)</f>
        <v>0</v>
      </c>
      <c r="AV31" s="15">
        <f>IF('ENCUESTA CONDUCTORES'!BD31="X",1,0)</f>
        <v>0</v>
      </c>
      <c r="AW31" s="1">
        <f>+'ENCUESTA CONDUCTORES'!BE31</f>
        <v>7000</v>
      </c>
      <c r="AX31" s="1">
        <f>+'ENCUESTA CONDUCTORES'!BF31</f>
        <v>12000</v>
      </c>
      <c r="AY31" s="1">
        <f>+'ENCUESTA CONDUCTORES'!BG31</f>
        <v>10000</v>
      </c>
      <c r="AZ31" s="1">
        <f>+'ENCUESTA CONDUCTORES'!BH31</f>
        <v>85000</v>
      </c>
      <c r="BA31" s="1">
        <f>+'ENCUESTA CONDUCTORES'!BI31</f>
        <v>10000</v>
      </c>
      <c r="BB31" s="15">
        <f>IF('ENCUESTA CONDUCTORES'!BJ31="X",1,0)</f>
        <v>1</v>
      </c>
      <c r="BC31" s="15">
        <f>IF('ENCUESTA CONDUCTORES'!BK31="X",1,0)</f>
        <v>0</v>
      </c>
      <c r="BD31" s="15">
        <f>IF('ENCUESTA CONDUCTORES'!BL31="X",1,0)</f>
        <v>0</v>
      </c>
      <c r="BE31" s="15">
        <f>IF('ENCUESTA CONDUCTORES'!BM31="X",1,0)</f>
        <v>0</v>
      </c>
      <c r="BF31" s="15">
        <f>IF('ENCUESTA CONDUCTORES'!BN31="X",1,0)</f>
        <v>0</v>
      </c>
      <c r="BG31" s="15">
        <f>IF('ENCUESTA CONDUCTORES'!BO31="X",1,0)</f>
        <v>1</v>
      </c>
      <c r="BH31" s="15">
        <f>IF('ENCUESTA CONDUCTORES'!BP31="X",1,0)</f>
        <v>0</v>
      </c>
      <c r="BI31" s="15">
        <f>IF('ENCUESTA CONDUCTORES'!BQ31="X",1,0)</f>
        <v>0</v>
      </c>
      <c r="BJ31" s="15">
        <f>IF('ENCUESTA CONDUCTORES'!BR31="X",1,0)</f>
        <v>0</v>
      </c>
      <c r="BK31" s="15">
        <f>+'ENCUESTA CONDUCTORES'!BS31</f>
        <v>0</v>
      </c>
      <c r="BL31" s="15">
        <f>IF('ENCUESTA CONDUCTORES'!BT31="X",1,0)</f>
        <v>0</v>
      </c>
      <c r="BM31" s="15">
        <f>IF('ENCUESTA CONDUCTORES'!BU31="X",1,0)</f>
        <v>1</v>
      </c>
      <c r="BN31" s="15">
        <f>IF('ENCUESTA CONDUCTORES'!BV31="X",1,0)</f>
        <v>0</v>
      </c>
      <c r="BO31" s="15">
        <f>IF('ENCUESTA CONDUCTORES'!BW31="X",1,0)</f>
        <v>0</v>
      </c>
      <c r="BP31" s="15">
        <f>+'ENCUESTA CONDUCTORES'!BX31</f>
        <v>1</v>
      </c>
      <c r="BQ31" s="15">
        <f>+'ENCUESTA CONDUCTORES'!BY31</f>
        <v>3</v>
      </c>
      <c r="BR31" s="15">
        <f>+'ENCUESTA CONDUCTORES'!BZ31</f>
        <v>2</v>
      </c>
      <c r="BS31" s="15">
        <f>+'ENCUESTA CONDUCTORES'!CA31</f>
        <v>0</v>
      </c>
      <c r="BT31" s="15">
        <f>IF('ENCUESTA CONDUCTORES'!CB31="X",1,0)</f>
        <v>1</v>
      </c>
      <c r="BU31" s="15">
        <f>IF('ENCUESTA CONDUCTORES'!CC31="X",1,0)</f>
        <v>0</v>
      </c>
      <c r="BV31" s="15">
        <f>IF('ENCUESTA CONDUCTORES'!CD31="X",1,0)</f>
        <v>0</v>
      </c>
      <c r="BW31" s="15">
        <f>IF('ENCUESTA CONDUCTORES'!CE31="X",1,0)</f>
        <v>0</v>
      </c>
      <c r="BX31" s="15">
        <f>IF('ENCUESTA CONDUCTORES'!CF31="X",1,0)</f>
        <v>0</v>
      </c>
      <c r="BY31" s="15">
        <f>IF('ENCUESTA CONDUCTORES'!CG31="X",1,0)</f>
        <v>0</v>
      </c>
      <c r="BZ31" s="15">
        <f>IF('ENCUESTA CONDUCTORES'!CH31="X",1,0)</f>
        <v>0</v>
      </c>
      <c r="CA31" s="15">
        <f>IF('ENCUESTA CONDUCTORES'!CI31="X",1,0)</f>
        <v>0</v>
      </c>
      <c r="CB31" s="15">
        <f>IF('ENCUESTA CONDUCTORES'!CJ31="X",1,0)</f>
        <v>0</v>
      </c>
      <c r="CC31" s="15">
        <f>IF('ENCUESTA CONDUCTORES'!CK31="X",1,0)</f>
        <v>1</v>
      </c>
      <c r="CD31" s="15">
        <f>IF('ENCUESTA CONDUCTORES'!CL31="X",1,0)</f>
        <v>0</v>
      </c>
      <c r="CE31" s="15">
        <f>IF('ENCUESTA CONDUCTORES'!CM31="X",1,0)</f>
        <v>0</v>
      </c>
      <c r="CF31" s="15">
        <f>+'ENCUESTA CONDUCTORES'!CN31</f>
        <v>0</v>
      </c>
      <c r="CG31" s="15">
        <f>IF('ENCUESTA CONDUCTORES'!CO31="X",1,0)</f>
        <v>0</v>
      </c>
      <c r="CH31" s="15" t="str">
        <f>+'ENCUESTA CONDUCTORES'!CP31</f>
        <v>NO SABE</v>
      </c>
      <c r="CI31" s="15" t="str">
        <f>+'ENCUESTA CONDUCTORES'!CQ31</f>
        <v>NO SABE</v>
      </c>
      <c r="CJ31" s="15">
        <f>IF('ENCUESTA CONDUCTORES'!CR31="X",1,0)</f>
        <v>0</v>
      </c>
      <c r="CK31" s="15">
        <f>IF('ENCUESTA CONDUCTORES'!CS31="X",1,0)</f>
        <v>0</v>
      </c>
      <c r="CL31" s="15">
        <f>IF('ENCUESTA CONDUCTORES'!CT31="X",1,0)</f>
        <v>1</v>
      </c>
      <c r="CM31" s="15">
        <f>+'ENCUESTA CONDUCTORES'!CU31</f>
        <v>0</v>
      </c>
      <c r="CN31" s="15">
        <f>IF('ENCUESTA CONDUCTORES'!CV31="X",1,0)</f>
        <v>0</v>
      </c>
      <c r="CO31" s="15">
        <f>+'ENCUESTA CONDUCTORES'!CW31</f>
        <v>0</v>
      </c>
      <c r="CP31" s="15">
        <f>IF('ENCUESTA CONDUCTORES'!CX31="X",1,0)</f>
        <v>1</v>
      </c>
      <c r="CQ31" s="15">
        <f>IF('ENCUESTA CONDUCTORES'!CY31="X",1,0)</f>
        <v>0</v>
      </c>
      <c r="CR31" s="3">
        <f>+'ENCUESTA CONDUCTORES'!CZ31</f>
        <v>0</v>
      </c>
      <c r="CS31" s="49" t="str">
        <f>+'ENCUESTA CONDUCTORES'!DA31</f>
        <v>FUE AYUDANTE DE MECÁNICO</v>
      </c>
    </row>
    <row r="32" spans="2:97" x14ac:dyDescent="0.25">
      <c r="B32" s="14" t="str">
        <f>+'ENCUESTA CONDUCTORES'!D32</f>
        <v>C-036</v>
      </c>
      <c r="C32" s="15">
        <f>IF('ENCUESTA CONDUCTORES'!E32="X",1,0)</f>
        <v>0</v>
      </c>
      <c r="D32" s="15">
        <f>IF('ENCUESTA CONDUCTORES'!F32="X",1,0)</f>
        <v>0</v>
      </c>
      <c r="E32" s="15">
        <f>IF('ENCUESTA CONDUCTORES'!G32="X",1,0)</f>
        <v>0</v>
      </c>
      <c r="F32" s="15">
        <f>IF('ENCUESTA CONDUCTORES'!H32="X",1,0)</f>
        <v>1</v>
      </c>
      <c r="G32" s="15">
        <f>+'ENCUESTA CONDUCTORES'!I32</f>
        <v>44</v>
      </c>
      <c r="H32" s="15" t="str">
        <f>+'ENCUESTA CONDUCTORES'!J32</f>
        <v>M</v>
      </c>
      <c r="I32" s="15" t="str">
        <f>+'ENCUESTA CONDUCTORES'!K32</f>
        <v>PREPARATORIA</v>
      </c>
      <c r="J32" s="15" t="str">
        <f>+'ENCUESTA CONDUCTORES'!L32</f>
        <v>PUEBLA, PUE</v>
      </c>
      <c r="K32" s="15" t="str">
        <f>+'ENCUESTA CONDUCTORES'!M32</f>
        <v>PUEBLA</v>
      </c>
      <c r="L32" s="15" t="str">
        <f>+'ENCUESTA CONDUCTORES'!N32</f>
        <v>PUEBLA</v>
      </c>
      <c r="M32" s="15">
        <f>+'ENCUESTA CONDUCTORES'!O32</f>
        <v>16</v>
      </c>
      <c r="N32" s="15">
        <f>IF('ENCUESTA CONDUCTORES'!P32="X",1,0)</f>
        <v>0</v>
      </c>
      <c r="O32" s="15">
        <f>IF('ENCUESTA CONDUCTORES'!Q32="X",1,0)</f>
        <v>0</v>
      </c>
      <c r="P32" s="15">
        <f>IF('ENCUESTA CONDUCTORES'!R32="X",1,0)</f>
        <v>0</v>
      </c>
      <c r="Q32" s="15">
        <f>IF('ENCUESTA CONDUCTORES'!S32="X",1,0)</f>
        <v>1</v>
      </c>
      <c r="R32" s="15">
        <f>IF('ENCUESTA CONDUCTORES'!T32="X",1,0)</f>
        <v>0</v>
      </c>
      <c r="S32" s="15">
        <f>IF('ENCUESTA CONDUCTORES'!U32="X",1,0)</f>
        <v>0</v>
      </c>
      <c r="T32" s="15">
        <f>IF('ENCUESTA CONDUCTORES'!V32="X",1,0)</f>
        <v>0</v>
      </c>
      <c r="U32" s="15">
        <f>IF('ENCUESTA CONDUCTORES'!W32="X",1,0)</f>
        <v>0</v>
      </c>
      <c r="V32" s="15">
        <f>IF('ENCUESTA CONDUCTORES'!X32="X",1,0)</f>
        <v>0</v>
      </c>
      <c r="W32" s="15">
        <f>IF('ENCUESTA CONDUCTORES'!Y32="X",1,0)</f>
        <v>0</v>
      </c>
      <c r="X32" s="15">
        <f>IF('ENCUESTA CONDUCTORES'!Z32="X",1,0)</f>
        <v>0</v>
      </c>
      <c r="Y32" s="15">
        <f>+'ENCUESTA CONDUCTORES'!AG32</f>
        <v>0</v>
      </c>
      <c r="Z32" s="15">
        <f>+'ENCUESTA CONDUCTORES'!AH32</f>
        <v>1998</v>
      </c>
      <c r="AA32" s="1">
        <f>+'ENCUESTA CONDUCTORES'!AI32</f>
        <v>1750000</v>
      </c>
      <c r="AB32" s="15">
        <f>IF('ENCUESTA CONDUCTORES'!AJ32="X",1,0)</f>
        <v>0</v>
      </c>
      <c r="AC32" s="15">
        <f>IF('ENCUESTA CONDUCTORES'!AK32="X",1,0)</f>
        <v>0</v>
      </c>
      <c r="AD32" s="15">
        <f>IF('ENCUESTA CONDUCTORES'!AL32="X",1,0)</f>
        <v>1</v>
      </c>
      <c r="AE32" s="15">
        <f>IF('ENCUESTA CONDUCTORES'!AM32="X",1,0)</f>
        <v>0</v>
      </c>
      <c r="AF32" s="15">
        <f>IF('ENCUESTA CONDUCTORES'!AN32="X",1,0)</f>
        <v>0</v>
      </c>
      <c r="AG32" s="15">
        <f>IF('ENCUESTA CONDUCTORES'!AO32="X",1,0)</f>
        <v>0</v>
      </c>
      <c r="AH32" s="15">
        <f>IF('ENCUESTA CONDUCTORES'!AP32="X",1,0)</f>
        <v>1</v>
      </c>
      <c r="AI32" s="15">
        <f>IF('ENCUESTA CONDUCTORES'!AQ32="X",1,0)</f>
        <v>0</v>
      </c>
      <c r="AJ32" s="15">
        <f>IF('ENCUESTA CONDUCTORES'!AR32="X",1,0)</f>
        <v>0</v>
      </c>
      <c r="AK32" s="15">
        <f>+'ENCUESTA CONDUCTORES'!AS32</f>
        <v>0</v>
      </c>
      <c r="AL32" s="15" t="str">
        <f>+'ENCUESTA CONDUCTORES'!AT32</f>
        <v>INTERNATIONAL</v>
      </c>
      <c r="AM32" s="1">
        <f>+'ENCUESTA CONDUCTORES'!AU32</f>
        <v>5800</v>
      </c>
      <c r="AN32" s="48">
        <f>+'ENCUESTA CONDUCTORES'!AV32</f>
        <v>0.5</v>
      </c>
      <c r="AO32" s="15">
        <f>+'ENCUESTA CONDUCTORES'!AW32</f>
        <v>1.9</v>
      </c>
      <c r="AP32" s="15">
        <f>+'ENCUESTA CONDUCTORES'!AX32</f>
        <v>1.6</v>
      </c>
      <c r="AQ32" s="15">
        <f>+'ENCUESTA CONDUCTORES'!AY32</f>
        <v>1</v>
      </c>
      <c r="AR32" s="15">
        <f>+'ENCUESTA CONDUCTORES'!AZ32</f>
        <v>380</v>
      </c>
      <c r="AS32" s="15" t="str">
        <f>+'ENCUESTA CONDUCTORES'!BA32</f>
        <v>NO SABE</v>
      </c>
      <c r="AT32" s="15">
        <f>IF('ENCUESTA CONDUCTORES'!BB32="X",1,0)</f>
        <v>0</v>
      </c>
      <c r="AU32" s="15">
        <f>IF('ENCUESTA CONDUCTORES'!BC32="X",1,0)</f>
        <v>0</v>
      </c>
      <c r="AV32" s="15">
        <f>IF('ENCUESTA CONDUCTORES'!BD32="X",1,0)</f>
        <v>0</v>
      </c>
      <c r="AW32" s="1">
        <f>+'ENCUESTA CONDUCTORES'!BE32</f>
        <v>7500</v>
      </c>
      <c r="AX32" s="1">
        <f>+'ENCUESTA CONDUCTORES'!BF32</f>
        <v>10000</v>
      </c>
      <c r="AY32" s="1">
        <f>+'ENCUESTA CONDUCTORES'!BG32</f>
        <v>10000</v>
      </c>
      <c r="AZ32" s="1">
        <f>+'ENCUESTA CONDUCTORES'!BH32</f>
        <v>90000</v>
      </c>
      <c r="BA32" s="1">
        <f>+'ENCUESTA CONDUCTORES'!BI32</f>
        <v>10000</v>
      </c>
      <c r="BB32" s="15">
        <f>IF('ENCUESTA CONDUCTORES'!BJ32="X",1,0)</f>
        <v>0</v>
      </c>
      <c r="BC32" s="15">
        <f>IF('ENCUESTA CONDUCTORES'!BK32="X",1,0)</f>
        <v>1</v>
      </c>
      <c r="BD32" s="15">
        <f>IF('ENCUESTA CONDUCTORES'!BL32="X",1,0)</f>
        <v>0</v>
      </c>
      <c r="BE32" s="15">
        <f>IF('ENCUESTA CONDUCTORES'!BM32="X",1,0)</f>
        <v>0</v>
      </c>
      <c r="BF32" s="15">
        <f>IF('ENCUESTA CONDUCTORES'!BN32="X",1,0)</f>
        <v>0</v>
      </c>
      <c r="BG32" s="15">
        <f>IF('ENCUESTA CONDUCTORES'!BO32="X",1,0)</f>
        <v>0</v>
      </c>
      <c r="BH32" s="15">
        <f>IF('ENCUESTA CONDUCTORES'!BP32="X",1,0)</f>
        <v>0</v>
      </c>
      <c r="BI32" s="15">
        <f>IF('ENCUESTA CONDUCTORES'!BQ32="X",1,0)</f>
        <v>0</v>
      </c>
      <c r="BJ32" s="15">
        <f>IF('ENCUESTA CONDUCTORES'!BR32="X",1,0)</f>
        <v>0</v>
      </c>
      <c r="BK32" s="15">
        <f>+'ENCUESTA CONDUCTORES'!BS32</f>
        <v>0</v>
      </c>
      <c r="BL32" s="15">
        <f>IF('ENCUESTA CONDUCTORES'!BT32="X",1,0)</f>
        <v>0</v>
      </c>
      <c r="BM32" s="15">
        <f>IF('ENCUESTA CONDUCTORES'!BU32="X",1,0)</f>
        <v>1</v>
      </c>
      <c r="BN32" s="15">
        <f>IF('ENCUESTA CONDUCTORES'!BV32="X",1,0)</f>
        <v>0</v>
      </c>
      <c r="BO32" s="15">
        <f>IF('ENCUESTA CONDUCTORES'!BW32="X",1,0)</f>
        <v>0</v>
      </c>
      <c r="BP32" s="15">
        <f>+'ENCUESTA CONDUCTORES'!BX32</f>
        <v>2</v>
      </c>
      <c r="BQ32" s="15">
        <f>+'ENCUESTA CONDUCTORES'!BY32</f>
        <v>3</v>
      </c>
      <c r="BR32" s="15">
        <f>+'ENCUESTA CONDUCTORES'!BZ32</f>
        <v>1</v>
      </c>
      <c r="BS32" s="15">
        <f>+'ENCUESTA CONDUCTORES'!CA32</f>
        <v>0</v>
      </c>
      <c r="BT32" s="15">
        <f>IF('ENCUESTA CONDUCTORES'!CB32="X",1,0)</f>
        <v>1</v>
      </c>
      <c r="BU32" s="15">
        <f>IF('ENCUESTA CONDUCTORES'!CC32="X",1,0)</f>
        <v>0</v>
      </c>
      <c r="BV32" s="15">
        <f>IF('ENCUESTA CONDUCTORES'!CD32="X",1,0)</f>
        <v>0</v>
      </c>
      <c r="BW32" s="15">
        <f>IF('ENCUESTA CONDUCTORES'!CE32="X",1,0)</f>
        <v>0</v>
      </c>
      <c r="BX32" s="15">
        <f>IF('ENCUESTA CONDUCTORES'!CF32="X",1,0)</f>
        <v>0</v>
      </c>
      <c r="BY32" s="15">
        <f>IF('ENCUESTA CONDUCTORES'!CG32="X",1,0)</f>
        <v>0</v>
      </c>
      <c r="BZ32" s="15">
        <f>IF('ENCUESTA CONDUCTORES'!CH32="X",1,0)</f>
        <v>0</v>
      </c>
      <c r="CA32" s="15">
        <f>IF('ENCUESTA CONDUCTORES'!CI32="X",1,0)</f>
        <v>0</v>
      </c>
      <c r="CB32" s="15">
        <f>IF('ENCUESTA CONDUCTORES'!CJ32="X",1,0)</f>
        <v>0</v>
      </c>
      <c r="CC32" s="15">
        <f>IF('ENCUESTA CONDUCTORES'!CK32="X",1,0)</f>
        <v>0</v>
      </c>
      <c r="CD32" s="15">
        <f>IF('ENCUESTA CONDUCTORES'!CL32="X",1,0)</f>
        <v>1</v>
      </c>
      <c r="CE32" s="15">
        <f>IF('ENCUESTA CONDUCTORES'!CM32="X",1,0)</f>
        <v>1</v>
      </c>
      <c r="CF32" s="15" t="str">
        <f>+'ENCUESTA CONDUCTORES'!CN32</f>
        <v>AL PATRON NO LE INTERESA</v>
      </c>
      <c r="CG32" s="15">
        <f>IF('ENCUESTA CONDUCTORES'!CO32="X",1,0)</f>
        <v>0</v>
      </c>
      <c r="CH32" s="15" t="str">
        <f>+'ENCUESTA CONDUCTORES'!CP32</f>
        <v>NO HAY INCENTIVOS</v>
      </c>
      <c r="CI32" s="15" t="str">
        <f>+'ENCUESTA CONDUCTORES'!CQ32</f>
        <v>DAR INCENTIVOS</v>
      </c>
      <c r="CJ32" s="15">
        <f>IF('ENCUESTA CONDUCTORES'!CR32="X",1,0)</f>
        <v>1</v>
      </c>
      <c r="CK32" s="15">
        <f>IF('ENCUESTA CONDUCTORES'!CS32="X",1,0)</f>
        <v>0</v>
      </c>
      <c r="CL32" s="15">
        <f>IF('ENCUESTA CONDUCTORES'!CT32="X",1,0)</f>
        <v>0</v>
      </c>
      <c r="CM32" s="15">
        <f>+'ENCUESTA CONDUCTORES'!CU32</f>
        <v>0</v>
      </c>
      <c r="CN32" s="15">
        <f>IF('ENCUESTA CONDUCTORES'!CV32="X",1,0)</f>
        <v>0</v>
      </c>
      <c r="CO32" s="15">
        <f>+'ENCUESTA CONDUCTORES'!CW32</f>
        <v>0</v>
      </c>
      <c r="CP32" s="15">
        <f>IF('ENCUESTA CONDUCTORES'!CX32="X",1,0)</f>
        <v>0</v>
      </c>
      <c r="CQ32" s="15">
        <f>IF('ENCUESTA CONDUCTORES'!CY32="X",1,0)</f>
        <v>1</v>
      </c>
      <c r="CR32" s="3">
        <f>+'ENCUESTA CONDUCTORES'!CZ32</f>
        <v>0</v>
      </c>
      <c r="CS32" s="49">
        <f>+'ENCUESTA CONDUCTORES'!DA32</f>
        <v>0</v>
      </c>
    </row>
    <row r="33" spans="2:97" x14ac:dyDescent="0.25">
      <c r="B33" s="14" t="str">
        <f>+'ENCUESTA CONDUCTORES'!D33</f>
        <v>C-038</v>
      </c>
      <c r="C33" s="15">
        <f>IF('ENCUESTA CONDUCTORES'!E33="X",1,0)</f>
        <v>0</v>
      </c>
      <c r="D33" s="15">
        <f>IF('ENCUESTA CONDUCTORES'!F33="X",1,0)</f>
        <v>0</v>
      </c>
      <c r="E33" s="15">
        <f>IF('ENCUESTA CONDUCTORES'!G33="X",1,0)</f>
        <v>1</v>
      </c>
      <c r="F33" s="15">
        <f>IF('ENCUESTA CONDUCTORES'!H33="X",1,0)</f>
        <v>0</v>
      </c>
      <c r="G33" s="15">
        <f>+'ENCUESTA CONDUCTORES'!I33</f>
        <v>35</v>
      </c>
      <c r="H33" s="15" t="str">
        <f>+'ENCUESTA CONDUCTORES'!J33</f>
        <v>M</v>
      </c>
      <c r="I33" s="15" t="str">
        <f>+'ENCUESTA CONDUCTORES'!K33</f>
        <v>PRIMARIA</v>
      </c>
      <c r="J33" s="15" t="str">
        <f>+'ENCUESTA CONDUCTORES'!L33</f>
        <v>OAXACA,OAX.</v>
      </c>
      <c r="K33" s="15" t="str">
        <f>+'ENCUESTA CONDUCTORES'!M33</f>
        <v>OAXACA</v>
      </c>
      <c r="L33" s="15" t="str">
        <f>+'ENCUESTA CONDUCTORES'!N33</f>
        <v>OAXACA</v>
      </c>
      <c r="M33" s="15">
        <f>+'ENCUESTA CONDUCTORES'!O33</f>
        <v>15</v>
      </c>
      <c r="N33" s="15">
        <f>IF('ENCUESTA CONDUCTORES'!P33="X",1,0)</f>
        <v>0</v>
      </c>
      <c r="O33" s="15">
        <f>IF('ENCUESTA CONDUCTORES'!Q33="X",1,0)</f>
        <v>1</v>
      </c>
      <c r="P33" s="15">
        <f>IF('ENCUESTA CONDUCTORES'!R33="X",1,0)</f>
        <v>0</v>
      </c>
      <c r="Q33" s="15">
        <f>IF('ENCUESTA CONDUCTORES'!S33="X",1,0)</f>
        <v>0</v>
      </c>
      <c r="R33" s="15">
        <f>IF('ENCUESTA CONDUCTORES'!T33="X",1,0)</f>
        <v>0</v>
      </c>
      <c r="S33" s="15">
        <f>IF('ENCUESTA CONDUCTORES'!U33="X",1,0)</f>
        <v>1</v>
      </c>
      <c r="T33" s="15">
        <f>IF('ENCUESTA CONDUCTORES'!V33="X",1,0)</f>
        <v>0</v>
      </c>
      <c r="U33" s="15">
        <f>IF('ENCUESTA CONDUCTORES'!W33="X",1,0)</f>
        <v>0</v>
      </c>
      <c r="V33" s="15">
        <f>IF('ENCUESTA CONDUCTORES'!X33="X",1,0)</f>
        <v>0</v>
      </c>
      <c r="W33" s="15">
        <f>IF('ENCUESTA CONDUCTORES'!Y33="X",1,0)</f>
        <v>0</v>
      </c>
      <c r="X33" s="15">
        <f>IF('ENCUESTA CONDUCTORES'!Z33="X",1,0)</f>
        <v>0</v>
      </c>
      <c r="Y33" s="15">
        <f>+'ENCUESTA CONDUCTORES'!AG33</f>
        <v>0</v>
      </c>
      <c r="Z33" s="15">
        <f>+'ENCUESTA CONDUCTORES'!AH33</f>
        <v>1977</v>
      </c>
      <c r="AA33" s="1" t="str">
        <f>+'ENCUESTA CONDUCTORES'!AI33</f>
        <v>NO SABE</v>
      </c>
      <c r="AB33" s="15">
        <f>IF('ENCUESTA CONDUCTORES'!AJ33="X",1,0)</f>
        <v>0</v>
      </c>
      <c r="AC33" s="15">
        <f>IF('ENCUESTA CONDUCTORES'!AK33="X",1,0)</f>
        <v>0</v>
      </c>
      <c r="AD33" s="15">
        <f>IF('ENCUESTA CONDUCTORES'!AL33="X",1,0)</f>
        <v>1</v>
      </c>
      <c r="AE33" s="15">
        <f>IF('ENCUESTA CONDUCTORES'!AM33="X",1,0)</f>
        <v>0</v>
      </c>
      <c r="AF33" s="15">
        <f>IF('ENCUESTA CONDUCTORES'!AN33="X",1,0)</f>
        <v>0</v>
      </c>
      <c r="AG33" s="15">
        <f>IF('ENCUESTA CONDUCTORES'!AO33="X",1,0)</f>
        <v>0</v>
      </c>
      <c r="AH33" s="15">
        <f>IF('ENCUESTA CONDUCTORES'!AP33="X",1,0)</f>
        <v>0</v>
      </c>
      <c r="AI33" s="15">
        <f>IF('ENCUESTA CONDUCTORES'!AQ33="X",1,0)</f>
        <v>1</v>
      </c>
      <c r="AJ33" s="15">
        <f>IF('ENCUESTA CONDUCTORES'!AR33="X",1,0)</f>
        <v>0</v>
      </c>
      <c r="AK33" s="15">
        <f>+'ENCUESTA CONDUCTORES'!AS33</f>
        <v>1997</v>
      </c>
      <c r="AL33" s="15" t="str">
        <f>+'ENCUESTA CONDUCTORES'!AT33</f>
        <v>INTERNATIONAL</v>
      </c>
      <c r="AM33" s="1">
        <f>+'ENCUESTA CONDUCTORES'!AU33</f>
        <v>7500</v>
      </c>
      <c r="AN33" s="48">
        <f>+'ENCUESTA CONDUCTORES'!AV33</f>
        <v>0.5</v>
      </c>
      <c r="AO33" s="15">
        <f>+'ENCUESTA CONDUCTORES'!AW33</f>
        <v>1.7</v>
      </c>
      <c r="AP33" s="15">
        <f>+'ENCUESTA CONDUCTORES'!AX33</f>
        <v>1.4</v>
      </c>
      <c r="AQ33" s="15">
        <f>+'ENCUESTA CONDUCTORES'!AY33</f>
        <v>1</v>
      </c>
      <c r="AR33" s="15">
        <f>+'ENCUESTA CONDUCTORES'!AZ33</f>
        <v>350</v>
      </c>
      <c r="AS33" s="15" t="str">
        <f>+'ENCUESTA CONDUCTORES'!BA33</f>
        <v>NO SABE</v>
      </c>
      <c r="AT33" s="15">
        <f>IF('ENCUESTA CONDUCTORES'!BB33="X",1,0)</f>
        <v>0</v>
      </c>
      <c r="AU33" s="15">
        <f>IF('ENCUESTA CONDUCTORES'!BC33="X",1,0)</f>
        <v>0</v>
      </c>
      <c r="AV33" s="15">
        <f>IF('ENCUESTA CONDUCTORES'!BD33="X",1,0)</f>
        <v>0</v>
      </c>
      <c r="AW33" s="1">
        <f>+'ENCUESTA CONDUCTORES'!BE33</f>
        <v>5000</v>
      </c>
      <c r="AX33" s="1">
        <f>+'ENCUESTA CONDUCTORES'!BF33</f>
        <v>10000</v>
      </c>
      <c r="AY33" s="1">
        <f>+'ENCUESTA CONDUCTORES'!BG33</f>
        <v>12000</v>
      </c>
      <c r="AZ33" s="1">
        <f>+'ENCUESTA CONDUCTORES'!BH33</f>
        <v>90000</v>
      </c>
      <c r="BA33" s="1">
        <f>+'ENCUESTA CONDUCTORES'!BI33</f>
        <v>12000</v>
      </c>
      <c r="BB33" s="15">
        <f>IF('ENCUESTA CONDUCTORES'!BJ33="X",1,0)</f>
        <v>0</v>
      </c>
      <c r="BC33" s="15">
        <f>IF('ENCUESTA CONDUCTORES'!BK33="X",1,0)</f>
        <v>1</v>
      </c>
      <c r="BD33" s="15">
        <f>IF('ENCUESTA CONDUCTORES'!BL33="X",1,0)</f>
        <v>0</v>
      </c>
      <c r="BE33" s="15">
        <f>IF('ENCUESTA CONDUCTORES'!BM33="X",1,0)</f>
        <v>0</v>
      </c>
      <c r="BF33" s="15">
        <f>IF('ENCUESTA CONDUCTORES'!BN33="X",1,0)</f>
        <v>0</v>
      </c>
      <c r="BG33" s="15">
        <f>IF('ENCUESTA CONDUCTORES'!BO33="X",1,0)</f>
        <v>0</v>
      </c>
      <c r="BH33" s="15">
        <f>IF('ENCUESTA CONDUCTORES'!BP33="X",1,0)</f>
        <v>0</v>
      </c>
      <c r="BI33" s="15">
        <f>IF('ENCUESTA CONDUCTORES'!BQ33="X",1,0)</f>
        <v>0</v>
      </c>
      <c r="BJ33" s="15">
        <f>IF('ENCUESTA CONDUCTORES'!BR33="X",1,0)</f>
        <v>0</v>
      </c>
      <c r="BK33" s="15">
        <f>+'ENCUESTA CONDUCTORES'!BS33</f>
        <v>0</v>
      </c>
      <c r="BL33" s="15">
        <f>IF('ENCUESTA CONDUCTORES'!BT33="X",1,0)</f>
        <v>0</v>
      </c>
      <c r="BM33" s="15">
        <f>IF('ENCUESTA CONDUCTORES'!BU33="X",1,0)</f>
        <v>1</v>
      </c>
      <c r="BN33" s="15">
        <f>IF('ENCUESTA CONDUCTORES'!BV33="X",1,0)</f>
        <v>0</v>
      </c>
      <c r="BO33" s="15">
        <f>IF('ENCUESTA CONDUCTORES'!BW33="X",1,0)</f>
        <v>0</v>
      </c>
      <c r="BP33" s="15">
        <f>+'ENCUESTA CONDUCTORES'!BX33</f>
        <v>2</v>
      </c>
      <c r="BQ33" s="15">
        <f>+'ENCUESTA CONDUCTORES'!BY33</f>
        <v>3</v>
      </c>
      <c r="BR33" s="15">
        <f>+'ENCUESTA CONDUCTORES'!BZ33</f>
        <v>1</v>
      </c>
      <c r="BS33" s="15">
        <f>+'ENCUESTA CONDUCTORES'!CA33</f>
        <v>0</v>
      </c>
      <c r="BT33" s="15">
        <f>IF('ENCUESTA CONDUCTORES'!CB33="X",1,0)</f>
        <v>1</v>
      </c>
      <c r="BU33" s="15">
        <f>IF('ENCUESTA CONDUCTORES'!CC33="X",1,0)</f>
        <v>0</v>
      </c>
      <c r="BV33" s="15">
        <f>IF('ENCUESTA CONDUCTORES'!CD33="X",1,0)</f>
        <v>0</v>
      </c>
      <c r="BW33" s="15">
        <f>IF('ENCUESTA CONDUCTORES'!CE33="X",1,0)</f>
        <v>0</v>
      </c>
      <c r="BX33" s="15">
        <f>IF('ENCUESTA CONDUCTORES'!CF33="X",1,0)</f>
        <v>0</v>
      </c>
      <c r="BY33" s="15">
        <f>IF('ENCUESTA CONDUCTORES'!CG33="X",1,0)</f>
        <v>0</v>
      </c>
      <c r="BZ33" s="15">
        <f>IF('ENCUESTA CONDUCTORES'!CH33="X",1,0)</f>
        <v>0</v>
      </c>
      <c r="CA33" s="15">
        <f>IF('ENCUESTA CONDUCTORES'!CI33="X",1,0)</f>
        <v>0</v>
      </c>
      <c r="CB33" s="15">
        <f>IF('ENCUESTA CONDUCTORES'!CJ33="X",1,0)</f>
        <v>0</v>
      </c>
      <c r="CC33" s="15">
        <f>IF('ENCUESTA CONDUCTORES'!CK33="X",1,0)</f>
        <v>1</v>
      </c>
      <c r="CD33" s="15">
        <f>IF('ENCUESTA CONDUCTORES'!CL33="X",1,0)</f>
        <v>0</v>
      </c>
      <c r="CE33" s="15">
        <f>IF('ENCUESTA CONDUCTORES'!CM33="X",1,0)</f>
        <v>0</v>
      </c>
      <c r="CF33" s="15">
        <f>+'ENCUESTA CONDUCTORES'!CN33</f>
        <v>0</v>
      </c>
      <c r="CG33" s="15">
        <f>IF('ENCUESTA CONDUCTORES'!CO33="X",1,0)</f>
        <v>0</v>
      </c>
      <c r="CH33" s="15" t="str">
        <f>+'ENCUESTA CONDUCTORES'!CP33</f>
        <v>NO SABE</v>
      </c>
      <c r="CI33" s="15" t="str">
        <f>+'ENCUESTA CONDUCTORES'!CQ33</f>
        <v>NO SABE</v>
      </c>
      <c r="CJ33" s="15">
        <f>IF('ENCUESTA CONDUCTORES'!CR33="X",1,0)</f>
        <v>1</v>
      </c>
      <c r="CK33" s="15">
        <f>IF('ENCUESTA CONDUCTORES'!CS33="X",1,0)</f>
        <v>0</v>
      </c>
      <c r="CL33" s="15">
        <f>IF('ENCUESTA CONDUCTORES'!CT33="X",1,0)</f>
        <v>0</v>
      </c>
      <c r="CM33" s="15">
        <f>+'ENCUESTA CONDUCTORES'!CU33</f>
        <v>0</v>
      </c>
      <c r="CN33" s="15">
        <f>IF('ENCUESTA CONDUCTORES'!CV33="X",1,0)</f>
        <v>0</v>
      </c>
      <c r="CO33" s="15">
        <f>+'ENCUESTA CONDUCTORES'!CW33</f>
        <v>0</v>
      </c>
      <c r="CP33" s="15">
        <f>IF('ENCUESTA CONDUCTORES'!CX33="X",1,0)</f>
        <v>1</v>
      </c>
      <c r="CQ33" s="15">
        <f>IF('ENCUESTA CONDUCTORES'!CY33="X",1,0)</f>
        <v>1</v>
      </c>
      <c r="CR33" s="3">
        <f>+'ENCUESTA CONDUCTORES'!CZ33</f>
        <v>0</v>
      </c>
      <c r="CS33" s="49" t="str">
        <f>+'ENCUESTA CONDUCTORES'!DA33</f>
        <v>NO SIRVE EL CUENTAKILÓMETROS</v>
      </c>
    </row>
    <row r="34" spans="2:97" x14ac:dyDescent="0.25">
      <c r="B34" s="14" t="str">
        <f>+'ENCUESTA CONDUCTORES'!D34</f>
        <v>C-040</v>
      </c>
      <c r="C34" s="15">
        <f>IF('ENCUESTA CONDUCTORES'!E34="X",1,0)</f>
        <v>0</v>
      </c>
      <c r="D34" s="15">
        <f>IF('ENCUESTA CONDUCTORES'!F34="X",1,0)</f>
        <v>0</v>
      </c>
      <c r="E34" s="15">
        <f>IF('ENCUESTA CONDUCTORES'!G34="X",1,0)</f>
        <v>1</v>
      </c>
      <c r="F34" s="15">
        <f>IF('ENCUESTA CONDUCTORES'!H34="X",1,0)</f>
        <v>0</v>
      </c>
      <c r="G34" s="15">
        <f>+'ENCUESTA CONDUCTORES'!I34</f>
        <v>29</v>
      </c>
      <c r="H34" s="15" t="str">
        <f>+'ENCUESTA CONDUCTORES'!J34</f>
        <v>M</v>
      </c>
      <c r="I34" s="15" t="str">
        <f>+'ENCUESTA CONDUCTORES'!K34</f>
        <v>PRIMARIA</v>
      </c>
      <c r="J34" s="15" t="str">
        <f>+'ENCUESTA CONDUCTORES'!L34</f>
        <v>ETLA,OAX.</v>
      </c>
      <c r="K34" s="15" t="str">
        <f>+'ENCUESTA CONDUCTORES'!M34</f>
        <v>ETLA</v>
      </c>
      <c r="L34" s="15" t="str">
        <f>+'ENCUESTA CONDUCTORES'!N34</f>
        <v>OAXACA</v>
      </c>
      <c r="M34" s="15">
        <f>+'ENCUESTA CONDUCTORES'!O34</f>
        <v>9</v>
      </c>
      <c r="N34" s="15">
        <f>IF('ENCUESTA CONDUCTORES'!P34="X",1,0)</f>
        <v>0</v>
      </c>
      <c r="O34" s="15">
        <f>IF('ENCUESTA CONDUCTORES'!Q34="X",1,0)</f>
        <v>1</v>
      </c>
      <c r="P34" s="15">
        <f>IF('ENCUESTA CONDUCTORES'!R34="X",1,0)</f>
        <v>0</v>
      </c>
      <c r="Q34" s="15">
        <f>IF('ENCUESTA CONDUCTORES'!S34="X",1,0)</f>
        <v>0</v>
      </c>
      <c r="R34" s="15">
        <f>IF('ENCUESTA CONDUCTORES'!T34="X",1,0)</f>
        <v>0</v>
      </c>
      <c r="S34" s="15">
        <f>IF('ENCUESTA CONDUCTORES'!U34="X",1,0)</f>
        <v>0</v>
      </c>
      <c r="T34" s="15">
        <f>IF('ENCUESTA CONDUCTORES'!V34="X",1,0)</f>
        <v>0</v>
      </c>
      <c r="U34" s="15">
        <f>IF('ENCUESTA CONDUCTORES'!W34="X",1,0)</f>
        <v>0</v>
      </c>
      <c r="V34" s="15">
        <f>IF('ENCUESTA CONDUCTORES'!X34="X",1,0)</f>
        <v>0</v>
      </c>
      <c r="W34" s="15">
        <f>IF('ENCUESTA CONDUCTORES'!Y34="X",1,0)</f>
        <v>0</v>
      </c>
      <c r="X34" s="15">
        <f>IF('ENCUESTA CONDUCTORES'!Z34="X",1,0)</f>
        <v>0</v>
      </c>
      <c r="Y34" s="15">
        <f>+'ENCUESTA CONDUCTORES'!AG34</f>
        <v>0</v>
      </c>
      <c r="Z34" s="15">
        <f>+'ENCUESTA CONDUCTORES'!AH34</f>
        <v>1984</v>
      </c>
      <c r="AA34" s="1">
        <f>+'ENCUESTA CONDUCTORES'!AI34</f>
        <v>1795000</v>
      </c>
      <c r="AB34" s="15">
        <f>IF('ENCUESTA CONDUCTORES'!AJ34="X",1,0)</f>
        <v>0</v>
      </c>
      <c r="AC34" s="15">
        <f>IF('ENCUESTA CONDUCTORES'!AK34="X",1,0)</f>
        <v>0</v>
      </c>
      <c r="AD34" s="15">
        <f>IF('ENCUESTA CONDUCTORES'!AL34="X",1,0)</f>
        <v>1</v>
      </c>
      <c r="AE34" s="15">
        <f>IF('ENCUESTA CONDUCTORES'!AM34="X",1,0)</f>
        <v>0</v>
      </c>
      <c r="AF34" s="15">
        <f>IF('ENCUESTA CONDUCTORES'!AN34="X",1,0)</f>
        <v>0</v>
      </c>
      <c r="AG34" s="15">
        <f>IF('ENCUESTA CONDUCTORES'!AO34="X",1,0)</f>
        <v>1</v>
      </c>
      <c r="AH34" s="15">
        <f>IF('ENCUESTA CONDUCTORES'!AP34="X",1,0)</f>
        <v>0</v>
      </c>
      <c r="AI34" s="15">
        <f>IF('ENCUESTA CONDUCTORES'!AQ34="X",1,0)</f>
        <v>0</v>
      </c>
      <c r="AJ34" s="15">
        <f>IF('ENCUESTA CONDUCTORES'!AR34="X",1,0)</f>
        <v>0</v>
      </c>
      <c r="AK34" s="15">
        <f>+'ENCUESTA CONDUCTORES'!AS34</f>
        <v>0</v>
      </c>
      <c r="AL34" s="15" t="str">
        <f>+'ENCUESTA CONDUCTORES'!AT34</f>
        <v>INTERNATIONAL</v>
      </c>
      <c r="AM34" s="1">
        <f>+'ENCUESTA CONDUCTORES'!AU34</f>
        <v>4000</v>
      </c>
      <c r="AN34" s="48">
        <f>+'ENCUESTA CONDUCTORES'!AV34</f>
        <v>0.5</v>
      </c>
      <c r="AO34" s="15">
        <f>+'ENCUESTA CONDUCTORES'!AW34</f>
        <v>1.8</v>
      </c>
      <c r="AP34" s="15">
        <f>+'ENCUESTA CONDUCTORES'!AX34</f>
        <v>1.6</v>
      </c>
      <c r="AQ34" s="15">
        <f>+'ENCUESTA CONDUCTORES'!AY34</f>
        <v>1</v>
      </c>
      <c r="AR34" s="15">
        <f>+'ENCUESTA CONDUCTORES'!AZ34</f>
        <v>250</v>
      </c>
      <c r="AS34" s="15">
        <f>+'ENCUESTA CONDUCTORES'!BA34</f>
        <v>450</v>
      </c>
      <c r="AT34" s="15">
        <f>IF('ENCUESTA CONDUCTORES'!BB34="X",1,0)</f>
        <v>1</v>
      </c>
      <c r="AU34" s="15">
        <f>IF('ENCUESTA CONDUCTORES'!BC34="X",1,0)</f>
        <v>0</v>
      </c>
      <c r="AV34" s="15">
        <f>IF('ENCUESTA CONDUCTORES'!BD34="X",1,0)</f>
        <v>0</v>
      </c>
      <c r="AW34" s="1">
        <f>+'ENCUESTA CONDUCTORES'!BE34</f>
        <v>6000</v>
      </c>
      <c r="AX34" s="1">
        <f>+'ENCUESTA CONDUCTORES'!BF34</f>
        <v>9000</v>
      </c>
      <c r="AY34" s="1">
        <f>+'ENCUESTA CONDUCTORES'!BG34</f>
        <v>12000</v>
      </c>
      <c r="AZ34" s="1">
        <f>+'ENCUESTA CONDUCTORES'!BH34</f>
        <v>80000</v>
      </c>
      <c r="BA34" s="1">
        <f>+'ENCUESTA CONDUCTORES'!BI34</f>
        <v>12000</v>
      </c>
      <c r="BB34" s="15">
        <f>IF('ENCUESTA CONDUCTORES'!BJ34="X",1,0)</f>
        <v>1</v>
      </c>
      <c r="BC34" s="15">
        <f>IF('ENCUESTA CONDUCTORES'!BK34="X",1,0)</f>
        <v>0</v>
      </c>
      <c r="BD34" s="15">
        <f>IF('ENCUESTA CONDUCTORES'!BL34="X",1,0)</f>
        <v>0</v>
      </c>
      <c r="BE34" s="15">
        <f>IF('ENCUESTA CONDUCTORES'!BM34="X",1,0)</f>
        <v>0</v>
      </c>
      <c r="BF34" s="15">
        <f>IF('ENCUESTA CONDUCTORES'!BN34="X",1,0)</f>
        <v>0</v>
      </c>
      <c r="BG34" s="15">
        <f>IF('ENCUESTA CONDUCTORES'!BO34="X",1,0)</f>
        <v>1</v>
      </c>
      <c r="BH34" s="15">
        <f>IF('ENCUESTA CONDUCTORES'!BP34="X",1,0)</f>
        <v>0</v>
      </c>
      <c r="BI34" s="15">
        <f>IF('ENCUESTA CONDUCTORES'!BQ34="X",1,0)</f>
        <v>0</v>
      </c>
      <c r="BJ34" s="15">
        <f>IF('ENCUESTA CONDUCTORES'!BR34="X",1,0)</f>
        <v>0</v>
      </c>
      <c r="BK34" s="15">
        <f>+'ENCUESTA CONDUCTORES'!BS34</f>
        <v>0</v>
      </c>
      <c r="BL34" s="15">
        <f>IF('ENCUESTA CONDUCTORES'!BT34="X",1,0)</f>
        <v>0</v>
      </c>
      <c r="BM34" s="15">
        <f>IF('ENCUESTA CONDUCTORES'!BU34="X",1,0)</f>
        <v>1</v>
      </c>
      <c r="BN34" s="15">
        <f>IF('ENCUESTA CONDUCTORES'!BV34="X",1,0)</f>
        <v>0</v>
      </c>
      <c r="BO34" s="15">
        <f>IF('ENCUESTA CONDUCTORES'!BW34="X",1,0)</f>
        <v>0</v>
      </c>
      <c r="BP34" s="15">
        <f>+'ENCUESTA CONDUCTORES'!BX34</f>
        <v>1</v>
      </c>
      <c r="BQ34" s="15">
        <f>+'ENCUESTA CONDUCTORES'!BY34</f>
        <v>3</v>
      </c>
      <c r="BR34" s="15">
        <f>+'ENCUESTA CONDUCTORES'!BZ34</f>
        <v>2</v>
      </c>
      <c r="BS34" s="15">
        <f>+'ENCUESTA CONDUCTORES'!CA34</f>
        <v>0</v>
      </c>
      <c r="BT34" s="15">
        <f>IF('ENCUESTA CONDUCTORES'!CB34="X",1,0)</f>
        <v>1</v>
      </c>
      <c r="BU34" s="15">
        <f>IF('ENCUESTA CONDUCTORES'!CC34="X",1,0)</f>
        <v>0</v>
      </c>
      <c r="BV34" s="15">
        <f>IF('ENCUESTA CONDUCTORES'!CD34="X",1,0)</f>
        <v>0</v>
      </c>
      <c r="BW34" s="15">
        <f>IF('ENCUESTA CONDUCTORES'!CE34="X",1,0)</f>
        <v>0</v>
      </c>
      <c r="BX34" s="15">
        <f>IF('ENCUESTA CONDUCTORES'!CF34="X",1,0)</f>
        <v>0</v>
      </c>
      <c r="BY34" s="15">
        <f>IF('ENCUESTA CONDUCTORES'!CG34="X",1,0)</f>
        <v>0</v>
      </c>
      <c r="BZ34" s="15">
        <f>IF('ENCUESTA CONDUCTORES'!CH34="X",1,0)</f>
        <v>0</v>
      </c>
      <c r="CA34" s="15">
        <f>IF('ENCUESTA CONDUCTORES'!CI34="X",1,0)</f>
        <v>0</v>
      </c>
      <c r="CB34" s="15">
        <f>IF('ENCUESTA CONDUCTORES'!CJ34="X",1,0)</f>
        <v>0</v>
      </c>
      <c r="CC34" s="15">
        <f>IF('ENCUESTA CONDUCTORES'!CK34="X",1,0)</f>
        <v>1</v>
      </c>
      <c r="CD34" s="15">
        <f>IF('ENCUESTA CONDUCTORES'!CL34="X",1,0)</f>
        <v>0</v>
      </c>
      <c r="CE34" s="15">
        <f>IF('ENCUESTA CONDUCTORES'!CM34="X",1,0)</f>
        <v>0</v>
      </c>
      <c r="CF34" s="15">
        <f>+'ENCUESTA CONDUCTORES'!CN34</f>
        <v>0</v>
      </c>
      <c r="CG34" s="15">
        <f>IF('ENCUESTA CONDUCTORES'!CO34="X",1,0)</f>
        <v>0</v>
      </c>
      <c r="CH34" s="15" t="str">
        <f>+'ENCUESTA CONDUCTORES'!CP34</f>
        <v>NO SABE</v>
      </c>
      <c r="CI34" s="15" t="str">
        <f>+'ENCUESTA CONDUCTORES'!CQ34</f>
        <v>NO SABE</v>
      </c>
      <c r="CJ34" s="15">
        <f>IF('ENCUESTA CONDUCTORES'!CR34="X",1,0)</f>
        <v>1</v>
      </c>
      <c r="CK34" s="15">
        <f>IF('ENCUESTA CONDUCTORES'!CS34="X",1,0)</f>
        <v>0</v>
      </c>
      <c r="CL34" s="15">
        <f>IF('ENCUESTA CONDUCTORES'!CT34="X",1,0)</f>
        <v>0</v>
      </c>
      <c r="CM34" s="15">
        <f>+'ENCUESTA CONDUCTORES'!CU34</f>
        <v>0</v>
      </c>
      <c r="CN34" s="15">
        <f>IF('ENCUESTA CONDUCTORES'!CV34="X",1,0)</f>
        <v>0</v>
      </c>
      <c r="CO34" s="15">
        <f>+'ENCUESTA CONDUCTORES'!CW34</f>
        <v>0</v>
      </c>
      <c r="CP34" s="15">
        <f>IF('ENCUESTA CONDUCTORES'!CX34="X",1,0)</f>
        <v>1</v>
      </c>
      <c r="CQ34" s="15">
        <f>IF('ENCUESTA CONDUCTORES'!CY34="X",1,0)</f>
        <v>1</v>
      </c>
      <c r="CR34" s="3">
        <f>+'ENCUESTA CONDUCTORES'!CZ34</f>
        <v>0</v>
      </c>
      <c r="CS34" s="49">
        <f>+'ENCUESTA CONDUCTORES'!DA34</f>
        <v>0</v>
      </c>
    </row>
    <row r="35" spans="2:97" x14ac:dyDescent="0.25">
      <c r="B35" s="14" t="str">
        <f>+'ENCUESTA CONDUCTORES'!D35</f>
        <v>C-041</v>
      </c>
      <c r="C35" s="15">
        <f>IF('ENCUESTA CONDUCTORES'!E35="X",1,0)</f>
        <v>1</v>
      </c>
      <c r="D35" s="15">
        <f>IF('ENCUESTA CONDUCTORES'!F35="X",1,0)</f>
        <v>0</v>
      </c>
      <c r="E35" s="15">
        <f>IF('ENCUESTA CONDUCTORES'!G35="X",1,0)</f>
        <v>0</v>
      </c>
      <c r="F35" s="15">
        <f>IF('ENCUESTA CONDUCTORES'!H35="X",1,0)</f>
        <v>0</v>
      </c>
      <c r="G35" s="15">
        <f>+'ENCUESTA CONDUCTORES'!I35</f>
        <v>35</v>
      </c>
      <c r="H35" s="15" t="str">
        <f>+'ENCUESTA CONDUCTORES'!J35</f>
        <v>M</v>
      </c>
      <c r="I35" s="15" t="str">
        <f>+'ENCUESTA CONDUCTORES'!K35</f>
        <v>SECUNDARIA</v>
      </c>
      <c r="J35" s="15" t="str">
        <f>+'ENCUESTA CONDUCTORES'!L35</f>
        <v>V. CARRANZA, D.F.</v>
      </c>
      <c r="K35" s="50" t="str">
        <f>+'ENCUESTA CONDUCTORES'!M35</f>
        <v>V. CARRANZA</v>
      </c>
      <c r="L35" s="15" t="str">
        <f>+'ENCUESTA CONDUCTORES'!N35</f>
        <v>D.F.</v>
      </c>
      <c r="M35" s="15">
        <f>+'ENCUESTA CONDUCTORES'!O35</f>
        <v>13</v>
      </c>
      <c r="N35" s="15">
        <f>IF('ENCUESTA CONDUCTORES'!P35="X",1,0)</f>
        <v>0</v>
      </c>
      <c r="O35" s="15">
        <f>IF('ENCUESTA CONDUCTORES'!Q35="X",1,0)</f>
        <v>0</v>
      </c>
      <c r="P35" s="15">
        <f>IF('ENCUESTA CONDUCTORES'!R35="X",1,0)</f>
        <v>0</v>
      </c>
      <c r="Q35" s="15">
        <f>IF('ENCUESTA CONDUCTORES'!S35="X",1,0)</f>
        <v>1</v>
      </c>
      <c r="R35" s="15">
        <f>IF('ENCUESTA CONDUCTORES'!T35="X",1,0)</f>
        <v>0</v>
      </c>
      <c r="S35" s="15">
        <f>IF('ENCUESTA CONDUCTORES'!U35="X",1,0)</f>
        <v>1</v>
      </c>
      <c r="T35" s="15">
        <f>IF('ENCUESTA CONDUCTORES'!V35="X",1,0)</f>
        <v>0</v>
      </c>
      <c r="U35" s="15">
        <f>IF('ENCUESTA CONDUCTORES'!W35="X",1,0)</f>
        <v>0</v>
      </c>
      <c r="V35" s="15">
        <f>IF('ENCUESTA CONDUCTORES'!X35="X",1,0)</f>
        <v>0</v>
      </c>
      <c r="W35" s="15">
        <f>IF('ENCUESTA CONDUCTORES'!Y35="X",1,0)</f>
        <v>0</v>
      </c>
      <c r="X35" s="15">
        <f>IF('ENCUESTA CONDUCTORES'!Z35="X",1,0)</f>
        <v>0</v>
      </c>
      <c r="Y35" s="15">
        <f>+'ENCUESTA CONDUCTORES'!AG35</f>
        <v>0</v>
      </c>
      <c r="Z35" s="15">
        <f>+'ENCUESTA CONDUCTORES'!AH35</f>
        <v>2013</v>
      </c>
      <c r="AA35" s="1">
        <f>+'ENCUESTA CONDUCTORES'!AI35</f>
        <v>20700</v>
      </c>
      <c r="AB35" s="15">
        <f>IF('ENCUESTA CONDUCTORES'!AJ35="X",1,0)</f>
        <v>0</v>
      </c>
      <c r="AC35" s="15">
        <f>IF('ENCUESTA CONDUCTORES'!AK35="X",1,0)</f>
        <v>0</v>
      </c>
      <c r="AD35" s="15">
        <f>IF('ENCUESTA CONDUCTORES'!AL35="X",1,0)</f>
        <v>1</v>
      </c>
      <c r="AE35" s="15">
        <f>IF('ENCUESTA CONDUCTORES'!AM35="X",1,0)</f>
        <v>0</v>
      </c>
      <c r="AF35" s="15">
        <f>IF('ENCUESTA CONDUCTORES'!AN35="X",1,0)</f>
        <v>0</v>
      </c>
      <c r="AG35" s="15">
        <f>IF('ENCUESTA CONDUCTORES'!AO35="X",1,0)</f>
        <v>0</v>
      </c>
      <c r="AH35" s="15">
        <f>IF('ENCUESTA CONDUCTORES'!AP35="X",1,0)</f>
        <v>1</v>
      </c>
      <c r="AI35" s="15">
        <f>IF('ENCUESTA CONDUCTORES'!AQ35="X",1,0)</f>
        <v>0</v>
      </c>
      <c r="AJ35" s="15">
        <f>IF('ENCUESTA CONDUCTORES'!AR35="X",1,0)</f>
        <v>0</v>
      </c>
      <c r="AK35" s="15">
        <f>+'ENCUESTA CONDUCTORES'!AS35</f>
        <v>0</v>
      </c>
      <c r="AL35" s="15" t="str">
        <f>+'ENCUESTA CONDUCTORES'!AT35</f>
        <v>FREIGHTLINER</v>
      </c>
      <c r="AM35" s="1">
        <f>+'ENCUESTA CONDUCTORES'!AU35</f>
        <v>2400</v>
      </c>
      <c r="AN35" s="48">
        <f>+'ENCUESTA CONDUCTORES'!AV35</f>
        <v>0.1</v>
      </c>
      <c r="AO35" s="15">
        <f>+'ENCUESTA CONDUCTORES'!AW35</f>
        <v>2.8</v>
      </c>
      <c r="AP35" s="15">
        <f>+'ENCUESTA CONDUCTORES'!AX35</f>
        <v>2.2000000000000002</v>
      </c>
      <c r="AQ35" s="15">
        <f>+'ENCUESTA CONDUCTORES'!AY35</f>
        <v>2</v>
      </c>
      <c r="AR35" s="15">
        <f>+'ENCUESTA CONDUCTORES'!AZ35</f>
        <v>690</v>
      </c>
      <c r="AS35" s="15">
        <f>+'ENCUESTA CONDUCTORES'!BA35</f>
        <v>1450</v>
      </c>
      <c r="AT35" s="15">
        <f>IF('ENCUESTA CONDUCTORES'!BB35="X",1,0)</f>
        <v>1</v>
      </c>
      <c r="AU35" s="15">
        <f>IF('ENCUESTA CONDUCTORES'!BC35="X",1,0)</f>
        <v>1</v>
      </c>
      <c r="AV35" s="15">
        <f>IF('ENCUESTA CONDUCTORES'!BD35="X",1,0)</f>
        <v>1</v>
      </c>
      <c r="AW35" s="1">
        <f>+'ENCUESTA CONDUCTORES'!BE35</f>
        <v>10000</v>
      </c>
      <c r="AX35" s="1">
        <f>+'ENCUESTA CONDUCTORES'!BF35</f>
        <v>20000</v>
      </c>
      <c r="AY35" s="1">
        <f>+'ENCUESTA CONDUCTORES'!BG35</f>
        <v>10000</v>
      </c>
      <c r="AZ35" s="1" t="str">
        <f>+'ENCUESTA CONDUCTORES'!BH35</f>
        <v>NO SABE</v>
      </c>
      <c r="BA35" s="1">
        <f>+'ENCUESTA CONDUCTORES'!BI35</f>
        <v>10000</v>
      </c>
      <c r="BB35" s="15">
        <f>IF('ENCUESTA CONDUCTORES'!BJ35="X",1,0)</f>
        <v>0</v>
      </c>
      <c r="BC35" s="15">
        <f>IF('ENCUESTA CONDUCTORES'!BK35="X",1,0)</f>
        <v>0</v>
      </c>
      <c r="BD35" s="15">
        <f>IF('ENCUESTA CONDUCTORES'!BL35="X",1,0)</f>
        <v>1</v>
      </c>
      <c r="BE35" s="15">
        <f>IF('ENCUESTA CONDUCTORES'!BM35="X",1,0)</f>
        <v>0</v>
      </c>
      <c r="BF35" s="15">
        <f>IF('ENCUESTA CONDUCTORES'!BN35="X",1,0)</f>
        <v>0</v>
      </c>
      <c r="BG35" s="15">
        <f>IF('ENCUESTA CONDUCTORES'!BO35="X",1,0)</f>
        <v>0</v>
      </c>
      <c r="BH35" s="15">
        <f>IF('ENCUESTA CONDUCTORES'!BP35="X",1,0)</f>
        <v>0</v>
      </c>
      <c r="BI35" s="15">
        <f>IF('ENCUESTA CONDUCTORES'!BQ35="X",1,0)</f>
        <v>0</v>
      </c>
      <c r="BJ35" s="15">
        <f>IF('ENCUESTA CONDUCTORES'!BR35="X",1,0)</f>
        <v>0</v>
      </c>
      <c r="BK35" s="15">
        <f>+'ENCUESTA CONDUCTORES'!BS35</f>
        <v>0</v>
      </c>
      <c r="BL35" s="15">
        <f>IF('ENCUESTA CONDUCTORES'!BT35="X",1,0)</f>
        <v>0</v>
      </c>
      <c r="BM35" s="15">
        <f>IF('ENCUESTA CONDUCTORES'!BU35="X",1,0)</f>
        <v>1</v>
      </c>
      <c r="BN35" s="15">
        <f>IF('ENCUESTA CONDUCTORES'!BV35="X",1,0)</f>
        <v>0</v>
      </c>
      <c r="BO35" s="15">
        <f>IF('ENCUESTA CONDUCTORES'!BW35="X",1,0)</f>
        <v>0</v>
      </c>
      <c r="BP35" s="15">
        <f>+'ENCUESTA CONDUCTORES'!BX35</f>
        <v>2</v>
      </c>
      <c r="BQ35" s="15">
        <f>+'ENCUESTA CONDUCTORES'!BY35</f>
        <v>1</v>
      </c>
      <c r="BR35" s="15">
        <f>+'ENCUESTA CONDUCTORES'!BZ35</f>
        <v>3</v>
      </c>
      <c r="BS35" s="15">
        <f>+'ENCUESTA CONDUCTORES'!CA35</f>
        <v>0</v>
      </c>
      <c r="BT35" s="15">
        <f>IF('ENCUESTA CONDUCTORES'!CB35="X",1,0)</f>
        <v>0</v>
      </c>
      <c r="BU35" s="15">
        <f>IF('ENCUESTA CONDUCTORES'!CC35="X",1,0)</f>
        <v>1</v>
      </c>
      <c r="BV35" s="15">
        <f>IF('ENCUESTA CONDUCTORES'!CD35="X",1,0)</f>
        <v>1</v>
      </c>
      <c r="BW35" s="15">
        <f>IF('ENCUESTA CONDUCTORES'!CE35="X",1,0)</f>
        <v>1</v>
      </c>
      <c r="BX35" s="15">
        <f>IF('ENCUESTA CONDUCTORES'!CF35="X",1,0)</f>
        <v>0</v>
      </c>
      <c r="BY35" s="15">
        <f>IF('ENCUESTA CONDUCTORES'!CG35="X",1,0)</f>
        <v>1</v>
      </c>
      <c r="BZ35" s="15">
        <f>IF('ENCUESTA CONDUCTORES'!CH35="X",1,0)</f>
        <v>0</v>
      </c>
      <c r="CA35" s="15">
        <f>IF('ENCUESTA CONDUCTORES'!CI35="X",1,0)</f>
        <v>0</v>
      </c>
      <c r="CB35" s="15">
        <f>IF('ENCUESTA CONDUCTORES'!CJ35="X",1,0)</f>
        <v>0</v>
      </c>
      <c r="CC35" s="15">
        <f>IF('ENCUESTA CONDUCTORES'!CK35="X",1,0)</f>
        <v>0</v>
      </c>
      <c r="CD35" s="15">
        <f>IF('ENCUESTA CONDUCTORES'!CL35="X",1,0)</f>
        <v>1</v>
      </c>
      <c r="CE35" s="15">
        <f>IF('ENCUESTA CONDUCTORES'!CM35="X",1,0)</f>
        <v>1</v>
      </c>
      <c r="CF35" s="15" t="str">
        <f>+'ENCUESTA CONDUCTORES'!CN35</f>
        <v>AL PATRON NO LE INTERESA</v>
      </c>
      <c r="CG35" s="15">
        <f>IF('ENCUESTA CONDUCTORES'!CO35="X",1,0)</f>
        <v>0</v>
      </c>
      <c r="CH35" s="15" t="str">
        <f>+'ENCUESTA CONDUCTORES'!CP35</f>
        <v>BUENO</v>
      </c>
      <c r="CI35" s="15" t="str">
        <f>+'ENCUESTA CONDUCTORES'!CQ35</f>
        <v>DARLO A CONOCER</v>
      </c>
      <c r="CJ35" s="15">
        <f>IF('ENCUESTA CONDUCTORES'!CR35="X",1,0)</f>
        <v>0</v>
      </c>
      <c r="CK35" s="15">
        <f>IF('ENCUESTA CONDUCTORES'!CS35="X",1,0)</f>
        <v>1</v>
      </c>
      <c r="CL35" s="15">
        <f>IF('ENCUESTA CONDUCTORES'!CT35="X",1,0)</f>
        <v>0</v>
      </c>
      <c r="CM35" s="15">
        <f>+'ENCUESTA CONDUCTORES'!CU35</f>
        <v>0</v>
      </c>
      <c r="CN35" s="15">
        <f>IF('ENCUESTA CONDUCTORES'!CV35="X",1,0)</f>
        <v>0</v>
      </c>
      <c r="CO35" s="15">
        <f>+'ENCUESTA CONDUCTORES'!CW35</f>
        <v>0</v>
      </c>
      <c r="CP35" s="15">
        <f>IF('ENCUESTA CONDUCTORES'!CX35="X",1,0)</f>
        <v>1</v>
      </c>
      <c r="CQ35" s="15">
        <f>IF('ENCUESTA CONDUCTORES'!CY35="X",1,0)</f>
        <v>1</v>
      </c>
      <c r="CR35" s="3" t="str">
        <f>+'ENCUESTA CONDUCTORES'!CZ35</f>
        <v>MANEJO A LA DEFENSIVA</v>
      </c>
      <c r="CS35" s="49">
        <f>+'ENCUESTA CONDUCTORES'!DA35</f>
        <v>0</v>
      </c>
    </row>
    <row r="36" spans="2:97" x14ac:dyDescent="0.25">
      <c r="B36" s="14" t="str">
        <f>+'ENCUESTA CONDUCTORES'!D36</f>
        <v>C-042</v>
      </c>
      <c r="C36" s="15">
        <f>IF('ENCUESTA CONDUCTORES'!E36="X",1,0)</f>
        <v>0</v>
      </c>
      <c r="D36" s="15">
        <f>IF('ENCUESTA CONDUCTORES'!F36="X",1,0)</f>
        <v>0</v>
      </c>
      <c r="E36" s="15">
        <f>IF('ENCUESTA CONDUCTORES'!G36="X",1,0)</f>
        <v>0</v>
      </c>
      <c r="F36" s="15">
        <f>IF('ENCUESTA CONDUCTORES'!H36="X",1,0)</f>
        <v>1</v>
      </c>
      <c r="G36" s="15">
        <f>+'ENCUESTA CONDUCTORES'!I36</f>
        <v>33</v>
      </c>
      <c r="H36" s="15" t="str">
        <f>+'ENCUESTA CONDUCTORES'!J36</f>
        <v>M</v>
      </c>
      <c r="I36" s="15" t="str">
        <f>+'ENCUESTA CONDUCTORES'!K36</f>
        <v>SECUNDARIA</v>
      </c>
      <c r="J36" s="15" t="str">
        <f>+'ENCUESTA CONDUCTORES'!L36</f>
        <v>CHALCO, EDO. MEX.</v>
      </c>
      <c r="K36" s="15" t="str">
        <f>+'ENCUESTA CONDUCTORES'!M36</f>
        <v>CHALCO</v>
      </c>
      <c r="L36" s="10" t="str">
        <f>+'ENCUESTA CONDUCTORES'!N36</f>
        <v>EDO. MEX.</v>
      </c>
      <c r="M36" s="15">
        <f>+'ENCUESTA CONDUCTORES'!O36</f>
        <v>10</v>
      </c>
      <c r="N36" s="15">
        <f>IF('ENCUESTA CONDUCTORES'!P36="X",1,0)</f>
        <v>1</v>
      </c>
      <c r="O36" s="15">
        <f>IF('ENCUESTA CONDUCTORES'!Q36="X",1,0)</f>
        <v>0</v>
      </c>
      <c r="P36" s="15">
        <f>IF('ENCUESTA CONDUCTORES'!R36="X",1,0)</f>
        <v>0</v>
      </c>
      <c r="Q36" s="15">
        <f>IF('ENCUESTA CONDUCTORES'!S36="X",1,0)</f>
        <v>0</v>
      </c>
      <c r="R36" s="15">
        <f>IF('ENCUESTA CONDUCTORES'!T36="X",1,0)</f>
        <v>0</v>
      </c>
      <c r="S36" s="15">
        <f>IF('ENCUESTA CONDUCTORES'!U36="X",1,0)</f>
        <v>1</v>
      </c>
      <c r="T36" s="15">
        <f>IF('ENCUESTA CONDUCTORES'!V36="X",1,0)</f>
        <v>0</v>
      </c>
      <c r="U36" s="15">
        <f>IF('ENCUESTA CONDUCTORES'!W36="X",1,0)</f>
        <v>0</v>
      </c>
      <c r="V36" s="15">
        <f>IF('ENCUESTA CONDUCTORES'!X36="X",1,0)</f>
        <v>0</v>
      </c>
      <c r="W36" s="15">
        <f>IF('ENCUESTA CONDUCTORES'!Y36="X",1,0)</f>
        <v>0</v>
      </c>
      <c r="X36" s="15">
        <f>IF('ENCUESTA CONDUCTORES'!Z36="X",1,0)</f>
        <v>0</v>
      </c>
      <c r="Y36" s="15">
        <f>+'ENCUESTA CONDUCTORES'!AG36</f>
        <v>0</v>
      </c>
      <c r="Z36" s="15">
        <f>+'ENCUESTA CONDUCTORES'!AH36</f>
        <v>2000</v>
      </c>
      <c r="AA36" s="1">
        <f>+'ENCUESTA CONDUCTORES'!AI36</f>
        <v>2000000</v>
      </c>
      <c r="AB36" s="15">
        <f>IF('ENCUESTA CONDUCTORES'!AJ36="X",1,0)</f>
        <v>0</v>
      </c>
      <c r="AC36" s="15">
        <f>IF('ENCUESTA CONDUCTORES'!AK36="X",1,0)</f>
        <v>0</v>
      </c>
      <c r="AD36" s="15">
        <f>IF('ENCUESTA CONDUCTORES'!AL36="X",1,0)</f>
        <v>1</v>
      </c>
      <c r="AE36" s="15">
        <f>IF('ENCUESTA CONDUCTORES'!AM36="X",1,0)</f>
        <v>0</v>
      </c>
      <c r="AF36" s="15">
        <f>IF('ENCUESTA CONDUCTORES'!AN36="X",1,0)</f>
        <v>0</v>
      </c>
      <c r="AG36" s="15">
        <f>IF('ENCUESTA CONDUCTORES'!AO36="X",1,0)</f>
        <v>0</v>
      </c>
      <c r="AH36" s="15">
        <f>IF('ENCUESTA CONDUCTORES'!AP36="X",1,0)</f>
        <v>1</v>
      </c>
      <c r="AI36" s="15">
        <f>IF('ENCUESTA CONDUCTORES'!AQ36="X",1,0)</f>
        <v>0</v>
      </c>
      <c r="AJ36" s="15">
        <f>IF('ENCUESTA CONDUCTORES'!AR36="X",1,0)</f>
        <v>0</v>
      </c>
      <c r="AK36" s="15">
        <f>+'ENCUESTA CONDUCTORES'!AS36</f>
        <v>0</v>
      </c>
      <c r="AL36" s="15" t="str">
        <f>+'ENCUESTA CONDUCTORES'!AT36</f>
        <v>INTERNATIONAL</v>
      </c>
      <c r="AM36" s="1">
        <f>+'ENCUESTA CONDUCTORES'!AU36</f>
        <v>5000</v>
      </c>
      <c r="AN36" s="48">
        <f>+'ENCUESTA CONDUCTORES'!AV36</f>
        <v>0.1</v>
      </c>
      <c r="AO36" s="15">
        <f>+'ENCUESTA CONDUCTORES'!AW36</f>
        <v>2.8</v>
      </c>
      <c r="AP36" s="15">
        <f>+'ENCUESTA CONDUCTORES'!AX36</f>
        <v>2</v>
      </c>
      <c r="AQ36" s="15">
        <f>+'ENCUESTA CONDUCTORES'!AY36</f>
        <v>1</v>
      </c>
      <c r="AR36" s="15">
        <f>+'ENCUESTA CONDUCTORES'!AZ36</f>
        <v>350</v>
      </c>
      <c r="AS36" s="15">
        <f>+'ENCUESTA CONDUCTORES'!BA36</f>
        <v>600</v>
      </c>
      <c r="AT36" s="15">
        <f>IF('ENCUESTA CONDUCTORES'!BB36="X",1,0)</f>
        <v>0</v>
      </c>
      <c r="AU36" s="15">
        <f>IF('ENCUESTA CONDUCTORES'!BC36="X",1,0)</f>
        <v>0</v>
      </c>
      <c r="AV36" s="15">
        <f>IF('ENCUESTA CONDUCTORES'!BD36="X",1,0)</f>
        <v>0</v>
      </c>
      <c r="AW36" s="1">
        <f>+'ENCUESTA CONDUCTORES'!BE36</f>
        <v>3000</v>
      </c>
      <c r="AX36" s="1">
        <f>+'ENCUESTA CONDUCTORES'!BF36</f>
        <v>15000</v>
      </c>
      <c r="AY36" s="1">
        <f>+'ENCUESTA CONDUCTORES'!BG36</f>
        <v>15000</v>
      </c>
      <c r="AZ36" s="1">
        <f>+'ENCUESTA CONDUCTORES'!BH36</f>
        <v>80000</v>
      </c>
      <c r="BA36" s="1">
        <f>+'ENCUESTA CONDUCTORES'!BI36</f>
        <v>15000</v>
      </c>
      <c r="BB36" s="15">
        <f>IF('ENCUESTA CONDUCTORES'!BJ36="X",1,0)</f>
        <v>0</v>
      </c>
      <c r="BC36" s="15">
        <f>IF('ENCUESTA CONDUCTORES'!BK36="X",1,0)</f>
        <v>1</v>
      </c>
      <c r="BD36" s="15">
        <f>IF('ENCUESTA CONDUCTORES'!BL36="X",1,0)</f>
        <v>0</v>
      </c>
      <c r="BE36" s="15">
        <f>IF('ENCUESTA CONDUCTORES'!BM36="X",1,0)</f>
        <v>0</v>
      </c>
      <c r="BF36" s="15">
        <f>IF('ENCUESTA CONDUCTORES'!BN36="X",1,0)</f>
        <v>0</v>
      </c>
      <c r="BG36" s="15">
        <f>IF('ENCUESTA CONDUCTORES'!BO36="X",1,0)</f>
        <v>0</v>
      </c>
      <c r="BH36" s="15">
        <f>IF('ENCUESTA CONDUCTORES'!BP36="X",1,0)</f>
        <v>0</v>
      </c>
      <c r="BI36" s="15">
        <f>IF('ENCUESTA CONDUCTORES'!BQ36="X",1,0)</f>
        <v>0</v>
      </c>
      <c r="BJ36" s="15">
        <f>IF('ENCUESTA CONDUCTORES'!BR36="X",1,0)</f>
        <v>0</v>
      </c>
      <c r="BK36" s="15">
        <f>+'ENCUESTA CONDUCTORES'!BS36</f>
        <v>0</v>
      </c>
      <c r="BL36" s="15">
        <f>IF('ENCUESTA CONDUCTORES'!BT36="X",1,0)</f>
        <v>0</v>
      </c>
      <c r="BM36" s="15">
        <f>IF('ENCUESTA CONDUCTORES'!BU36="X",1,0)</f>
        <v>1</v>
      </c>
      <c r="BN36" s="15">
        <f>IF('ENCUESTA CONDUCTORES'!BV36="X",1,0)</f>
        <v>0</v>
      </c>
      <c r="BO36" s="15">
        <f>IF('ENCUESTA CONDUCTORES'!BW36="X",1,0)</f>
        <v>0</v>
      </c>
      <c r="BP36" s="15">
        <f>+'ENCUESTA CONDUCTORES'!BX36</f>
        <v>1</v>
      </c>
      <c r="BQ36" s="15">
        <f>+'ENCUESTA CONDUCTORES'!BY36</f>
        <v>2</v>
      </c>
      <c r="BR36" s="15">
        <f>+'ENCUESTA CONDUCTORES'!BZ36</f>
        <v>3</v>
      </c>
      <c r="BS36" s="15">
        <f>+'ENCUESTA CONDUCTORES'!CA36</f>
        <v>0</v>
      </c>
      <c r="BT36" s="15">
        <f>IF('ENCUESTA CONDUCTORES'!CB36="X",1,0)</f>
        <v>1</v>
      </c>
      <c r="BU36" s="15">
        <f>IF('ENCUESTA CONDUCTORES'!CC36="X",1,0)</f>
        <v>0</v>
      </c>
      <c r="BV36" s="15">
        <f>IF('ENCUESTA CONDUCTORES'!CD36="X",1,0)</f>
        <v>0</v>
      </c>
      <c r="BW36" s="15">
        <f>IF('ENCUESTA CONDUCTORES'!CE36="X",1,0)</f>
        <v>0</v>
      </c>
      <c r="BX36" s="15">
        <f>IF('ENCUESTA CONDUCTORES'!CF36="X",1,0)</f>
        <v>0</v>
      </c>
      <c r="BY36" s="15">
        <f>IF('ENCUESTA CONDUCTORES'!CG36="X",1,0)</f>
        <v>0</v>
      </c>
      <c r="BZ36" s="15">
        <f>IF('ENCUESTA CONDUCTORES'!CH36="X",1,0)</f>
        <v>0</v>
      </c>
      <c r="CA36" s="15">
        <f>IF('ENCUESTA CONDUCTORES'!CI36="X",1,0)</f>
        <v>0</v>
      </c>
      <c r="CB36" s="15">
        <f>IF('ENCUESTA CONDUCTORES'!CJ36="X",1,0)</f>
        <v>0</v>
      </c>
      <c r="CC36" s="15">
        <f>IF('ENCUESTA CONDUCTORES'!CK36="X",1,0)</f>
        <v>1</v>
      </c>
      <c r="CD36" s="15">
        <f>IF('ENCUESTA CONDUCTORES'!CL36="X",1,0)</f>
        <v>0</v>
      </c>
      <c r="CE36" s="15">
        <f>IF('ENCUESTA CONDUCTORES'!CM36="X",1,0)</f>
        <v>0</v>
      </c>
      <c r="CF36" s="15">
        <f>+'ENCUESTA CONDUCTORES'!CN36</f>
        <v>0</v>
      </c>
      <c r="CG36" s="15">
        <f>IF('ENCUESTA CONDUCTORES'!CO36="X",1,0)</f>
        <v>0</v>
      </c>
      <c r="CH36" s="15" t="str">
        <f>+'ENCUESTA CONDUCTORES'!CP36</f>
        <v>NO SABE</v>
      </c>
      <c r="CI36" s="15" t="str">
        <f>+'ENCUESTA CONDUCTORES'!CQ36</f>
        <v>DARLO A CONOCER</v>
      </c>
      <c r="CJ36" s="15">
        <f>IF('ENCUESTA CONDUCTORES'!CR36="X",1,0)</f>
        <v>0</v>
      </c>
      <c r="CK36" s="15">
        <f>IF('ENCUESTA CONDUCTORES'!CS36="X",1,0)</f>
        <v>1</v>
      </c>
      <c r="CL36" s="15">
        <f>IF('ENCUESTA CONDUCTORES'!CT36="X",1,0)</f>
        <v>0</v>
      </c>
      <c r="CM36" s="15">
        <f>+'ENCUESTA CONDUCTORES'!CU36</f>
        <v>0</v>
      </c>
      <c r="CN36" s="15">
        <f>IF('ENCUESTA CONDUCTORES'!CV36="X",1,0)</f>
        <v>0</v>
      </c>
      <c r="CO36" s="15">
        <f>+'ENCUESTA CONDUCTORES'!CW36</f>
        <v>0</v>
      </c>
      <c r="CP36" s="15">
        <f>IF('ENCUESTA CONDUCTORES'!CX36="X",1,0)</f>
        <v>0</v>
      </c>
      <c r="CQ36" s="15">
        <f>IF('ENCUESTA CONDUCTORES'!CY36="X",1,0)</f>
        <v>1</v>
      </c>
      <c r="CR36" s="3">
        <f>+'ENCUESTA CONDUCTORES'!CZ36</f>
        <v>0</v>
      </c>
      <c r="CS36" s="49">
        <f>+'ENCUESTA CONDUCTORES'!DA36</f>
        <v>0</v>
      </c>
    </row>
    <row r="37" spans="2:97" x14ac:dyDescent="0.25">
      <c r="B37" s="14" t="str">
        <f>+'ENCUESTA CONDUCTORES'!D37</f>
        <v>C-043</v>
      </c>
      <c r="C37" s="15">
        <f>IF('ENCUESTA CONDUCTORES'!E37="X",1,0)</f>
        <v>1</v>
      </c>
      <c r="D37" s="15">
        <f>IF('ENCUESTA CONDUCTORES'!F37="X",1,0)</f>
        <v>0</v>
      </c>
      <c r="E37" s="15">
        <f>IF('ENCUESTA CONDUCTORES'!G37="X",1,0)</f>
        <v>0</v>
      </c>
      <c r="F37" s="15">
        <f>IF('ENCUESTA CONDUCTORES'!H37="X",1,0)</f>
        <v>0</v>
      </c>
      <c r="G37" s="15">
        <f>+'ENCUESTA CONDUCTORES'!I37</f>
        <v>47</v>
      </c>
      <c r="H37" s="15" t="str">
        <f>+'ENCUESTA CONDUCTORES'!J37</f>
        <v>M</v>
      </c>
      <c r="I37" s="15" t="str">
        <f>+'ENCUESTA CONDUCTORES'!K37</f>
        <v>PRIMARIA</v>
      </c>
      <c r="J37" s="15" t="str">
        <f>+'ENCUESTA CONDUCTORES'!L37</f>
        <v>IZTAPALAPA, D.F.</v>
      </c>
      <c r="K37" s="15" t="str">
        <f>+'ENCUESTA CONDUCTORES'!M37</f>
        <v>IZTAPALAPA</v>
      </c>
      <c r="L37" s="15" t="str">
        <f>+'ENCUESTA CONDUCTORES'!N37</f>
        <v>D.F.</v>
      </c>
      <c r="M37" s="15">
        <f>+'ENCUESTA CONDUCTORES'!O37</f>
        <v>16</v>
      </c>
      <c r="N37" s="15">
        <f>IF('ENCUESTA CONDUCTORES'!P37="X",1,0)</f>
        <v>0</v>
      </c>
      <c r="O37" s="15">
        <f>IF('ENCUESTA CONDUCTORES'!Q37="X",1,0)</f>
        <v>0</v>
      </c>
      <c r="P37" s="15">
        <f>IF('ENCUESTA CONDUCTORES'!R37="X",1,0)</f>
        <v>0</v>
      </c>
      <c r="Q37" s="15">
        <f>IF('ENCUESTA CONDUCTORES'!S37="X",1,0)</f>
        <v>1</v>
      </c>
      <c r="R37" s="15">
        <f>IF('ENCUESTA CONDUCTORES'!T37="X",1,0)</f>
        <v>0</v>
      </c>
      <c r="S37" s="15">
        <f>IF('ENCUESTA CONDUCTORES'!U37="X",1,0)</f>
        <v>0</v>
      </c>
      <c r="T37" s="15">
        <f>IF('ENCUESTA CONDUCTORES'!V37="X",1,0)</f>
        <v>1</v>
      </c>
      <c r="U37" s="15">
        <f>IF('ENCUESTA CONDUCTORES'!W37="X",1,0)</f>
        <v>0</v>
      </c>
      <c r="V37" s="15">
        <f>IF('ENCUESTA CONDUCTORES'!X37="X",1,0)</f>
        <v>0</v>
      </c>
      <c r="W37" s="15">
        <f>IF('ENCUESTA CONDUCTORES'!Y37="X",1,0)</f>
        <v>0</v>
      </c>
      <c r="X37" s="15">
        <f>IF('ENCUESTA CONDUCTORES'!Z37="X",1,0)</f>
        <v>0</v>
      </c>
      <c r="Y37" s="15">
        <f>+'ENCUESTA CONDUCTORES'!AG37</f>
        <v>0</v>
      </c>
      <c r="Z37" s="15">
        <f>+'ENCUESTA CONDUCTORES'!AH37</f>
        <v>2001</v>
      </c>
      <c r="AA37" s="1">
        <f>+'ENCUESTA CONDUCTORES'!AI37</f>
        <v>1800000</v>
      </c>
      <c r="AB37" s="15">
        <f>IF('ENCUESTA CONDUCTORES'!AJ37="X",1,0)</f>
        <v>0</v>
      </c>
      <c r="AC37" s="15">
        <f>IF('ENCUESTA CONDUCTORES'!AK37="X",1,0)</f>
        <v>0</v>
      </c>
      <c r="AD37" s="15">
        <f>IF('ENCUESTA CONDUCTORES'!AL37="X",1,0)</f>
        <v>1</v>
      </c>
      <c r="AE37" s="15">
        <f>IF('ENCUESTA CONDUCTORES'!AM37="X",1,0)</f>
        <v>0</v>
      </c>
      <c r="AF37" s="15">
        <f>IF('ENCUESTA CONDUCTORES'!AN37="X",1,0)</f>
        <v>0</v>
      </c>
      <c r="AG37" s="15">
        <f>IF('ENCUESTA CONDUCTORES'!AO37="X",1,0)</f>
        <v>0</v>
      </c>
      <c r="AH37" s="15">
        <f>IF('ENCUESTA CONDUCTORES'!AP37="X",1,0)</f>
        <v>1</v>
      </c>
      <c r="AI37" s="15">
        <f>IF('ENCUESTA CONDUCTORES'!AQ37="X",1,0)</f>
        <v>0</v>
      </c>
      <c r="AJ37" s="15">
        <f>IF('ENCUESTA CONDUCTORES'!AR37="X",1,0)</f>
        <v>0</v>
      </c>
      <c r="AK37" s="15">
        <f>+'ENCUESTA CONDUCTORES'!AS37</f>
        <v>0</v>
      </c>
      <c r="AL37" s="15" t="str">
        <f>+'ENCUESTA CONDUCTORES'!AT37</f>
        <v>DETROIT</v>
      </c>
      <c r="AM37" s="1">
        <f>+'ENCUESTA CONDUCTORES'!AU37</f>
        <v>12000</v>
      </c>
      <c r="AN37" s="48">
        <f>+'ENCUESTA CONDUCTORES'!AV37</f>
        <v>0.1</v>
      </c>
      <c r="AO37" s="15">
        <f>+'ENCUESTA CONDUCTORES'!AW37</f>
        <v>5</v>
      </c>
      <c r="AP37" s="15">
        <f>+'ENCUESTA CONDUCTORES'!AX37</f>
        <v>3</v>
      </c>
      <c r="AQ37" s="15">
        <f>+'ENCUESTA CONDUCTORES'!AY37</f>
        <v>1</v>
      </c>
      <c r="AR37" s="15">
        <f>+'ENCUESTA CONDUCTORES'!AZ37</f>
        <v>380</v>
      </c>
      <c r="AS37" s="15">
        <f>+'ENCUESTA CONDUCTORES'!BA37</f>
        <v>800</v>
      </c>
      <c r="AT37" s="15">
        <f>IF('ENCUESTA CONDUCTORES'!BB37="X",1,0)</f>
        <v>1</v>
      </c>
      <c r="AU37" s="15">
        <f>IF('ENCUESTA CONDUCTORES'!BC37="X",1,0)</f>
        <v>1</v>
      </c>
      <c r="AV37" s="15">
        <f>IF('ENCUESTA CONDUCTORES'!BD37="X",1,0)</f>
        <v>1</v>
      </c>
      <c r="AW37" s="1">
        <f>+'ENCUESTA CONDUCTORES'!BE37</f>
        <v>5000</v>
      </c>
      <c r="AX37" s="1">
        <f>+'ENCUESTA CONDUCTORES'!BF37</f>
        <v>12000</v>
      </c>
      <c r="AY37" s="1">
        <f>+'ENCUESTA CONDUCTORES'!BG37</f>
        <v>12000</v>
      </c>
      <c r="AZ37" s="1">
        <f>+'ENCUESTA CONDUCTORES'!BH37</f>
        <v>120000</v>
      </c>
      <c r="BA37" s="1">
        <f>+'ENCUESTA CONDUCTORES'!BI37</f>
        <v>12000</v>
      </c>
      <c r="BB37" s="15">
        <f>IF('ENCUESTA CONDUCTORES'!BJ37="X",1,0)</f>
        <v>1</v>
      </c>
      <c r="BC37" s="15">
        <f>IF('ENCUESTA CONDUCTORES'!BK37="X",1,0)</f>
        <v>0</v>
      </c>
      <c r="BD37" s="15">
        <f>IF('ENCUESTA CONDUCTORES'!BL37="X",1,0)</f>
        <v>0</v>
      </c>
      <c r="BE37" s="15">
        <f>IF('ENCUESTA CONDUCTORES'!BM37="X",1,0)</f>
        <v>0</v>
      </c>
      <c r="BF37" s="15">
        <f>IF('ENCUESTA CONDUCTORES'!BN37="X",1,0)</f>
        <v>0</v>
      </c>
      <c r="BG37" s="15">
        <f>IF('ENCUESTA CONDUCTORES'!BO37="X",1,0)</f>
        <v>0</v>
      </c>
      <c r="BH37" s="15">
        <f>IF('ENCUESTA CONDUCTORES'!BP37="X",1,0)</f>
        <v>0</v>
      </c>
      <c r="BI37" s="15">
        <f>IF('ENCUESTA CONDUCTORES'!BQ37="X",1,0)</f>
        <v>0</v>
      </c>
      <c r="BJ37" s="15">
        <f>IF('ENCUESTA CONDUCTORES'!BR37="X",1,0)</f>
        <v>0</v>
      </c>
      <c r="BK37" s="15">
        <f>+'ENCUESTA CONDUCTORES'!BS37</f>
        <v>0</v>
      </c>
      <c r="BL37" s="15">
        <f>IF('ENCUESTA CONDUCTORES'!BT37="X",1,0)</f>
        <v>0</v>
      </c>
      <c r="BM37" s="15">
        <f>IF('ENCUESTA CONDUCTORES'!BU37="X",1,0)</f>
        <v>1</v>
      </c>
      <c r="BN37" s="15">
        <f>IF('ENCUESTA CONDUCTORES'!BV37="X",1,0)</f>
        <v>0</v>
      </c>
      <c r="BO37" s="15">
        <f>IF('ENCUESTA CONDUCTORES'!BW37="X",1,0)</f>
        <v>0</v>
      </c>
      <c r="BP37" s="15">
        <f>+'ENCUESTA CONDUCTORES'!BX37</f>
        <v>1</v>
      </c>
      <c r="BQ37" s="15">
        <f>+'ENCUESTA CONDUCTORES'!BY37</f>
        <v>3</v>
      </c>
      <c r="BR37" s="15">
        <f>+'ENCUESTA CONDUCTORES'!BZ37</f>
        <v>2</v>
      </c>
      <c r="BS37" s="15">
        <f>+'ENCUESTA CONDUCTORES'!CA37</f>
        <v>0</v>
      </c>
      <c r="BT37" s="15">
        <f>IF('ENCUESTA CONDUCTORES'!CB37="X",1,0)</f>
        <v>0</v>
      </c>
      <c r="BU37" s="15">
        <f>IF('ENCUESTA CONDUCTORES'!CC37="X",1,0)</f>
        <v>1</v>
      </c>
      <c r="BV37" s="15">
        <f>IF('ENCUESTA CONDUCTORES'!CD37="X",1,0)</f>
        <v>1</v>
      </c>
      <c r="BW37" s="15">
        <f>IF('ENCUESTA CONDUCTORES'!CE37="X",1,0)</f>
        <v>1</v>
      </c>
      <c r="BX37" s="15">
        <f>IF('ENCUESTA CONDUCTORES'!CF37="X",1,0)</f>
        <v>0</v>
      </c>
      <c r="BY37" s="15">
        <f>IF('ENCUESTA CONDUCTORES'!CG37="X",1,0)</f>
        <v>0</v>
      </c>
      <c r="BZ37" s="15">
        <f>IF('ENCUESTA CONDUCTORES'!CH37="X",1,0)</f>
        <v>1</v>
      </c>
      <c r="CA37" s="15">
        <f>IF('ENCUESTA CONDUCTORES'!CI37="X",1,0)</f>
        <v>0</v>
      </c>
      <c r="CB37" s="15">
        <f>IF('ENCUESTA CONDUCTORES'!CJ37="X",1,0)</f>
        <v>0</v>
      </c>
      <c r="CC37" s="15">
        <f>IF('ENCUESTA CONDUCTORES'!CK37="X",1,0)</f>
        <v>1</v>
      </c>
      <c r="CD37" s="15">
        <f>IF('ENCUESTA CONDUCTORES'!CL37="X",1,0)</f>
        <v>0</v>
      </c>
      <c r="CE37" s="15">
        <f>IF('ENCUESTA CONDUCTORES'!CM37="X",1,0)</f>
        <v>0</v>
      </c>
      <c r="CF37" s="15">
        <f>+'ENCUESTA CONDUCTORES'!CN37</f>
        <v>0</v>
      </c>
      <c r="CG37" s="15">
        <f>IF('ENCUESTA CONDUCTORES'!CO37="X",1,0)</f>
        <v>0</v>
      </c>
      <c r="CH37" s="15" t="str">
        <f>+'ENCUESTA CONDUCTORES'!CP37</f>
        <v>NO SABE</v>
      </c>
      <c r="CI37" s="15" t="str">
        <f>+'ENCUESTA CONDUCTORES'!CQ37</f>
        <v>CAPACITACION</v>
      </c>
      <c r="CJ37" s="15">
        <f>IF('ENCUESTA CONDUCTORES'!CR37="X",1,0)</f>
        <v>0</v>
      </c>
      <c r="CK37" s="15">
        <f>IF('ENCUESTA CONDUCTORES'!CS37="X",1,0)</f>
        <v>0</v>
      </c>
      <c r="CL37" s="15">
        <f>IF('ENCUESTA CONDUCTORES'!CT37="X",1,0)</f>
        <v>1</v>
      </c>
      <c r="CM37" s="15">
        <f>+'ENCUESTA CONDUCTORES'!CU37</f>
        <v>0</v>
      </c>
      <c r="CN37" s="15">
        <f>IF('ENCUESTA CONDUCTORES'!CV37="X",1,0)</f>
        <v>0</v>
      </c>
      <c r="CO37" s="15">
        <f>+'ENCUESTA CONDUCTORES'!CW37</f>
        <v>0</v>
      </c>
      <c r="CP37" s="15">
        <f>IF('ENCUESTA CONDUCTORES'!CX37="X",1,0)</f>
        <v>1</v>
      </c>
      <c r="CQ37" s="15">
        <f>IF('ENCUESTA CONDUCTORES'!CY37="X",1,0)</f>
        <v>1</v>
      </c>
      <c r="CR37" s="3">
        <f>+'ENCUESTA CONDUCTORES'!CZ37</f>
        <v>0</v>
      </c>
      <c r="CS37" s="49">
        <f>+'ENCUESTA CONDUCTORES'!DA37</f>
        <v>0</v>
      </c>
    </row>
    <row r="38" spans="2:97" x14ac:dyDescent="0.25">
      <c r="B38" s="14" t="str">
        <f>+'ENCUESTA CONDUCTORES'!D38</f>
        <v>C-044</v>
      </c>
      <c r="C38" s="15">
        <f>IF('ENCUESTA CONDUCTORES'!E38="X",1,0)</f>
        <v>0</v>
      </c>
      <c r="D38" s="15">
        <f>IF('ENCUESTA CONDUCTORES'!F38="X",1,0)</f>
        <v>0</v>
      </c>
      <c r="E38" s="15">
        <f>IF('ENCUESTA CONDUCTORES'!G38="X",1,0)</f>
        <v>0</v>
      </c>
      <c r="F38" s="15">
        <f>IF('ENCUESTA CONDUCTORES'!H38="X",1,0)</f>
        <v>1</v>
      </c>
      <c r="G38" s="15">
        <f>+'ENCUESTA CONDUCTORES'!I38</f>
        <v>21</v>
      </c>
      <c r="H38" s="15" t="str">
        <f>+'ENCUESTA CONDUCTORES'!J38</f>
        <v>M</v>
      </c>
      <c r="I38" s="15" t="str">
        <f>+'ENCUESTA CONDUCTORES'!K38</f>
        <v>PRIMARIA</v>
      </c>
      <c r="J38" s="15" t="str">
        <f>+'ENCUESTA CONDUCTORES'!L38</f>
        <v>TLALNEPANTLA, EDO. MEX.</v>
      </c>
      <c r="K38" s="15" t="str">
        <f>+'ENCUESTA CONDUCTORES'!M38</f>
        <v>TLALNEPANTLA</v>
      </c>
      <c r="L38" s="15" t="str">
        <f>+'ENCUESTA CONDUCTORES'!N38</f>
        <v>EDO. MEX.</v>
      </c>
      <c r="M38" s="15">
        <f>+'ENCUESTA CONDUCTORES'!O38</f>
        <v>2</v>
      </c>
      <c r="N38" s="15">
        <f>IF('ENCUESTA CONDUCTORES'!P38="X",1,0)</f>
        <v>0</v>
      </c>
      <c r="O38" s="15">
        <f>IF('ENCUESTA CONDUCTORES'!Q38="X",1,0)</f>
        <v>0</v>
      </c>
      <c r="P38" s="15">
        <f>IF('ENCUESTA CONDUCTORES'!R38="X",1,0)</f>
        <v>0</v>
      </c>
      <c r="Q38" s="15">
        <f>IF('ENCUESTA CONDUCTORES'!S38="X",1,0)</f>
        <v>1</v>
      </c>
      <c r="R38" s="15">
        <f>IF('ENCUESTA CONDUCTORES'!T38="X",1,0)</f>
        <v>0</v>
      </c>
      <c r="S38" s="15">
        <f>IF('ENCUESTA CONDUCTORES'!U38="X",1,0)</f>
        <v>0</v>
      </c>
      <c r="T38" s="15">
        <f>IF('ENCUESTA CONDUCTORES'!V38="X",1,0)</f>
        <v>0</v>
      </c>
      <c r="U38" s="15">
        <f>IF('ENCUESTA CONDUCTORES'!W38="X",1,0)</f>
        <v>0</v>
      </c>
      <c r="V38" s="15">
        <f>IF('ENCUESTA CONDUCTORES'!X38="X",1,0)</f>
        <v>0</v>
      </c>
      <c r="W38" s="15">
        <f>IF('ENCUESTA CONDUCTORES'!Y38="X",1,0)</f>
        <v>0</v>
      </c>
      <c r="X38" s="15">
        <f>IF('ENCUESTA CONDUCTORES'!Z38="X",1,0)</f>
        <v>0</v>
      </c>
      <c r="Y38" s="15">
        <f>+'ENCUESTA CONDUCTORES'!AG38</f>
        <v>0</v>
      </c>
      <c r="Z38" s="15">
        <f>+'ENCUESTA CONDUCTORES'!AH38</f>
        <v>1982</v>
      </c>
      <c r="AA38" s="1" t="str">
        <f>+'ENCUESTA CONDUCTORES'!AI38</f>
        <v>DAÑADO</v>
      </c>
      <c r="AB38" s="15">
        <f>IF('ENCUESTA CONDUCTORES'!AJ38="X",1,0)</f>
        <v>0</v>
      </c>
      <c r="AC38" s="15">
        <f>IF('ENCUESTA CONDUCTORES'!AK38="X",1,0)</f>
        <v>0</v>
      </c>
      <c r="AD38" s="15">
        <f>IF('ENCUESTA CONDUCTORES'!AL38="X",1,0)</f>
        <v>1</v>
      </c>
      <c r="AE38" s="15">
        <f>IF('ENCUESTA CONDUCTORES'!AM38="X",1,0)</f>
        <v>0</v>
      </c>
      <c r="AF38" s="15">
        <f>IF('ENCUESTA CONDUCTORES'!AN38="X",1,0)</f>
        <v>0</v>
      </c>
      <c r="AG38" s="15">
        <f>IF('ENCUESTA CONDUCTORES'!AO38="X",1,0)</f>
        <v>1</v>
      </c>
      <c r="AH38" s="15">
        <f>IF('ENCUESTA CONDUCTORES'!AP38="X",1,0)</f>
        <v>0</v>
      </c>
      <c r="AI38" s="15">
        <f>IF('ENCUESTA CONDUCTORES'!AQ38="X",1,0)</f>
        <v>0</v>
      </c>
      <c r="AJ38" s="15">
        <f>IF('ENCUESTA CONDUCTORES'!AR38="X",1,0)</f>
        <v>0</v>
      </c>
      <c r="AK38" s="15">
        <f>+'ENCUESTA CONDUCTORES'!AS38</f>
        <v>0</v>
      </c>
      <c r="AL38" s="15" t="str">
        <f>+'ENCUESTA CONDUCTORES'!AT38</f>
        <v>INTERNATIONAL</v>
      </c>
      <c r="AM38" s="1">
        <f>+'ENCUESTA CONDUCTORES'!AU38</f>
        <v>6000</v>
      </c>
      <c r="AN38" s="48">
        <f>+'ENCUESTA CONDUCTORES'!AV38</f>
        <v>0.5</v>
      </c>
      <c r="AO38" s="15">
        <f>+'ENCUESTA CONDUCTORES'!AW38</f>
        <v>2</v>
      </c>
      <c r="AP38" s="15">
        <f>+'ENCUESTA CONDUCTORES'!AX38</f>
        <v>1.3</v>
      </c>
      <c r="AQ38" s="15">
        <f>+'ENCUESTA CONDUCTORES'!AY38</f>
        <v>2</v>
      </c>
      <c r="AR38" s="15">
        <f>+'ENCUESTA CONDUCTORES'!AZ38</f>
        <v>880</v>
      </c>
      <c r="AS38" s="15">
        <f>+'ENCUESTA CONDUCTORES'!BA38</f>
        <v>1500</v>
      </c>
      <c r="AT38" s="15">
        <f>IF('ENCUESTA CONDUCTORES'!BB38="X",1,0)</f>
        <v>0</v>
      </c>
      <c r="AU38" s="15">
        <f>IF('ENCUESTA CONDUCTORES'!BC38="X",1,0)</f>
        <v>1</v>
      </c>
      <c r="AV38" s="15">
        <f>IF('ENCUESTA CONDUCTORES'!BD38="X",1,0)</f>
        <v>0</v>
      </c>
      <c r="AW38" s="1">
        <f>+'ENCUESTA CONDUCTORES'!BE38</f>
        <v>5000</v>
      </c>
      <c r="AX38" s="1">
        <f>+'ENCUESTA CONDUCTORES'!BF38</f>
        <v>8000</v>
      </c>
      <c r="AY38" s="1">
        <f>+'ENCUESTA CONDUCTORES'!BG38</f>
        <v>10000</v>
      </c>
      <c r="AZ38" s="1" t="str">
        <f>+'ENCUESTA CONDUCTORES'!BH38</f>
        <v>NO SABE</v>
      </c>
      <c r="BA38" s="1">
        <f>+'ENCUESTA CONDUCTORES'!BI38</f>
        <v>10000</v>
      </c>
      <c r="BB38" s="15">
        <f>IF('ENCUESTA CONDUCTORES'!BJ38="X",1,0)</f>
        <v>0</v>
      </c>
      <c r="BC38" s="15">
        <f>IF('ENCUESTA CONDUCTORES'!BK38="X",1,0)</f>
        <v>0</v>
      </c>
      <c r="BD38" s="15">
        <f>IF('ENCUESTA CONDUCTORES'!BL38="X",1,0)</f>
        <v>0</v>
      </c>
      <c r="BE38" s="15">
        <f>IF('ENCUESTA CONDUCTORES'!BM38="X",1,0)</f>
        <v>1</v>
      </c>
      <c r="BF38" s="15">
        <f>IF('ENCUESTA CONDUCTORES'!BN38="X",1,0)</f>
        <v>0</v>
      </c>
      <c r="BG38" s="15">
        <f>IF('ENCUESTA CONDUCTORES'!BO38="X",1,0)</f>
        <v>0</v>
      </c>
      <c r="BH38" s="15">
        <f>IF('ENCUESTA CONDUCTORES'!BP38="X",1,0)</f>
        <v>0</v>
      </c>
      <c r="BI38" s="15">
        <f>IF('ENCUESTA CONDUCTORES'!BQ38="X",1,0)</f>
        <v>0</v>
      </c>
      <c r="BJ38" s="15">
        <f>IF('ENCUESTA CONDUCTORES'!BR38="X",1,0)</f>
        <v>0</v>
      </c>
      <c r="BK38" s="15">
        <f>+'ENCUESTA CONDUCTORES'!BS38</f>
        <v>0</v>
      </c>
      <c r="BL38" s="15">
        <f>IF('ENCUESTA CONDUCTORES'!BT38="X",1,0)</f>
        <v>0</v>
      </c>
      <c r="BM38" s="15">
        <f>IF('ENCUESTA CONDUCTORES'!BU38="X",1,0)</f>
        <v>0</v>
      </c>
      <c r="BN38" s="15">
        <f>IF('ENCUESTA CONDUCTORES'!BV38="X",1,0)</f>
        <v>1</v>
      </c>
      <c r="BO38" s="15">
        <f>IF('ENCUESTA CONDUCTORES'!BW38="X",1,0)</f>
        <v>0</v>
      </c>
      <c r="BP38" s="15">
        <f>+'ENCUESTA CONDUCTORES'!BX38</f>
        <v>2</v>
      </c>
      <c r="BQ38" s="15">
        <f>+'ENCUESTA CONDUCTORES'!BY38</f>
        <v>1</v>
      </c>
      <c r="BR38" s="15">
        <f>+'ENCUESTA CONDUCTORES'!BZ38</f>
        <v>3</v>
      </c>
      <c r="BS38" s="15">
        <f>+'ENCUESTA CONDUCTORES'!CA38</f>
        <v>0</v>
      </c>
      <c r="BT38" s="15">
        <f>IF('ENCUESTA CONDUCTORES'!CB38="X",1,0)</f>
        <v>1</v>
      </c>
      <c r="BU38" s="15">
        <f>IF('ENCUESTA CONDUCTORES'!CC38="X",1,0)</f>
        <v>0</v>
      </c>
      <c r="BV38" s="15">
        <f>IF('ENCUESTA CONDUCTORES'!CD38="X",1,0)</f>
        <v>0</v>
      </c>
      <c r="BW38" s="15">
        <f>IF('ENCUESTA CONDUCTORES'!CE38="X",1,0)</f>
        <v>0</v>
      </c>
      <c r="BX38" s="15">
        <f>IF('ENCUESTA CONDUCTORES'!CF38="X",1,0)</f>
        <v>0</v>
      </c>
      <c r="BY38" s="15">
        <f>IF('ENCUESTA CONDUCTORES'!CG38="X",1,0)</f>
        <v>0</v>
      </c>
      <c r="BZ38" s="15">
        <f>IF('ENCUESTA CONDUCTORES'!CH38="X",1,0)</f>
        <v>0</v>
      </c>
      <c r="CA38" s="15">
        <f>IF('ENCUESTA CONDUCTORES'!CI38="X",1,0)</f>
        <v>0</v>
      </c>
      <c r="CB38" s="15">
        <f>IF('ENCUESTA CONDUCTORES'!CJ38="X",1,0)</f>
        <v>0</v>
      </c>
      <c r="CC38" s="15">
        <f>IF('ENCUESTA CONDUCTORES'!CK38="X",1,0)</f>
        <v>1</v>
      </c>
      <c r="CD38" s="15">
        <f>IF('ENCUESTA CONDUCTORES'!CL38="X",1,0)</f>
        <v>0</v>
      </c>
      <c r="CE38" s="15">
        <f>IF('ENCUESTA CONDUCTORES'!CM38="X",1,0)</f>
        <v>0</v>
      </c>
      <c r="CF38" s="15">
        <f>+'ENCUESTA CONDUCTORES'!CN38</f>
        <v>0</v>
      </c>
      <c r="CG38" s="15">
        <f>IF('ENCUESTA CONDUCTORES'!CO38="X",1,0)</f>
        <v>0</v>
      </c>
      <c r="CH38" s="15" t="str">
        <f>+'ENCUESTA CONDUCTORES'!CP38</f>
        <v>NO SABE</v>
      </c>
      <c r="CI38" s="15" t="str">
        <f>+'ENCUESTA CONDUCTORES'!CQ38</f>
        <v>DARLO A CONOCER</v>
      </c>
      <c r="CJ38" s="15">
        <f>IF('ENCUESTA CONDUCTORES'!CR38="X",1,0)</f>
        <v>1</v>
      </c>
      <c r="CK38" s="15">
        <f>IF('ENCUESTA CONDUCTORES'!CS38="X",1,0)</f>
        <v>0</v>
      </c>
      <c r="CL38" s="15">
        <f>IF('ENCUESTA CONDUCTORES'!CT38="X",1,0)</f>
        <v>0</v>
      </c>
      <c r="CM38" s="15">
        <f>+'ENCUESTA CONDUCTORES'!CU38</f>
        <v>0</v>
      </c>
      <c r="CN38" s="15">
        <f>IF('ENCUESTA CONDUCTORES'!CV38="X",1,0)</f>
        <v>1</v>
      </c>
      <c r="CO38" s="15" t="str">
        <f>+'ENCUESTA CONDUCTORES'!CW38</f>
        <v>NO TIENE TIEMPO</v>
      </c>
      <c r="CP38" s="15">
        <f>IF('ENCUESTA CONDUCTORES'!CX38="X",1,0)</f>
        <v>0</v>
      </c>
      <c r="CQ38" s="15">
        <f>IF('ENCUESTA CONDUCTORES'!CY38="X",1,0)</f>
        <v>0</v>
      </c>
      <c r="CR38" s="3">
        <f>+'ENCUESTA CONDUCTORES'!CZ38</f>
        <v>0</v>
      </c>
      <c r="CS38" s="49">
        <f>+'ENCUESTA CONDUCTORES'!DA38</f>
        <v>0</v>
      </c>
    </row>
    <row r="39" spans="2:97" x14ac:dyDescent="0.25">
      <c r="B39" s="14" t="str">
        <f>+'ENCUESTA CONDUCTORES'!D39</f>
        <v>C-045</v>
      </c>
      <c r="C39" s="15">
        <f>IF('ENCUESTA CONDUCTORES'!E39="X",1,0)</f>
        <v>0</v>
      </c>
      <c r="D39" s="15">
        <f>IF('ENCUESTA CONDUCTORES'!F39="X",1,0)</f>
        <v>0</v>
      </c>
      <c r="E39" s="15">
        <f>IF('ENCUESTA CONDUCTORES'!G39="X",1,0)</f>
        <v>0</v>
      </c>
      <c r="F39" s="15">
        <f>IF('ENCUESTA CONDUCTORES'!H39="X",1,0)</f>
        <v>1</v>
      </c>
      <c r="G39" s="15">
        <f>+'ENCUESTA CONDUCTORES'!I39</f>
        <v>33</v>
      </c>
      <c r="H39" s="15" t="str">
        <f>+'ENCUESTA CONDUCTORES'!J39</f>
        <v>M</v>
      </c>
      <c r="I39" s="15" t="str">
        <f>+'ENCUESTA CONDUCTORES'!K39</f>
        <v>SECUNDARIA</v>
      </c>
      <c r="J39" s="15" t="str">
        <f>+'ENCUESTA CONDUCTORES'!L39</f>
        <v>VALLE DE CHALCO, EDO. MEX</v>
      </c>
      <c r="K39" s="50" t="str">
        <f>+'ENCUESTA CONDUCTORES'!M39</f>
        <v>VALLE DE CHALCO</v>
      </c>
      <c r="L39" s="15" t="str">
        <f>+'ENCUESTA CONDUCTORES'!N39</f>
        <v>EDO. MEX.</v>
      </c>
      <c r="M39" s="15">
        <f>+'ENCUESTA CONDUCTORES'!O39</f>
        <v>11</v>
      </c>
      <c r="N39" s="15">
        <f>IF('ENCUESTA CONDUCTORES'!P39="X",1,0)</f>
        <v>0</v>
      </c>
      <c r="O39" s="15">
        <f>IF('ENCUESTA CONDUCTORES'!Q39="X",1,0)</f>
        <v>1</v>
      </c>
      <c r="P39" s="15">
        <f>IF('ENCUESTA CONDUCTORES'!R39="X",1,0)</f>
        <v>0</v>
      </c>
      <c r="Q39" s="15">
        <f>IF('ENCUESTA CONDUCTORES'!S39="X",1,0)</f>
        <v>0</v>
      </c>
      <c r="R39" s="15">
        <f>IF('ENCUESTA CONDUCTORES'!T39="X",1,0)</f>
        <v>0</v>
      </c>
      <c r="S39" s="15">
        <f>IF('ENCUESTA CONDUCTORES'!U39="X",1,0)</f>
        <v>0</v>
      </c>
      <c r="T39" s="15">
        <f>IF('ENCUESTA CONDUCTORES'!V39="X",1,0)</f>
        <v>0</v>
      </c>
      <c r="U39" s="15">
        <f>IF('ENCUESTA CONDUCTORES'!W39="X",1,0)</f>
        <v>0</v>
      </c>
      <c r="V39" s="15">
        <f>IF('ENCUESTA CONDUCTORES'!X39="X",1,0)</f>
        <v>0</v>
      </c>
      <c r="W39" s="15">
        <f>IF('ENCUESTA CONDUCTORES'!Y39="X",1,0)</f>
        <v>1</v>
      </c>
      <c r="X39" s="15">
        <f>IF('ENCUESTA CONDUCTORES'!Z39="X",1,0)</f>
        <v>0</v>
      </c>
      <c r="Y39" s="15">
        <f>+'ENCUESTA CONDUCTORES'!AG39</f>
        <v>0</v>
      </c>
      <c r="Z39" s="15">
        <f>+'ENCUESTA CONDUCTORES'!AH39</f>
        <v>2008</v>
      </c>
      <c r="AA39" s="1">
        <f>+'ENCUESTA CONDUCTORES'!AI39</f>
        <v>450000</v>
      </c>
      <c r="AB39" s="15">
        <f>IF('ENCUESTA CONDUCTORES'!AJ39="X",1,0)</f>
        <v>0</v>
      </c>
      <c r="AC39" s="15">
        <f>IF('ENCUESTA CONDUCTORES'!AK39="X",1,0)</f>
        <v>0</v>
      </c>
      <c r="AD39" s="15">
        <f>IF('ENCUESTA CONDUCTORES'!AL39="X",1,0)</f>
        <v>1</v>
      </c>
      <c r="AE39" s="15">
        <f>IF('ENCUESTA CONDUCTORES'!AM39="X",1,0)</f>
        <v>0</v>
      </c>
      <c r="AF39" s="15">
        <f>IF('ENCUESTA CONDUCTORES'!AN39="X",1,0)</f>
        <v>0</v>
      </c>
      <c r="AG39" s="15">
        <f>IF('ENCUESTA CONDUCTORES'!AO39="X",1,0)</f>
        <v>0</v>
      </c>
      <c r="AH39" s="15">
        <f>IF('ENCUESTA CONDUCTORES'!AP39="X",1,0)</f>
        <v>0</v>
      </c>
      <c r="AI39" s="15">
        <f>IF('ENCUESTA CONDUCTORES'!AQ39="X",1,0)</f>
        <v>1</v>
      </c>
      <c r="AJ39" s="15">
        <f>IF('ENCUESTA CONDUCTORES'!AR39="X",1,0)</f>
        <v>0</v>
      </c>
      <c r="AK39" s="15">
        <f>+'ENCUESTA CONDUCTORES'!AS39</f>
        <v>2010</v>
      </c>
      <c r="AL39" s="15" t="str">
        <f>+'ENCUESTA CONDUCTORES'!AT39</f>
        <v>NO SABE</v>
      </c>
      <c r="AM39" s="1">
        <f>+'ENCUESTA CONDUCTORES'!AU39</f>
        <v>5000</v>
      </c>
      <c r="AN39" s="48">
        <f>+'ENCUESTA CONDUCTORES'!AV39</f>
        <v>0.5</v>
      </c>
      <c r="AO39" s="15">
        <f>+'ENCUESTA CONDUCTORES'!AW39</f>
        <v>4</v>
      </c>
      <c r="AP39" s="15">
        <f>+'ENCUESTA CONDUCTORES'!AX39</f>
        <v>3.8</v>
      </c>
      <c r="AQ39" s="15">
        <f>+'ENCUESTA CONDUCTORES'!AY39</f>
        <v>1</v>
      </c>
      <c r="AR39" s="15">
        <f>+'ENCUESTA CONDUCTORES'!AZ39</f>
        <v>260</v>
      </c>
      <c r="AS39" s="15">
        <f>+'ENCUESTA CONDUCTORES'!BA39</f>
        <v>650</v>
      </c>
      <c r="AT39" s="15">
        <f>IF('ENCUESTA CONDUCTORES'!BB39="X",1,0)</f>
        <v>0</v>
      </c>
      <c r="AU39" s="15">
        <f>IF('ENCUESTA CONDUCTORES'!BC39="X",1,0)</f>
        <v>1</v>
      </c>
      <c r="AV39" s="15">
        <f>IF('ENCUESTA CONDUCTORES'!BD39="X",1,0)</f>
        <v>0</v>
      </c>
      <c r="AW39" s="1">
        <f>+'ENCUESTA CONDUCTORES'!BE39</f>
        <v>10000</v>
      </c>
      <c r="AX39" s="1">
        <f>+'ENCUESTA CONDUCTORES'!BF39</f>
        <v>12000</v>
      </c>
      <c r="AY39" s="1">
        <f>+'ENCUESTA CONDUCTORES'!BG39</f>
        <v>10000</v>
      </c>
      <c r="AZ39" s="1">
        <f>+'ENCUESTA CONDUCTORES'!BH39</f>
        <v>60000</v>
      </c>
      <c r="BA39" s="1">
        <f>+'ENCUESTA CONDUCTORES'!BI39</f>
        <v>10000</v>
      </c>
      <c r="BB39" s="15">
        <f>IF('ENCUESTA CONDUCTORES'!BJ39="X",1,0)</f>
        <v>0</v>
      </c>
      <c r="BC39" s="15">
        <f>IF('ENCUESTA CONDUCTORES'!BK39="X",1,0)</f>
        <v>0</v>
      </c>
      <c r="BD39" s="15">
        <f>IF('ENCUESTA CONDUCTORES'!BL39="X",1,0)</f>
        <v>1</v>
      </c>
      <c r="BE39" s="15">
        <f>IF('ENCUESTA CONDUCTORES'!BM39="X",1,0)</f>
        <v>0</v>
      </c>
      <c r="BF39" s="15">
        <f>IF('ENCUESTA CONDUCTORES'!BN39="X",1,0)</f>
        <v>0</v>
      </c>
      <c r="BG39" s="15">
        <f>IF('ENCUESTA CONDUCTORES'!BO39="X",1,0)</f>
        <v>0</v>
      </c>
      <c r="BH39" s="15">
        <f>IF('ENCUESTA CONDUCTORES'!BP39="X",1,0)</f>
        <v>0</v>
      </c>
      <c r="BI39" s="15">
        <f>IF('ENCUESTA CONDUCTORES'!BQ39="X",1,0)</f>
        <v>0</v>
      </c>
      <c r="BJ39" s="15">
        <f>IF('ENCUESTA CONDUCTORES'!BR39="X",1,0)</f>
        <v>0</v>
      </c>
      <c r="BK39" s="15">
        <f>+'ENCUESTA CONDUCTORES'!BS39</f>
        <v>0</v>
      </c>
      <c r="BL39" s="15">
        <f>IF('ENCUESTA CONDUCTORES'!BT39="X",1,0)</f>
        <v>0</v>
      </c>
      <c r="BM39" s="15">
        <f>IF('ENCUESTA CONDUCTORES'!BU39="X",1,0)</f>
        <v>1</v>
      </c>
      <c r="BN39" s="15">
        <f>IF('ENCUESTA CONDUCTORES'!BV39="X",1,0)</f>
        <v>0</v>
      </c>
      <c r="BO39" s="15">
        <f>IF('ENCUESTA CONDUCTORES'!BW39="X",1,0)</f>
        <v>0</v>
      </c>
      <c r="BP39" s="15">
        <f>+'ENCUESTA CONDUCTORES'!BX39</f>
        <v>3</v>
      </c>
      <c r="BQ39" s="15">
        <f>+'ENCUESTA CONDUCTORES'!BY39</f>
        <v>1</v>
      </c>
      <c r="BR39" s="15">
        <f>+'ENCUESTA CONDUCTORES'!BZ39</f>
        <v>2</v>
      </c>
      <c r="BS39" s="15">
        <f>+'ENCUESTA CONDUCTORES'!CA39</f>
        <v>0</v>
      </c>
      <c r="BT39" s="15">
        <f>IF('ENCUESTA CONDUCTORES'!CB39="X",1,0)</f>
        <v>0</v>
      </c>
      <c r="BU39" s="15">
        <f>IF('ENCUESTA CONDUCTORES'!CC39="X",1,0)</f>
        <v>1</v>
      </c>
      <c r="BV39" s="15">
        <f>IF('ENCUESTA CONDUCTORES'!CD39="X",1,0)</f>
        <v>1</v>
      </c>
      <c r="BW39" s="15">
        <f>IF('ENCUESTA CONDUCTORES'!CE39="X",1,0)</f>
        <v>0</v>
      </c>
      <c r="BX39" s="15">
        <f>IF('ENCUESTA CONDUCTORES'!CF39="X",1,0)</f>
        <v>0</v>
      </c>
      <c r="BY39" s="15">
        <f>IF('ENCUESTA CONDUCTORES'!CG39="X",1,0)</f>
        <v>0</v>
      </c>
      <c r="BZ39" s="15">
        <f>IF('ENCUESTA CONDUCTORES'!CH39="X",1,0)</f>
        <v>0</v>
      </c>
      <c r="CA39" s="15">
        <f>IF('ENCUESTA CONDUCTORES'!CI39="X",1,0)</f>
        <v>0</v>
      </c>
      <c r="CB39" s="15">
        <f>IF('ENCUESTA CONDUCTORES'!CJ39="X",1,0)</f>
        <v>0</v>
      </c>
      <c r="CC39" s="15">
        <f>IF('ENCUESTA CONDUCTORES'!CK39="X",1,0)</f>
        <v>0</v>
      </c>
      <c r="CD39" s="15">
        <f>IF('ENCUESTA CONDUCTORES'!CL39="X",1,0)</f>
        <v>1</v>
      </c>
      <c r="CE39" s="15">
        <f>IF('ENCUESTA CONDUCTORES'!CM39="X",1,0)</f>
        <v>0</v>
      </c>
      <c r="CF39" s="15">
        <f>+'ENCUESTA CONDUCTORES'!CN39</f>
        <v>0</v>
      </c>
      <c r="CG39" s="15">
        <f>IF('ENCUESTA CONDUCTORES'!CO39="X",1,0)</f>
        <v>1</v>
      </c>
      <c r="CH39" s="15" t="str">
        <f>+'ENCUESTA CONDUCTORES'!CP39</f>
        <v>ES BASICO PARA TRANSPORTISTAS</v>
      </c>
      <c r="CI39" s="15" t="str">
        <f>+'ENCUESTA CONDUCTORES'!CQ39</f>
        <v>PUBLICIDAD</v>
      </c>
      <c r="CJ39" s="15">
        <f>IF('ENCUESTA CONDUCTORES'!CR39="X",1,0)</f>
        <v>0</v>
      </c>
      <c r="CK39" s="15">
        <f>IF('ENCUESTA CONDUCTORES'!CS39="X",1,0)</f>
        <v>1</v>
      </c>
      <c r="CL39" s="15">
        <f>IF('ENCUESTA CONDUCTORES'!CT39="X",1,0)</f>
        <v>1</v>
      </c>
      <c r="CM39" s="15">
        <f>+'ENCUESTA CONDUCTORES'!CU39</f>
        <v>0</v>
      </c>
      <c r="CN39" s="15">
        <f>IF('ENCUESTA CONDUCTORES'!CV39="X",1,0)</f>
        <v>0</v>
      </c>
      <c r="CO39" s="15">
        <f>+'ENCUESTA CONDUCTORES'!CW39</f>
        <v>0</v>
      </c>
      <c r="CP39" s="15">
        <f>IF('ENCUESTA CONDUCTORES'!CX39="X",1,0)</f>
        <v>0</v>
      </c>
      <c r="CQ39" s="15">
        <f>IF('ENCUESTA CONDUCTORES'!CY39="X",1,0)</f>
        <v>1</v>
      </c>
      <c r="CR39" s="3" t="str">
        <f>+'ENCUESTA CONDUCTORES'!CZ39</f>
        <v>MANEJO A LA DEFENSIVA</v>
      </c>
      <c r="CS39" s="49">
        <f>+'ENCUESTA CONDUCTORES'!DA39</f>
        <v>0</v>
      </c>
    </row>
    <row r="40" spans="2:97" x14ac:dyDescent="0.25">
      <c r="B40" s="14" t="str">
        <f>+'ENCUESTA CONDUCTORES'!D40</f>
        <v>C-046</v>
      </c>
      <c r="C40" s="15">
        <f>IF('ENCUESTA CONDUCTORES'!E40="X",1,0)</f>
        <v>0</v>
      </c>
      <c r="D40" s="15">
        <f>IF('ENCUESTA CONDUCTORES'!F40="X",1,0)</f>
        <v>0</v>
      </c>
      <c r="E40" s="15">
        <f>IF('ENCUESTA CONDUCTORES'!G40="X",1,0)</f>
        <v>0</v>
      </c>
      <c r="F40" s="15">
        <f>IF('ENCUESTA CONDUCTORES'!H40="X",1,0)</f>
        <v>1</v>
      </c>
      <c r="G40" s="15">
        <f>+'ENCUESTA CONDUCTORES'!I40</f>
        <v>29</v>
      </c>
      <c r="H40" s="15" t="str">
        <f>+'ENCUESTA CONDUCTORES'!J40</f>
        <v>M</v>
      </c>
      <c r="I40" s="15" t="str">
        <f>+'ENCUESTA CONDUCTORES'!K40</f>
        <v>PREPARATORIA</v>
      </c>
      <c r="J40" s="15" t="str">
        <f>+'ENCUESTA CONDUCTORES'!L40</f>
        <v>NAUCALPAN, EDO. MEX.</v>
      </c>
      <c r="K40" s="50" t="str">
        <f>+'ENCUESTA CONDUCTORES'!M40</f>
        <v>NAUCALPAN</v>
      </c>
      <c r="L40" s="15" t="str">
        <f>+'ENCUESTA CONDUCTORES'!N40</f>
        <v>EDO. MEX.</v>
      </c>
      <c r="M40" s="15">
        <f>+'ENCUESTA CONDUCTORES'!O40</f>
        <v>4</v>
      </c>
      <c r="N40" s="15">
        <f>IF('ENCUESTA CONDUCTORES'!P40="X",1,0)</f>
        <v>1</v>
      </c>
      <c r="O40" s="15">
        <f>IF('ENCUESTA CONDUCTORES'!Q40="X",1,0)</f>
        <v>0</v>
      </c>
      <c r="P40" s="15">
        <f>IF('ENCUESTA CONDUCTORES'!R40="X",1,0)</f>
        <v>0</v>
      </c>
      <c r="Q40" s="15">
        <f>IF('ENCUESTA CONDUCTORES'!S40="X",1,0)</f>
        <v>0</v>
      </c>
      <c r="R40" s="15">
        <f>IF('ENCUESTA CONDUCTORES'!T40="X",1,0)</f>
        <v>0</v>
      </c>
      <c r="S40" s="15">
        <f>IF('ENCUESTA CONDUCTORES'!U40="X",1,0)</f>
        <v>1</v>
      </c>
      <c r="T40" s="15">
        <f>IF('ENCUESTA CONDUCTORES'!V40="X",1,0)</f>
        <v>0</v>
      </c>
      <c r="U40" s="15">
        <f>IF('ENCUESTA CONDUCTORES'!W40="X",1,0)</f>
        <v>0</v>
      </c>
      <c r="V40" s="15">
        <f>IF('ENCUESTA CONDUCTORES'!X40="X",1,0)</f>
        <v>0</v>
      </c>
      <c r="W40" s="15">
        <f>IF('ENCUESTA CONDUCTORES'!Y40="X",1,0)</f>
        <v>0</v>
      </c>
      <c r="X40" s="15">
        <f>IF('ENCUESTA CONDUCTORES'!Z40="X",1,0)</f>
        <v>0</v>
      </c>
      <c r="Y40" s="15">
        <f>+'ENCUESTA CONDUCTORES'!AG40</f>
        <v>0</v>
      </c>
      <c r="Z40" s="15">
        <f>+'ENCUESTA CONDUCTORES'!AH40</f>
        <v>2002</v>
      </c>
      <c r="AA40" s="1">
        <f>+'ENCUESTA CONDUCTORES'!AI40</f>
        <v>1830000</v>
      </c>
      <c r="AB40" s="15">
        <f>IF('ENCUESTA CONDUCTORES'!AJ40="X",1,0)</f>
        <v>0</v>
      </c>
      <c r="AC40" s="15">
        <f>IF('ENCUESTA CONDUCTORES'!AK40="X",1,0)</f>
        <v>0</v>
      </c>
      <c r="AD40" s="15">
        <f>IF('ENCUESTA CONDUCTORES'!AL40="X",1,0)</f>
        <v>1</v>
      </c>
      <c r="AE40" s="15">
        <f>IF('ENCUESTA CONDUCTORES'!AM40="X",1,0)</f>
        <v>0</v>
      </c>
      <c r="AF40" s="15">
        <f>IF('ENCUESTA CONDUCTORES'!AN40="X",1,0)</f>
        <v>0</v>
      </c>
      <c r="AG40" s="15">
        <f>IF('ENCUESTA CONDUCTORES'!AO40="X",1,0)</f>
        <v>0</v>
      </c>
      <c r="AH40" s="15">
        <f>IF('ENCUESTA CONDUCTORES'!AP40="X",1,0)</f>
        <v>1</v>
      </c>
      <c r="AI40" s="15">
        <f>IF('ENCUESTA CONDUCTORES'!AQ40="X",1,0)</f>
        <v>0</v>
      </c>
      <c r="AJ40" s="15">
        <f>IF('ENCUESTA CONDUCTORES'!AR40="X",1,0)</f>
        <v>0</v>
      </c>
      <c r="AK40" s="15">
        <f>+'ENCUESTA CONDUCTORES'!AS40</f>
        <v>0</v>
      </c>
      <c r="AL40" s="15" t="str">
        <f>+'ENCUESTA CONDUCTORES'!AT40</f>
        <v>CUMMINS</v>
      </c>
      <c r="AM40" s="1">
        <f>+'ENCUESTA CONDUCTORES'!AU40</f>
        <v>7500</v>
      </c>
      <c r="AN40" s="48">
        <f>+'ENCUESTA CONDUCTORES'!AV40</f>
        <v>0.5</v>
      </c>
      <c r="AO40" s="15">
        <f>+'ENCUESTA CONDUCTORES'!AW40</f>
        <v>3.5</v>
      </c>
      <c r="AP40" s="15">
        <f>+'ENCUESTA CONDUCTORES'!AX40</f>
        <v>2.8</v>
      </c>
      <c r="AQ40" s="15">
        <f>+'ENCUESTA CONDUCTORES'!AY40</f>
        <v>1</v>
      </c>
      <c r="AR40" s="15">
        <f>+'ENCUESTA CONDUCTORES'!AZ40</f>
        <v>360</v>
      </c>
      <c r="AS40" s="15">
        <f>+'ENCUESTA CONDUCTORES'!BA40</f>
        <v>850</v>
      </c>
      <c r="AT40" s="15">
        <f>IF('ENCUESTA CONDUCTORES'!BB40="X",1,0)</f>
        <v>0</v>
      </c>
      <c r="AU40" s="15">
        <f>IF('ENCUESTA CONDUCTORES'!BC40="X",1,0)</f>
        <v>1</v>
      </c>
      <c r="AV40" s="15">
        <f>IF('ENCUESTA CONDUCTORES'!BD40="X",1,0)</f>
        <v>0</v>
      </c>
      <c r="AW40" s="1">
        <f>+'ENCUESTA CONDUCTORES'!BE40</f>
        <v>6000</v>
      </c>
      <c r="AX40" s="1">
        <f>+'ENCUESTA CONDUCTORES'!BF40</f>
        <v>6000</v>
      </c>
      <c r="AY40" s="1">
        <f>+'ENCUESTA CONDUCTORES'!BG40</f>
        <v>10000</v>
      </c>
      <c r="AZ40" s="1">
        <f>+'ENCUESTA CONDUCTORES'!BH40</f>
        <v>60000</v>
      </c>
      <c r="BA40" s="1">
        <f>+'ENCUESTA CONDUCTORES'!BI40</f>
        <v>6000</v>
      </c>
      <c r="BB40" s="15">
        <f>IF('ENCUESTA CONDUCTORES'!BJ40="X",1,0)</f>
        <v>0</v>
      </c>
      <c r="BC40" s="15">
        <f>IF('ENCUESTA CONDUCTORES'!BK40="X",1,0)</f>
        <v>0</v>
      </c>
      <c r="BD40" s="15">
        <f>IF('ENCUESTA CONDUCTORES'!BL40="X",1,0)</f>
        <v>0</v>
      </c>
      <c r="BE40" s="15">
        <f>IF('ENCUESTA CONDUCTORES'!BM40="X",1,0)</f>
        <v>0</v>
      </c>
      <c r="BF40" s="15">
        <f>IF('ENCUESTA CONDUCTORES'!BN40="X",1,0)</f>
        <v>0</v>
      </c>
      <c r="BG40" s="15">
        <f>IF('ENCUESTA CONDUCTORES'!BO40="X",1,0)</f>
        <v>0</v>
      </c>
      <c r="BH40" s="15">
        <f>IF('ENCUESTA CONDUCTORES'!BP40="X",1,0)</f>
        <v>0</v>
      </c>
      <c r="BI40" s="15">
        <f>IF('ENCUESTA CONDUCTORES'!BQ40="X",1,0)</f>
        <v>0</v>
      </c>
      <c r="BJ40" s="15">
        <f>IF('ENCUESTA CONDUCTORES'!BR40="X",1,0)</f>
        <v>1</v>
      </c>
      <c r="BK40" s="15">
        <f>+'ENCUESTA CONDUCTORES'!BS40</f>
        <v>0</v>
      </c>
      <c r="BL40" s="15">
        <f>IF('ENCUESTA CONDUCTORES'!BT40="X",1,0)</f>
        <v>0</v>
      </c>
      <c r="BM40" s="15">
        <f>IF('ENCUESTA CONDUCTORES'!BU40="X",1,0)</f>
        <v>1</v>
      </c>
      <c r="BN40" s="15">
        <f>IF('ENCUESTA CONDUCTORES'!BV40="X",1,0)</f>
        <v>0</v>
      </c>
      <c r="BO40" s="15">
        <f>IF('ENCUESTA CONDUCTORES'!BW40="X",1,0)</f>
        <v>0</v>
      </c>
      <c r="BP40" s="15">
        <f>+'ENCUESTA CONDUCTORES'!BX40</f>
        <v>1</v>
      </c>
      <c r="BQ40" s="15">
        <f>+'ENCUESTA CONDUCTORES'!BY40</f>
        <v>2</v>
      </c>
      <c r="BR40" s="15">
        <f>+'ENCUESTA CONDUCTORES'!BZ40</f>
        <v>3</v>
      </c>
      <c r="BS40" s="15">
        <f>+'ENCUESTA CONDUCTORES'!CA40</f>
        <v>0</v>
      </c>
      <c r="BT40" s="15">
        <f>IF('ENCUESTA CONDUCTORES'!CB40="X",1,0)</f>
        <v>1</v>
      </c>
      <c r="BU40" s="15">
        <f>IF('ENCUESTA CONDUCTORES'!CC40="X",1,0)</f>
        <v>0</v>
      </c>
      <c r="BV40" s="15">
        <f>IF('ENCUESTA CONDUCTORES'!CD40="X",1,0)</f>
        <v>0</v>
      </c>
      <c r="BW40" s="15">
        <f>IF('ENCUESTA CONDUCTORES'!CE40="X",1,0)</f>
        <v>0</v>
      </c>
      <c r="BX40" s="15">
        <f>IF('ENCUESTA CONDUCTORES'!CF40="X",1,0)</f>
        <v>0</v>
      </c>
      <c r="BY40" s="15">
        <f>IF('ENCUESTA CONDUCTORES'!CG40="X",1,0)</f>
        <v>0</v>
      </c>
      <c r="BZ40" s="15">
        <f>IF('ENCUESTA CONDUCTORES'!CH40="X",1,0)</f>
        <v>0</v>
      </c>
      <c r="CA40" s="15">
        <f>IF('ENCUESTA CONDUCTORES'!CI40="X",1,0)</f>
        <v>0</v>
      </c>
      <c r="CB40" s="15">
        <f>IF('ENCUESTA CONDUCTORES'!CJ40="X",1,0)</f>
        <v>0</v>
      </c>
      <c r="CC40" s="15">
        <f>IF('ENCUESTA CONDUCTORES'!CK40="X",1,0)</f>
        <v>1</v>
      </c>
      <c r="CD40" s="15">
        <f>IF('ENCUESTA CONDUCTORES'!CL40="X",1,0)</f>
        <v>0</v>
      </c>
      <c r="CE40" s="15">
        <f>IF('ENCUESTA CONDUCTORES'!CM40="X",1,0)</f>
        <v>0</v>
      </c>
      <c r="CF40" s="15">
        <f>+'ENCUESTA CONDUCTORES'!CN40</f>
        <v>0</v>
      </c>
      <c r="CG40" s="15">
        <f>IF('ENCUESTA CONDUCTORES'!CO40="X",1,0)</f>
        <v>0</v>
      </c>
      <c r="CH40" s="15" t="str">
        <f>+'ENCUESTA CONDUCTORES'!CP40</f>
        <v>NO SABE</v>
      </c>
      <c r="CI40" s="15" t="str">
        <f>+'ENCUESTA CONDUCTORES'!CQ40</f>
        <v>DARLO A CONOCER</v>
      </c>
      <c r="CJ40" s="15">
        <f>IF('ENCUESTA CONDUCTORES'!CR40="X",1,0)</f>
        <v>0</v>
      </c>
      <c r="CK40" s="15">
        <f>IF('ENCUESTA CONDUCTORES'!CS40="X",1,0)</f>
        <v>0</v>
      </c>
      <c r="CL40" s="15">
        <f>IF('ENCUESTA CONDUCTORES'!CT40="X",1,0)</f>
        <v>1</v>
      </c>
      <c r="CM40" s="15">
        <f>+'ENCUESTA CONDUCTORES'!CU40</f>
        <v>0</v>
      </c>
      <c r="CN40" s="15">
        <f>IF('ENCUESTA CONDUCTORES'!CV40="X",1,0)</f>
        <v>1</v>
      </c>
      <c r="CO40" s="15">
        <f>+'ENCUESTA CONDUCTORES'!CW40</f>
        <v>0</v>
      </c>
      <c r="CP40" s="15">
        <f>IF('ENCUESTA CONDUCTORES'!CX40="X",1,0)</f>
        <v>0</v>
      </c>
      <c r="CQ40" s="15">
        <f>IF('ENCUESTA CONDUCTORES'!CY40="X",1,0)</f>
        <v>0</v>
      </c>
      <c r="CR40" s="3">
        <f>+'ENCUESTA CONDUCTORES'!CZ40</f>
        <v>0</v>
      </c>
      <c r="CS40" s="49" t="str">
        <f>+'ENCUESTA CONDUCTORES'!DA40</f>
        <v>BOMBERO, PRECAUCION</v>
      </c>
    </row>
    <row r="41" spans="2:97" x14ac:dyDescent="0.25">
      <c r="B41" s="14" t="str">
        <f>+'ENCUESTA CONDUCTORES'!D41</f>
        <v>C-047</v>
      </c>
      <c r="C41" s="15">
        <f>IF('ENCUESTA CONDUCTORES'!E41="X",1,0)</f>
        <v>0</v>
      </c>
      <c r="D41" s="15">
        <f>IF('ENCUESTA CONDUCTORES'!F41="X",1,0)</f>
        <v>0</v>
      </c>
      <c r="E41" s="15">
        <f>IF('ENCUESTA CONDUCTORES'!G41="X",1,0)</f>
        <v>0</v>
      </c>
      <c r="F41" s="15">
        <f>IF('ENCUESTA CONDUCTORES'!H41="X",1,0)</f>
        <v>1</v>
      </c>
      <c r="G41" s="15">
        <f>+'ENCUESTA CONDUCTORES'!I41</f>
        <v>22</v>
      </c>
      <c r="H41" s="15" t="str">
        <f>+'ENCUESTA CONDUCTORES'!J41</f>
        <v>M</v>
      </c>
      <c r="I41" s="15" t="str">
        <f>+'ENCUESTA CONDUCTORES'!K41</f>
        <v>PREPARATORIA</v>
      </c>
      <c r="J41" s="15" t="str">
        <f>+'ENCUESTA CONDUCTORES'!L41</f>
        <v>HUIXQUILUCAN, EDO. MEX.</v>
      </c>
      <c r="K41" s="50" t="str">
        <f>+'ENCUESTA CONDUCTORES'!M41</f>
        <v>HUIXQUILUCAN</v>
      </c>
      <c r="L41" s="15" t="str">
        <f>+'ENCUESTA CONDUCTORES'!N41</f>
        <v>EDO. MEX.</v>
      </c>
      <c r="M41" s="15">
        <f>+'ENCUESTA CONDUCTORES'!O41</f>
        <v>5</v>
      </c>
      <c r="N41" s="15">
        <f>IF('ENCUESTA CONDUCTORES'!P41="X",1,0)</f>
        <v>1</v>
      </c>
      <c r="O41" s="15">
        <f>IF('ENCUESTA CONDUCTORES'!Q41="X",1,0)</f>
        <v>0</v>
      </c>
      <c r="P41" s="15">
        <f>IF('ENCUESTA CONDUCTORES'!R41="X",1,0)</f>
        <v>0</v>
      </c>
      <c r="Q41" s="15">
        <f>IF('ENCUESTA CONDUCTORES'!S41="X",1,0)</f>
        <v>0</v>
      </c>
      <c r="R41" s="15">
        <f>IF('ENCUESTA CONDUCTORES'!T41="X",1,0)</f>
        <v>0</v>
      </c>
      <c r="S41" s="15">
        <f>IF('ENCUESTA CONDUCTORES'!U41="X",1,0)</f>
        <v>0</v>
      </c>
      <c r="T41" s="15">
        <f>IF('ENCUESTA CONDUCTORES'!V41="X",1,0)</f>
        <v>0</v>
      </c>
      <c r="U41" s="15">
        <f>IF('ENCUESTA CONDUCTORES'!W41="X",1,0)</f>
        <v>0</v>
      </c>
      <c r="V41" s="15">
        <f>IF('ENCUESTA CONDUCTORES'!X41="X",1,0)</f>
        <v>0</v>
      </c>
      <c r="W41" s="15">
        <f>IF('ENCUESTA CONDUCTORES'!Y41="X",1,0)</f>
        <v>1</v>
      </c>
      <c r="X41" s="15">
        <f>IF('ENCUESTA CONDUCTORES'!Z41="X",1,0)</f>
        <v>0</v>
      </c>
      <c r="Y41" s="15">
        <f>+'ENCUESTA CONDUCTORES'!AG41</f>
        <v>0</v>
      </c>
      <c r="Z41" s="15">
        <f>+'ENCUESTA CONDUCTORES'!AH41</f>
        <v>2005</v>
      </c>
      <c r="AA41" s="1">
        <f>+'ENCUESTA CONDUCTORES'!AI41</f>
        <v>1800000</v>
      </c>
      <c r="AB41" s="15">
        <f>IF('ENCUESTA CONDUCTORES'!AJ41="X",1,0)</f>
        <v>0</v>
      </c>
      <c r="AC41" s="15">
        <f>IF('ENCUESTA CONDUCTORES'!AK41="X",1,0)</f>
        <v>0</v>
      </c>
      <c r="AD41" s="15">
        <f>IF('ENCUESTA CONDUCTORES'!AL41="X",1,0)</f>
        <v>1</v>
      </c>
      <c r="AE41" s="15">
        <f>IF('ENCUESTA CONDUCTORES'!AM41="X",1,0)</f>
        <v>0</v>
      </c>
      <c r="AF41" s="15">
        <f>IF('ENCUESTA CONDUCTORES'!AN41="X",1,0)</f>
        <v>0</v>
      </c>
      <c r="AG41" s="15">
        <f>IF('ENCUESTA CONDUCTORES'!AO41="X",1,0)</f>
        <v>0</v>
      </c>
      <c r="AH41" s="15">
        <f>IF('ENCUESTA CONDUCTORES'!AP41="X",1,0)</f>
        <v>0</v>
      </c>
      <c r="AI41" s="15">
        <f>IF('ENCUESTA CONDUCTORES'!AQ41="X",1,0)</f>
        <v>1</v>
      </c>
      <c r="AJ41" s="15">
        <f>IF('ENCUESTA CONDUCTORES'!AR41="X",1,0)</f>
        <v>0</v>
      </c>
      <c r="AK41" s="15">
        <f>+'ENCUESTA CONDUCTORES'!AS41</f>
        <v>2011</v>
      </c>
      <c r="AL41" s="15" t="str">
        <f>+'ENCUESTA CONDUCTORES'!AT41</f>
        <v>CUMMINS</v>
      </c>
      <c r="AM41" s="1">
        <f>+'ENCUESTA CONDUCTORES'!AU41</f>
        <v>8200</v>
      </c>
      <c r="AN41" s="48">
        <f>+'ENCUESTA CONDUCTORES'!AV41</f>
        <v>0.5</v>
      </c>
      <c r="AO41" s="15">
        <f>+'ENCUESTA CONDUCTORES'!AW41</f>
        <v>2.8</v>
      </c>
      <c r="AP41" s="15">
        <f>+'ENCUESTA CONDUCTORES'!AX41</f>
        <v>2.2999999999999998</v>
      </c>
      <c r="AQ41" s="15">
        <f>+'ENCUESTA CONDUCTORES'!AY41</f>
        <v>2</v>
      </c>
      <c r="AR41" s="15">
        <f>+'ENCUESTA CONDUCTORES'!AZ41</f>
        <v>1000</v>
      </c>
      <c r="AS41" s="15">
        <f>+'ENCUESTA CONDUCTORES'!BA41</f>
        <v>2800</v>
      </c>
      <c r="AT41" s="15">
        <f>IF('ENCUESTA CONDUCTORES'!BB41="X",1,0)</f>
        <v>0</v>
      </c>
      <c r="AU41" s="15">
        <f>IF('ENCUESTA CONDUCTORES'!BC41="X",1,0)</f>
        <v>1</v>
      </c>
      <c r="AV41" s="15">
        <f>IF('ENCUESTA CONDUCTORES'!BD41="X",1,0)</f>
        <v>0</v>
      </c>
      <c r="AW41" s="1">
        <f>+'ENCUESTA CONDUCTORES'!BE41</f>
        <v>12000</v>
      </c>
      <c r="AX41" s="1">
        <f>+'ENCUESTA CONDUCTORES'!BF41</f>
        <v>10000</v>
      </c>
      <c r="AY41" s="1">
        <f>+'ENCUESTA CONDUCTORES'!BG41</f>
        <v>12000</v>
      </c>
      <c r="AZ41" s="1">
        <f>+'ENCUESTA CONDUCTORES'!BH41</f>
        <v>95000</v>
      </c>
      <c r="BA41" s="1">
        <f>+'ENCUESTA CONDUCTORES'!BI41</f>
        <v>12000</v>
      </c>
      <c r="BB41" s="15">
        <f>IF('ENCUESTA CONDUCTORES'!BJ41="X",1,0)</f>
        <v>0</v>
      </c>
      <c r="BC41" s="15">
        <f>IF('ENCUESTA CONDUCTORES'!BK41="X",1,0)</f>
        <v>0</v>
      </c>
      <c r="BD41" s="15">
        <f>IF('ENCUESTA CONDUCTORES'!BL41="X",1,0)</f>
        <v>0</v>
      </c>
      <c r="BE41" s="15">
        <f>IF('ENCUESTA CONDUCTORES'!BM41="X",1,0)</f>
        <v>0</v>
      </c>
      <c r="BF41" s="15">
        <f>IF('ENCUESTA CONDUCTORES'!BN41="X",1,0)</f>
        <v>0</v>
      </c>
      <c r="BG41" s="15">
        <f>IF('ENCUESTA CONDUCTORES'!BO41="X",1,0)</f>
        <v>0</v>
      </c>
      <c r="BH41" s="15">
        <f>IF('ENCUESTA CONDUCTORES'!BP41="X",1,0)</f>
        <v>0</v>
      </c>
      <c r="BI41" s="15">
        <f>IF('ENCUESTA CONDUCTORES'!BQ41="X",1,0)</f>
        <v>0</v>
      </c>
      <c r="BJ41" s="15">
        <f>IF('ENCUESTA CONDUCTORES'!BR41="X",1,0)</f>
        <v>1</v>
      </c>
      <c r="BK41" s="15">
        <f>+'ENCUESTA CONDUCTORES'!BS41</f>
        <v>0</v>
      </c>
      <c r="BL41" s="15">
        <f>IF('ENCUESTA CONDUCTORES'!BT41="X",1,0)</f>
        <v>0</v>
      </c>
      <c r="BM41" s="15">
        <f>IF('ENCUESTA CONDUCTORES'!BU41="X",1,0)</f>
        <v>0</v>
      </c>
      <c r="BN41" s="15">
        <f>IF('ENCUESTA CONDUCTORES'!BV41="X",1,0)</f>
        <v>1</v>
      </c>
      <c r="BO41" s="15">
        <f>IF('ENCUESTA CONDUCTORES'!BW41="X",1,0)</f>
        <v>0</v>
      </c>
      <c r="BP41" s="15">
        <f>+'ENCUESTA CONDUCTORES'!BX41</f>
        <v>3</v>
      </c>
      <c r="BQ41" s="15">
        <f>+'ENCUESTA CONDUCTORES'!BY41</f>
        <v>2</v>
      </c>
      <c r="BR41" s="15">
        <f>+'ENCUESTA CONDUCTORES'!BZ41</f>
        <v>1</v>
      </c>
      <c r="BS41" s="15">
        <f>+'ENCUESTA CONDUCTORES'!CA41</f>
        <v>0</v>
      </c>
      <c r="BT41" s="15">
        <f>IF('ENCUESTA CONDUCTORES'!CB41="X",1,0)</f>
        <v>0</v>
      </c>
      <c r="BU41" s="15">
        <f>IF('ENCUESTA CONDUCTORES'!CC41="X",1,0)</f>
        <v>1</v>
      </c>
      <c r="BV41" s="15">
        <f>IF('ENCUESTA CONDUCTORES'!CD41="X",1,0)</f>
        <v>0</v>
      </c>
      <c r="BW41" s="15">
        <f>IF('ENCUESTA CONDUCTORES'!CE41="X",1,0)</f>
        <v>1</v>
      </c>
      <c r="BX41" s="15">
        <f>IF('ENCUESTA CONDUCTORES'!CF41="X",1,0)</f>
        <v>0</v>
      </c>
      <c r="BY41" s="15">
        <f>IF('ENCUESTA CONDUCTORES'!CG41="X",1,0)</f>
        <v>0</v>
      </c>
      <c r="BZ41" s="15">
        <f>IF('ENCUESTA CONDUCTORES'!CH41="X",1,0)</f>
        <v>0</v>
      </c>
      <c r="CA41" s="15">
        <f>IF('ENCUESTA CONDUCTORES'!CI41="X",1,0)</f>
        <v>0</v>
      </c>
      <c r="CB41" s="15">
        <f>IF('ENCUESTA CONDUCTORES'!CJ41="X",1,0)</f>
        <v>0</v>
      </c>
      <c r="CC41" s="15">
        <f>IF('ENCUESTA CONDUCTORES'!CK41="X",1,0)</f>
        <v>1</v>
      </c>
      <c r="CD41" s="15">
        <f>IF('ENCUESTA CONDUCTORES'!CL41="X",1,0)</f>
        <v>0</v>
      </c>
      <c r="CE41" s="15">
        <f>IF('ENCUESTA CONDUCTORES'!CM41="X",1,0)</f>
        <v>0</v>
      </c>
      <c r="CF41" s="15">
        <f>+'ENCUESTA CONDUCTORES'!CN41</f>
        <v>0</v>
      </c>
      <c r="CG41" s="15">
        <f>IF('ENCUESTA CONDUCTORES'!CO41="X",1,0)</f>
        <v>0</v>
      </c>
      <c r="CH41" s="15" t="str">
        <f>+'ENCUESTA CONDUCTORES'!CP41</f>
        <v>NO SABE</v>
      </c>
      <c r="CI41" s="15" t="str">
        <f>+'ENCUESTA CONDUCTORES'!CQ41</f>
        <v>DARLO A CONOCER</v>
      </c>
      <c r="CJ41" s="15">
        <f>IF('ENCUESTA CONDUCTORES'!CR41="X",1,0)</f>
        <v>0</v>
      </c>
      <c r="CK41" s="15">
        <f>IF('ENCUESTA CONDUCTORES'!CS41="X",1,0)</f>
        <v>0</v>
      </c>
      <c r="CL41" s="15">
        <f>IF('ENCUESTA CONDUCTORES'!CT41="X",1,0)</f>
        <v>0</v>
      </c>
      <c r="CM41" s="2" t="str">
        <f>+'ENCUESTA CONDUCTORES'!CU41</f>
        <v>DESCARGA DE MATERIALES PELIGROSOS</v>
      </c>
      <c r="CN41" s="15">
        <f>IF('ENCUESTA CONDUCTORES'!CV41="X",1,0)</f>
        <v>0</v>
      </c>
      <c r="CO41" s="15">
        <f>+'ENCUESTA CONDUCTORES'!CW41</f>
        <v>0</v>
      </c>
      <c r="CP41" s="15">
        <f>IF('ENCUESTA CONDUCTORES'!CX41="X",1,0)</f>
        <v>1</v>
      </c>
      <c r="CQ41" s="15">
        <f>IF('ENCUESTA CONDUCTORES'!CY41="X",1,0)</f>
        <v>1</v>
      </c>
      <c r="CR41" s="3">
        <f>+'ENCUESTA CONDUCTORES'!CZ41</f>
        <v>0</v>
      </c>
      <c r="CS41" s="49">
        <f>+'ENCUESTA CONDUCTORES'!DA41</f>
        <v>0</v>
      </c>
    </row>
    <row r="42" spans="2:97" x14ac:dyDescent="0.25">
      <c r="B42" s="14" t="str">
        <f>+'ENCUESTA CONDUCTORES'!D42</f>
        <v>C-048</v>
      </c>
      <c r="C42" s="15">
        <f>IF('ENCUESTA CONDUCTORES'!E42="X",1,0)</f>
        <v>0</v>
      </c>
      <c r="D42" s="15">
        <f>IF('ENCUESTA CONDUCTORES'!F42="X",1,0)</f>
        <v>0</v>
      </c>
      <c r="E42" s="15">
        <f>IF('ENCUESTA CONDUCTORES'!G42="X",1,0)</f>
        <v>0</v>
      </c>
      <c r="F42" s="15">
        <f>IF('ENCUESTA CONDUCTORES'!H42="X",1,0)</f>
        <v>1</v>
      </c>
      <c r="G42" s="15">
        <f>+'ENCUESTA CONDUCTORES'!I42</f>
        <v>29</v>
      </c>
      <c r="H42" s="15" t="str">
        <f>+'ENCUESTA CONDUCTORES'!J42</f>
        <v>M</v>
      </c>
      <c r="I42" s="15" t="str">
        <f>+'ENCUESTA CONDUCTORES'!K42</f>
        <v>SECUNDARIA</v>
      </c>
      <c r="J42" s="15" t="str">
        <f>+'ENCUESTA CONDUCTORES'!L42</f>
        <v>VALLE DE CHALCO, EDO. MEX</v>
      </c>
      <c r="K42" s="15" t="str">
        <f>+'ENCUESTA CONDUCTORES'!M42</f>
        <v>CHALCO</v>
      </c>
      <c r="L42" s="15" t="str">
        <f>+'ENCUESTA CONDUCTORES'!N42</f>
        <v>EDO. MEX.</v>
      </c>
      <c r="M42" s="15">
        <f>+'ENCUESTA CONDUCTORES'!O42</f>
        <v>8</v>
      </c>
      <c r="N42" s="15">
        <f>IF('ENCUESTA CONDUCTORES'!P42="X",1,0)</f>
        <v>1</v>
      </c>
      <c r="O42" s="15">
        <f>IF('ENCUESTA CONDUCTORES'!Q42="X",1,0)</f>
        <v>0</v>
      </c>
      <c r="P42" s="15">
        <f>IF('ENCUESTA CONDUCTORES'!R42="X",1,0)</f>
        <v>0</v>
      </c>
      <c r="Q42" s="15">
        <f>IF('ENCUESTA CONDUCTORES'!S42="X",1,0)</f>
        <v>0</v>
      </c>
      <c r="R42" s="15">
        <f>IF('ENCUESTA CONDUCTORES'!T42="X",1,0)</f>
        <v>0</v>
      </c>
      <c r="S42" s="15">
        <f>IF('ENCUESTA CONDUCTORES'!U42="X",1,0)</f>
        <v>1</v>
      </c>
      <c r="T42" s="15">
        <f>IF('ENCUESTA CONDUCTORES'!V42="X",1,0)</f>
        <v>0</v>
      </c>
      <c r="U42" s="15">
        <f>IF('ENCUESTA CONDUCTORES'!W42="X",1,0)</f>
        <v>0</v>
      </c>
      <c r="V42" s="15">
        <f>IF('ENCUESTA CONDUCTORES'!X42="X",1,0)</f>
        <v>0</v>
      </c>
      <c r="W42" s="15">
        <f>IF('ENCUESTA CONDUCTORES'!Y42="X",1,0)</f>
        <v>0</v>
      </c>
      <c r="X42" s="15">
        <f>IF('ENCUESTA CONDUCTORES'!Z42="X",1,0)</f>
        <v>0</v>
      </c>
      <c r="Y42" s="15">
        <f>+'ENCUESTA CONDUCTORES'!AG42</f>
        <v>0</v>
      </c>
      <c r="Z42" s="15">
        <f>+'ENCUESTA CONDUCTORES'!AH42</f>
        <v>2012</v>
      </c>
      <c r="AA42" s="1">
        <f>+'ENCUESTA CONDUCTORES'!AI42</f>
        <v>240000</v>
      </c>
      <c r="AB42" s="15">
        <f>IF('ENCUESTA CONDUCTORES'!AJ42="X",1,0)</f>
        <v>0</v>
      </c>
      <c r="AC42" s="15">
        <f>IF('ENCUESTA CONDUCTORES'!AK42="X",1,0)</f>
        <v>0</v>
      </c>
      <c r="AD42" s="15">
        <f>IF('ENCUESTA CONDUCTORES'!AL42="X",1,0)</f>
        <v>1</v>
      </c>
      <c r="AE42" s="15">
        <f>IF('ENCUESTA CONDUCTORES'!AM42="X",1,0)</f>
        <v>0</v>
      </c>
      <c r="AF42" s="15">
        <f>IF('ENCUESTA CONDUCTORES'!AN42="X",1,0)</f>
        <v>0</v>
      </c>
      <c r="AG42" s="15">
        <f>IF('ENCUESTA CONDUCTORES'!AO42="X",1,0)</f>
        <v>0</v>
      </c>
      <c r="AH42" s="15">
        <f>IF('ENCUESTA CONDUCTORES'!AP42="X",1,0)</f>
        <v>1</v>
      </c>
      <c r="AI42" s="15">
        <f>IF('ENCUESTA CONDUCTORES'!AQ42="X",1,0)</f>
        <v>0</v>
      </c>
      <c r="AJ42" s="15">
        <f>IF('ENCUESTA CONDUCTORES'!AR42="X",1,0)</f>
        <v>0</v>
      </c>
      <c r="AK42" s="15">
        <f>+'ENCUESTA CONDUCTORES'!AS42</f>
        <v>0</v>
      </c>
      <c r="AL42" s="15" t="str">
        <f>+'ENCUESTA CONDUCTORES'!AT42</f>
        <v>CUMMINS</v>
      </c>
      <c r="AM42" s="1">
        <f>+'ENCUESTA CONDUCTORES'!AU42</f>
        <v>7500</v>
      </c>
      <c r="AN42" s="48">
        <f>+'ENCUESTA CONDUCTORES'!AV42</f>
        <v>0.5</v>
      </c>
      <c r="AO42" s="15">
        <f>+'ENCUESTA CONDUCTORES'!AW42</f>
        <v>1.5</v>
      </c>
      <c r="AP42" s="15">
        <f>+'ENCUESTA CONDUCTORES'!AX42</f>
        <v>1.1000000000000001</v>
      </c>
      <c r="AQ42" s="15">
        <f>+'ENCUESTA CONDUCTORES'!AY42</f>
        <v>2</v>
      </c>
      <c r="AR42" s="15">
        <f>+'ENCUESTA CONDUCTORES'!AZ42</f>
        <v>690</v>
      </c>
      <c r="AS42" s="15">
        <f>+'ENCUESTA CONDUCTORES'!BA42</f>
        <v>900</v>
      </c>
      <c r="AT42" s="15">
        <f>IF('ENCUESTA CONDUCTORES'!BB42="X",1,0)</f>
        <v>0</v>
      </c>
      <c r="AU42" s="15">
        <f>IF('ENCUESTA CONDUCTORES'!BC42="X",1,0)</f>
        <v>0</v>
      </c>
      <c r="AV42" s="15">
        <f>IF('ENCUESTA CONDUCTORES'!BD42="X",1,0)</f>
        <v>0</v>
      </c>
      <c r="AW42" s="1">
        <f>+'ENCUESTA CONDUCTORES'!BE42</f>
        <v>10000</v>
      </c>
      <c r="AX42" s="1">
        <f>+'ENCUESTA CONDUCTORES'!BF42</f>
        <v>10000</v>
      </c>
      <c r="AY42" s="1">
        <f>+'ENCUESTA CONDUCTORES'!BG42</f>
        <v>10000</v>
      </c>
      <c r="AZ42" s="1" t="str">
        <f>+'ENCUESTA CONDUCTORES'!BH42</f>
        <v>NO SABE</v>
      </c>
      <c r="BA42" s="1">
        <f>+'ENCUESTA CONDUCTORES'!BI42</f>
        <v>10000</v>
      </c>
      <c r="BB42" s="15">
        <f>IF('ENCUESTA CONDUCTORES'!BJ42="X",1,0)</f>
        <v>0</v>
      </c>
      <c r="BC42" s="15">
        <f>IF('ENCUESTA CONDUCTORES'!BK42="X",1,0)</f>
        <v>0</v>
      </c>
      <c r="BD42" s="15">
        <f>IF('ENCUESTA CONDUCTORES'!BL42="X",1,0)</f>
        <v>0</v>
      </c>
      <c r="BE42" s="15">
        <f>IF('ENCUESTA CONDUCTORES'!BM42="X",1,0)</f>
        <v>0</v>
      </c>
      <c r="BF42" s="15">
        <f>IF('ENCUESTA CONDUCTORES'!BN42="X",1,0)</f>
        <v>1</v>
      </c>
      <c r="BG42" s="15">
        <f>IF('ENCUESTA CONDUCTORES'!BO42="X",1,0)</f>
        <v>0</v>
      </c>
      <c r="BH42" s="15">
        <f>IF('ENCUESTA CONDUCTORES'!BP42="X",1,0)</f>
        <v>0</v>
      </c>
      <c r="BI42" s="15">
        <f>IF('ENCUESTA CONDUCTORES'!BQ42="X",1,0)</f>
        <v>0</v>
      </c>
      <c r="BJ42" s="15">
        <f>IF('ENCUESTA CONDUCTORES'!BR42="X",1,0)</f>
        <v>0</v>
      </c>
      <c r="BK42" s="15">
        <f>+'ENCUESTA CONDUCTORES'!BS42</f>
        <v>0</v>
      </c>
      <c r="BL42" s="15">
        <f>IF('ENCUESTA CONDUCTORES'!BT42="X",1,0)</f>
        <v>0</v>
      </c>
      <c r="BM42" s="15">
        <f>IF('ENCUESTA CONDUCTORES'!BU42="X",1,0)</f>
        <v>1</v>
      </c>
      <c r="BN42" s="15">
        <f>IF('ENCUESTA CONDUCTORES'!BV42="X",1,0)</f>
        <v>0</v>
      </c>
      <c r="BO42" s="15">
        <f>IF('ENCUESTA CONDUCTORES'!BW42="X",1,0)</f>
        <v>0</v>
      </c>
      <c r="BP42" s="15">
        <f>+'ENCUESTA CONDUCTORES'!BX42</f>
        <v>2</v>
      </c>
      <c r="BQ42" s="15">
        <f>+'ENCUESTA CONDUCTORES'!BY42</f>
        <v>4</v>
      </c>
      <c r="BR42" s="15">
        <f>+'ENCUESTA CONDUCTORES'!BZ42</f>
        <v>3</v>
      </c>
      <c r="BS42" s="15" t="str">
        <f>+'ENCUESTA CONDUCTORES'!CA42</f>
        <v>SEGURIDAD</v>
      </c>
      <c r="BT42" s="15">
        <f>IF('ENCUESTA CONDUCTORES'!CB42="X",1,0)</f>
        <v>0</v>
      </c>
      <c r="BU42" s="15">
        <f>IF('ENCUESTA CONDUCTORES'!CC42="X",1,0)</f>
        <v>1</v>
      </c>
      <c r="BV42" s="15">
        <f>IF('ENCUESTA CONDUCTORES'!CD42="X",1,0)</f>
        <v>1</v>
      </c>
      <c r="BW42" s="15">
        <f>IF('ENCUESTA CONDUCTORES'!CE42="X",1,0)</f>
        <v>0</v>
      </c>
      <c r="BX42" s="15">
        <f>IF('ENCUESTA CONDUCTORES'!CF42="X",1,0)</f>
        <v>0</v>
      </c>
      <c r="BY42" s="15">
        <f>IF('ENCUESTA CONDUCTORES'!CG42="X",1,0)</f>
        <v>0</v>
      </c>
      <c r="BZ42" s="15">
        <f>IF('ENCUESTA CONDUCTORES'!CH42="X",1,0)</f>
        <v>1</v>
      </c>
      <c r="CA42" s="15">
        <f>IF('ENCUESTA CONDUCTORES'!CI42="X",1,0)</f>
        <v>1</v>
      </c>
      <c r="CB42" s="15">
        <f>IF('ENCUESTA CONDUCTORES'!CJ42="X",1,0)</f>
        <v>0</v>
      </c>
      <c r="CC42" s="15">
        <f>IF('ENCUESTA CONDUCTORES'!CK42="X",1,0)</f>
        <v>1</v>
      </c>
      <c r="CD42" s="15">
        <f>IF('ENCUESTA CONDUCTORES'!CL42="X",1,0)</f>
        <v>0</v>
      </c>
      <c r="CE42" s="15">
        <f>IF('ENCUESTA CONDUCTORES'!CM42="X",1,0)</f>
        <v>0</v>
      </c>
      <c r="CF42" s="15">
        <f>+'ENCUESTA CONDUCTORES'!CN42</f>
        <v>0</v>
      </c>
      <c r="CG42" s="15">
        <f>IF('ENCUESTA CONDUCTORES'!CO42="X",1,0)</f>
        <v>0</v>
      </c>
      <c r="CH42" s="15" t="str">
        <f>+'ENCUESTA CONDUCTORES'!CP42</f>
        <v>NO SABE</v>
      </c>
      <c r="CI42" s="15" t="str">
        <f>+'ENCUESTA CONDUCTORES'!CQ42</f>
        <v>DARLO A CONOCER</v>
      </c>
      <c r="CJ42" s="15">
        <f>IF('ENCUESTA CONDUCTORES'!CR42="X",1,0)</f>
        <v>0</v>
      </c>
      <c r="CK42" s="15">
        <f>IF('ENCUESTA CONDUCTORES'!CS42="X",1,0)</f>
        <v>1</v>
      </c>
      <c r="CL42" s="15">
        <f>IF('ENCUESTA CONDUCTORES'!CT42="X",1,0)</f>
        <v>0</v>
      </c>
      <c r="CM42" s="2">
        <f>+'ENCUESTA CONDUCTORES'!CU42</f>
        <v>0</v>
      </c>
      <c r="CN42" s="15">
        <f>IF('ENCUESTA CONDUCTORES'!CV42="X",1,0)</f>
        <v>0</v>
      </c>
      <c r="CO42" s="15">
        <f>+'ENCUESTA CONDUCTORES'!CW42</f>
        <v>0</v>
      </c>
      <c r="CP42" s="15">
        <f>IF('ENCUESTA CONDUCTORES'!CX42="X",1,0)</f>
        <v>0</v>
      </c>
      <c r="CQ42" s="15">
        <f>IF('ENCUESTA CONDUCTORES'!CY42="X",1,0)</f>
        <v>1</v>
      </c>
      <c r="CR42" s="3">
        <f>+'ENCUESTA CONDUCTORES'!CZ42</f>
        <v>0</v>
      </c>
      <c r="CS42" s="49">
        <f>+'ENCUESTA CONDUCTORES'!DA42</f>
        <v>0</v>
      </c>
    </row>
    <row r="43" spans="2:97" x14ac:dyDescent="0.25">
      <c r="B43" s="51" t="str">
        <f>+'ENCUESTA CONDUCTORES'!D43</f>
        <v>C-049</v>
      </c>
      <c r="C43" s="7">
        <f>IF('ENCUESTA CONDUCTORES'!E43="X",1,0)</f>
        <v>0</v>
      </c>
      <c r="D43" s="7">
        <f>IF('ENCUESTA CONDUCTORES'!F43="X",1,0)</f>
        <v>0</v>
      </c>
      <c r="E43" s="7">
        <f>IF('ENCUESTA CONDUCTORES'!G43="X",1,0)</f>
        <v>0</v>
      </c>
      <c r="F43" s="7">
        <f>IF('ENCUESTA CONDUCTORES'!H43="X",1,0)</f>
        <v>1</v>
      </c>
      <c r="G43" s="7">
        <f>+'ENCUESTA CONDUCTORES'!I43</f>
        <v>25</v>
      </c>
      <c r="H43" s="7" t="str">
        <f>+'ENCUESTA CONDUCTORES'!J43</f>
        <v>M</v>
      </c>
      <c r="I43" s="7" t="str">
        <f>+'ENCUESTA CONDUCTORES'!K43</f>
        <v>SECUNDARIA</v>
      </c>
      <c r="J43" s="7" t="str">
        <f>+'ENCUESTA CONDUCTORES'!L43</f>
        <v>NEZAHUALCÓYOTL, EDO. MEX.</v>
      </c>
      <c r="K43" s="52" t="str">
        <f>+'ENCUESTA CONDUCTORES'!M43</f>
        <v>NEZAHUALCÓYOTL</v>
      </c>
      <c r="L43" s="7" t="str">
        <f>+'ENCUESTA CONDUCTORES'!N43</f>
        <v>EDO. MEX.</v>
      </c>
      <c r="M43" s="7">
        <f>+'ENCUESTA CONDUCTORES'!O43</f>
        <v>1</v>
      </c>
      <c r="N43" s="7">
        <f>IF('ENCUESTA CONDUCTORES'!P43="X",1,0)</f>
        <v>0</v>
      </c>
      <c r="O43" s="7">
        <f>IF('ENCUESTA CONDUCTORES'!Q43="X",1,0)</f>
        <v>0</v>
      </c>
      <c r="P43" s="7">
        <f>IF('ENCUESTA CONDUCTORES'!R43="X",1,0)</f>
        <v>1</v>
      </c>
      <c r="Q43" s="7">
        <f>IF('ENCUESTA CONDUCTORES'!S43="X",1,0)</f>
        <v>0</v>
      </c>
      <c r="R43" s="7">
        <f>IF('ENCUESTA CONDUCTORES'!T43="X",1,0)</f>
        <v>0</v>
      </c>
      <c r="S43" s="7">
        <f>IF('ENCUESTA CONDUCTORES'!U43="X",1,0)</f>
        <v>1</v>
      </c>
      <c r="T43" s="7">
        <f>IF('ENCUESTA CONDUCTORES'!V43="X",1,0)</f>
        <v>0</v>
      </c>
      <c r="U43" s="7">
        <f>IF('ENCUESTA CONDUCTORES'!W43="X",1,0)</f>
        <v>0</v>
      </c>
      <c r="V43" s="7">
        <f>IF('ENCUESTA CONDUCTORES'!X43="X",1,0)</f>
        <v>0</v>
      </c>
      <c r="W43" s="7">
        <f>IF('ENCUESTA CONDUCTORES'!Y43="X",1,0)</f>
        <v>0</v>
      </c>
      <c r="X43" s="7">
        <f>IF('ENCUESTA CONDUCTORES'!Z43="X",1,0)</f>
        <v>0</v>
      </c>
      <c r="Y43" s="7">
        <f>+'ENCUESTA CONDUCTORES'!AG43</f>
        <v>0</v>
      </c>
      <c r="Z43" s="7">
        <f>+'ENCUESTA CONDUCTORES'!AH43</f>
        <v>2000</v>
      </c>
      <c r="AA43" s="13">
        <f>+'ENCUESTA CONDUCTORES'!AI43</f>
        <v>1500000</v>
      </c>
      <c r="AB43" s="7">
        <f>IF('ENCUESTA CONDUCTORES'!AJ43="X",1,0)</f>
        <v>0</v>
      </c>
      <c r="AC43" s="7">
        <f>IF('ENCUESTA CONDUCTORES'!AK43="X",1,0)</f>
        <v>0</v>
      </c>
      <c r="AD43" s="7">
        <f>IF('ENCUESTA CONDUCTORES'!AL43="X",1,0)</f>
        <v>1</v>
      </c>
      <c r="AE43" s="7">
        <f>IF('ENCUESTA CONDUCTORES'!AM43="X",1,0)</f>
        <v>0</v>
      </c>
      <c r="AF43" s="7">
        <f>IF('ENCUESTA CONDUCTORES'!AN43="X",1,0)</f>
        <v>0</v>
      </c>
      <c r="AG43" s="7">
        <f>IF('ENCUESTA CONDUCTORES'!AO43="X",1,0)</f>
        <v>1</v>
      </c>
      <c r="AH43" s="7">
        <f>IF('ENCUESTA CONDUCTORES'!AP43="X",1,0)</f>
        <v>0</v>
      </c>
      <c r="AI43" s="7">
        <f>IF('ENCUESTA CONDUCTORES'!AQ43="X",1,0)</f>
        <v>0</v>
      </c>
      <c r="AJ43" s="7">
        <f>IF('ENCUESTA CONDUCTORES'!AR43="X",1,0)</f>
        <v>0</v>
      </c>
      <c r="AK43" s="7">
        <f>+'ENCUESTA CONDUCTORES'!AS43</f>
        <v>0</v>
      </c>
      <c r="AL43" s="7" t="str">
        <f>+'ENCUESTA CONDUCTORES'!AT43</f>
        <v>KENWORTH</v>
      </c>
      <c r="AM43" s="13">
        <f>+'ENCUESTA CONDUCTORES'!AU43</f>
        <v>3000</v>
      </c>
      <c r="AN43" s="53">
        <f>+'ENCUESTA CONDUCTORES'!AV43</f>
        <v>0.1</v>
      </c>
      <c r="AO43" s="7">
        <f>+'ENCUESTA CONDUCTORES'!AW43</f>
        <v>3</v>
      </c>
      <c r="AP43" s="7">
        <f>+'ENCUESTA CONDUCTORES'!AX43</f>
        <v>2.7</v>
      </c>
      <c r="AQ43" s="7">
        <f>+'ENCUESTA CONDUCTORES'!AY43</f>
        <v>2</v>
      </c>
      <c r="AR43" s="7">
        <f>+'ENCUESTA CONDUCTORES'!AZ43</f>
        <v>500</v>
      </c>
      <c r="AS43" s="7">
        <f>+'ENCUESTA CONDUCTORES'!BA43</f>
        <v>1500</v>
      </c>
      <c r="AT43" s="7">
        <f>IF('ENCUESTA CONDUCTORES'!BB43="X",1,0)</f>
        <v>1</v>
      </c>
      <c r="AU43" s="7">
        <f>IF('ENCUESTA CONDUCTORES'!BC43="X",1,0)</f>
        <v>0</v>
      </c>
      <c r="AV43" s="7">
        <f>IF('ENCUESTA CONDUCTORES'!BD43="X",1,0)</f>
        <v>0</v>
      </c>
      <c r="AW43" s="13">
        <f>+'ENCUESTA CONDUCTORES'!BE43</f>
        <v>3000</v>
      </c>
      <c r="AX43" s="13">
        <f>+'ENCUESTA CONDUCTORES'!BF43</f>
        <v>7500</v>
      </c>
      <c r="AY43" s="13">
        <f>+'ENCUESTA CONDUCTORES'!BG43</f>
        <v>10000</v>
      </c>
      <c r="AZ43" s="13">
        <f>+'ENCUESTA CONDUCTORES'!BH43</f>
        <v>120000</v>
      </c>
      <c r="BA43" s="13">
        <f>+'ENCUESTA CONDUCTORES'!BI43</f>
        <v>10000</v>
      </c>
      <c r="BB43" s="7">
        <f>IF('ENCUESTA CONDUCTORES'!BJ43="X",1,0)</f>
        <v>0</v>
      </c>
      <c r="BC43" s="7">
        <f>IF('ENCUESTA CONDUCTORES'!BK43="X",1,0)</f>
        <v>0</v>
      </c>
      <c r="BD43" s="7">
        <f>IF('ENCUESTA CONDUCTORES'!BL43="X",1,0)</f>
        <v>0</v>
      </c>
      <c r="BE43" s="7">
        <f>IF('ENCUESTA CONDUCTORES'!BM43="X",1,0)</f>
        <v>1</v>
      </c>
      <c r="BF43" s="7">
        <f>IF('ENCUESTA CONDUCTORES'!BN43="X",1,0)</f>
        <v>0</v>
      </c>
      <c r="BG43" s="7">
        <f>IF('ENCUESTA CONDUCTORES'!BO43="X",1,0)</f>
        <v>0</v>
      </c>
      <c r="BH43" s="7">
        <f>IF('ENCUESTA CONDUCTORES'!BP43="X",1,0)</f>
        <v>0</v>
      </c>
      <c r="BI43" s="7">
        <f>IF('ENCUESTA CONDUCTORES'!BQ43="X",1,0)</f>
        <v>0</v>
      </c>
      <c r="BJ43" s="7">
        <f>IF('ENCUESTA CONDUCTORES'!BR43="X",1,0)</f>
        <v>0</v>
      </c>
      <c r="BK43" s="7">
        <f>+'ENCUESTA CONDUCTORES'!BS43</f>
        <v>0</v>
      </c>
      <c r="BL43" s="7">
        <f>IF('ENCUESTA CONDUCTORES'!BT43="X",1,0)</f>
        <v>0</v>
      </c>
      <c r="BM43" s="7">
        <f>IF('ENCUESTA CONDUCTORES'!BU43="X",1,0)</f>
        <v>0</v>
      </c>
      <c r="BN43" s="7">
        <f>IF('ENCUESTA CONDUCTORES'!BV43="X",1,0)</f>
        <v>1</v>
      </c>
      <c r="BO43" s="7">
        <f>IF('ENCUESTA CONDUCTORES'!BW43="X",1,0)</f>
        <v>0</v>
      </c>
      <c r="BP43" s="7">
        <f>+'ENCUESTA CONDUCTORES'!BX43</f>
        <v>2</v>
      </c>
      <c r="BQ43" s="7">
        <f>+'ENCUESTA CONDUCTORES'!BY43</f>
        <v>1</v>
      </c>
      <c r="BR43" s="7">
        <f>+'ENCUESTA CONDUCTORES'!BZ43</f>
        <v>3</v>
      </c>
      <c r="BS43" s="7">
        <f>+'ENCUESTA CONDUCTORES'!CA43</f>
        <v>0</v>
      </c>
      <c r="BT43" s="7">
        <f>IF('ENCUESTA CONDUCTORES'!CB43="X",1,0)</f>
        <v>1</v>
      </c>
      <c r="BU43" s="7">
        <f>IF('ENCUESTA CONDUCTORES'!CC43="X",1,0)</f>
        <v>0</v>
      </c>
      <c r="BV43" s="7">
        <f>IF('ENCUESTA CONDUCTORES'!CD43="X",1,0)</f>
        <v>0</v>
      </c>
      <c r="BW43" s="7">
        <f>IF('ENCUESTA CONDUCTORES'!CE43="X",1,0)</f>
        <v>0</v>
      </c>
      <c r="BX43" s="7">
        <f>IF('ENCUESTA CONDUCTORES'!CF43="X",1,0)</f>
        <v>0</v>
      </c>
      <c r="BY43" s="7">
        <f>IF('ENCUESTA CONDUCTORES'!CG43="X",1,0)</f>
        <v>0</v>
      </c>
      <c r="BZ43" s="7">
        <f>IF('ENCUESTA CONDUCTORES'!CH43="X",1,0)</f>
        <v>0</v>
      </c>
      <c r="CA43" s="7">
        <f>IF('ENCUESTA CONDUCTORES'!CI43="X",1,0)</f>
        <v>0</v>
      </c>
      <c r="CB43" s="7">
        <f>IF('ENCUESTA CONDUCTORES'!CJ43="X",1,0)</f>
        <v>0</v>
      </c>
      <c r="CC43" s="7">
        <f>IF('ENCUESTA CONDUCTORES'!CK43="X",1,0)</f>
        <v>1</v>
      </c>
      <c r="CD43" s="7">
        <f>IF('ENCUESTA CONDUCTORES'!CL43="X",1,0)</f>
        <v>0</v>
      </c>
      <c r="CE43" s="7">
        <f>IF('ENCUESTA CONDUCTORES'!CM43="X",1,0)</f>
        <v>0</v>
      </c>
      <c r="CF43" s="7">
        <f>+'ENCUESTA CONDUCTORES'!CN43</f>
        <v>0</v>
      </c>
      <c r="CG43" s="7">
        <f>IF('ENCUESTA CONDUCTORES'!CO43="X",1,0)</f>
        <v>0</v>
      </c>
      <c r="CH43" s="7" t="str">
        <f>+'ENCUESTA CONDUCTORES'!CP43</f>
        <v>NO SABE</v>
      </c>
      <c r="CI43" s="7" t="str">
        <f>+'ENCUESTA CONDUCTORES'!CQ43</f>
        <v>DARLO A CONOCER</v>
      </c>
      <c r="CJ43" s="7">
        <f>IF('ENCUESTA CONDUCTORES'!CR43="X",1,0)</f>
        <v>1</v>
      </c>
      <c r="CK43" s="7">
        <f>IF('ENCUESTA CONDUCTORES'!CS43="X",1,0)</f>
        <v>0</v>
      </c>
      <c r="CL43" s="7">
        <f>IF('ENCUESTA CONDUCTORES'!CT43="X",1,0)</f>
        <v>0</v>
      </c>
      <c r="CM43" s="7">
        <f>+'ENCUESTA CONDUCTORES'!CU43</f>
        <v>0</v>
      </c>
      <c r="CN43" s="7">
        <f>IF('ENCUESTA CONDUCTORES'!CV43="X",1,0)</f>
        <v>1</v>
      </c>
      <c r="CO43" s="7" t="str">
        <f>+'ENCUESTA CONDUCTORES'!CW43</f>
        <v>NO TIENE TIEMPO</v>
      </c>
      <c r="CP43" s="7">
        <f>IF('ENCUESTA CONDUCTORES'!CX43="X",1,0)</f>
        <v>0</v>
      </c>
      <c r="CQ43" s="7">
        <f>IF('ENCUESTA CONDUCTORES'!CY43="X",1,0)</f>
        <v>0</v>
      </c>
      <c r="CR43" s="54">
        <f>+'ENCUESTA CONDUCTORES'!CZ43</f>
        <v>0</v>
      </c>
      <c r="CS43" s="49">
        <f>+'ENCUESTA CONDUCTORES'!DA43</f>
        <v>0</v>
      </c>
    </row>
    <row r="44" spans="2:97" x14ac:dyDescent="0.25">
      <c r="B44" s="14" t="str">
        <f>+'ENCUESTA CONDUCTORES'!D44</f>
        <v>C-050</v>
      </c>
      <c r="C44" s="15">
        <f>IF('ENCUESTA CONDUCTORES'!E44="X",1,0)</f>
        <v>0</v>
      </c>
      <c r="D44" s="15">
        <f>IF('ENCUESTA CONDUCTORES'!F44="X",1,0)</f>
        <v>0</v>
      </c>
      <c r="E44" s="15">
        <f>IF('ENCUESTA CONDUCTORES'!G44="X",1,0)</f>
        <v>1</v>
      </c>
      <c r="F44" s="15">
        <f>IF('ENCUESTA CONDUCTORES'!H44="X",1,0)</f>
        <v>0</v>
      </c>
      <c r="G44" s="15">
        <f>+'ENCUESTA CONDUCTORES'!I44</f>
        <v>56</v>
      </c>
      <c r="H44" s="15" t="str">
        <f>+'ENCUESTA CONDUCTORES'!J44</f>
        <v>M</v>
      </c>
      <c r="I44" s="15" t="str">
        <f>+'ENCUESTA CONDUCTORES'!K44</f>
        <v>SECUNDARIA</v>
      </c>
      <c r="J44" s="15" t="str">
        <f>+'ENCUESTA CONDUCTORES'!L44</f>
        <v>MILPA ALTA, D.F.</v>
      </c>
      <c r="K44" s="15" t="str">
        <f>+'ENCUESTA CONDUCTORES'!M44</f>
        <v>MILPA ALTA</v>
      </c>
      <c r="L44" s="15" t="str">
        <f>+'ENCUESTA CONDUCTORES'!N44</f>
        <v>D.F.</v>
      </c>
      <c r="M44" s="15">
        <f>+'ENCUESTA CONDUCTORES'!O44</f>
        <v>37</v>
      </c>
      <c r="N44" s="15">
        <f>IF('ENCUESTA CONDUCTORES'!P44="X",1,0)</f>
        <v>0</v>
      </c>
      <c r="O44" s="15">
        <f>IF('ENCUESTA CONDUCTORES'!Q44="X",1,0)</f>
        <v>0</v>
      </c>
      <c r="P44" s="15">
        <f>IF('ENCUESTA CONDUCTORES'!R44="X",1,0)</f>
        <v>0</v>
      </c>
      <c r="Q44" s="15">
        <f>IF('ENCUESTA CONDUCTORES'!S44="X",1,0)</f>
        <v>1</v>
      </c>
      <c r="R44" s="15">
        <f>IF('ENCUESTA CONDUCTORES'!T44="X",1,0)</f>
        <v>0</v>
      </c>
      <c r="S44" s="15">
        <f>IF('ENCUESTA CONDUCTORES'!U44="X",1,0)</f>
        <v>0</v>
      </c>
      <c r="T44" s="15">
        <f>IF('ENCUESTA CONDUCTORES'!V44="X",1,0)</f>
        <v>1</v>
      </c>
      <c r="U44" s="15">
        <f>IF('ENCUESTA CONDUCTORES'!W44="X",1,0)</f>
        <v>0</v>
      </c>
      <c r="V44" s="15">
        <f>IF('ENCUESTA CONDUCTORES'!X44="X",1,0)</f>
        <v>0</v>
      </c>
      <c r="W44" s="15">
        <f>IF('ENCUESTA CONDUCTORES'!Y44="X",1,0)</f>
        <v>0</v>
      </c>
      <c r="X44" s="15">
        <f>IF('ENCUESTA CONDUCTORES'!Z44="X",1,0)</f>
        <v>0</v>
      </c>
      <c r="Y44" s="15">
        <f>+'ENCUESTA CONDUCTORES'!AG44</f>
        <v>0</v>
      </c>
      <c r="Z44" s="15">
        <f>+'ENCUESTA CONDUCTORES'!AH44</f>
        <v>2005</v>
      </c>
      <c r="AA44" s="1">
        <f>+'ENCUESTA CONDUCTORES'!AI44</f>
        <v>1100000</v>
      </c>
      <c r="AB44" s="15">
        <f>IF('ENCUESTA CONDUCTORES'!AJ44="X",1,0)</f>
        <v>0</v>
      </c>
      <c r="AC44" s="15">
        <f>IF('ENCUESTA CONDUCTORES'!AK44="X",1,0)</f>
        <v>0</v>
      </c>
      <c r="AD44" s="15">
        <f>IF('ENCUESTA CONDUCTORES'!AL44="X",1,0)</f>
        <v>1</v>
      </c>
      <c r="AE44" s="15">
        <f>IF('ENCUESTA CONDUCTORES'!AM44="X",1,0)</f>
        <v>0</v>
      </c>
      <c r="AF44" s="15">
        <f>IF('ENCUESTA CONDUCTORES'!AN44="X",1,0)</f>
        <v>0</v>
      </c>
      <c r="AG44" s="15">
        <f>IF('ENCUESTA CONDUCTORES'!AO44="X",1,0)</f>
        <v>0</v>
      </c>
      <c r="AH44" s="15">
        <f>IF('ENCUESTA CONDUCTORES'!AP44="X",1,0)</f>
        <v>1</v>
      </c>
      <c r="AI44" s="15">
        <f>IF('ENCUESTA CONDUCTORES'!AQ44="X",1,0)</f>
        <v>0</v>
      </c>
      <c r="AJ44" s="15">
        <f>IF('ENCUESTA CONDUCTORES'!AR44="X",1,0)</f>
        <v>0</v>
      </c>
      <c r="AK44" s="15">
        <f>+'ENCUESTA CONDUCTORES'!AS44</f>
        <v>0</v>
      </c>
      <c r="AL44" s="15" t="str">
        <f>+'ENCUESTA CONDUCTORES'!AT44</f>
        <v>CUMMINS</v>
      </c>
      <c r="AM44" s="1">
        <f>+'ENCUESTA CONDUCTORES'!AU44</f>
        <v>10000</v>
      </c>
      <c r="AN44" s="48">
        <f>+'ENCUESTA CONDUCTORES'!AV44</f>
        <v>0.5</v>
      </c>
      <c r="AO44" s="15">
        <f>+'ENCUESTA CONDUCTORES'!AW44</f>
        <v>2.8</v>
      </c>
      <c r="AP44" s="15">
        <f>+'ENCUESTA CONDUCTORES'!AX44</f>
        <v>2.2000000000000002</v>
      </c>
      <c r="AQ44" s="15">
        <f>+'ENCUESTA CONDUCTORES'!AY44</f>
        <v>2</v>
      </c>
      <c r="AR44" s="15">
        <f>+'ENCUESTA CONDUCTORES'!AZ44</f>
        <v>640</v>
      </c>
      <c r="AS44" s="15">
        <f>+'ENCUESTA CONDUCTORES'!BA44</f>
        <v>1600</v>
      </c>
      <c r="AT44" s="15">
        <f>IF('ENCUESTA CONDUCTORES'!BB44="X",1,0)</f>
        <v>1</v>
      </c>
      <c r="AU44" s="15">
        <f>IF('ENCUESTA CONDUCTORES'!BC44="X",1,0)</f>
        <v>1</v>
      </c>
      <c r="AV44" s="15">
        <f>IF('ENCUESTA CONDUCTORES'!BD44="X",1,0)</f>
        <v>0</v>
      </c>
      <c r="AW44" s="1">
        <f>+'ENCUESTA CONDUCTORES'!BE44</f>
        <v>4000</v>
      </c>
      <c r="AX44" s="1">
        <f>+'ENCUESTA CONDUCTORES'!BF44</f>
        <v>20000</v>
      </c>
      <c r="AY44" s="1">
        <f>+'ENCUESTA CONDUCTORES'!BG44</f>
        <v>30000</v>
      </c>
      <c r="AZ44" s="1">
        <f>+'ENCUESTA CONDUCTORES'!BH44</f>
        <v>120000</v>
      </c>
      <c r="BA44" s="1">
        <f>+'ENCUESTA CONDUCTORES'!BI44</f>
        <v>20000</v>
      </c>
      <c r="BB44" s="15">
        <f>IF('ENCUESTA CONDUCTORES'!BJ44="X",1,0)</f>
        <v>0</v>
      </c>
      <c r="BC44" s="15">
        <f>IF('ENCUESTA CONDUCTORES'!BK44="X",1,0)</f>
        <v>0</v>
      </c>
      <c r="BD44" s="15">
        <f>IF('ENCUESTA CONDUCTORES'!BL44="X",1,0)</f>
        <v>0</v>
      </c>
      <c r="BE44" s="15">
        <f>IF('ENCUESTA CONDUCTORES'!BM44="X",1,0)</f>
        <v>0</v>
      </c>
      <c r="BF44" s="15">
        <f>IF('ENCUESTA CONDUCTORES'!BN44="X",1,0)</f>
        <v>0</v>
      </c>
      <c r="BG44" s="15">
        <f>IF('ENCUESTA CONDUCTORES'!BO44="X",1,0)</f>
        <v>0</v>
      </c>
      <c r="BH44" s="15">
        <f>IF('ENCUESTA CONDUCTORES'!BP44="X",1,0)</f>
        <v>0</v>
      </c>
      <c r="BI44" s="15">
        <f>IF('ENCUESTA CONDUCTORES'!BQ44="X",1,0)</f>
        <v>1</v>
      </c>
      <c r="BJ44" s="15">
        <f>IF('ENCUESTA CONDUCTORES'!BR44="X",1,0)</f>
        <v>0</v>
      </c>
      <c r="BK44" s="15">
        <f>+'ENCUESTA CONDUCTORES'!BS44</f>
        <v>0</v>
      </c>
      <c r="BL44" s="15">
        <f>IF('ENCUESTA CONDUCTORES'!BT44="X",1,0)</f>
        <v>0</v>
      </c>
      <c r="BM44" s="15">
        <f>IF('ENCUESTA CONDUCTORES'!BU44="X",1,0)</f>
        <v>0</v>
      </c>
      <c r="BN44" s="15">
        <f>IF('ENCUESTA CONDUCTORES'!BV44="X",1,0)</f>
        <v>1</v>
      </c>
      <c r="BO44" s="15">
        <f>IF('ENCUESTA CONDUCTORES'!BW44="X",1,0)</f>
        <v>0</v>
      </c>
      <c r="BP44" s="15">
        <f>+'ENCUESTA CONDUCTORES'!BX44</f>
        <v>3</v>
      </c>
      <c r="BQ44" s="15">
        <f>+'ENCUESTA CONDUCTORES'!BY44</f>
        <v>2</v>
      </c>
      <c r="BR44" s="15">
        <f>+'ENCUESTA CONDUCTORES'!BZ44</f>
        <v>1</v>
      </c>
      <c r="BS44" s="15">
        <f>+'ENCUESTA CONDUCTORES'!CA44</f>
        <v>0</v>
      </c>
      <c r="BT44" s="15">
        <f>IF('ENCUESTA CONDUCTORES'!CB44="X",1,0)</f>
        <v>0</v>
      </c>
      <c r="BU44" s="15">
        <f>IF('ENCUESTA CONDUCTORES'!CC44="X",1,0)</f>
        <v>1</v>
      </c>
      <c r="BV44" s="15">
        <f>IF('ENCUESTA CONDUCTORES'!CD44="X",1,0)</f>
        <v>1</v>
      </c>
      <c r="BW44" s="15">
        <f>IF('ENCUESTA CONDUCTORES'!CE44="X",1,0)</f>
        <v>1</v>
      </c>
      <c r="BX44" s="15">
        <f>IF('ENCUESTA CONDUCTORES'!CF44="X",1,0)</f>
        <v>0</v>
      </c>
      <c r="BY44" s="15">
        <f>IF('ENCUESTA CONDUCTORES'!CG44="X",1,0)</f>
        <v>0</v>
      </c>
      <c r="BZ44" s="15">
        <f>IF('ENCUESTA CONDUCTORES'!CH44="X",1,0)</f>
        <v>0</v>
      </c>
      <c r="CA44" s="15">
        <f>IF('ENCUESTA CONDUCTORES'!CI44="X",1,0)</f>
        <v>0</v>
      </c>
      <c r="CB44" s="15">
        <f>IF('ENCUESTA CONDUCTORES'!CJ44="X",1,0)</f>
        <v>0</v>
      </c>
      <c r="CC44" s="15">
        <f>IF('ENCUESTA CONDUCTORES'!CK44="X",1,0)</f>
        <v>1</v>
      </c>
      <c r="CD44" s="15">
        <f>IF('ENCUESTA CONDUCTORES'!CL44="X",1,0)</f>
        <v>0</v>
      </c>
      <c r="CE44" s="15">
        <f>IF('ENCUESTA CONDUCTORES'!CM44="X",1,0)</f>
        <v>0</v>
      </c>
      <c r="CF44" s="15">
        <f>+'ENCUESTA CONDUCTORES'!CN44</f>
        <v>0</v>
      </c>
      <c r="CG44" s="15">
        <f>IF('ENCUESTA CONDUCTORES'!CO44="X",1,0)</f>
        <v>0</v>
      </c>
      <c r="CH44" s="15" t="str">
        <f>+'ENCUESTA CONDUCTORES'!CP44</f>
        <v>NO LE INTERESA</v>
      </c>
      <c r="CI44" s="15" t="str">
        <f>+'ENCUESTA CONDUCTORES'!CQ44</f>
        <v>SABER SI ME BENEFICIA</v>
      </c>
      <c r="CJ44" s="15">
        <f>IF('ENCUESTA CONDUCTORES'!CR44="X",1,0)</f>
        <v>1</v>
      </c>
      <c r="CK44" s="15">
        <f>IF('ENCUESTA CONDUCTORES'!CS44="X",1,0)</f>
        <v>0</v>
      </c>
      <c r="CL44" s="15">
        <f>IF('ENCUESTA CONDUCTORES'!CT44="X",1,0)</f>
        <v>0</v>
      </c>
      <c r="CM44" s="15">
        <f>+'ENCUESTA CONDUCTORES'!CU44</f>
        <v>0</v>
      </c>
      <c r="CN44" s="15">
        <f>IF('ENCUESTA CONDUCTORES'!CV44="X",1,0)</f>
        <v>0</v>
      </c>
      <c r="CO44" s="15">
        <f>+'ENCUESTA CONDUCTORES'!CW44</f>
        <v>0</v>
      </c>
      <c r="CP44" s="15">
        <f>IF('ENCUESTA CONDUCTORES'!CX44="X",1,0)</f>
        <v>1</v>
      </c>
      <c r="CQ44" s="15">
        <f>IF('ENCUESTA CONDUCTORES'!CY44="X",1,0)</f>
        <v>1</v>
      </c>
      <c r="CR44" s="3">
        <f>+'ENCUESTA CONDUCTORES'!CZ44</f>
        <v>0</v>
      </c>
      <c r="CS44" s="49">
        <f>+'ENCUESTA CONDUCTORES'!DA44</f>
        <v>0</v>
      </c>
    </row>
    <row r="45" spans="2:97" x14ac:dyDescent="0.25">
      <c r="B45" s="14" t="str">
        <f>+'ENCUESTA CONDUCTORES'!D45</f>
        <v>C-051</v>
      </c>
      <c r="C45" s="15">
        <f>IF('ENCUESTA CONDUCTORES'!E45="X",1,0)</f>
        <v>1</v>
      </c>
      <c r="D45" s="15">
        <f>IF('ENCUESTA CONDUCTORES'!F45="X",1,0)</f>
        <v>0</v>
      </c>
      <c r="E45" s="15">
        <f>IF('ENCUESTA CONDUCTORES'!G45="X",1,0)</f>
        <v>0</v>
      </c>
      <c r="F45" s="15">
        <f>IF('ENCUESTA CONDUCTORES'!H45="X",1,0)</f>
        <v>0</v>
      </c>
      <c r="G45" s="15">
        <f>+'ENCUESTA CONDUCTORES'!I45</f>
        <v>26</v>
      </c>
      <c r="H45" s="15" t="str">
        <f>+'ENCUESTA CONDUCTORES'!J45</f>
        <v>M</v>
      </c>
      <c r="I45" s="15" t="str">
        <f>+'ENCUESTA CONDUCTORES'!K45</f>
        <v>SECUNDARIA</v>
      </c>
      <c r="J45" s="15" t="str">
        <f>+'ENCUESTA CONDUCTORES'!L45</f>
        <v>ZACAPU, MICH.</v>
      </c>
      <c r="K45" s="50" t="str">
        <f>+'ENCUESTA CONDUCTORES'!M45</f>
        <v>ZACAPU</v>
      </c>
      <c r="L45" s="15" t="str">
        <f>+'ENCUESTA CONDUCTORES'!N45</f>
        <v>MICHOACAN</v>
      </c>
      <c r="M45" s="15">
        <f>+'ENCUESTA CONDUCTORES'!O45</f>
        <v>8</v>
      </c>
      <c r="N45" s="15">
        <f>IF('ENCUESTA CONDUCTORES'!P45="X",1,0)</f>
        <v>0</v>
      </c>
      <c r="O45" s="15">
        <f>IF('ENCUESTA CONDUCTORES'!Q45="X",1,0)</f>
        <v>0</v>
      </c>
      <c r="P45" s="15">
        <f>IF('ENCUESTA CONDUCTORES'!R45="X",1,0)</f>
        <v>0</v>
      </c>
      <c r="Q45" s="15">
        <f>IF('ENCUESTA CONDUCTORES'!S45="X",1,0)</f>
        <v>1</v>
      </c>
      <c r="R45" s="15">
        <f>IF('ENCUESTA CONDUCTORES'!T45="X",1,0)</f>
        <v>0</v>
      </c>
      <c r="S45" s="15">
        <f>IF('ENCUESTA CONDUCTORES'!U45="X",1,0)</f>
        <v>0</v>
      </c>
      <c r="T45" s="15">
        <f>IF('ENCUESTA CONDUCTORES'!V45="X",1,0)</f>
        <v>0</v>
      </c>
      <c r="U45" s="15">
        <f>IF('ENCUESTA CONDUCTORES'!W45="X",1,0)</f>
        <v>0</v>
      </c>
      <c r="V45" s="15">
        <f>IF('ENCUESTA CONDUCTORES'!X45="X",1,0)</f>
        <v>0</v>
      </c>
      <c r="W45" s="15">
        <f>IF('ENCUESTA CONDUCTORES'!Y45="X",1,0)</f>
        <v>0</v>
      </c>
      <c r="X45" s="15">
        <f>IF('ENCUESTA CONDUCTORES'!Z45="X",1,0)</f>
        <v>0</v>
      </c>
      <c r="Y45" s="15">
        <f>+'ENCUESTA CONDUCTORES'!AG45</f>
        <v>0</v>
      </c>
      <c r="Z45" s="15">
        <f>+'ENCUESTA CONDUCTORES'!AH45</f>
        <v>1999</v>
      </c>
      <c r="AA45" s="1">
        <f>+'ENCUESTA CONDUCTORES'!AI45</f>
        <v>1560000</v>
      </c>
      <c r="AB45" s="15">
        <f>IF('ENCUESTA CONDUCTORES'!AJ45="X",1,0)</f>
        <v>0</v>
      </c>
      <c r="AC45" s="15">
        <f>IF('ENCUESTA CONDUCTORES'!AK45="X",1,0)</f>
        <v>0</v>
      </c>
      <c r="AD45" s="15">
        <f>IF('ENCUESTA CONDUCTORES'!AL45="X",1,0)</f>
        <v>1</v>
      </c>
      <c r="AE45" s="15">
        <f>IF('ENCUESTA CONDUCTORES'!AM45="X",1,0)</f>
        <v>0</v>
      </c>
      <c r="AF45" s="15">
        <f>IF('ENCUESTA CONDUCTORES'!AN45="X",1,0)</f>
        <v>0</v>
      </c>
      <c r="AG45" s="15">
        <f>IF('ENCUESTA CONDUCTORES'!AO45="X",1,0)</f>
        <v>0</v>
      </c>
      <c r="AH45" s="15">
        <f>IF('ENCUESTA CONDUCTORES'!AP45="X",1,0)</f>
        <v>1</v>
      </c>
      <c r="AI45" s="15">
        <f>IF('ENCUESTA CONDUCTORES'!AQ45="X",1,0)</f>
        <v>0</v>
      </c>
      <c r="AJ45" s="15">
        <f>IF('ENCUESTA CONDUCTORES'!AR45="X",1,0)</f>
        <v>0</v>
      </c>
      <c r="AK45" s="15">
        <f>+'ENCUESTA CONDUCTORES'!AS45</f>
        <v>0</v>
      </c>
      <c r="AL45" s="15" t="str">
        <f>+'ENCUESTA CONDUCTORES'!AT45</f>
        <v>CUMMINS</v>
      </c>
      <c r="AM45" s="1">
        <f>+'ENCUESTA CONDUCTORES'!AU45</f>
        <v>8500</v>
      </c>
      <c r="AN45" s="48">
        <f>+'ENCUESTA CONDUCTORES'!AV45</f>
        <v>0.2</v>
      </c>
      <c r="AO45" s="15">
        <f>+'ENCUESTA CONDUCTORES'!AW45</f>
        <v>2.7</v>
      </c>
      <c r="AP45" s="15">
        <f>+'ENCUESTA CONDUCTORES'!AX45</f>
        <v>2.2000000000000002</v>
      </c>
      <c r="AQ45" s="15">
        <f>+'ENCUESTA CONDUCTORES'!AY45</f>
        <v>2</v>
      </c>
      <c r="AR45" s="15">
        <f>+'ENCUESTA CONDUCTORES'!AZ45</f>
        <v>560</v>
      </c>
      <c r="AS45" s="15">
        <f>+'ENCUESTA CONDUCTORES'!BA45</f>
        <v>1400</v>
      </c>
      <c r="AT45" s="15">
        <f>IF('ENCUESTA CONDUCTORES'!BB45="X",1,0)</f>
        <v>1</v>
      </c>
      <c r="AU45" s="15">
        <f>IF('ENCUESTA CONDUCTORES'!BC45="X",1,0)</f>
        <v>0</v>
      </c>
      <c r="AV45" s="15">
        <f>IF('ENCUESTA CONDUCTORES'!BD45="X",1,0)</f>
        <v>0</v>
      </c>
      <c r="AW45" s="1">
        <f>+'ENCUESTA CONDUCTORES'!BE45</f>
        <v>15000</v>
      </c>
      <c r="AX45" s="1">
        <f>+'ENCUESTA CONDUCTORES'!BF45</f>
        <v>30000</v>
      </c>
      <c r="AY45" s="1">
        <f>+'ENCUESTA CONDUCTORES'!BG45</f>
        <v>30000</v>
      </c>
      <c r="AZ45" s="1">
        <f>+'ENCUESTA CONDUCTORES'!BH45</f>
        <v>100000</v>
      </c>
      <c r="BA45" s="1">
        <f>+'ENCUESTA CONDUCTORES'!BI45</f>
        <v>30000</v>
      </c>
      <c r="BB45" s="15">
        <f>IF('ENCUESTA CONDUCTORES'!BJ45="X",1,0)</f>
        <v>0</v>
      </c>
      <c r="BC45" s="15">
        <f>IF('ENCUESTA CONDUCTORES'!BK45="X",1,0)</f>
        <v>0</v>
      </c>
      <c r="BD45" s="15">
        <f>IF('ENCUESTA CONDUCTORES'!BL45="X",1,0)</f>
        <v>0</v>
      </c>
      <c r="BE45" s="15">
        <f>IF('ENCUESTA CONDUCTORES'!BM45="X",1,0)</f>
        <v>0</v>
      </c>
      <c r="BF45" s="15">
        <f>IF('ENCUESTA CONDUCTORES'!BN45="X",1,0)</f>
        <v>0</v>
      </c>
      <c r="BG45" s="15">
        <f>IF('ENCUESTA CONDUCTORES'!BO45="X",1,0)</f>
        <v>1</v>
      </c>
      <c r="BH45" s="15">
        <f>IF('ENCUESTA CONDUCTORES'!BP45="X",1,0)</f>
        <v>0</v>
      </c>
      <c r="BI45" s="15">
        <f>IF('ENCUESTA CONDUCTORES'!BQ45="X",1,0)</f>
        <v>0</v>
      </c>
      <c r="BJ45" s="15">
        <f>IF('ENCUESTA CONDUCTORES'!BR45="X",1,0)</f>
        <v>0</v>
      </c>
      <c r="BK45" s="15">
        <f>+'ENCUESTA CONDUCTORES'!BS45</f>
        <v>0</v>
      </c>
      <c r="BL45" s="15">
        <f>IF('ENCUESTA CONDUCTORES'!BT45="X",1,0)</f>
        <v>0</v>
      </c>
      <c r="BM45" s="15">
        <f>IF('ENCUESTA CONDUCTORES'!BU45="X",1,0)</f>
        <v>1</v>
      </c>
      <c r="BN45" s="15">
        <f>IF('ENCUESTA CONDUCTORES'!BV45="X",1,0)</f>
        <v>0</v>
      </c>
      <c r="BO45" s="15">
        <f>IF('ENCUESTA CONDUCTORES'!BW45="X",1,0)</f>
        <v>0</v>
      </c>
      <c r="BP45" s="15">
        <f>+'ENCUESTA CONDUCTORES'!BX45</f>
        <v>2</v>
      </c>
      <c r="BQ45" s="15">
        <f>+'ENCUESTA CONDUCTORES'!BY45</f>
        <v>1</v>
      </c>
      <c r="BR45" s="15">
        <f>+'ENCUESTA CONDUCTORES'!BZ45</f>
        <v>3</v>
      </c>
      <c r="BS45" s="15">
        <f>+'ENCUESTA CONDUCTORES'!CA45</f>
        <v>0</v>
      </c>
      <c r="BT45" s="15">
        <f>IF('ENCUESTA CONDUCTORES'!CB45="X",1,0)</f>
        <v>1</v>
      </c>
      <c r="BU45" s="15">
        <f>IF('ENCUESTA CONDUCTORES'!CC45="X",1,0)</f>
        <v>0</v>
      </c>
      <c r="BV45" s="15">
        <f>IF('ENCUESTA CONDUCTORES'!CD45="X",1,0)</f>
        <v>0</v>
      </c>
      <c r="BW45" s="15">
        <f>IF('ENCUESTA CONDUCTORES'!CE45="X",1,0)</f>
        <v>0</v>
      </c>
      <c r="BX45" s="15">
        <f>IF('ENCUESTA CONDUCTORES'!CF45="X",1,0)</f>
        <v>0</v>
      </c>
      <c r="BY45" s="15">
        <f>IF('ENCUESTA CONDUCTORES'!CG45="X",1,0)</f>
        <v>0</v>
      </c>
      <c r="BZ45" s="15">
        <f>IF('ENCUESTA CONDUCTORES'!CH45="X",1,0)</f>
        <v>0</v>
      </c>
      <c r="CA45" s="15">
        <f>IF('ENCUESTA CONDUCTORES'!CI45="X",1,0)</f>
        <v>0</v>
      </c>
      <c r="CB45" s="15">
        <f>IF('ENCUESTA CONDUCTORES'!CJ45="X",1,0)</f>
        <v>0</v>
      </c>
      <c r="CC45" s="15">
        <f>IF('ENCUESTA CONDUCTORES'!CK45="X",1,0)</f>
        <v>1</v>
      </c>
      <c r="CD45" s="15">
        <f>IF('ENCUESTA CONDUCTORES'!CL45="X",1,0)</f>
        <v>0</v>
      </c>
      <c r="CE45" s="15">
        <f>IF('ENCUESTA CONDUCTORES'!CM45="X",1,0)</f>
        <v>0</v>
      </c>
      <c r="CF45" s="15">
        <f>+'ENCUESTA CONDUCTORES'!CN45</f>
        <v>0</v>
      </c>
      <c r="CG45" s="15">
        <f>IF('ENCUESTA CONDUCTORES'!CO45="X",1,0)</f>
        <v>0</v>
      </c>
      <c r="CH45" s="15" t="str">
        <f>+'ENCUESTA CONDUCTORES'!CP45</f>
        <v>NO SABE</v>
      </c>
      <c r="CI45" s="15" t="str">
        <f>+'ENCUESTA CONDUCTORES'!CQ45</f>
        <v>DARLO A CONOCER</v>
      </c>
      <c r="CJ45" s="15">
        <f>IF('ENCUESTA CONDUCTORES'!CR45="X",1,0)</f>
        <v>0</v>
      </c>
      <c r="CK45" s="15">
        <f>IF('ENCUESTA CONDUCTORES'!CS45="X",1,0)</f>
        <v>0</v>
      </c>
      <c r="CL45" s="15">
        <f>IF('ENCUESTA CONDUCTORES'!CT45="X",1,0)</f>
        <v>1</v>
      </c>
      <c r="CM45" s="15">
        <f>+'ENCUESTA CONDUCTORES'!CU45</f>
        <v>0</v>
      </c>
      <c r="CN45" s="15">
        <f>IF('ENCUESTA CONDUCTORES'!CV45="X",1,0)</f>
        <v>0</v>
      </c>
      <c r="CO45" s="15">
        <f>+'ENCUESTA CONDUCTORES'!CW45</f>
        <v>0</v>
      </c>
      <c r="CP45" s="15">
        <f>IF('ENCUESTA CONDUCTORES'!CX45="X",1,0)</f>
        <v>1</v>
      </c>
      <c r="CQ45" s="15">
        <f>IF('ENCUESTA CONDUCTORES'!CY45="X",1,0)</f>
        <v>1</v>
      </c>
      <c r="CR45" s="3">
        <f>+'ENCUESTA CONDUCTORES'!CZ45</f>
        <v>0</v>
      </c>
      <c r="CS45" s="49">
        <f>+'ENCUESTA CONDUCTORES'!DA45</f>
        <v>0</v>
      </c>
    </row>
    <row r="46" spans="2:97" x14ac:dyDescent="0.25">
      <c r="B46" s="14" t="str">
        <f>+'ENCUESTA CONDUCTORES'!D46</f>
        <v>C-052</v>
      </c>
      <c r="C46" s="15">
        <f>IF('ENCUESTA CONDUCTORES'!E46="X",1,0)</f>
        <v>1</v>
      </c>
      <c r="D46" s="15">
        <f>IF('ENCUESTA CONDUCTORES'!F46="X",1,0)</f>
        <v>0</v>
      </c>
      <c r="E46" s="15">
        <f>IF('ENCUESTA CONDUCTORES'!G46="X",1,0)</f>
        <v>0</v>
      </c>
      <c r="F46" s="15">
        <f>IF('ENCUESTA CONDUCTORES'!H46="X",1,0)</f>
        <v>0</v>
      </c>
      <c r="G46" s="15">
        <f>+'ENCUESTA CONDUCTORES'!I46</f>
        <v>60</v>
      </c>
      <c r="H46" s="15" t="str">
        <f>+'ENCUESTA CONDUCTORES'!J46</f>
        <v>M</v>
      </c>
      <c r="I46" s="15" t="str">
        <f>+'ENCUESTA CONDUCTORES'!K46</f>
        <v>SECUNDARIA</v>
      </c>
      <c r="J46" s="15" t="str">
        <f>+'ENCUESTA CONDUCTORES'!L46</f>
        <v>COYOACÁN, D.F.</v>
      </c>
      <c r="K46" s="50" t="str">
        <f>+'ENCUESTA CONDUCTORES'!M46</f>
        <v>COYOACÁN</v>
      </c>
      <c r="L46" s="15" t="str">
        <f>+'ENCUESTA CONDUCTORES'!N46</f>
        <v>D.F.</v>
      </c>
      <c r="M46" s="15">
        <f>+'ENCUESTA CONDUCTORES'!O46</f>
        <v>30</v>
      </c>
      <c r="N46" s="15">
        <f>IF('ENCUESTA CONDUCTORES'!P46="X",1,0)</f>
        <v>0</v>
      </c>
      <c r="O46" s="15">
        <f>IF('ENCUESTA CONDUCTORES'!Q46="X",1,0)</f>
        <v>0</v>
      </c>
      <c r="P46" s="15">
        <f>IF('ENCUESTA CONDUCTORES'!R46="X",1,0)</f>
        <v>0</v>
      </c>
      <c r="Q46" s="15">
        <f>IF('ENCUESTA CONDUCTORES'!S46="X",1,0)</f>
        <v>1</v>
      </c>
      <c r="R46" s="15">
        <f>IF('ENCUESTA CONDUCTORES'!T46="X",1,0)</f>
        <v>0</v>
      </c>
      <c r="S46" s="15">
        <f>IF('ENCUESTA CONDUCTORES'!U46="X",1,0)</f>
        <v>1</v>
      </c>
      <c r="T46" s="15">
        <f>IF('ENCUESTA CONDUCTORES'!V46="X",1,0)</f>
        <v>0</v>
      </c>
      <c r="U46" s="15">
        <f>IF('ENCUESTA CONDUCTORES'!W46="X",1,0)</f>
        <v>0</v>
      </c>
      <c r="V46" s="15">
        <f>IF('ENCUESTA CONDUCTORES'!X46="X",1,0)</f>
        <v>0</v>
      </c>
      <c r="W46" s="15">
        <f>IF('ENCUESTA CONDUCTORES'!Y46="X",1,0)</f>
        <v>0</v>
      </c>
      <c r="X46" s="15">
        <f>IF('ENCUESTA CONDUCTORES'!Z46="X",1,0)</f>
        <v>0</v>
      </c>
      <c r="Y46" s="15">
        <f>+'ENCUESTA CONDUCTORES'!AG46</f>
        <v>0</v>
      </c>
      <c r="Z46" s="15">
        <f>+'ENCUESTA CONDUCTORES'!AH46</f>
        <v>1982</v>
      </c>
      <c r="AA46" s="1">
        <f>+'ENCUESTA CONDUCTORES'!AI46</f>
        <v>2000000</v>
      </c>
      <c r="AB46" s="15">
        <f>IF('ENCUESTA CONDUCTORES'!AJ46="X",1,0)</f>
        <v>0</v>
      </c>
      <c r="AC46" s="15">
        <f>IF('ENCUESTA CONDUCTORES'!AK46="X",1,0)</f>
        <v>0</v>
      </c>
      <c r="AD46" s="15">
        <f>IF('ENCUESTA CONDUCTORES'!AL46="X",1,0)</f>
        <v>1</v>
      </c>
      <c r="AE46" s="15">
        <f>IF('ENCUESTA CONDUCTORES'!AM46="X",1,0)</f>
        <v>0</v>
      </c>
      <c r="AF46" s="15">
        <f>IF('ENCUESTA CONDUCTORES'!AN46="X",1,0)</f>
        <v>0</v>
      </c>
      <c r="AG46" s="15">
        <f>IF('ENCUESTA CONDUCTORES'!AO46="X",1,0)</f>
        <v>0</v>
      </c>
      <c r="AH46" s="15">
        <f>IF('ENCUESTA CONDUCTORES'!AP46="X",1,0)</f>
        <v>0</v>
      </c>
      <c r="AI46" s="15">
        <f>IF('ENCUESTA CONDUCTORES'!AQ46="X",1,0)</f>
        <v>1</v>
      </c>
      <c r="AJ46" s="15">
        <f>IF('ENCUESTA CONDUCTORES'!AR46="X",1,0)</f>
        <v>0</v>
      </c>
      <c r="AK46" s="15">
        <f>+'ENCUESTA CONDUCTORES'!AS46</f>
        <v>1995</v>
      </c>
      <c r="AL46" s="15" t="str">
        <f>+'ENCUESTA CONDUCTORES'!AT46</f>
        <v>BICAM</v>
      </c>
      <c r="AM46" s="1">
        <f>+'ENCUESTA CONDUCTORES'!AU46</f>
        <v>7500</v>
      </c>
      <c r="AN46" s="48">
        <f>+'ENCUESTA CONDUCTORES'!AV46</f>
        <v>0.5</v>
      </c>
      <c r="AO46" s="15">
        <f>+'ENCUESTA CONDUCTORES'!AW46</f>
        <v>2.2000000000000002</v>
      </c>
      <c r="AP46" s="15">
        <f>+'ENCUESTA CONDUCTORES'!AX46</f>
        <v>1.8</v>
      </c>
      <c r="AQ46" s="15">
        <f>+'ENCUESTA CONDUCTORES'!AY46</f>
        <v>2</v>
      </c>
      <c r="AR46" s="15">
        <f>+'ENCUESTA CONDUCTORES'!AZ46</f>
        <v>600</v>
      </c>
      <c r="AS46" s="15">
        <f>+'ENCUESTA CONDUCTORES'!BA46</f>
        <v>1200</v>
      </c>
      <c r="AT46" s="15">
        <f>IF('ENCUESTA CONDUCTORES'!BB46="X",1,0)</f>
        <v>1</v>
      </c>
      <c r="AU46" s="15">
        <f>IF('ENCUESTA CONDUCTORES'!BC46="X",1,0)</f>
        <v>0</v>
      </c>
      <c r="AV46" s="15">
        <f>IF('ENCUESTA CONDUCTORES'!BD46="X",1,0)</f>
        <v>0</v>
      </c>
      <c r="AW46" s="1">
        <f>+'ENCUESTA CONDUCTORES'!BE46</f>
        <v>8000</v>
      </c>
      <c r="AX46" s="1">
        <f>+'ENCUESTA CONDUCTORES'!BF46</f>
        <v>6000</v>
      </c>
      <c r="AY46" s="1">
        <f>+'ENCUESTA CONDUCTORES'!BG46</f>
        <v>15000</v>
      </c>
      <c r="AZ46" s="1">
        <f>+'ENCUESTA CONDUCTORES'!BH46</f>
        <v>100000</v>
      </c>
      <c r="BA46" s="1">
        <f>+'ENCUESTA CONDUCTORES'!BI46</f>
        <v>15000</v>
      </c>
      <c r="BB46" s="15">
        <f>IF('ENCUESTA CONDUCTORES'!BJ46="X",1,0)</f>
        <v>0</v>
      </c>
      <c r="BC46" s="15">
        <f>IF('ENCUESTA CONDUCTORES'!BK46="X",1,0)</f>
        <v>1</v>
      </c>
      <c r="BD46" s="15">
        <f>IF('ENCUESTA CONDUCTORES'!BL46="X",1,0)</f>
        <v>0</v>
      </c>
      <c r="BE46" s="15">
        <f>IF('ENCUESTA CONDUCTORES'!BM46="X",1,0)</f>
        <v>0</v>
      </c>
      <c r="BF46" s="15">
        <f>IF('ENCUESTA CONDUCTORES'!BN46="X",1,0)</f>
        <v>0</v>
      </c>
      <c r="BG46" s="15">
        <f>IF('ENCUESTA CONDUCTORES'!BO46="X",1,0)</f>
        <v>0</v>
      </c>
      <c r="BH46" s="15">
        <f>IF('ENCUESTA CONDUCTORES'!BP46="X",1,0)</f>
        <v>0</v>
      </c>
      <c r="BI46" s="15">
        <f>IF('ENCUESTA CONDUCTORES'!BQ46="X",1,0)</f>
        <v>0</v>
      </c>
      <c r="BJ46" s="15">
        <f>IF('ENCUESTA CONDUCTORES'!BR46="X",1,0)</f>
        <v>0</v>
      </c>
      <c r="BK46" s="15">
        <f>+'ENCUESTA CONDUCTORES'!BS46</f>
        <v>0</v>
      </c>
      <c r="BL46" s="15">
        <f>IF('ENCUESTA CONDUCTORES'!BT46="X",1,0)</f>
        <v>0</v>
      </c>
      <c r="BM46" s="15">
        <f>IF('ENCUESTA CONDUCTORES'!BU46="X",1,0)</f>
        <v>0</v>
      </c>
      <c r="BN46" s="15">
        <f>IF('ENCUESTA CONDUCTORES'!BV46="X",1,0)</f>
        <v>0</v>
      </c>
      <c r="BO46" s="15">
        <f>IF('ENCUESTA CONDUCTORES'!BW46="X",1,0)</f>
        <v>1</v>
      </c>
      <c r="BP46" s="15">
        <f>+'ENCUESTA CONDUCTORES'!BX46</f>
        <v>1</v>
      </c>
      <c r="BQ46" s="15">
        <f>+'ENCUESTA CONDUCTORES'!BY46</f>
        <v>2</v>
      </c>
      <c r="BR46" s="15">
        <f>+'ENCUESTA CONDUCTORES'!BZ46</f>
        <v>3</v>
      </c>
      <c r="BS46" s="15">
        <f>+'ENCUESTA CONDUCTORES'!CA46</f>
        <v>0</v>
      </c>
      <c r="BT46" s="15">
        <f>IF('ENCUESTA CONDUCTORES'!CB46="X",1,0)</f>
        <v>1</v>
      </c>
      <c r="BU46" s="15">
        <f>IF('ENCUESTA CONDUCTORES'!CC46="X",1,0)</f>
        <v>0</v>
      </c>
      <c r="BV46" s="15">
        <f>IF('ENCUESTA CONDUCTORES'!CD46="X",1,0)</f>
        <v>0</v>
      </c>
      <c r="BW46" s="15">
        <f>IF('ENCUESTA CONDUCTORES'!CE46="X",1,0)</f>
        <v>0</v>
      </c>
      <c r="BX46" s="15">
        <f>IF('ENCUESTA CONDUCTORES'!CF46="X",1,0)</f>
        <v>0</v>
      </c>
      <c r="BY46" s="15">
        <f>IF('ENCUESTA CONDUCTORES'!CG46="X",1,0)</f>
        <v>0</v>
      </c>
      <c r="BZ46" s="15">
        <f>IF('ENCUESTA CONDUCTORES'!CH46="X",1,0)</f>
        <v>0</v>
      </c>
      <c r="CA46" s="15">
        <f>IF('ENCUESTA CONDUCTORES'!CI46="X",1,0)</f>
        <v>0</v>
      </c>
      <c r="CB46" s="15">
        <f>IF('ENCUESTA CONDUCTORES'!CJ46="X",1,0)</f>
        <v>0</v>
      </c>
      <c r="CC46" s="15">
        <f>IF('ENCUESTA CONDUCTORES'!CK46="X",1,0)</f>
        <v>1</v>
      </c>
      <c r="CD46" s="15">
        <f>IF('ENCUESTA CONDUCTORES'!CL46="X",1,0)</f>
        <v>0</v>
      </c>
      <c r="CE46" s="15">
        <f>IF('ENCUESTA CONDUCTORES'!CM46="X",1,0)</f>
        <v>0</v>
      </c>
      <c r="CF46" s="15">
        <f>+'ENCUESTA CONDUCTORES'!CN46</f>
        <v>0</v>
      </c>
      <c r="CG46" s="15">
        <f>IF('ENCUESTA CONDUCTORES'!CO46="X",1,0)</f>
        <v>0</v>
      </c>
      <c r="CH46" s="15" t="str">
        <f>+'ENCUESTA CONDUCTORES'!CP46</f>
        <v>NO SABE</v>
      </c>
      <c r="CI46" s="15" t="str">
        <f>+'ENCUESTA CONDUCTORES'!CQ46</f>
        <v>UN CURSO</v>
      </c>
      <c r="CJ46" s="15">
        <f>IF('ENCUESTA CONDUCTORES'!CR46="X",1,0)</f>
        <v>0</v>
      </c>
      <c r="CK46" s="15">
        <f>IF('ENCUESTA CONDUCTORES'!CS46="X",1,0)</f>
        <v>0</v>
      </c>
      <c r="CL46" s="15">
        <f>IF('ENCUESTA CONDUCTORES'!CT46="X",1,0)</f>
        <v>1</v>
      </c>
      <c r="CM46" s="15">
        <f>+'ENCUESTA CONDUCTORES'!CU46</f>
        <v>0</v>
      </c>
      <c r="CN46" s="15">
        <f>IF('ENCUESTA CONDUCTORES'!CV46="X",1,0)</f>
        <v>0</v>
      </c>
      <c r="CO46" s="15">
        <f>+'ENCUESTA CONDUCTORES'!CW46</f>
        <v>0</v>
      </c>
      <c r="CP46" s="15">
        <f>IF('ENCUESTA CONDUCTORES'!CX46="X",1,0)</f>
        <v>0</v>
      </c>
      <c r="CQ46" s="15">
        <f>IF('ENCUESTA CONDUCTORES'!CY46="X",1,0)</f>
        <v>1</v>
      </c>
      <c r="CR46" s="3">
        <f>+'ENCUESTA CONDUCTORES'!CZ46</f>
        <v>0</v>
      </c>
      <c r="CS46" s="49">
        <f>+'ENCUESTA CONDUCTORES'!DA46</f>
        <v>0</v>
      </c>
    </row>
    <row r="47" spans="2:97" x14ac:dyDescent="0.25">
      <c r="B47" s="14" t="str">
        <f>+'ENCUESTA CONDUCTORES'!D47</f>
        <v>C-053</v>
      </c>
      <c r="C47" s="15">
        <f>IF('ENCUESTA CONDUCTORES'!E47="X",1,0)</f>
        <v>0</v>
      </c>
      <c r="D47" s="15">
        <f>IF('ENCUESTA CONDUCTORES'!F47="X",1,0)</f>
        <v>0</v>
      </c>
      <c r="E47" s="15">
        <f>IF('ENCUESTA CONDUCTORES'!G47="X",1,0)</f>
        <v>1</v>
      </c>
      <c r="F47" s="15">
        <f>IF('ENCUESTA CONDUCTORES'!H47="X",1,0)</f>
        <v>0</v>
      </c>
      <c r="G47" s="15">
        <f>+'ENCUESTA CONDUCTORES'!I47</f>
        <v>39</v>
      </c>
      <c r="H47" s="15" t="str">
        <f>+'ENCUESTA CONDUCTORES'!J47</f>
        <v>M</v>
      </c>
      <c r="I47" s="15" t="str">
        <f>+'ENCUESTA CONDUCTORES'!K47</f>
        <v>SECUNDARIA</v>
      </c>
      <c r="J47" s="15" t="str">
        <f>+'ENCUESTA CONDUCTORES'!L47</f>
        <v>VALLE DE CHALCO, EDO. MEX</v>
      </c>
      <c r="K47" s="15" t="str">
        <f>+'ENCUESTA CONDUCTORES'!M47</f>
        <v>CHALCO</v>
      </c>
      <c r="L47" s="15" t="str">
        <f>+'ENCUESTA CONDUCTORES'!N47</f>
        <v>EDO. MEX.</v>
      </c>
      <c r="M47" s="15">
        <f>+'ENCUESTA CONDUCTORES'!O47</f>
        <v>22</v>
      </c>
      <c r="N47" s="15">
        <f>IF('ENCUESTA CONDUCTORES'!P47="X",1,0)</f>
        <v>0</v>
      </c>
      <c r="O47" s="15">
        <f>IF('ENCUESTA CONDUCTORES'!Q47="X",1,0)</f>
        <v>0</v>
      </c>
      <c r="P47" s="15">
        <f>IF('ENCUESTA CONDUCTORES'!R47="X",1,0)</f>
        <v>0</v>
      </c>
      <c r="Q47" s="15">
        <f>IF('ENCUESTA CONDUCTORES'!S47="X",1,0)</f>
        <v>1</v>
      </c>
      <c r="R47" s="15">
        <f>IF('ENCUESTA CONDUCTORES'!T47="X",1,0)</f>
        <v>0</v>
      </c>
      <c r="S47" s="15">
        <f>IF('ENCUESTA CONDUCTORES'!U47="X",1,0)</f>
        <v>1</v>
      </c>
      <c r="T47" s="15">
        <f>IF('ENCUESTA CONDUCTORES'!V47="X",1,0)</f>
        <v>0</v>
      </c>
      <c r="U47" s="15">
        <f>IF('ENCUESTA CONDUCTORES'!W47="X",1,0)</f>
        <v>0</v>
      </c>
      <c r="V47" s="15">
        <f>IF('ENCUESTA CONDUCTORES'!X47="X",1,0)</f>
        <v>0</v>
      </c>
      <c r="W47" s="15">
        <f>IF('ENCUESTA CONDUCTORES'!Y47="X",1,0)</f>
        <v>0</v>
      </c>
      <c r="X47" s="15">
        <f>IF('ENCUESTA CONDUCTORES'!Z47="X",1,0)</f>
        <v>0</v>
      </c>
      <c r="Y47" s="15">
        <f>+'ENCUESTA CONDUCTORES'!AG47</f>
        <v>0</v>
      </c>
      <c r="Z47" s="15">
        <f>+'ENCUESTA CONDUCTORES'!AH47</f>
        <v>2001</v>
      </c>
      <c r="AA47" s="1">
        <f>+'ENCUESTA CONDUCTORES'!AI47</f>
        <v>1750000</v>
      </c>
      <c r="AB47" s="15">
        <f>IF('ENCUESTA CONDUCTORES'!AJ47="X",1,0)</f>
        <v>0</v>
      </c>
      <c r="AC47" s="15">
        <f>IF('ENCUESTA CONDUCTORES'!AK47="X",1,0)</f>
        <v>0</v>
      </c>
      <c r="AD47" s="15">
        <f>IF('ENCUESTA CONDUCTORES'!AL47="X",1,0)</f>
        <v>1</v>
      </c>
      <c r="AE47" s="15">
        <f>IF('ENCUESTA CONDUCTORES'!AM47="X",1,0)</f>
        <v>0</v>
      </c>
      <c r="AF47" s="15">
        <f>IF('ENCUESTA CONDUCTORES'!AN47="X",1,0)</f>
        <v>0</v>
      </c>
      <c r="AG47" s="15">
        <f>IF('ENCUESTA CONDUCTORES'!AO47="X",1,0)</f>
        <v>0</v>
      </c>
      <c r="AH47" s="15">
        <f>IF('ENCUESTA CONDUCTORES'!AP47="X",1,0)</f>
        <v>1</v>
      </c>
      <c r="AI47" s="15">
        <f>IF('ENCUESTA CONDUCTORES'!AQ47="X",1,0)</f>
        <v>0</v>
      </c>
      <c r="AJ47" s="15">
        <f>IF('ENCUESTA CONDUCTORES'!AR47="X",1,0)</f>
        <v>0</v>
      </c>
      <c r="AK47" s="15">
        <f>+'ENCUESTA CONDUCTORES'!AS47</f>
        <v>0</v>
      </c>
      <c r="AL47" s="15" t="str">
        <f>+'ENCUESTA CONDUCTORES'!AT47</f>
        <v>CUMMINS</v>
      </c>
      <c r="AM47" s="1">
        <f>+'ENCUESTA CONDUCTORES'!AU47</f>
        <v>10000</v>
      </c>
      <c r="AN47" s="48">
        <f>+'ENCUESTA CONDUCTORES'!AV47</f>
        <v>0.3</v>
      </c>
      <c r="AO47" s="15">
        <f>+'ENCUESTA CONDUCTORES'!AW47</f>
        <v>2.7</v>
      </c>
      <c r="AP47" s="15">
        <f>+'ENCUESTA CONDUCTORES'!AX47</f>
        <v>1.7</v>
      </c>
      <c r="AQ47" s="15">
        <f>+'ENCUESTA CONDUCTORES'!AY47</f>
        <v>2</v>
      </c>
      <c r="AR47" s="15">
        <f>+'ENCUESTA CONDUCTORES'!AZ47</f>
        <v>780</v>
      </c>
      <c r="AS47" s="15">
        <f>+'ENCUESTA CONDUCTORES'!BA47</f>
        <v>1800</v>
      </c>
      <c r="AT47" s="15">
        <f>IF('ENCUESTA CONDUCTORES'!BB47="X",1,0)</f>
        <v>0</v>
      </c>
      <c r="AU47" s="15">
        <f>IF('ENCUESTA CONDUCTORES'!BC47="X",1,0)</f>
        <v>1</v>
      </c>
      <c r="AV47" s="15">
        <f>IF('ENCUESTA CONDUCTORES'!BD47="X",1,0)</f>
        <v>0</v>
      </c>
      <c r="AW47" s="1">
        <f>+'ENCUESTA CONDUCTORES'!BE47</f>
        <v>10000</v>
      </c>
      <c r="AX47" s="1">
        <f>+'ENCUESTA CONDUCTORES'!BF47</f>
        <v>12000</v>
      </c>
      <c r="AY47" s="1">
        <f>+'ENCUESTA CONDUCTORES'!BG47</f>
        <v>10000</v>
      </c>
      <c r="AZ47" s="1">
        <f>+'ENCUESTA CONDUCTORES'!BH47</f>
        <v>160000</v>
      </c>
      <c r="BA47" s="1">
        <f>+'ENCUESTA CONDUCTORES'!BI47</f>
        <v>10000</v>
      </c>
      <c r="BB47" s="15">
        <f>IF('ENCUESTA CONDUCTORES'!BJ47="X",1,0)</f>
        <v>0</v>
      </c>
      <c r="BC47" s="15">
        <f>IF('ENCUESTA CONDUCTORES'!BK47="X",1,0)</f>
        <v>0</v>
      </c>
      <c r="BD47" s="15">
        <f>IF('ENCUESTA CONDUCTORES'!BL47="X",1,0)</f>
        <v>0</v>
      </c>
      <c r="BE47" s="15">
        <f>IF('ENCUESTA CONDUCTORES'!BM47="X",1,0)</f>
        <v>0</v>
      </c>
      <c r="BF47" s="15">
        <f>IF('ENCUESTA CONDUCTORES'!BN47="X",1,0)</f>
        <v>0</v>
      </c>
      <c r="BG47" s="15">
        <f>IF('ENCUESTA CONDUCTORES'!BO47="X",1,0)</f>
        <v>0</v>
      </c>
      <c r="BH47" s="15">
        <f>IF('ENCUESTA CONDUCTORES'!BP47="X",1,0)</f>
        <v>0</v>
      </c>
      <c r="BI47" s="15">
        <f>IF('ENCUESTA CONDUCTORES'!BQ47="X",1,0)</f>
        <v>0</v>
      </c>
      <c r="BJ47" s="15">
        <f>IF('ENCUESTA CONDUCTORES'!BR47="X",1,0)</f>
        <v>0</v>
      </c>
      <c r="BK47" s="2" t="str">
        <f>+'ENCUESTA CONDUCTORES'!BS47</f>
        <v>CARRITOS DE GOLF</v>
      </c>
      <c r="BL47" s="15">
        <f>IF('ENCUESTA CONDUCTORES'!BT47="X",1,0)</f>
        <v>0</v>
      </c>
      <c r="BM47" s="15">
        <f>IF('ENCUESTA CONDUCTORES'!BU47="X",1,0)</f>
        <v>0</v>
      </c>
      <c r="BN47" s="15">
        <f>IF('ENCUESTA CONDUCTORES'!BV47="X",1,0)</f>
        <v>1</v>
      </c>
      <c r="BO47" s="15">
        <f>IF('ENCUESTA CONDUCTORES'!BW47="X",1,0)</f>
        <v>0</v>
      </c>
      <c r="BP47" s="15">
        <f>+'ENCUESTA CONDUCTORES'!BX47</f>
        <v>2</v>
      </c>
      <c r="BQ47" s="15">
        <f>+'ENCUESTA CONDUCTORES'!BY47</f>
        <v>3</v>
      </c>
      <c r="BR47" s="15">
        <f>+'ENCUESTA CONDUCTORES'!BZ47</f>
        <v>1</v>
      </c>
      <c r="BS47" s="15">
        <f>+'ENCUESTA CONDUCTORES'!CA47</f>
        <v>0</v>
      </c>
      <c r="BT47" s="15">
        <f>IF('ENCUESTA CONDUCTORES'!CB47="X",1,0)</f>
        <v>0</v>
      </c>
      <c r="BU47" s="15">
        <f>IF('ENCUESTA CONDUCTORES'!CC47="X",1,0)</f>
        <v>1</v>
      </c>
      <c r="BV47" s="15">
        <f>IF('ENCUESTA CONDUCTORES'!CD47="X",1,0)</f>
        <v>0</v>
      </c>
      <c r="BW47" s="15">
        <f>IF('ENCUESTA CONDUCTORES'!CE47="X",1,0)</f>
        <v>1</v>
      </c>
      <c r="BX47" s="15">
        <f>IF('ENCUESTA CONDUCTORES'!CF47="X",1,0)</f>
        <v>0</v>
      </c>
      <c r="BY47" s="15">
        <f>IF('ENCUESTA CONDUCTORES'!CG47="X",1,0)</f>
        <v>0</v>
      </c>
      <c r="BZ47" s="15">
        <f>IF('ENCUESTA CONDUCTORES'!CH47="X",1,0)</f>
        <v>0</v>
      </c>
      <c r="CA47" s="15">
        <f>IF('ENCUESTA CONDUCTORES'!CI47="X",1,0)</f>
        <v>0</v>
      </c>
      <c r="CB47" s="15">
        <f>IF('ENCUESTA CONDUCTORES'!CJ47="X",1,0)</f>
        <v>0</v>
      </c>
      <c r="CC47" s="15">
        <f>IF('ENCUESTA CONDUCTORES'!CK47="X",1,0)</f>
        <v>1</v>
      </c>
      <c r="CD47" s="15">
        <f>IF('ENCUESTA CONDUCTORES'!CL47="X",1,0)</f>
        <v>0</v>
      </c>
      <c r="CE47" s="15">
        <f>IF('ENCUESTA CONDUCTORES'!CM47="X",1,0)</f>
        <v>0</v>
      </c>
      <c r="CF47" s="15">
        <f>+'ENCUESTA CONDUCTORES'!CN47</f>
        <v>0</v>
      </c>
      <c r="CG47" s="15">
        <f>IF('ENCUESTA CONDUCTORES'!CO47="X",1,0)</f>
        <v>0</v>
      </c>
      <c r="CH47" s="15" t="str">
        <f>+'ENCUESTA CONDUCTORES'!CP47</f>
        <v>NO SABE</v>
      </c>
      <c r="CI47" s="15" t="str">
        <f>+'ENCUESTA CONDUCTORES'!CQ47</f>
        <v>UN CURSO</v>
      </c>
      <c r="CJ47" s="15">
        <f>IF('ENCUESTA CONDUCTORES'!CR47="X",1,0)</f>
        <v>0</v>
      </c>
      <c r="CK47" s="15">
        <f>IF('ENCUESTA CONDUCTORES'!CS47="X",1,0)</f>
        <v>1</v>
      </c>
      <c r="CL47" s="15">
        <f>IF('ENCUESTA CONDUCTORES'!CT47="X",1,0)</f>
        <v>1</v>
      </c>
      <c r="CM47" s="15">
        <f>+'ENCUESTA CONDUCTORES'!CU47</f>
        <v>0</v>
      </c>
      <c r="CN47" s="15">
        <f>IF('ENCUESTA CONDUCTORES'!CV47="X",1,0)</f>
        <v>0</v>
      </c>
      <c r="CO47" s="15">
        <f>+'ENCUESTA CONDUCTORES'!CW47</f>
        <v>0</v>
      </c>
      <c r="CP47" s="15">
        <f>IF('ENCUESTA CONDUCTORES'!CX47="X",1,0)</f>
        <v>0</v>
      </c>
      <c r="CQ47" s="15">
        <f>IF('ENCUESTA CONDUCTORES'!CY47="X",1,0)</f>
        <v>1</v>
      </c>
      <c r="CR47" s="3">
        <f>+'ENCUESTA CONDUCTORES'!CZ47</f>
        <v>0</v>
      </c>
      <c r="CS47" s="49">
        <f>+'ENCUESTA CONDUCTORES'!DA47</f>
        <v>0</v>
      </c>
    </row>
    <row r="48" spans="2:97" x14ac:dyDescent="0.25">
      <c r="B48" s="14" t="str">
        <f>+'ENCUESTA CONDUCTORES'!D48</f>
        <v>C-054</v>
      </c>
      <c r="C48" s="15">
        <f>IF('ENCUESTA CONDUCTORES'!E48="X",1,0)</f>
        <v>0</v>
      </c>
      <c r="D48" s="15">
        <f>IF('ENCUESTA CONDUCTORES'!F48="X",1,0)</f>
        <v>0</v>
      </c>
      <c r="E48" s="15">
        <f>IF('ENCUESTA CONDUCTORES'!G48="X",1,0)</f>
        <v>1</v>
      </c>
      <c r="F48" s="15">
        <f>IF('ENCUESTA CONDUCTORES'!H48="X",1,0)</f>
        <v>0</v>
      </c>
      <c r="G48" s="15">
        <f>+'ENCUESTA CONDUCTORES'!I48</f>
        <v>30</v>
      </c>
      <c r="H48" s="15" t="str">
        <f>+'ENCUESTA CONDUCTORES'!J48</f>
        <v>M</v>
      </c>
      <c r="I48" s="15" t="str">
        <f>+'ENCUESTA CONDUCTORES'!K48</f>
        <v>PREPARATORIA</v>
      </c>
      <c r="J48" s="15" t="str">
        <f>+'ENCUESTA CONDUCTORES'!L48</f>
        <v>NEZAHUALCÓYOTL, EDO. MEX.</v>
      </c>
      <c r="K48" s="15" t="str">
        <f>+'ENCUESTA CONDUCTORES'!M48</f>
        <v>NEZAHUALCÓYOTL</v>
      </c>
      <c r="L48" s="15" t="str">
        <f>+'ENCUESTA CONDUCTORES'!N48</f>
        <v>EDO. MEX.</v>
      </c>
      <c r="M48" s="15">
        <f>+'ENCUESTA CONDUCTORES'!O48</f>
        <v>8</v>
      </c>
      <c r="N48" s="15">
        <f>IF('ENCUESTA CONDUCTORES'!P48="X",1,0)</f>
        <v>0</v>
      </c>
      <c r="O48" s="15">
        <f>IF('ENCUESTA CONDUCTORES'!Q48="X",1,0)</f>
        <v>0</v>
      </c>
      <c r="P48" s="15">
        <f>IF('ENCUESTA CONDUCTORES'!R48="X",1,0)</f>
        <v>0</v>
      </c>
      <c r="Q48" s="15">
        <f>IF('ENCUESTA CONDUCTORES'!S48="X",1,0)</f>
        <v>1</v>
      </c>
      <c r="R48" s="15">
        <f>IF('ENCUESTA CONDUCTORES'!T48="X",1,0)</f>
        <v>0</v>
      </c>
      <c r="S48" s="15">
        <f>IF('ENCUESTA CONDUCTORES'!U48="X",1,0)</f>
        <v>0</v>
      </c>
      <c r="T48" s="15">
        <f>IF('ENCUESTA CONDUCTORES'!V48="X",1,0)</f>
        <v>0</v>
      </c>
      <c r="U48" s="15">
        <f>IF('ENCUESTA CONDUCTORES'!W48="X",1,0)</f>
        <v>0</v>
      </c>
      <c r="V48" s="15">
        <f>IF('ENCUESTA CONDUCTORES'!X48="X",1,0)</f>
        <v>0</v>
      </c>
      <c r="W48" s="15">
        <f>IF('ENCUESTA CONDUCTORES'!Y48="X",1,0)</f>
        <v>1</v>
      </c>
      <c r="X48" s="15">
        <f>IF('ENCUESTA CONDUCTORES'!Z48="X",1,0)</f>
        <v>0</v>
      </c>
      <c r="Y48" s="15">
        <f>+'ENCUESTA CONDUCTORES'!AG48</f>
        <v>0</v>
      </c>
      <c r="Z48" s="15">
        <f>+'ENCUESTA CONDUCTORES'!AH48</f>
        <v>2011</v>
      </c>
      <c r="AA48" s="1">
        <f>+'ENCUESTA CONDUCTORES'!AI48</f>
        <v>300000</v>
      </c>
      <c r="AB48" s="15">
        <f>IF('ENCUESTA CONDUCTORES'!AJ48="X",1,0)</f>
        <v>0</v>
      </c>
      <c r="AC48" s="15">
        <f>IF('ENCUESTA CONDUCTORES'!AK48="X",1,0)</f>
        <v>0</v>
      </c>
      <c r="AD48" s="15">
        <f>IF('ENCUESTA CONDUCTORES'!AL48="X",1,0)</f>
        <v>1</v>
      </c>
      <c r="AE48" s="15">
        <f>IF('ENCUESTA CONDUCTORES'!AM48="X",1,0)</f>
        <v>0</v>
      </c>
      <c r="AF48" s="15">
        <f>IF('ENCUESTA CONDUCTORES'!AN48="X",1,0)</f>
        <v>0</v>
      </c>
      <c r="AG48" s="15">
        <f>IF('ENCUESTA CONDUCTORES'!AO48="X",1,0)</f>
        <v>0</v>
      </c>
      <c r="AH48" s="15">
        <f>IF('ENCUESTA CONDUCTORES'!AP48="X",1,0)</f>
        <v>1</v>
      </c>
      <c r="AI48" s="15">
        <f>IF('ENCUESTA CONDUCTORES'!AQ48="X",1,0)</f>
        <v>0</v>
      </c>
      <c r="AJ48" s="15">
        <f>IF('ENCUESTA CONDUCTORES'!AR48="X",1,0)</f>
        <v>0</v>
      </c>
      <c r="AK48" s="15">
        <f>+'ENCUESTA CONDUCTORES'!AS48</f>
        <v>0</v>
      </c>
      <c r="AL48" s="15" t="str">
        <f>+'ENCUESTA CONDUCTORES'!AT48</f>
        <v>PACCAR</v>
      </c>
      <c r="AM48" s="1">
        <f>+'ENCUESTA CONDUCTORES'!AU48</f>
        <v>8000</v>
      </c>
      <c r="AN48" s="48">
        <f>+'ENCUESTA CONDUCTORES'!AV48</f>
        <v>0.5</v>
      </c>
      <c r="AO48" s="15">
        <f>+'ENCUESTA CONDUCTORES'!AW48</f>
        <v>3.2</v>
      </c>
      <c r="AP48" s="15">
        <f>+'ENCUESTA CONDUCTORES'!AX48</f>
        <v>3</v>
      </c>
      <c r="AQ48" s="15">
        <f>+'ENCUESTA CONDUCTORES'!AY48</f>
        <v>1</v>
      </c>
      <c r="AR48" s="15">
        <f>+'ENCUESTA CONDUCTORES'!AZ48</f>
        <v>380</v>
      </c>
      <c r="AS48" s="15">
        <f>+'ENCUESTA CONDUCTORES'!BA48</f>
        <v>1000</v>
      </c>
      <c r="AT48" s="15">
        <f>IF('ENCUESTA CONDUCTORES'!BB48="X",1,0)</f>
        <v>0</v>
      </c>
      <c r="AU48" s="15">
        <f>IF('ENCUESTA CONDUCTORES'!BC48="X",1,0)</f>
        <v>0</v>
      </c>
      <c r="AV48" s="15">
        <f>IF('ENCUESTA CONDUCTORES'!BD48="X",1,0)</f>
        <v>0</v>
      </c>
      <c r="AW48" s="1">
        <f>+'ENCUESTA CONDUCTORES'!BE48</f>
        <v>10000</v>
      </c>
      <c r="AX48" s="1">
        <f>+'ENCUESTA CONDUCTORES'!BF48</f>
        <v>10000</v>
      </c>
      <c r="AY48" s="1">
        <f>+'ENCUESTA CONDUCTORES'!BG48</f>
        <v>10000</v>
      </c>
      <c r="AZ48" s="1">
        <f>+'ENCUESTA CONDUCTORES'!BH48</f>
        <v>190000</v>
      </c>
      <c r="BA48" s="1">
        <f>+'ENCUESTA CONDUCTORES'!BI48</f>
        <v>10000</v>
      </c>
      <c r="BB48" s="15">
        <f>IF('ENCUESTA CONDUCTORES'!BJ48="X",1,0)</f>
        <v>0</v>
      </c>
      <c r="BC48" s="15">
        <f>IF('ENCUESTA CONDUCTORES'!BK48="X",1,0)</f>
        <v>0</v>
      </c>
      <c r="BD48" s="15">
        <f>IF('ENCUESTA CONDUCTORES'!BL48="X",1,0)</f>
        <v>0</v>
      </c>
      <c r="BE48" s="15">
        <f>IF('ENCUESTA CONDUCTORES'!BM48="X",1,0)</f>
        <v>0</v>
      </c>
      <c r="BF48" s="15">
        <f>IF('ENCUESTA CONDUCTORES'!BN48="X",1,0)</f>
        <v>0</v>
      </c>
      <c r="BG48" s="15">
        <f>IF('ENCUESTA CONDUCTORES'!BO48="X",1,0)</f>
        <v>0</v>
      </c>
      <c r="BH48" s="15">
        <f>IF('ENCUESTA CONDUCTORES'!BP48="X",1,0)</f>
        <v>0</v>
      </c>
      <c r="BI48" s="15">
        <f>IF('ENCUESTA CONDUCTORES'!BQ48="X",1,0)</f>
        <v>0</v>
      </c>
      <c r="BJ48" s="15">
        <f>IF('ENCUESTA CONDUCTORES'!BR48="X",1,0)</f>
        <v>1</v>
      </c>
      <c r="BK48" s="15">
        <f>+'ENCUESTA CONDUCTORES'!BS48</f>
        <v>0</v>
      </c>
      <c r="BL48" s="15">
        <f>IF('ENCUESTA CONDUCTORES'!BT48="X",1,0)</f>
        <v>0</v>
      </c>
      <c r="BM48" s="15">
        <f>IF('ENCUESTA CONDUCTORES'!BU48="X",1,0)</f>
        <v>1</v>
      </c>
      <c r="BN48" s="15">
        <f>IF('ENCUESTA CONDUCTORES'!BV48="X",1,0)</f>
        <v>0</v>
      </c>
      <c r="BO48" s="15">
        <f>IF('ENCUESTA CONDUCTORES'!BW48="X",1,0)</f>
        <v>0</v>
      </c>
      <c r="BP48" s="15">
        <f>+'ENCUESTA CONDUCTORES'!BX48</f>
        <v>2</v>
      </c>
      <c r="BQ48" s="15">
        <f>+'ENCUESTA CONDUCTORES'!BY48</f>
        <v>3</v>
      </c>
      <c r="BR48" s="15">
        <f>+'ENCUESTA CONDUCTORES'!BZ48</f>
        <v>1</v>
      </c>
      <c r="BS48" s="15">
        <f>+'ENCUESTA CONDUCTORES'!CA48</f>
        <v>0</v>
      </c>
      <c r="BT48" s="15">
        <f>IF('ENCUESTA CONDUCTORES'!CB48="X",1,0)</f>
        <v>1</v>
      </c>
      <c r="BU48" s="15">
        <f>IF('ENCUESTA CONDUCTORES'!CC48="X",1,0)</f>
        <v>0</v>
      </c>
      <c r="BV48" s="15">
        <f>IF('ENCUESTA CONDUCTORES'!CD48="X",1,0)</f>
        <v>0</v>
      </c>
      <c r="BW48" s="15">
        <f>IF('ENCUESTA CONDUCTORES'!CE48="X",1,0)</f>
        <v>0</v>
      </c>
      <c r="BX48" s="15">
        <f>IF('ENCUESTA CONDUCTORES'!CF48="X",1,0)</f>
        <v>0</v>
      </c>
      <c r="BY48" s="15">
        <f>IF('ENCUESTA CONDUCTORES'!CG48="X",1,0)</f>
        <v>0</v>
      </c>
      <c r="BZ48" s="15">
        <f>IF('ENCUESTA CONDUCTORES'!CH48="X",1,0)</f>
        <v>0</v>
      </c>
      <c r="CA48" s="15">
        <f>IF('ENCUESTA CONDUCTORES'!CI48="X",1,0)</f>
        <v>0</v>
      </c>
      <c r="CB48" s="15">
        <f>IF('ENCUESTA CONDUCTORES'!CJ48="X",1,0)</f>
        <v>0</v>
      </c>
      <c r="CC48" s="15">
        <f>IF('ENCUESTA CONDUCTORES'!CK48="X",1,0)</f>
        <v>1</v>
      </c>
      <c r="CD48" s="15">
        <f>IF('ENCUESTA CONDUCTORES'!CL48="X",1,0)</f>
        <v>0</v>
      </c>
      <c r="CE48" s="15">
        <f>IF('ENCUESTA CONDUCTORES'!CM48="X",1,0)</f>
        <v>0</v>
      </c>
      <c r="CF48" s="15">
        <f>+'ENCUESTA CONDUCTORES'!CN48</f>
        <v>0</v>
      </c>
      <c r="CG48" s="15">
        <f>IF('ENCUESTA CONDUCTORES'!CO48="X",1,0)</f>
        <v>0</v>
      </c>
      <c r="CH48" s="15" t="str">
        <f>+'ENCUESTA CONDUCTORES'!CP48</f>
        <v>NO SABE</v>
      </c>
      <c r="CI48" s="15" t="str">
        <f>+'ENCUESTA CONDUCTORES'!CQ48</f>
        <v>QUE ME LO EXPLIQUEN</v>
      </c>
      <c r="CJ48" s="15">
        <f>IF('ENCUESTA CONDUCTORES'!CR48="X",1,0)</f>
        <v>0</v>
      </c>
      <c r="CK48" s="15">
        <f>IF('ENCUESTA CONDUCTORES'!CS48="X",1,0)</f>
        <v>0</v>
      </c>
      <c r="CL48" s="15">
        <f>IF('ENCUESTA CONDUCTORES'!CT48="X",1,0)</f>
        <v>1</v>
      </c>
      <c r="CM48" s="2" t="str">
        <f>+'ENCUESTA CONDUCTORES'!CU48</f>
        <v>SEÑALAMIENTO</v>
      </c>
      <c r="CN48" s="15">
        <f>IF('ENCUESTA CONDUCTORES'!CV48="X",1,0)</f>
        <v>0</v>
      </c>
      <c r="CO48" s="15">
        <f>+'ENCUESTA CONDUCTORES'!CW48</f>
        <v>0</v>
      </c>
      <c r="CP48" s="15">
        <f>IF('ENCUESTA CONDUCTORES'!CX48="X",1,0)</f>
        <v>1</v>
      </c>
      <c r="CQ48" s="15">
        <f>IF('ENCUESTA CONDUCTORES'!CY48="X",1,0)</f>
        <v>1</v>
      </c>
      <c r="CR48" s="3">
        <f>+'ENCUESTA CONDUCTORES'!CZ48</f>
        <v>0</v>
      </c>
      <c r="CS48" s="49">
        <f>+'ENCUESTA CONDUCTORES'!DA48</f>
        <v>0</v>
      </c>
    </row>
    <row r="49" spans="2:97" x14ac:dyDescent="0.25">
      <c r="B49" s="14" t="str">
        <f>+'ENCUESTA CONDUCTORES'!D49</f>
        <v>C-055</v>
      </c>
      <c r="C49" s="15">
        <f>IF('ENCUESTA CONDUCTORES'!E49="X",1,0)</f>
        <v>0</v>
      </c>
      <c r="D49" s="15">
        <f>IF('ENCUESTA CONDUCTORES'!F49="X",1,0)</f>
        <v>0</v>
      </c>
      <c r="E49" s="15">
        <f>IF('ENCUESTA CONDUCTORES'!G49="X",1,0)</f>
        <v>1</v>
      </c>
      <c r="F49" s="15">
        <f>IF('ENCUESTA CONDUCTORES'!H49="X",1,0)</f>
        <v>0</v>
      </c>
      <c r="G49" s="15">
        <f>+'ENCUESTA CONDUCTORES'!I49</f>
        <v>28</v>
      </c>
      <c r="H49" s="15" t="str">
        <f>+'ENCUESTA CONDUCTORES'!J49</f>
        <v>M</v>
      </c>
      <c r="I49" s="15" t="str">
        <f>+'ENCUESTA CONDUCTORES'!K49</f>
        <v>PREPARATORIA</v>
      </c>
      <c r="J49" s="15" t="str">
        <f>+'ENCUESTA CONDUCTORES'!L49</f>
        <v>NAULCALPAN, EDO MEX</v>
      </c>
      <c r="K49" s="15" t="str">
        <f>+'ENCUESTA CONDUCTORES'!M49</f>
        <v>NAUCALPAN</v>
      </c>
      <c r="L49" s="15" t="str">
        <f>+'ENCUESTA CONDUCTORES'!N49</f>
        <v>EDO. MEX.</v>
      </c>
      <c r="M49" s="15">
        <f>+'ENCUESTA CONDUCTORES'!O49</f>
        <v>4</v>
      </c>
      <c r="N49" s="15">
        <f>IF('ENCUESTA CONDUCTORES'!P49="X",1,0)</f>
        <v>0</v>
      </c>
      <c r="O49" s="15">
        <f>IF('ENCUESTA CONDUCTORES'!Q49="X",1,0)</f>
        <v>0</v>
      </c>
      <c r="P49" s="15">
        <f>IF('ENCUESTA CONDUCTORES'!R49="X",1,0)</f>
        <v>0</v>
      </c>
      <c r="Q49" s="15">
        <f>IF('ENCUESTA CONDUCTORES'!S49="X",1,0)</f>
        <v>1</v>
      </c>
      <c r="R49" s="15">
        <f>IF('ENCUESTA CONDUCTORES'!T49="X",1,0)</f>
        <v>0</v>
      </c>
      <c r="S49" s="15">
        <f>IF('ENCUESTA CONDUCTORES'!U49="X",1,0)</f>
        <v>0</v>
      </c>
      <c r="T49" s="15">
        <f>IF('ENCUESTA CONDUCTORES'!V49="X",1,0)</f>
        <v>0</v>
      </c>
      <c r="U49" s="15">
        <f>IF('ENCUESTA CONDUCTORES'!W49="X",1,0)</f>
        <v>0</v>
      </c>
      <c r="V49" s="15">
        <f>IF('ENCUESTA CONDUCTORES'!X49="X",1,0)</f>
        <v>0</v>
      </c>
      <c r="W49" s="15">
        <f>IF('ENCUESTA CONDUCTORES'!Y49="X",1,0)</f>
        <v>0</v>
      </c>
      <c r="X49" s="15">
        <f>IF('ENCUESTA CONDUCTORES'!Z49="X",1,0)</f>
        <v>0</v>
      </c>
      <c r="Y49" s="15">
        <f>+'ENCUESTA CONDUCTORES'!AG49</f>
        <v>0</v>
      </c>
      <c r="Z49" s="15">
        <f>+'ENCUESTA CONDUCTORES'!AH49</f>
        <v>1975</v>
      </c>
      <c r="AA49" s="1" t="str">
        <f>+'ENCUESTA CONDUCTORES'!AI49</f>
        <v>NO SABE</v>
      </c>
      <c r="AB49" s="15">
        <f>IF('ENCUESTA CONDUCTORES'!AJ49="X",1,0)</f>
        <v>0</v>
      </c>
      <c r="AC49" s="15">
        <f>IF('ENCUESTA CONDUCTORES'!AK49="X",1,0)</f>
        <v>0</v>
      </c>
      <c r="AD49" s="15">
        <f>IF('ENCUESTA CONDUCTORES'!AL49="X",1,0)</f>
        <v>1</v>
      </c>
      <c r="AE49" s="15">
        <f>IF('ENCUESTA CONDUCTORES'!AM49="X",1,0)</f>
        <v>0</v>
      </c>
      <c r="AF49" s="15">
        <f>IF('ENCUESTA CONDUCTORES'!AN49="X",1,0)</f>
        <v>0</v>
      </c>
      <c r="AG49" s="15">
        <f>IF('ENCUESTA CONDUCTORES'!AO49="X",1,0)</f>
        <v>0</v>
      </c>
      <c r="AH49" s="15">
        <f>IF('ENCUESTA CONDUCTORES'!AP49="X",1,0)</f>
        <v>0</v>
      </c>
      <c r="AI49" s="15">
        <f>IF('ENCUESTA CONDUCTORES'!AQ49="X",1,0)</f>
        <v>1</v>
      </c>
      <c r="AJ49" s="15">
        <f>IF('ENCUESTA CONDUCTORES'!AR49="X",1,0)</f>
        <v>0</v>
      </c>
      <c r="AK49" s="15">
        <f>+'ENCUESTA CONDUCTORES'!AS49</f>
        <v>2000</v>
      </c>
      <c r="AL49" s="15" t="str">
        <f>+'ENCUESTA CONDUCTORES'!AT49</f>
        <v>CUMMINS</v>
      </c>
      <c r="AM49" s="1">
        <f>+'ENCUESTA CONDUCTORES'!AU49</f>
        <v>6000</v>
      </c>
      <c r="AN49" s="48">
        <f>+'ENCUESTA CONDUCTORES'!AV49</f>
        <v>0.2</v>
      </c>
      <c r="AO49" s="15">
        <f>+'ENCUESTA CONDUCTORES'!AW49</f>
        <v>3.5</v>
      </c>
      <c r="AP49" s="15">
        <f>+'ENCUESTA CONDUCTORES'!AX49</f>
        <v>2.7</v>
      </c>
      <c r="AQ49" s="15">
        <f>+'ENCUESTA CONDUCTORES'!AY49</f>
        <v>2</v>
      </c>
      <c r="AR49" s="15">
        <f>+'ENCUESTA CONDUCTORES'!AZ49</f>
        <v>360</v>
      </c>
      <c r="AS49" s="15">
        <f>+'ENCUESTA CONDUCTORES'!BA49</f>
        <v>900</v>
      </c>
      <c r="AT49" s="15">
        <f>IF('ENCUESTA CONDUCTORES'!BB49="X",1,0)</f>
        <v>0</v>
      </c>
      <c r="AU49" s="15">
        <f>IF('ENCUESTA CONDUCTORES'!BC49="X",1,0)</f>
        <v>1</v>
      </c>
      <c r="AV49" s="15">
        <f>IF('ENCUESTA CONDUCTORES'!BD49="X",1,0)</f>
        <v>0</v>
      </c>
      <c r="AW49" s="1">
        <f>+'ENCUESTA CONDUCTORES'!BE49</f>
        <v>16000</v>
      </c>
      <c r="AX49" s="1">
        <f>+'ENCUESTA CONDUCTORES'!BF49</f>
        <v>32000</v>
      </c>
      <c r="AY49" s="1">
        <f>+'ENCUESTA CONDUCTORES'!BG49</f>
        <v>36000</v>
      </c>
      <c r="AZ49" s="1">
        <f>+'ENCUESTA CONDUCTORES'!BH49</f>
        <v>80000</v>
      </c>
      <c r="BA49" s="1">
        <f>+'ENCUESTA CONDUCTORES'!BI49</f>
        <v>36000</v>
      </c>
      <c r="BB49" s="15">
        <f>IF('ENCUESTA CONDUCTORES'!BJ49="X",1,0)</f>
        <v>0</v>
      </c>
      <c r="BC49" s="15">
        <f>IF('ENCUESTA CONDUCTORES'!BK49="X",1,0)</f>
        <v>0</v>
      </c>
      <c r="BD49" s="15">
        <f>IF('ENCUESTA CONDUCTORES'!BL49="X",1,0)</f>
        <v>0</v>
      </c>
      <c r="BE49" s="15">
        <f>IF('ENCUESTA CONDUCTORES'!BM49="X",1,0)</f>
        <v>0</v>
      </c>
      <c r="BF49" s="15">
        <f>IF('ENCUESTA CONDUCTORES'!BN49="X",1,0)</f>
        <v>0</v>
      </c>
      <c r="BG49" s="15">
        <f>IF('ENCUESTA CONDUCTORES'!BO49="X",1,0)</f>
        <v>0</v>
      </c>
      <c r="BH49" s="15">
        <f>IF('ENCUESTA CONDUCTORES'!BP49="X",1,0)</f>
        <v>0</v>
      </c>
      <c r="BI49" s="15">
        <f>IF('ENCUESTA CONDUCTORES'!BQ49="X",1,0)</f>
        <v>0</v>
      </c>
      <c r="BJ49" s="15">
        <f>IF('ENCUESTA CONDUCTORES'!BR49="X",1,0)</f>
        <v>1</v>
      </c>
      <c r="BK49" s="15">
        <f>+'ENCUESTA CONDUCTORES'!BS49</f>
        <v>0</v>
      </c>
      <c r="BL49" s="15">
        <f>IF('ENCUESTA CONDUCTORES'!BT49="X",1,0)</f>
        <v>0</v>
      </c>
      <c r="BM49" s="15">
        <f>IF('ENCUESTA CONDUCTORES'!BU49="X",1,0)</f>
        <v>0</v>
      </c>
      <c r="BN49" s="15">
        <f>IF('ENCUESTA CONDUCTORES'!BV49="X",1,0)</f>
        <v>1</v>
      </c>
      <c r="BO49" s="15">
        <f>IF('ENCUESTA CONDUCTORES'!BW49="X",1,0)</f>
        <v>0</v>
      </c>
      <c r="BP49" s="15">
        <f>+'ENCUESTA CONDUCTORES'!BX49</f>
        <v>2</v>
      </c>
      <c r="BQ49" s="15">
        <f>+'ENCUESTA CONDUCTORES'!BY49</f>
        <v>3</v>
      </c>
      <c r="BR49" s="15">
        <f>+'ENCUESTA CONDUCTORES'!BZ49</f>
        <v>1</v>
      </c>
      <c r="BS49" s="15">
        <f>+'ENCUESTA CONDUCTORES'!CA49</f>
        <v>0</v>
      </c>
      <c r="BT49" s="15">
        <f>IF('ENCUESTA CONDUCTORES'!CB49="X",1,0)</f>
        <v>1</v>
      </c>
      <c r="BU49" s="15">
        <f>IF('ENCUESTA CONDUCTORES'!CC49="X",1,0)</f>
        <v>0</v>
      </c>
      <c r="BV49" s="15">
        <f>IF('ENCUESTA CONDUCTORES'!CD49="X",1,0)</f>
        <v>0</v>
      </c>
      <c r="BW49" s="15">
        <f>IF('ENCUESTA CONDUCTORES'!CE49="X",1,0)</f>
        <v>0</v>
      </c>
      <c r="BX49" s="15">
        <f>IF('ENCUESTA CONDUCTORES'!CF49="X",1,0)</f>
        <v>0</v>
      </c>
      <c r="BY49" s="15">
        <f>IF('ENCUESTA CONDUCTORES'!CG49="X",1,0)</f>
        <v>0</v>
      </c>
      <c r="BZ49" s="15">
        <f>IF('ENCUESTA CONDUCTORES'!CH49="X",1,0)</f>
        <v>0</v>
      </c>
      <c r="CA49" s="15">
        <f>IF('ENCUESTA CONDUCTORES'!CI49="X",1,0)</f>
        <v>0</v>
      </c>
      <c r="CB49" s="15">
        <f>IF('ENCUESTA CONDUCTORES'!CJ49="X",1,0)</f>
        <v>0</v>
      </c>
      <c r="CC49" s="15">
        <f>IF('ENCUESTA CONDUCTORES'!CK49="X",1,0)</f>
        <v>1</v>
      </c>
      <c r="CD49" s="15">
        <f>IF('ENCUESTA CONDUCTORES'!CL49="X",1,0)</f>
        <v>0</v>
      </c>
      <c r="CE49" s="15">
        <f>IF('ENCUESTA CONDUCTORES'!CM49="X",1,0)</f>
        <v>0</v>
      </c>
      <c r="CF49" s="15">
        <f>+'ENCUESTA CONDUCTORES'!CN49</f>
        <v>0</v>
      </c>
      <c r="CG49" s="15">
        <f>IF('ENCUESTA CONDUCTORES'!CO49="X",1,0)</f>
        <v>0</v>
      </c>
      <c r="CH49" s="15" t="str">
        <f>+'ENCUESTA CONDUCTORES'!CP49</f>
        <v>NO SABE</v>
      </c>
      <c r="CI49" s="15" t="str">
        <f>+'ENCUESTA CONDUCTORES'!CQ49</f>
        <v>DARLO A CONOCER</v>
      </c>
      <c r="CJ49" s="15">
        <f>IF('ENCUESTA CONDUCTORES'!CR49="X",1,0)</f>
        <v>0</v>
      </c>
      <c r="CK49" s="15">
        <f>IF('ENCUESTA CONDUCTORES'!CS49="X",1,0)</f>
        <v>1</v>
      </c>
      <c r="CL49" s="15">
        <f>IF('ENCUESTA CONDUCTORES'!CT49="X",1,0)</f>
        <v>1</v>
      </c>
      <c r="CM49" s="15">
        <f>+'ENCUESTA CONDUCTORES'!CU49</f>
        <v>0</v>
      </c>
      <c r="CN49" s="15">
        <f>IF('ENCUESTA CONDUCTORES'!CV49="X",1,0)</f>
        <v>0</v>
      </c>
      <c r="CO49" s="15">
        <f>+'ENCUESTA CONDUCTORES'!CW49</f>
        <v>0</v>
      </c>
      <c r="CP49" s="15">
        <f>IF('ENCUESTA CONDUCTORES'!CX49="X",1,0)</f>
        <v>0</v>
      </c>
      <c r="CQ49" s="15">
        <f>IF('ENCUESTA CONDUCTORES'!CY49="X",1,0)</f>
        <v>1</v>
      </c>
      <c r="CR49" s="3">
        <f>+'ENCUESTA CONDUCTORES'!CZ49</f>
        <v>0</v>
      </c>
      <c r="CS49" s="49">
        <f>+'ENCUESTA CONDUCTORES'!DA49</f>
        <v>0</v>
      </c>
    </row>
    <row r="50" spans="2:97" x14ac:dyDescent="0.25">
      <c r="B50" s="14" t="str">
        <f>+'ENCUESTA CONDUCTORES'!D50</f>
        <v>C-056</v>
      </c>
      <c r="C50" s="15">
        <f>IF('ENCUESTA CONDUCTORES'!E50="X",1,0)</f>
        <v>0</v>
      </c>
      <c r="D50" s="15">
        <f>IF('ENCUESTA CONDUCTORES'!F50="X",1,0)</f>
        <v>0</v>
      </c>
      <c r="E50" s="15">
        <f>IF('ENCUESTA CONDUCTORES'!G50="X",1,0)</f>
        <v>1</v>
      </c>
      <c r="F50" s="15">
        <f>IF('ENCUESTA CONDUCTORES'!H50="X",1,0)</f>
        <v>0</v>
      </c>
      <c r="G50" s="15">
        <f>+'ENCUESTA CONDUCTORES'!I50</f>
        <v>34</v>
      </c>
      <c r="H50" s="15" t="str">
        <f>+'ENCUESTA CONDUCTORES'!J50</f>
        <v>M</v>
      </c>
      <c r="I50" s="15" t="str">
        <f>+'ENCUESTA CONDUCTORES'!K50</f>
        <v>PRIMARIA</v>
      </c>
      <c r="J50" s="15" t="str">
        <f>+'ENCUESTA CONDUCTORES'!L50</f>
        <v>CHALCO, EDO. MEX.</v>
      </c>
      <c r="K50" s="15" t="str">
        <f>+'ENCUESTA CONDUCTORES'!M50</f>
        <v>CHALCO</v>
      </c>
      <c r="L50" s="15" t="str">
        <f>+'ENCUESTA CONDUCTORES'!N50</f>
        <v>EDO. MEX.</v>
      </c>
      <c r="M50" s="15">
        <f>+'ENCUESTA CONDUCTORES'!O50</f>
        <v>19</v>
      </c>
      <c r="N50" s="15">
        <f>IF('ENCUESTA CONDUCTORES'!P50="X",1,0)</f>
        <v>0</v>
      </c>
      <c r="O50" s="15">
        <f>IF('ENCUESTA CONDUCTORES'!Q50="X",1,0)</f>
        <v>0</v>
      </c>
      <c r="P50" s="15">
        <f>IF('ENCUESTA CONDUCTORES'!R50="X",1,0)</f>
        <v>0</v>
      </c>
      <c r="Q50" s="15">
        <f>IF('ENCUESTA CONDUCTORES'!S50="X",1,0)</f>
        <v>1</v>
      </c>
      <c r="R50" s="15">
        <f>IF('ENCUESTA CONDUCTORES'!T50="X",1,0)</f>
        <v>0</v>
      </c>
      <c r="S50" s="15">
        <f>IF('ENCUESTA CONDUCTORES'!U50="X",1,0)</f>
        <v>1</v>
      </c>
      <c r="T50" s="15">
        <f>IF('ENCUESTA CONDUCTORES'!V50="X",1,0)</f>
        <v>0</v>
      </c>
      <c r="U50" s="15">
        <f>IF('ENCUESTA CONDUCTORES'!W50="X",1,0)</f>
        <v>0</v>
      </c>
      <c r="V50" s="15">
        <f>IF('ENCUESTA CONDUCTORES'!X50="X",1,0)</f>
        <v>0</v>
      </c>
      <c r="W50" s="15">
        <f>IF('ENCUESTA CONDUCTORES'!Y50="X",1,0)</f>
        <v>0</v>
      </c>
      <c r="X50" s="15">
        <f>IF('ENCUESTA CONDUCTORES'!Z50="X",1,0)</f>
        <v>0</v>
      </c>
      <c r="Y50" s="15">
        <f>+'ENCUESTA CONDUCTORES'!AG50</f>
        <v>0</v>
      </c>
      <c r="Z50" s="15">
        <f>+'ENCUESTA CONDUCTORES'!AH50</f>
        <v>2000</v>
      </c>
      <c r="AA50" s="1">
        <f>+'ENCUESTA CONDUCTORES'!AI50</f>
        <v>1700000</v>
      </c>
      <c r="AB50" s="15">
        <f>IF('ENCUESTA CONDUCTORES'!AJ50="X",1,0)</f>
        <v>0</v>
      </c>
      <c r="AC50" s="15">
        <f>IF('ENCUESTA CONDUCTORES'!AK50="X",1,0)</f>
        <v>0</v>
      </c>
      <c r="AD50" s="15">
        <f>IF('ENCUESTA CONDUCTORES'!AL50="X",1,0)</f>
        <v>1</v>
      </c>
      <c r="AE50" s="15">
        <f>IF('ENCUESTA CONDUCTORES'!AM50="X",1,0)</f>
        <v>0</v>
      </c>
      <c r="AF50" s="15">
        <f>IF('ENCUESTA CONDUCTORES'!AN50="X",1,0)</f>
        <v>0</v>
      </c>
      <c r="AG50" s="15">
        <f>IF('ENCUESTA CONDUCTORES'!AO50="X",1,0)</f>
        <v>0</v>
      </c>
      <c r="AH50" s="15">
        <f>IF('ENCUESTA CONDUCTORES'!AP50="X",1,0)</f>
        <v>1</v>
      </c>
      <c r="AI50" s="15">
        <f>IF('ENCUESTA CONDUCTORES'!AQ50="X",1,0)</f>
        <v>0</v>
      </c>
      <c r="AJ50" s="15">
        <f>IF('ENCUESTA CONDUCTORES'!AR50="X",1,0)</f>
        <v>0</v>
      </c>
      <c r="AK50" s="15">
        <f>+'ENCUESTA CONDUCTORES'!AS50</f>
        <v>0</v>
      </c>
      <c r="AL50" s="15" t="str">
        <f>+'ENCUESTA CONDUCTORES'!AT50</f>
        <v>DETROIT</v>
      </c>
      <c r="AM50" s="1">
        <f>+'ENCUESTA CONDUCTORES'!AU50</f>
        <v>10000</v>
      </c>
      <c r="AN50" s="48">
        <f>+'ENCUESTA CONDUCTORES'!AV50</f>
        <v>0.2</v>
      </c>
      <c r="AO50" s="15">
        <f>+'ENCUESTA CONDUCTORES'!AW50</f>
        <v>2.8</v>
      </c>
      <c r="AP50" s="15">
        <f>+'ENCUESTA CONDUCTORES'!AX50</f>
        <v>2</v>
      </c>
      <c r="AQ50" s="15">
        <f>+'ENCUESTA CONDUCTORES'!AY50</f>
        <v>2</v>
      </c>
      <c r="AR50" s="15">
        <f>+'ENCUESTA CONDUCTORES'!AZ50</f>
        <v>800</v>
      </c>
      <c r="AS50" s="15">
        <f>+'ENCUESTA CONDUCTORES'!BA50</f>
        <v>2000</v>
      </c>
      <c r="AT50" s="15">
        <f>IF('ENCUESTA CONDUCTORES'!BB50="X",1,0)</f>
        <v>0</v>
      </c>
      <c r="AU50" s="15">
        <f>IF('ENCUESTA CONDUCTORES'!BC50="X",1,0)</f>
        <v>1</v>
      </c>
      <c r="AV50" s="15">
        <f>IF('ENCUESTA CONDUCTORES'!BD50="X",1,0)</f>
        <v>0</v>
      </c>
      <c r="AW50" s="1">
        <f>+'ENCUESTA CONDUCTORES'!BE50</f>
        <v>12000</v>
      </c>
      <c r="AX50" s="1">
        <f>+'ENCUESTA CONDUCTORES'!BF50</f>
        <v>60000</v>
      </c>
      <c r="AY50" s="1">
        <f>+'ENCUESTA CONDUCTORES'!BG50</f>
        <v>25000</v>
      </c>
      <c r="AZ50" s="1">
        <f>+'ENCUESTA CONDUCTORES'!BH50</f>
        <v>190000</v>
      </c>
      <c r="BA50" s="1">
        <f>+'ENCUESTA CONDUCTORES'!BI50</f>
        <v>25000</v>
      </c>
      <c r="BB50" s="15">
        <f>IF('ENCUESTA CONDUCTORES'!BJ50="X",1,0)</f>
        <v>0</v>
      </c>
      <c r="BC50" s="15">
        <f>IF('ENCUESTA CONDUCTORES'!BK50="X",1,0)</f>
        <v>0</v>
      </c>
      <c r="BD50" s="15">
        <f>IF('ENCUESTA CONDUCTORES'!BL50="X",1,0)</f>
        <v>0</v>
      </c>
      <c r="BE50" s="15">
        <f>IF('ENCUESTA CONDUCTORES'!BM50="X",1,0)</f>
        <v>0</v>
      </c>
      <c r="BF50" s="15">
        <f>IF('ENCUESTA CONDUCTORES'!BN50="X",1,0)</f>
        <v>0</v>
      </c>
      <c r="BG50" s="15">
        <f>IF('ENCUESTA CONDUCTORES'!BO50="X",1,0)</f>
        <v>0</v>
      </c>
      <c r="BH50" s="15">
        <f>IF('ENCUESTA CONDUCTORES'!BP50="X",1,0)</f>
        <v>1</v>
      </c>
      <c r="BI50" s="15">
        <f>IF('ENCUESTA CONDUCTORES'!BQ50="X",1,0)</f>
        <v>0</v>
      </c>
      <c r="BJ50" s="15">
        <f>IF('ENCUESTA CONDUCTORES'!BR50="X",1,0)</f>
        <v>0</v>
      </c>
      <c r="BK50" s="2">
        <f>+'ENCUESTA CONDUCTORES'!BS50</f>
        <v>0</v>
      </c>
      <c r="BL50" s="15">
        <f>IF('ENCUESTA CONDUCTORES'!BT50="X",1,0)</f>
        <v>0</v>
      </c>
      <c r="BM50" s="15">
        <f>IF('ENCUESTA CONDUCTORES'!BU50="X",1,0)</f>
        <v>1</v>
      </c>
      <c r="BN50" s="15">
        <f>IF('ENCUESTA CONDUCTORES'!BV50="X",1,0)</f>
        <v>0</v>
      </c>
      <c r="BO50" s="15">
        <f>IF('ENCUESTA CONDUCTORES'!BW50="X",1,0)</f>
        <v>0</v>
      </c>
      <c r="BP50" s="15">
        <f>+'ENCUESTA CONDUCTORES'!BX50</f>
        <v>2</v>
      </c>
      <c r="BQ50" s="15">
        <f>+'ENCUESTA CONDUCTORES'!BY50</f>
        <v>3</v>
      </c>
      <c r="BR50" s="15">
        <f>+'ENCUESTA CONDUCTORES'!BZ50</f>
        <v>1</v>
      </c>
      <c r="BS50" s="15">
        <f>+'ENCUESTA CONDUCTORES'!CA50</f>
        <v>0</v>
      </c>
      <c r="BT50" s="15">
        <f>IF('ENCUESTA CONDUCTORES'!CB50="X",1,0)</f>
        <v>1</v>
      </c>
      <c r="BU50" s="15">
        <f>IF('ENCUESTA CONDUCTORES'!CC50="X",1,0)</f>
        <v>0</v>
      </c>
      <c r="BV50" s="15">
        <f>IF('ENCUESTA CONDUCTORES'!CD50="X",1,0)</f>
        <v>0</v>
      </c>
      <c r="BW50" s="15">
        <f>IF('ENCUESTA CONDUCTORES'!CE50="X",1,0)</f>
        <v>0</v>
      </c>
      <c r="BX50" s="15">
        <f>IF('ENCUESTA CONDUCTORES'!CF50="X",1,0)</f>
        <v>0</v>
      </c>
      <c r="BY50" s="15">
        <f>IF('ENCUESTA CONDUCTORES'!CG50="X",1,0)</f>
        <v>0</v>
      </c>
      <c r="BZ50" s="15">
        <f>IF('ENCUESTA CONDUCTORES'!CH50="X",1,0)</f>
        <v>0</v>
      </c>
      <c r="CA50" s="15">
        <f>IF('ENCUESTA CONDUCTORES'!CI50="X",1,0)</f>
        <v>0</v>
      </c>
      <c r="CB50" s="15">
        <f>IF('ENCUESTA CONDUCTORES'!CJ50="X",1,0)</f>
        <v>0</v>
      </c>
      <c r="CC50" s="15">
        <f>IF('ENCUESTA CONDUCTORES'!CK50="X",1,0)</f>
        <v>0</v>
      </c>
      <c r="CD50" s="15">
        <f>IF('ENCUESTA CONDUCTORES'!CL50="X",1,0)</f>
        <v>1</v>
      </c>
      <c r="CE50" s="15">
        <f>IF('ENCUESTA CONDUCTORES'!CM50="X",1,0)</f>
        <v>1</v>
      </c>
      <c r="CF50" s="15" t="str">
        <f>+'ENCUESTA CONDUCTORES'!CN50</f>
        <v>AL PATRON NO LE INTERESA</v>
      </c>
      <c r="CG50" s="15">
        <f>IF('ENCUESTA CONDUCTORES'!CO50="X",1,0)</f>
        <v>0</v>
      </c>
      <c r="CH50" s="15" t="str">
        <f>+'ENCUESTA CONDUCTORES'!CP50</f>
        <v>NO SABE</v>
      </c>
      <c r="CI50" s="15" t="str">
        <f>+'ENCUESTA CONDUCTORES'!CQ50</f>
        <v>TIEMPO</v>
      </c>
      <c r="CJ50" s="15">
        <f>IF('ENCUESTA CONDUCTORES'!CR50="X",1,0)</f>
        <v>0</v>
      </c>
      <c r="CK50" s="15">
        <f>IF('ENCUESTA CONDUCTORES'!CS50="X",1,0)</f>
        <v>0</v>
      </c>
      <c r="CL50" s="15">
        <f>IF('ENCUESTA CONDUCTORES'!CT50="X",1,0)</f>
        <v>1</v>
      </c>
      <c r="CM50" s="15">
        <f>+'ENCUESTA CONDUCTORES'!CU50</f>
        <v>0</v>
      </c>
      <c r="CN50" s="15">
        <f>IF('ENCUESTA CONDUCTORES'!CV50="X",1,0)</f>
        <v>0</v>
      </c>
      <c r="CO50" s="15">
        <f>+'ENCUESTA CONDUCTORES'!CW50</f>
        <v>0</v>
      </c>
      <c r="CP50" s="15">
        <f>IF('ENCUESTA CONDUCTORES'!CX50="X",1,0)</f>
        <v>1</v>
      </c>
      <c r="CQ50" s="15">
        <f>IF('ENCUESTA CONDUCTORES'!CY50="X",1,0)</f>
        <v>0</v>
      </c>
      <c r="CR50" s="4" t="str">
        <f>+'ENCUESTA CONDUCTORES'!CZ50</f>
        <v>MANEJO A LA DEFENSIVA</v>
      </c>
      <c r="CS50" s="49">
        <f>+'ENCUESTA CONDUCTORES'!DA50</f>
        <v>0</v>
      </c>
    </row>
    <row r="51" spans="2:97" x14ac:dyDescent="0.25">
      <c r="B51" s="14" t="str">
        <f>+'ENCUESTA CONDUCTORES'!D51</f>
        <v>C-057</v>
      </c>
      <c r="C51" s="15">
        <f>IF('ENCUESTA CONDUCTORES'!E51="X",1,0)</f>
        <v>0</v>
      </c>
      <c r="D51" s="15">
        <f>IF('ENCUESTA CONDUCTORES'!F51="X",1,0)</f>
        <v>0</v>
      </c>
      <c r="E51" s="15">
        <f>IF('ENCUESTA CONDUCTORES'!G51="X",1,0)</f>
        <v>1</v>
      </c>
      <c r="F51" s="15">
        <f>IF('ENCUESTA CONDUCTORES'!H51="X",1,0)</f>
        <v>0</v>
      </c>
      <c r="G51" s="15">
        <f>+'ENCUESTA CONDUCTORES'!I51</f>
        <v>61</v>
      </c>
      <c r="H51" s="15" t="str">
        <f>+'ENCUESTA CONDUCTORES'!J51</f>
        <v>M</v>
      </c>
      <c r="I51" s="15" t="str">
        <f>+'ENCUESTA CONDUCTORES'!K51</f>
        <v>SECUNDARIA</v>
      </c>
      <c r="J51" s="15" t="str">
        <f>+'ENCUESTA CONDUCTORES'!L51</f>
        <v>IZTAPALAPA, D.F.</v>
      </c>
      <c r="K51" s="15" t="str">
        <f>+'ENCUESTA CONDUCTORES'!M51</f>
        <v>IZTAPALAPA</v>
      </c>
      <c r="L51" s="15" t="str">
        <f>+'ENCUESTA CONDUCTORES'!N51</f>
        <v>D.F.</v>
      </c>
      <c r="M51" s="15">
        <f>+'ENCUESTA CONDUCTORES'!O51</f>
        <v>33</v>
      </c>
      <c r="N51" s="15">
        <f>IF('ENCUESTA CONDUCTORES'!P51="X",1,0)</f>
        <v>1</v>
      </c>
      <c r="O51" s="15">
        <f>IF('ENCUESTA CONDUCTORES'!Q51="X",1,0)</f>
        <v>0</v>
      </c>
      <c r="P51" s="15">
        <f>IF('ENCUESTA CONDUCTORES'!R51="X",1,0)</f>
        <v>0</v>
      </c>
      <c r="Q51" s="15">
        <f>IF('ENCUESTA CONDUCTORES'!S51="X",1,0)</f>
        <v>0</v>
      </c>
      <c r="R51" s="15">
        <f>IF('ENCUESTA CONDUCTORES'!T51="X",1,0)</f>
        <v>0</v>
      </c>
      <c r="S51" s="15">
        <f>IF('ENCUESTA CONDUCTORES'!U51="X",1,0)</f>
        <v>0</v>
      </c>
      <c r="T51" s="15">
        <f>IF('ENCUESTA CONDUCTORES'!V51="X",1,0)</f>
        <v>0</v>
      </c>
      <c r="U51" s="15">
        <f>IF('ENCUESTA CONDUCTORES'!W51="X",1,0)</f>
        <v>0</v>
      </c>
      <c r="V51" s="15">
        <f>IF('ENCUESTA CONDUCTORES'!X51="X",1,0)</f>
        <v>1</v>
      </c>
      <c r="W51" s="15">
        <f>IF('ENCUESTA CONDUCTORES'!Y51="X",1,0)</f>
        <v>0</v>
      </c>
      <c r="X51" s="15">
        <f>IF('ENCUESTA CONDUCTORES'!Z51="X",1,0)</f>
        <v>0</v>
      </c>
      <c r="Y51" s="15">
        <f>+'ENCUESTA CONDUCTORES'!AG51</f>
        <v>0</v>
      </c>
      <c r="Z51" s="15">
        <f>+'ENCUESTA CONDUCTORES'!AH51</f>
        <v>2005</v>
      </c>
      <c r="AA51" s="1">
        <f>+'ENCUESTA CONDUCTORES'!AI51</f>
        <v>1500000</v>
      </c>
      <c r="AB51" s="15">
        <f>IF('ENCUESTA CONDUCTORES'!AJ51="X",1,0)</f>
        <v>0</v>
      </c>
      <c r="AC51" s="15">
        <f>IF('ENCUESTA CONDUCTORES'!AK51="X",1,0)</f>
        <v>0</v>
      </c>
      <c r="AD51" s="15">
        <f>IF('ENCUESTA CONDUCTORES'!AL51="X",1,0)</f>
        <v>1</v>
      </c>
      <c r="AE51" s="15">
        <f>IF('ENCUESTA CONDUCTORES'!AM51="X",1,0)</f>
        <v>0</v>
      </c>
      <c r="AF51" s="15">
        <f>IF('ENCUESTA CONDUCTORES'!AN51="X",1,0)</f>
        <v>0</v>
      </c>
      <c r="AG51" s="15">
        <f>IF('ENCUESTA CONDUCTORES'!AO51="X",1,0)</f>
        <v>0</v>
      </c>
      <c r="AH51" s="15">
        <f>IF('ENCUESTA CONDUCTORES'!AP51="X",1,0)</f>
        <v>1</v>
      </c>
      <c r="AI51" s="15">
        <f>IF('ENCUESTA CONDUCTORES'!AQ51="X",1,0)</f>
        <v>0</v>
      </c>
      <c r="AJ51" s="15">
        <f>IF('ENCUESTA CONDUCTORES'!AR51="X",1,0)</f>
        <v>0</v>
      </c>
      <c r="AK51" s="15">
        <f>+'ENCUESTA CONDUCTORES'!AS51</f>
        <v>0</v>
      </c>
      <c r="AL51" s="15" t="str">
        <f>+'ENCUESTA CONDUCTORES'!AT51</f>
        <v>NO SABE</v>
      </c>
      <c r="AM51" s="1">
        <f>+'ENCUESTA CONDUCTORES'!AU51</f>
        <v>16000</v>
      </c>
      <c r="AN51" s="48">
        <f>+'ENCUESTA CONDUCTORES'!AV51</f>
        <v>0.5</v>
      </c>
      <c r="AO51" s="15">
        <f>+'ENCUESTA CONDUCTORES'!AW51</f>
        <v>3.1</v>
      </c>
      <c r="AP51" s="15">
        <f>+'ENCUESTA CONDUCTORES'!AX51</f>
        <v>2.8</v>
      </c>
      <c r="AQ51" s="15">
        <f>+'ENCUESTA CONDUCTORES'!AY51</f>
        <v>2</v>
      </c>
      <c r="AR51" s="15">
        <f>+'ENCUESTA CONDUCTORES'!AZ51</f>
        <v>400</v>
      </c>
      <c r="AS51" s="15">
        <f>+'ENCUESTA CONDUCTORES'!BA51</f>
        <v>1200</v>
      </c>
      <c r="AT51" s="15">
        <f>IF('ENCUESTA CONDUCTORES'!BB51="X",1,0)</f>
        <v>0</v>
      </c>
      <c r="AU51" s="15">
        <f>IF('ENCUESTA CONDUCTORES'!BC51="X",1,0)</f>
        <v>1</v>
      </c>
      <c r="AV51" s="15">
        <f>IF('ENCUESTA CONDUCTORES'!BD51="X",1,0)</f>
        <v>1</v>
      </c>
      <c r="AW51" s="1">
        <f>+'ENCUESTA CONDUCTORES'!BE51</f>
        <v>10000</v>
      </c>
      <c r="AX51" s="1">
        <f>+'ENCUESTA CONDUCTORES'!BF51</f>
        <v>30000</v>
      </c>
      <c r="AY51" s="1">
        <f>+'ENCUESTA CONDUCTORES'!BG51</f>
        <v>30000</v>
      </c>
      <c r="AZ51" s="1">
        <f>+'ENCUESTA CONDUCTORES'!BH51</f>
        <v>125000</v>
      </c>
      <c r="BA51" s="1">
        <f>+'ENCUESTA CONDUCTORES'!BI51</f>
        <v>30000</v>
      </c>
      <c r="BB51" s="15">
        <f>IF('ENCUESTA CONDUCTORES'!BJ51="X",1,0)</f>
        <v>0</v>
      </c>
      <c r="BC51" s="15">
        <f>IF('ENCUESTA CONDUCTORES'!BK51="X",1,0)</f>
        <v>0</v>
      </c>
      <c r="BD51" s="15">
        <f>IF('ENCUESTA CONDUCTORES'!BL51="X",1,0)</f>
        <v>0</v>
      </c>
      <c r="BE51" s="15">
        <f>IF('ENCUESTA CONDUCTORES'!BM51="X",1,0)</f>
        <v>0</v>
      </c>
      <c r="BF51" s="15">
        <f>IF('ENCUESTA CONDUCTORES'!BN51="X",1,0)</f>
        <v>0</v>
      </c>
      <c r="BG51" s="15">
        <f>IF('ENCUESTA CONDUCTORES'!BO51="X",1,0)</f>
        <v>0</v>
      </c>
      <c r="BH51" s="15">
        <f>IF('ENCUESTA CONDUCTORES'!BP51="X",1,0)</f>
        <v>0</v>
      </c>
      <c r="BI51" s="15">
        <f>IF('ENCUESTA CONDUCTORES'!BQ51="X",1,0)</f>
        <v>0</v>
      </c>
      <c r="BJ51" s="15">
        <f>IF('ENCUESTA CONDUCTORES'!BR51="X",1,0)</f>
        <v>1</v>
      </c>
      <c r="BK51" s="15">
        <f>+'ENCUESTA CONDUCTORES'!BS51</f>
        <v>0</v>
      </c>
      <c r="BL51" s="15">
        <f>IF('ENCUESTA CONDUCTORES'!BT51="X",1,0)</f>
        <v>0</v>
      </c>
      <c r="BM51" s="15">
        <f>IF('ENCUESTA CONDUCTORES'!BU51="X",1,0)</f>
        <v>1</v>
      </c>
      <c r="BN51" s="15">
        <f>IF('ENCUESTA CONDUCTORES'!BV51="X",1,0)</f>
        <v>0</v>
      </c>
      <c r="BO51" s="15">
        <f>IF('ENCUESTA CONDUCTORES'!BW51="X",1,0)</f>
        <v>0</v>
      </c>
      <c r="BP51" s="15">
        <f>+'ENCUESTA CONDUCTORES'!BX51</f>
        <v>3</v>
      </c>
      <c r="BQ51" s="15">
        <f>+'ENCUESTA CONDUCTORES'!BY51</f>
        <v>1</v>
      </c>
      <c r="BR51" s="15">
        <f>+'ENCUESTA CONDUCTORES'!BZ51</f>
        <v>2</v>
      </c>
      <c r="BS51" s="15">
        <f>+'ENCUESTA CONDUCTORES'!CA51</f>
        <v>0</v>
      </c>
      <c r="BT51" s="15">
        <f>IF('ENCUESTA CONDUCTORES'!CB51="X",1,0)</f>
        <v>1</v>
      </c>
      <c r="BU51" s="15">
        <f>IF('ENCUESTA CONDUCTORES'!CC51="X",1,0)</f>
        <v>0</v>
      </c>
      <c r="BV51" s="15">
        <f>IF('ENCUESTA CONDUCTORES'!CD51="X",1,0)</f>
        <v>0</v>
      </c>
      <c r="BW51" s="15">
        <f>IF('ENCUESTA CONDUCTORES'!CE51="X",1,0)</f>
        <v>0</v>
      </c>
      <c r="BX51" s="15">
        <f>IF('ENCUESTA CONDUCTORES'!CF51="X",1,0)</f>
        <v>0</v>
      </c>
      <c r="BY51" s="15">
        <f>IF('ENCUESTA CONDUCTORES'!CG51="X",1,0)</f>
        <v>0</v>
      </c>
      <c r="BZ51" s="15">
        <f>IF('ENCUESTA CONDUCTORES'!CH51="X",1,0)</f>
        <v>0</v>
      </c>
      <c r="CA51" s="15">
        <f>IF('ENCUESTA CONDUCTORES'!CI51="X",1,0)</f>
        <v>0</v>
      </c>
      <c r="CB51" s="15">
        <f>IF('ENCUESTA CONDUCTORES'!CJ51="X",1,0)</f>
        <v>0</v>
      </c>
      <c r="CC51" s="15">
        <f>IF('ENCUESTA CONDUCTORES'!CK51="X",1,0)</f>
        <v>1</v>
      </c>
      <c r="CD51" s="15">
        <f>IF('ENCUESTA CONDUCTORES'!CL51="X",1,0)</f>
        <v>0</v>
      </c>
      <c r="CE51" s="15">
        <f>IF('ENCUESTA CONDUCTORES'!CM51="X",1,0)</f>
        <v>0</v>
      </c>
      <c r="CF51" s="15">
        <f>+'ENCUESTA CONDUCTORES'!CN51</f>
        <v>0</v>
      </c>
      <c r="CG51" s="15">
        <f>IF('ENCUESTA CONDUCTORES'!CO51="X",1,0)</f>
        <v>0</v>
      </c>
      <c r="CH51" s="15" t="str">
        <f>+'ENCUESTA CONDUCTORES'!CP51</f>
        <v>NO SABE</v>
      </c>
      <c r="CI51" s="15" t="str">
        <f>+'ENCUESTA CONDUCTORES'!CQ51</f>
        <v>NO SABE</v>
      </c>
      <c r="CJ51" s="15">
        <f>IF('ENCUESTA CONDUCTORES'!CR51="X",1,0)</f>
        <v>0</v>
      </c>
      <c r="CK51" s="15">
        <f>IF('ENCUESTA CONDUCTORES'!CS51="X",1,0)</f>
        <v>0</v>
      </c>
      <c r="CL51" s="15">
        <f>IF('ENCUESTA CONDUCTORES'!CT51="X",1,0)</f>
        <v>1</v>
      </c>
      <c r="CM51" s="2">
        <f>+'ENCUESTA CONDUCTORES'!CU51</f>
        <v>0</v>
      </c>
      <c r="CN51" s="15">
        <f>IF('ENCUESTA CONDUCTORES'!CV51="X",1,0)</f>
        <v>0</v>
      </c>
      <c r="CO51" s="15">
        <f>+'ENCUESTA CONDUCTORES'!CW51</f>
        <v>0</v>
      </c>
      <c r="CP51" s="15">
        <f>IF('ENCUESTA CONDUCTORES'!CX51="X",1,0)</f>
        <v>0</v>
      </c>
      <c r="CQ51" s="15">
        <f>IF('ENCUESTA CONDUCTORES'!CY51="X",1,0)</f>
        <v>1</v>
      </c>
      <c r="CR51" s="3">
        <f>+'ENCUESTA CONDUCTORES'!CZ51</f>
        <v>0</v>
      </c>
      <c r="CS51" s="49">
        <f>+'ENCUESTA CONDUCTORES'!DA51</f>
        <v>0</v>
      </c>
    </row>
    <row r="52" spans="2:97" x14ac:dyDescent="0.25">
      <c r="B52" s="14" t="str">
        <f>+'ENCUESTA CONDUCTORES'!D52</f>
        <v>C-058</v>
      </c>
      <c r="C52" s="15">
        <f>IF('ENCUESTA CONDUCTORES'!E52="X",1,0)</f>
        <v>1</v>
      </c>
      <c r="D52" s="15">
        <f>IF('ENCUESTA CONDUCTORES'!F52="X",1,0)</f>
        <v>0</v>
      </c>
      <c r="E52" s="15">
        <f>IF('ENCUESTA CONDUCTORES'!G52="X",1,0)</f>
        <v>0</v>
      </c>
      <c r="F52" s="15">
        <f>IF('ENCUESTA CONDUCTORES'!H52="X",1,0)</f>
        <v>0</v>
      </c>
      <c r="G52" s="15">
        <f>+'ENCUESTA CONDUCTORES'!I52</f>
        <v>63</v>
      </c>
      <c r="H52" s="15" t="str">
        <f>+'ENCUESTA CONDUCTORES'!J52</f>
        <v>M</v>
      </c>
      <c r="I52" s="15" t="str">
        <f>+'ENCUESTA CONDUCTORES'!K52</f>
        <v>PRIMARIA</v>
      </c>
      <c r="J52" s="15" t="str">
        <f>+'ENCUESTA CONDUCTORES'!L52</f>
        <v>XOCHIMILCO, D.F.</v>
      </c>
      <c r="K52" s="15" t="str">
        <f>+'ENCUESTA CONDUCTORES'!M52</f>
        <v>XOCHIMILCO</v>
      </c>
      <c r="L52" s="15" t="str">
        <f>+'ENCUESTA CONDUCTORES'!N52</f>
        <v>D.F.</v>
      </c>
      <c r="M52" s="15">
        <f>+'ENCUESTA CONDUCTORES'!O52</f>
        <v>35</v>
      </c>
      <c r="N52" s="15">
        <f>IF('ENCUESTA CONDUCTORES'!P52="X",1,0)</f>
        <v>0</v>
      </c>
      <c r="O52" s="15">
        <f>IF('ENCUESTA CONDUCTORES'!Q52="X",1,0)</f>
        <v>0</v>
      </c>
      <c r="P52" s="15">
        <f>IF('ENCUESTA CONDUCTORES'!R52="X",1,0)</f>
        <v>0</v>
      </c>
      <c r="Q52" s="15">
        <f>IF('ENCUESTA CONDUCTORES'!S52="X",1,0)</f>
        <v>1</v>
      </c>
      <c r="R52" s="15">
        <f>IF('ENCUESTA CONDUCTORES'!T52="X",1,0)</f>
        <v>0</v>
      </c>
      <c r="S52" s="15">
        <f>IF('ENCUESTA CONDUCTORES'!U52="X",1,0)</f>
        <v>0</v>
      </c>
      <c r="T52" s="15">
        <f>IF('ENCUESTA CONDUCTORES'!V52="X",1,0)</f>
        <v>0</v>
      </c>
      <c r="U52" s="15">
        <f>IF('ENCUESTA CONDUCTORES'!W52="X",1,0)</f>
        <v>1</v>
      </c>
      <c r="V52" s="15">
        <f>IF('ENCUESTA CONDUCTORES'!X52="X",1,0)</f>
        <v>0</v>
      </c>
      <c r="W52" s="15">
        <f>IF('ENCUESTA CONDUCTORES'!Y52="X",1,0)</f>
        <v>0</v>
      </c>
      <c r="X52" s="15">
        <f>IF('ENCUESTA CONDUCTORES'!Z52="X",1,0)</f>
        <v>0</v>
      </c>
      <c r="Y52" s="15">
        <f>+'ENCUESTA CONDUCTORES'!AG52</f>
        <v>0</v>
      </c>
      <c r="Z52" s="15">
        <f>+'ENCUESTA CONDUCTORES'!AH52</f>
        <v>1983</v>
      </c>
      <c r="AA52" s="1">
        <f>+'ENCUESTA CONDUCTORES'!AI52</f>
        <v>1600000</v>
      </c>
      <c r="AB52" s="15">
        <f>IF('ENCUESTA CONDUCTORES'!AJ52="X",1,0)</f>
        <v>0</v>
      </c>
      <c r="AC52" s="15">
        <f>IF('ENCUESTA CONDUCTORES'!AK52="X",1,0)</f>
        <v>0</v>
      </c>
      <c r="AD52" s="15">
        <f>IF('ENCUESTA CONDUCTORES'!AL52="X",1,0)</f>
        <v>1</v>
      </c>
      <c r="AE52" s="15">
        <f>IF('ENCUESTA CONDUCTORES'!AM52="X",1,0)</f>
        <v>0</v>
      </c>
      <c r="AF52" s="15">
        <f>IF('ENCUESTA CONDUCTORES'!AN52="X",1,0)</f>
        <v>0</v>
      </c>
      <c r="AG52" s="15">
        <f>IF('ENCUESTA CONDUCTORES'!AO52="X",1,0)</f>
        <v>0</v>
      </c>
      <c r="AH52" s="15">
        <f>IF('ENCUESTA CONDUCTORES'!AP52="X",1,0)</f>
        <v>1</v>
      </c>
      <c r="AI52" s="15">
        <f>IF('ENCUESTA CONDUCTORES'!AQ52="X",1,0)</f>
        <v>0</v>
      </c>
      <c r="AJ52" s="15">
        <f>IF('ENCUESTA CONDUCTORES'!AR52="X",1,0)</f>
        <v>0</v>
      </c>
      <c r="AK52" s="15">
        <f>+'ENCUESTA CONDUCTORES'!AS52</f>
        <v>0</v>
      </c>
      <c r="AL52" s="15" t="str">
        <f>+'ENCUESTA CONDUCTORES'!AT52</f>
        <v>CUMMINS</v>
      </c>
      <c r="AM52" s="1">
        <f>+'ENCUESTA CONDUCTORES'!AU52</f>
        <v>6500</v>
      </c>
      <c r="AN52" s="48">
        <f>+'ENCUESTA CONDUCTORES'!AV52</f>
        <v>0.5</v>
      </c>
      <c r="AO52" s="15">
        <f>+'ENCUESTA CONDUCTORES'!AW52</f>
        <v>2.2999999999999998</v>
      </c>
      <c r="AP52" s="15">
        <f>+'ENCUESTA CONDUCTORES'!AX52</f>
        <v>1.3</v>
      </c>
      <c r="AQ52" s="15">
        <f>+'ENCUESTA CONDUCTORES'!AY52</f>
        <v>2</v>
      </c>
      <c r="AR52" s="15">
        <f>+'ENCUESTA CONDUCTORES'!AZ52</f>
        <v>550</v>
      </c>
      <c r="AS52" s="15">
        <f>+'ENCUESTA CONDUCTORES'!BA52</f>
        <v>1500</v>
      </c>
      <c r="AT52" s="15">
        <f>IF('ENCUESTA CONDUCTORES'!BB52="X",1,0)</f>
        <v>0</v>
      </c>
      <c r="AU52" s="15">
        <f>IF('ENCUESTA CONDUCTORES'!BC52="X",1,0)</f>
        <v>0</v>
      </c>
      <c r="AV52" s="15">
        <f>IF('ENCUESTA CONDUCTORES'!BD52="X",1,0)</f>
        <v>0</v>
      </c>
      <c r="AW52" s="1">
        <f>+'ENCUESTA CONDUCTORES'!BE52</f>
        <v>15000</v>
      </c>
      <c r="AX52" s="1">
        <f>+'ENCUESTA CONDUCTORES'!BF52</f>
        <v>60000</v>
      </c>
      <c r="AY52" s="1">
        <f>+'ENCUESTA CONDUCTORES'!BG52</f>
        <v>60000</v>
      </c>
      <c r="AZ52" s="1">
        <f>+'ENCUESTA CONDUCTORES'!BH52</f>
        <v>120000</v>
      </c>
      <c r="BA52" s="1">
        <f>+'ENCUESTA CONDUCTORES'!BI52</f>
        <v>60000</v>
      </c>
      <c r="BB52" s="15">
        <f>IF('ENCUESTA CONDUCTORES'!BJ52="X",1,0)</f>
        <v>0</v>
      </c>
      <c r="BC52" s="15">
        <f>IF('ENCUESTA CONDUCTORES'!BK52="X",1,0)</f>
        <v>0</v>
      </c>
      <c r="BD52" s="15">
        <f>IF('ENCUESTA CONDUCTORES'!BL52="X",1,0)</f>
        <v>0</v>
      </c>
      <c r="BE52" s="15">
        <f>IF('ENCUESTA CONDUCTORES'!BM52="X",1,0)</f>
        <v>0</v>
      </c>
      <c r="BF52" s="15">
        <f>IF('ENCUESTA CONDUCTORES'!BN52="X",1,0)</f>
        <v>0</v>
      </c>
      <c r="BG52" s="15">
        <f>IF('ENCUESTA CONDUCTORES'!BO52="X",1,0)</f>
        <v>1</v>
      </c>
      <c r="BH52" s="15">
        <f>IF('ENCUESTA CONDUCTORES'!BP52="X",1,0)</f>
        <v>0</v>
      </c>
      <c r="BI52" s="15">
        <f>IF('ENCUESTA CONDUCTORES'!BQ52="X",1,0)</f>
        <v>0</v>
      </c>
      <c r="BJ52" s="15">
        <f>IF('ENCUESTA CONDUCTORES'!BR52="X",1,0)</f>
        <v>0</v>
      </c>
      <c r="BK52" s="15">
        <f>+'ENCUESTA CONDUCTORES'!BS52</f>
        <v>0</v>
      </c>
      <c r="BL52" s="15">
        <f>IF('ENCUESTA CONDUCTORES'!BT52="X",1,0)</f>
        <v>0</v>
      </c>
      <c r="BM52" s="15">
        <f>IF('ENCUESTA CONDUCTORES'!BU52="X",1,0)</f>
        <v>0</v>
      </c>
      <c r="BN52" s="15">
        <f>IF('ENCUESTA CONDUCTORES'!BV52="X",1,0)</f>
        <v>1</v>
      </c>
      <c r="BO52" s="15">
        <f>IF('ENCUESTA CONDUCTORES'!BW52="X",1,0)</f>
        <v>0</v>
      </c>
      <c r="BP52" s="15">
        <f>+'ENCUESTA CONDUCTORES'!BX52</f>
        <v>2</v>
      </c>
      <c r="BQ52" s="15">
        <f>+'ENCUESTA CONDUCTORES'!BY52</f>
        <v>3</v>
      </c>
      <c r="BR52" s="15">
        <f>+'ENCUESTA CONDUCTORES'!BZ52</f>
        <v>1</v>
      </c>
      <c r="BS52" s="15">
        <f>+'ENCUESTA CONDUCTORES'!CA52</f>
        <v>0</v>
      </c>
      <c r="BT52" s="15">
        <f>IF('ENCUESTA CONDUCTORES'!CB52="X",1,0)</f>
        <v>1</v>
      </c>
      <c r="BU52" s="15">
        <f>IF('ENCUESTA CONDUCTORES'!CC52="X",1,0)</f>
        <v>0</v>
      </c>
      <c r="BV52" s="15">
        <f>IF('ENCUESTA CONDUCTORES'!CD52="X",1,0)</f>
        <v>0</v>
      </c>
      <c r="BW52" s="15">
        <f>IF('ENCUESTA CONDUCTORES'!CE52="X",1,0)</f>
        <v>0</v>
      </c>
      <c r="BX52" s="15">
        <f>IF('ENCUESTA CONDUCTORES'!CF52="X",1,0)</f>
        <v>0</v>
      </c>
      <c r="BY52" s="15">
        <f>IF('ENCUESTA CONDUCTORES'!CG52="X",1,0)</f>
        <v>0</v>
      </c>
      <c r="BZ52" s="15">
        <f>IF('ENCUESTA CONDUCTORES'!CH52="X",1,0)</f>
        <v>0</v>
      </c>
      <c r="CA52" s="15">
        <f>IF('ENCUESTA CONDUCTORES'!CI52="X",1,0)</f>
        <v>0</v>
      </c>
      <c r="CB52" s="15">
        <f>IF('ENCUESTA CONDUCTORES'!CJ52="X",1,0)</f>
        <v>0</v>
      </c>
      <c r="CC52" s="15">
        <f>IF('ENCUESTA CONDUCTORES'!CK52="X",1,0)</f>
        <v>1</v>
      </c>
      <c r="CD52" s="15">
        <f>IF('ENCUESTA CONDUCTORES'!CL52="X",1,0)</f>
        <v>0</v>
      </c>
      <c r="CE52" s="15">
        <f>IF('ENCUESTA CONDUCTORES'!CM52="X",1,0)</f>
        <v>0</v>
      </c>
      <c r="CF52" s="15">
        <f>+'ENCUESTA CONDUCTORES'!CN52</f>
        <v>0</v>
      </c>
      <c r="CG52" s="15">
        <f>IF('ENCUESTA CONDUCTORES'!CO52="X",1,0)</f>
        <v>0</v>
      </c>
      <c r="CH52" s="15" t="str">
        <f>+'ENCUESTA CONDUCTORES'!CP52</f>
        <v>NO SABE</v>
      </c>
      <c r="CI52" s="15" t="str">
        <f>+'ENCUESTA CONDUCTORES'!CQ52</f>
        <v>QUE ME LO EXPLIQUEN</v>
      </c>
      <c r="CJ52" s="15">
        <f>IF('ENCUESTA CONDUCTORES'!CR52="X",1,0)</f>
        <v>0</v>
      </c>
      <c r="CK52" s="15">
        <f>IF('ENCUESTA CONDUCTORES'!CS52="X",1,0)</f>
        <v>1</v>
      </c>
      <c r="CL52" s="15">
        <f>IF('ENCUESTA CONDUCTORES'!CT52="X",1,0)</f>
        <v>0</v>
      </c>
      <c r="CM52" s="15">
        <f>+'ENCUESTA CONDUCTORES'!CU52</f>
        <v>0</v>
      </c>
      <c r="CN52" s="15">
        <f>IF('ENCUESTA CONDUCTORES'!CV52="X",1,0)</f>
        <v>1</v>
      </c>
      <c r="CO52" s="15" t="str">
        <f>+'ENCUESTA CONDUCTORES'!CW52</f>
        <v>NO TIENE TIEMPO</v>
      </c>
      <c r="CP52" s="15">
        <f>IF('ENCUESTA CONDUCTORES'!CX52="X",1,0)</f>
        <v>0</v>
      </c>
      <c r="CQ52" s="15">
        <f>IF('ENCUESTA CONDUCTORES'!CY52="X",1,0)</f>
        <v>0</v>
      </c>
      <c r="CR52" s="3">
        <f>+'ENCUESTA CONDUCTORES'!CZ52</f>
        <v>0</v>
      </c>
      <c r="CS52" s="49">
        <f>+'ENCUESTA CONDUCTORES'!DA52</f>
        <v>0</v>
      </c>
    </row>
    <row r="53" spans="2:97" x14ac:dyDescent="0.25">
      <c r="B53" s="14" t="str">
        <f>+'ENCUESTA CONDUCTORES'!D53</f>
        <v>C-059</v>
      </c>
      <c r="C53" s="15">
        <f>IF('ENCUESTA CONDUCTORES'!E53="X",1,0)</f>
        <v>0</v>
      </c>
      <c r="D53" s="15">
        <f>IF('ENCUESTA CONDUCTORES'!F53="X",1,0)</f>
        <v>0</v>
      </c>
      <c r="E53" s="15">
        <f>IF('ENCUESTA CONDUCTORES'!G53="X",1,0)</f>
        <v>0</v>
      </c>
      <c r="F53" s="15">
        <f>IF('ENCUESTA CONDUCTORES'!H53="X",1,0)</f>
        <v>1</v>
      </c>
      <c r="G53" s="15">
        <f>+'ENCUESTA CONDUCTORES'!I53</f>
        <v>38</v>
      </c>
      <c r="H53" s="15" t="str">
        <f>+'ENCUESTA CONDUCTORES'!J53</f>
        <v>M</v>
      </c>
      <c r="I53" s="15" t="str">
        <f>+'ENCUESTA CONDUCTORES'!K53</f>
        <v>SECUNDARIA</v>
      </c>
      <c r="J53" s="15" t="str">
        <f>+'ENCUESTA CONDUCTORES'!L53</f>
        <v>IXTAPALUCA, EDO. DE MEX.</v>
      </c>
      <c r="K53" s="15" t="str">
        <f>+'ENCUESTA CONDUCTORES'!M53</f>
        <v>IXTAPALUCA</v>
      </c>
      <c r="L53" s="15" t="str">
        <f>+'ENCUESTA CONDUCTORES'!N53</f>
        <v>EDO. MEX.</v>
      </c>
      <c r="M53" s="15">
        <f>+'ENCUESTA CONDUCTORES'!O53</f>
        <v>4</v>
      </c>
      <c r="N53" s="15">
        <f>IF('ENCUESTA CONDUCTORES'!P53="X",1,0)</f>
        <v>0</v>
      </c>
      <c r="O53" s="15">
        <f>IF('ENCUESTA CONDUCTORES'!Q53="X",1,0)</f>
        <v>0</v>
      </c>
      <c r="P53" s="15">
        <f>IF('ENCUESTA CONDUCTORES'!R53="X",1,0)</f>
        <v>0</v>
      </c>
      <c r="Q53" s="15">
        <f>IF('ENCUESTA CONDUCTORES'!S53="X",1,0)</f>
        <v>1</v>
      </c>
      <c r="R53" s="15">
        <f>IF('ENCUESTA CONDUCTORES'!T53="X",1,0)</f>
        <v>0</v>
      </c>
      <c r="S53" s="15">
        <f>IF('ENCUESTA CONDUCTORES'!U53="X",1,0)</f>
        <v>0</v>
      </c>
      <c r="T53" s="15">
        <f>IF('ENCUESTA CONDUCTORES'!V53="X",1,0)</f>
        <v>0</v>
      </c>
      <c r="U53" s="15">
        <f>IF('ENCUESTA CONDUCTORES'!W53="X",1,0)</f>
        <v>0</v>
      </c>
      <c r="V53" s="15">
        <f>IF('ENCUESTA CONDUCTORES'!X53="X",1,0)</f>
        <v>1</v>
      </c>
      <c r="W53" s="15">
        <f>IF('ENCUESTA CONDUCTORES'!Y53="X",1,0)</f>
        <v>0</v>
      </c>
      <c r="X53" s="15">
        <f>IF('ENCUESTA CONDUCTORES'!Z53="X",1,0)</f>
        <v>0</v>
      </c>
      <c r="Y53" s="15">
        <f>+'ENCUESTA CONDUCTORES'!AG53</f>
        <v>0</v>
      </c>
      <c r="Z53" s="15">
        <f>+'ENCUESTA CONDUCTORES'!AH53</f>
        <v>2006</v>
      </c>
      <c r="AA53" s="1">
        <f>+'ENCUESTA CONDUCTORES'!AI53</f>
        <v>1150000</v>
      </c>
      <c r="AB53" s="15">
        <f>IF('ENCUESTA CONDUCTORES'!AJ53="X",1,0)</f>
        <v>0</v>
      </c>
      <c r="AC53" s="15">
        <f>IF('ENCUESTA CONDUCTORES'!AK53="X",1,0)</f>
        <v>0</v>
      </c>
      <c r="AD53" s="15">
        <f>IF('ENCUESTA CONDUCTORES'!AL53="X",1,0)</f>
        <v>1</v>
      </c>
      <c r="AE53" s="15">
        <f>IF('ENCUESTA CONDUCTORES'!AM53="X",1,0)</f>
        <v>0</v>
      </c>
      <c r="AF53" s="15">
        <f>IF('ENCUESTA CONDUCTORES'!AN53="X",1,0)</f>
        <v>0</v>
      </c>
      <c r="AG53" s="15">
        <f>IF('ENCUESTA CONDUCTORES'!AO53="X",1,0)</f>
        <v>0</v>
      </c>
      <c r="AH53" s="15">
        <f>IF('ENCUESTA CONDUCTORES'!AP53="X",1,0)</f>
        <v>1</v>
      </c>
      <c r="AI53" s="15">
        <f>IF('ENCUESTA CONDUCTORES'!AQ53="X",1,0)</f>
        <v>0</v>
      </c>
      <c r="AJ53" s="15">
        <f>IF('ENCUESTA CONDUCTORES'!AR53="X",1,0)</f>
        <v>0</v>
      </c>
      <c r="AK53" s="15">
        <f>+'ENCUESTA CONDUCTORES'!AS53</f>
        <v>0</v>
      </c>
      <c r="AL53" s="15" t="str">
        <f>+'ENCUESTA CONDUCTORES'!AT53</f>
        <v>CUMMINS</v>
      </c>
      <c r="AM53" s="1">
        <f>+'ENCUESTA CONDUCTORES'!AU53</f>
        <v>14000</v>
      </c>
      <c r="AN53" s="48">
        <f>+'ENCUESTA CONDUCTORES'!AV53</f>
        <v>0.2</v>
      </c>
      <c r="AO53" s="15">
        <f>+'ENCUESTA CONDUCTORES'!AW53</f>
        <v>3.2</v>
      </c>
      <c r="AP53" s="15">
        <f>+'ENCUESTA CONDUCTORES'!AX53</f>
        <v>2.8</v>
      </c>
      <c r="AQ53" s="15">
        <f>+'ENCUESTA CONDUCTORES'!AY53</f>
        <v>3</v>
      </c>
      <c r="AR53" s="15">
        <f>+'ENCUESTA CONDUCTORES'!AZ53</f>
        <v>1300</v>
      </c>
      <c r="AS53" s="15">
        <f>+'ENCUESTA CONDUCTORES'!BA53</f>
        <v>3900</v>
      </c>
      <c r="AT53" s="15">
        <f>IF('ENCUESTA CONDUCTORES'!BB53="X",1,0)</f>
        <v>1</v>
      </c>
      <c r="AU53" s="15">
        <f>IF('ENCUESTA CONDUCTORES'!BC53="X",1,0)</f>
        <v>1</v>
      </c>
      <c r="AV53" s="15">
        <f>IF('ENCUESTA CONDUCTORES'!BD53="X",1,0)</f>
        <v>1</v>
      </c>
      <c r="AW53" s="1">
        <f>+'ENCUESTA CONDUCTORES'!BE53</f>
        <v>30000</v>
      </c>
      <c r="AX53" s="1">
        <f>+'ENCUESTA CONDUCTORES'!BF53</f>
        <v>30000</v>
      </c>
      <c r="AY53" s="1">
        <f>+'ENCUESTA CONDUCTORES'!BG53</f>
        <v>30000</v>
      </c>
      <c r="AZ53" s="1">
        <f>+'ENCUESTA CONDUCTORES'!BH53</f>
        <v>160000</v>
      </c>
      <c r="BA53" s="1">
        <f>+'ENCUESTA CONDUCTORES'!BI53</f>
        <v>30000</v>
      </c>
      <c r="BB53" s="15">
        <f>IF('ENCUESTA CONDUCTORES'!BJ53="X",1,0)</f>
        <v>0</v>
      </c>
      <c r="BC53" s="15">
        <f>IF('ENCUESTA CONDUCTORES'!BK53="X",1,0)</f>
        <v>0</v>
      </c>
      <c r="BD53" s="15">
        <f>IF('ENCUESTA CONDUCTORES'!BL53="X",1,0)</f>
        <v>0</v>
      </c>
      <c r="BE53" s="15">
        <f>IF('ENCUESTA CONDUCTORES'!BM53="X",1,0)</f>
        <v>0</v>
      </c>
      <c r="BF53" s="15">
        <f>IF('ENCUESTA CONDUCTORES'!BN53="X",1,0)</f>
        <v>0</v>
      </c>
      <c r="BG53" s="15">
        <f>IF('ENCUESTA CONDUCTORES'!BO53="X",1,0)</f>
        <v>0</v>
      </c>
      <c r="BH53" s="15">
        <f>IF('ENCUESTA CONDUCTORES'!BP53="X",1,0)</f>
        <v>0</v>
      </c>
      <c r="BI53" s="15">
        <f>IF('ENCUESTA CONDUCTORES'!BQ53="X",1,0)</f>
        <v>1</v>
      </c>
      <c r="BJ53" s="15">
        <f>IF('ENCUESTA CONDUCTORES'!BR53="X",1,0)</f>
        <v>0</v>
      </c>
      <c r="BK53" s="15">
        <f>+'ENCUESTA CONDUCTORES'!BS53</f>
        <v>0</v>
      </c>
      <c r="BL53" s="15">
        <f>IF('ENCUESTA CONDUCTORES'!BT53="X",1,0)</f>
        <v>0</v>
      </c>
      <c r="BM53" s="15">
        <f>IF('ENCUESTA CONDUCTORES'!BU53="X",1,0)</f>
        <v>1</v>
      </c>
      <c r="BN53" s="15">
        <f>IF('ENCUESTA CONDUCTORES'!BV53="X",1,0)</f>
        <v>0</v>
      </c>
      <c r="BO53" s="15">
        <f>IF('ENCUESTA CONDUCTORES'!BW53="X",1,0)</f>
        <v>0</v>
      </c>
      <c r="BP53" s="15">
        <f>+'ENCUESTA CONDUCTORES'!BX53</f>
        <v>1</v>
      </c>
      <c r="BQ53" s="15">
        <f>+'ENCUESTA CONDUCTORES'!BY53</f>
        <v>2</v>
      </c>
      <c r="BR53" s="15">
        <f>+'ENCUESTA CONDUCTORES'!BZ53</f>
        <v>3</v>
      </c>
      <c r="BS53" s="15">
        <f>+'ENCUESTA CONDUCTORES'!CA53</f>
        <v>0</v>
      </c>
      <c r="BT53" s="15">
        <f>IF('ENCUESTA CONDUCTORES'!CB53="X",1,0)</f>
        <v>0</v>
      </c>
      <c r="BU53" s="15">
        <f>IF('ENCUESTA CONDUCTORES'!CC53="X",1,0)</f>
        <v>1</v>
      </c>
      <c r="BV53" s="15">
        <f>IF('ENCUESTA CONDUCTORES'!CD53="X",1,0)</f>
        <v>0</v>
      </c>
      <c r="BW53" s="15">
        <f>IF('ENCUESTA CONDUCTORES'!CE53="X",1,0)</f>
        <v>1</v>
      </c>
      <c r="BX53" s="15">
        <f>IF('ENCUESTA CONDUCTORES'!CF53="X",1,0)</f>
        <v>0</v>
      </c>
      <c r="BY53" s="15">
        <f>IF('ENCUESTA CONDUCTORES'!CG53="X",1,0)</f>
        <v>0</v>
      </c>
      <c r="BZ53" s="15">
        <f>IF('ENCUESTA CONDUCTORES'!CH53="X",1,0)</f>
        <v>1</v>
      </c>
      <c r="CA53" s="15">
        <f>IF('ENCUESTA CONDUCTORES'!CI53="X",1,0)</f>
        <v>1</v>
      </c>
      <c r="CB53" s="15">
        <f>IF('ENCUESTA CONDUCTORES'!CJ53="X",1,0)</f>
        <v>0</v>
      </c>
      <c r="CC53" s="15">
        <f>IF('ENCUESTA CONDUCTORES'!CK53="X",1,0)</f>
        <v>1</v>
      </c>
      <c r="CD53" s="15">
        <f>IF('ENCUESTA CONDUCTORES'!CL53="X",1,0)</f>
        <v>0</v>
      </c>
      <c r="CE53" s="15">
        <f>IF('ENCUESTA CONDUCTORES'!CM53="X",1,0)</f>
        <v>0</v>
      </c>
      <c r="CF53" s="15">
        <f>+'ENCUESTA CONDUCTORES'!CN53</f>
        <v>0</v>
      </c>
      <c r="CG53" s="15">
        <f>IF('ENCUESTA CONDUCTORES'!CO53="X",1,0)</f>
        <v>0</v>
      </c>
      <c r="CH53" s="15" t="str">
        <f>+'ENCUESTA CONDUCTORES'!CP53</f>
        <v>NO SABE</v>
      </c>
      <c r="CI53" s="15" t="str">
        <f>+'ENCUESTA CONDUCTORES'!CQ53</f>
        <v>PUBLICIDAD</v>
      </c>
      <c r="CJ53" s="15">
        <f>IF('ENCUESTA CONDUCTORES'!CR53="X",1,0)</f>
        <v>1</v>
      </c>
      <c r="CK53" s="15">
        <f>IF('ENCUESTA CONDUCTORES'!CS53="X",1,0)</f>
        <v>0</v>
      </c>
      <c r="CL53" s="15">
        <f>IF('ENCUESTA CONDUCTORES'!CT53="X",1,0)</f>
        <v>0</v>
      </c>
      <c r="CM53" s="2">
        <f>+'ENCUESTA CONDUCTORES'!CU53</f>
        <v>0</v>
      </c>
      <c r="CN53" s="15">
        <f>IF('ENCUESTA CONDUCTORES'!CV53="X",1,0)</f>
        <v>0</v>
      </c>
      <c r="CO53" s="15">
        <f>+'ENCUESTA CONDUCTORES'!CW53</f>
        <v>0</v>
      </c>
      <c r="CP53" s="15">
        <f>IF('ENCUESTA CONDUCTORES'!CX53="X",1,0)</f>
        <v>0</v>
      </c>
      <c r="CQ53" s="15">
        <f>IF('ENCUESTA CONDUCTORES'!CY53="X",1,0)</f>
        <v>1</v>
      </c>
      <c r="CR53" s="3">
        <f>+'ENCUESTA CONDUCTORES'!CZ53</f>
        <v>0</v>
      </c>
      <c r="CS53" s="49">
        <f>+'ENCUESTA CONDUCTORES'!DA53</f>
        <v>0</v>
      </c>
    </row>
    <row r="54" spans="2:97" x14ac:dyDescent="0.25">
      <c r="B54" s="14" t="str">
        <f>+'ENCUESTA CONDUCTORES'!D54</f>
        <v>C-060</v>
      </c>
      <c r="C54" s="15">
        <f>IF('ENCUESTA CONDUCTORES'!E54="X",1,0)</f>
        <v>0</v>
      </c>
      <c r="D54" s="15">
        <f>IF('ENCUESTA CONDUCTORES'!F54="X",1,0)</f>
        <v>0</v>
      </c>
      <c r="E54" s="15">
        <f>IF('ENCUESTA CONDUCTORES'!G54="X",1,0)</f>
        <v>0</v>
      </c>
      <c r="F54" s="15">
        <f>IF('ENCUESTA CONDUCTORES'!H54="X",1,0)</f>
        <v>1</v>
      </c>
      <c r="G54" s="15">
        <f>+'ENCUESTA CONDUCTORES'!I54</f>
        <v>43</v>
      </c>
      <c r="H54" s="15" t="str">
        <f>+'ENCUESTA CONDUCTORES'!J54</f>
        <v>M</v>
      </c>
      <c r="I54" s="15" t="str">
        <f>+'ENCUESTA CONDUCTORES'!K54</f>
        <v>SECUNDARIA</v>
      </c>
      <c r="J54" s="15" t="str">
        <f>+'ENCUESTA CONDUCTORES'!L54</f>
        <v>IZTACALCO, D.F.</v>
      </c>
      <c r="K54" s="15" t="str">
        <f>+'ENCUESTA CONDUCTORES'!M54</f>
        <v>IZTACALCO</v>
      </c>
      <c r="L54" s="15" t="str">
        <f>+'ENCUESTA CONDUCTORES'!N54</f>
        <v>D.F.</v>
      </c>
      <c r="M54" s="15">
        <f>+'ENCUESTA CONDUCTORES'!O54</f>
        <v>23</v>
      </c>
      <c r="N54" s="15">
        <f>IF('ENCUESTA CONDUCTORES'!P54="X",1,0)</f>
        <v>1</v>
      </c>
      <c r="O54" s="15">
        <f>IF('ENCUESTA CONDUCTORES'!Q54="X",1,0)</f>
        <v>0</v>
      </c>
      <c r="P54" s="15">
        <f>IF('ENCUESTA CONDUCTORES'!R54="X",1,0)</f>
        <v>0</v>
      </c>
      <c r="Q54" s="15">
        <f>IF('ENCUESTA CONDUCTORES'!S54="X",1,0)</f>
        <v>0</v>
      </c>
      <c r="R54" s="15">
        <f>IF('ENCUESTA CONDUCTORES'!T54="X",1,0)</f>
        <v>0</v>
      </c>
      <c r="S54" s="15">
        <f>IF('ENCUESTA CONDUCTORES'!U54="X",1,0)</f>
        <v>1</v>
      </c>
      <c r="T54" s="15">
        <f>IF('ENCUESTA CONDUCTORES'!V54="X",1,0)</f>
        <v>0</v>
      </c>
      <c r="U54" s="15">
        <f>IF('ENCUESTA CONDUCTORES'!W54="X",1,0)</f>
        <v>0</v>
      </c>
      <c r="V54" s="15">
        <f>IF('ENCUESTA CONDUCTORES'!X54="X",1,0)</f>
        <v>0</v>
      </c>
      <c r="W54" s="15">
        <f>IF('ENCUESTA CONDUCTORES'!Y54="X",1,0)</f>
        <v>0</v>
      </c>
      <c r="X54" s="15">
        <f>IF('ENCUESTA CONDUCTORES'!Z54="X",1,0)</f>
        <v>0</v>
      </c>
      <c r="Y54" s="15">
        <f>+'ENCUESTA CONDUCTORES'!AG54</f>
        <v>0</v>
      </c>
      <c r="Z54" s="15">
        <f>+'ENCUESTA CONDUCTORES'!AH54</f>
        <v>1995</v>
      </c>
      <c r="AA54" s="1">
        <f>+'ENCUESTA CONDUCTORES'!AI54</f>
        <v>1450000</v>
      </c>
      <c r="AB54" s="15">
        <f>IF('ENCUESTA CONDUCTORES'!AJ54="X",1,0)</f>
        <v>0</v>
      </c>
      <c r="AC54" s="15">
        <f>IF('ENCUESTA CONDUCTORES'!AK54="X",1,0)</f>
        <v>0</v>
      </c>
      <c r="AD54" s="15">
        <f>IF('ENCUESTA CONDUCTORES'!AL54="X",1,0)</f>
        <v>1</v>
      </c>
      <c r="AE54" s="15">
        <f>IF('ENCUESTA CONDUCTORES'!AM54="X",1,0)</f>
        <v>0</v>
      </c>
      <c r="AF54" s="15">
        <f>IF('ENCUESTA CONDUCTORES'!AN54="X",1,0)</f>
        <v>0</v>
      </c>
      <c r="AG54" s="15">
        <f>IF('ENCUESTA CONDUCTORES'!AO54="X",1,0)</f>
        <v>1</v>
      </c>
      <c r="AH54" s="15">
        <f>IF('ENCUESTA CONDUCTORES'!AP54="X",1,0)</f>
        <v>0</v>
      </c>
      <c r="AI54" s="15">
        <f>IF('ENCUESTA CONDUCTORES'!AQ54="X",1,0)</f>
        <v>0</v>
      </c>
      <c r="AJ54" s="15">
        <f>IF('ENCUESTA CONDUCTORES'!AR54="X",1,0)</f>
        <v>0</v>
      </c>
      <c r="AK54" s="15">
        <f>+'ENCUESTA CONDUCTORES'!AS54</f>
        <v>0</v>
      </c>
      <c r="AL54" s="15" t="str">
        <f>+'ENCUESTA CONDUCTORES'!AT54</f>
        <v>MERCEDES BENZ</v>
      </c>
      <c r="AM54" s="1">
        <f>+'ENCUESTA CONDUCTORES'!AU54</f>
        <v>6500</v>
      </c>
      <c r="AN54" s="48">
        <f>+'ENCUESTA CONDUCTORES'!AV54</f>
        <v>0.5</v>
      </c>
      <c r="AO54" s="15">
        <f>+'ENCUESTA CONDUCTORES'!AW54</f>
        <v>3.5</v>
      </c>
      <c r="AP54" s="15">
        <f>+'ENCUESTA CONDUCTORES'!AX54</f>
        <v>3</v>
      </c>
      <c r="AQ54" s="15">
        <f>+'ENCUESTA CONDUCTORES'!AY54</f>
        <v>1</v>
      </c>
      <c r="AR54" s="15">
        <f>+'ENCUESTA CONDUCTORES'!AZ54</f>
        <v>380</v>
      </c>
      <c r="AS54" s="15">
        <f>+'ENCUESTA CONDUCTORES'!BA54</f>
        <v>900</v>
      </c>
      <c r="AT54" s="15">
        <f>IF('ENCUESTA CONDUCTORES'!BB54="X",1,0)</f>
        <v>1</v>
      </c>
      <c r="AU54" s="15">
        <f>IF('ENCUESTA CONDUCTORES'!BC54="X",1,0)</f>
        <v>0</v>
      </c>
      <c r="AV54" s="15">
        <f>IF('ENCUESTA CONDUCTORES'!BD54="X",1,0)</f>
        <v>0</v>
      </c>
      <c r="AW54" s="1">
        <f>+'ENCUESTA CONDUCTORES'!BE54</f>
        <v>10000</v>
      </c>
      <c r="AX54" s="1">
        <f>+'ENCUESTA CONDUCTORES'!BF54</f>
        <v>25000</v>
      </c>
      <c r="AY54" s="1">
        <f>+'ENCUESTA CONDUCTORES'!BG54</f>
        <v>10000</v>
      </c>
      <c r="AZ54" s="1">
        <f>+'ENCUESTA CONDUCTORES'!BH54</f>
        <v>80000</v>
      </c>
      <c r="BA54" s="1">
        <f>+'ENCUESTA CONDUCTORES'!BI54</f>
        <v>10000</v>
      </c>
      <c r="BB54" s="15">
        <f>IF('ENCUESTA CONDUCTORES'!BJ54="X",1,0)</f>
        <v>0</v>
      </c>
      <c r="BC54" s="15">
        <f>IF('ENCUESTA CONDUCTORES'!BK54="X",1,0)</f>
        <v>0</v>
      </c>
      <c r="BD54" s="15">
        <f>IF('ENCUESTA CONDUCTORES'!BL54="X",1,0)</f>
        <v>1</v>
      </c>
      <c r="BE54" s="15">
        <f>IF('ENCUESTA CONDUCTORES'!BM54="X",1,0)</f>
        <v>0</v>
      </c>
      <c r="BF54" s="15">
        <f>IF('ENCUESTA CONDUCTORES'!BN54="X",1,0)</f>
        <v>0</v>
      </c>
      <c r="BG54" s="15">
        <f>IF('ENCUESTA CONDUCTORES'!BO54="X",1,0)</f>
        <v>0</v>
      </c>
      <c r="BH54" s="15">
        <f>IF('ENCUESTA CONDUCTORES'!BP54="X",1,0)</f>
        <v>0</v>
      </c>
      <c r="BI54" s="15">
        <f>IF('ENCUESTA CONDUCTORES'!BQ54="X",1,0)</f>
        <v>0</v>
      </c>
      <c r="BJ54" s="15">
        <f>IF('ENCUESTA CONDUCTORES'!BR54="X",1,0)</f>
        <v>0</v>
      </c>
      <c r="BK54" s="15">
        <f>+'ENCUESTA CONDUCTORES'!BS54</f>
        <v>0</v>
      </c>
      <c r="BL54" s="15">
        <f>IF('ENCUESTA CONDUCTORES'!BT54="X",1,0)</f>
        <v>0</v>
      </c>
      <c r="BM54" s="15">
        <f>IF('ENCUESTA CONDUCTORES'!BU54="X",1,0)</f>
        <v>1</v>
      </c>
      <c r="BN54" s="15">
        <f>IF('ENCUESTA CONDUCTORES'!BV54="X",1,0)</f>
        <v>0</v>
      </c>
      <c r="BO54" s="15">
        <f>IF('ENCUESTA CONDUCTORES'!BW54="X",1,0)</f>
        <v>0</v>
      </c>
      <c r="BP54" s="15">
        <f>+'ENCUESTA CONDUCTORES'!BX54</f>
        <v>2</v>
      </c>
      <c r="BQ54" s="15">
        <f>+'ENCUESTA CONDUCTORES'!BY54</f>
        <v>3</v>
      </c>
      <c r="BR54" s="15">
        <f>+'ENCUESTA CONDUCTORES'!BZ54</f>
        <v>1</v>
      </c>
      <c r="BS54" s="15">
        <f>+'ENCUESTA CONDUCTORES'!CA54</f>
        <v>0</v>
      </c>
      <c r="BT54" s="15">
        <f>IF('ENCUESTA CONDUCTORES'!CB54="X",1,0)</f>
        <v>1</v>
      </c>
      <c r="BU54" s="15">
        <f>IF('ENCUESTA CONDUCTORES'!CC54="X",1,0)</f>
        <v>0</v>
      </c>
      <c r="BV54" s="15">
        <f>IF('ENCUESTA CONDUCTORES'!CD54="X",1,0)</f>
        <v>0</v>
      </c>
      <c r="BW54" s="15">
        <f>IF('ENCUESTA CONDUCTORES'!CE54="X",1,0)</f>
        <v>0</v>
      </c>
      <c r="BX54" s="15">
        <f>IF('ENCUESTA CONDUCTORES'!CF54="X",1,0)</f>
        <v>0</v>
      </c>
      <c r="BY54" s="15">
        <f>IF('ENCUESTA CONDUCTORES'!CG54="X",1,0)</f>
        <v>0</v>
      </c>
      <c r="BZ54" s="15">
        <f>IF('ENCUESTA CONDUCTORES'!CH54="X",1,0)</f>
        <v>0</v>
      </c>
      <c r="CA54" s="15">
        <f>IF('ENCUESTA CONDUCTORES'!CI54="X",1,0)</f>
        <v>0</v>
      </c>
      <c r="CB54" s="15">
        <f>IF('ENCUESTA CONDUCTORES'!CJ54="X",1,0)</f>
        <v>0</v>
      </c>
      <c r="CC54" s="15">
        <f>IF('ENCUESTA CONDUCTORES'!CK54="X",1,0)</f>
        <v>1</v>
      </c>
      <c r="CD54" s="15">
        <f>IF('ENCUESTA CONDUCTORES'!CL54="X",1,0)</f>
        <v>0</v>
      </c>
      <c r="CE54" s="15">
        <f>IF('ENCUESTA CONDUCTORES'!CM54="X",1,0)</f>
        <v>0</v>
      </c>
      <c r="CF54" s="15">
        <f>+'ENCUESTA CONDUCTORES'!CN54</f>
        <v>0</v>
      </c>
      <c r="CG54" s="15">
        <f>IF('ENCUESTA CONDUCTORES'!CO54="X",1,0)</f>
        <v>0</v>
      </c>
      <c r="CH54" s="15" t="str">
        <f>+'ENCUESTA CONDUCTORES'!CP54</f>
        <v>NO SABE</v>
      </c>
      <c r="CI54" s="15" t="str">
        <f>+'ENCUESTA CONDUCTORES'!CQ54</f>
        <v>DARLO A CONOCER</v>
      </c>
      <c r="CJ54" s="15">
        <f>IF('ENCUESTA CONDUCTORES'!CR54="X",1,0)</f>
        <v>0</v>
      </c>
      <c r="CK54" s="15">
        <f>IF('ENCUESTA CONDUCTORES'!CS54="X",1,0)</f>
        <v>0</v>
      </c>
      <c r="CL54" s="15">
        <f>IF('ENCUESTA CONDUCTORES'!CT54="X",1,0)</f>
        <v>1</v>
      </c>
      <c r="CM54" s="15" t="str">
        <f>+'ENCUESTA CONDUCTORES'!CU54</f>
        <v>MANEJO DE QUIMICOS</v>
      </c>
      <c r="CN54" s="15">
        <f>IF('ENCUESTA CONDUCTORES'!CV54="X",1,0)</f>
        <v>0</v>
      </c>
      <c r="CO54" s="15">
        <f>+'ENCUESTA CONDUCTORES'!CW54</f>
        <v>0</v>
      </c>
      <c r="CP54" s="15">
        <f>IF('ENCUESTA CONDUCTORES'!CX54="X",1,0)</f>
        <v>0</v>
      </c>
      <c r="CQ54" s="15">
        <f>IF('ENCUESTA CONDUCTORES'!CY54="X",1,0)</f>
        <v>1</v>
      </c>
      <c r="CR54" s="3" t="str">
        <f>+'ENCUESTA CONDUCTORES'!CZ54</f>
        <v>PRIMEROS AUXILIOS</v>
      </c>
      <c r="CS54" s="49">
        <f>+'ENCUESTA CONDUCTORES'!DA54</f>
        <v>0</v>
      </c>
    </row>
    <row r="55" spans="2:97" x14ac:dyDescent="0.25">
      <c r="B55" s="14" t="str">
        <f>+'ENCUESTA CONDUCTORES'!D55</f>
        <v>C-061</v>
      </c>
      <c r="C55" s="15">
        <f>IF('ENCUESTA CONDUCTORES'!E55="X",1,0)</f>
        <v>0</v>
      </c>
      <c r="D55" s="15">
        <f>IF('ENCUESTA CONDUCTORES'!F55="X",1,0)</f>
        <v>0</v>
      </c>
      <c r="E55" s="15">
        <f>IF('ENCUESTA CONDUCTORES'!G55="X",1,0)</f>
        <v>1</v>
      </c>
      <c r="F55" s="15">
        <f>IF('ENCUESTA CONDUCTORES'!H55="X",1,0)</f>
        <v>0</v>
      </c>
      <c r="G55" s="15">
        <f>+'ENCUESTA CONDUCTORES'!I55</f>
        <v>24</v>
      </c>
      <c r="H55" s="15" t="str">
        <f>+'ENCUESTA CONDUCTORES'!J55</f>
        <v>M</v>
      </c>
      <c r="I55" s="15" t="str">
        <f>+'ENCUESTA CONDUCTORES'!K55</f>
        <v>SECUNDARIA</v>
      </c>
      <c r="J55" s="15" t="str">
        <f>+'ENCUESTA CONDUCTORES'!L55</f>
        <v>NICOLÁS ROMERO, EDO. MEX</v>
      </c>
      <c r="K55" s="50" t="str">
        <f>+'ENCUESTA CONDUCTORES'!M55</f>
        <v>NICOLÁS ROMERO</v>
      </c>
      <c r="L55" s="15" t="str">
        <f>+'ENCUESTA CONDUCTORES'!N55</f>
        <v>EDO. MEX.</v>
      </c>
      <c r="M55" s="15">
        <f>+'ENCUESTA CONDUCTORES'!O55</f>
        <v>7</v>
      </c>
      <c r="N55" s="15">
        <f>IF('ENCUESTA CONDUCTORES'!P55="X",1,0)</f>
        <v>0</v>
      </c>
      <c r="O55" s="15">
        <f>IF('ENCUESTA CONDUCTORES'!Q55="X",1,0)</f>
        <v>0</v>
      </c>
      <c r="P55" s="15">
        <f>IF('ENCUESTA CONDUCTORES'!R55="X",1,0)</f>
        <v>0</v>
      </c>
      <c r="Q55" s="15">
        <f>IF('ENCUESTA CONDUCTORES'!S55="X",1,0)</f>
        <v>1</v>
      </c>
      <c r="R55" s="15">
        <f>IF('ENCUESTA CONDUCTORES'!T55="X",1,0)</f>
        <v>0</v>
      </c>
      <c r="S55" s="15">
        <f>IF('ENCUESTA CONDUCTORES'!U55="X",1,0)</f>
        <v>0</v>
      </c>
      <c r="T55" s="15">
        <f>IF('ENCUESTA CONDUCTORES'!V55="X",1,0)</f>
        <v>0</v>
      </c>
      <c r="U55" s="15">
        <f>IF('ENCUESTA CONDUCTORES'!W55="X",1,0)</f>
        <v>0</v>
      </c>
      <c r="V55" s="15">
        <f>IF('ENCUESTA CONDUCTORES'!X55="X",1,0)</f>
        <v>0</v>
      </c>
      <c r="W55" s="15">
        <f>IF('ENCUESTA CONDUCTORES'!Y55="X",1,0)</f>
        <v>0</v>
      </c>
      <c r="X55" s="15">
        <f>IF('ENCUESTA CONDUCTORES'!Z55="X",1,0)</f>
        <v>0</v>
      </c>
      <c r="Y55" s="15">
        <f>+'ENCUESTA CONDUCTORES'!AG55</f>
        <v>0</v>
      </c>
      <c r="Z55" s="15">
        <f>+'ENCUESTA CONDUCTORES'!AH55</f>
        <v>2000</v>
      </c>
      <c r="AA55" s="1" t="str">
        <f>+'ENCUESTA CONDUCTORES'!AI55</f>
        <v>DAÑADO</v>
      </c>
      <c r="AB55" s="15">
        <f>IF('ENCUESTA CONDUCTORES'!AJ55="X",1,0)</f>
        <v>0</v>
      </c>
      <c r="AC55" s="15">
        <f>IF('ENCUESTA CONDUCTORES'!AK55="X",1,0)</f>
        <v>0</v>
      </c>
      <c r="AD55" s="15">
        <f>IF('ENCUESTA CONDUCTORES'!AL55="X",1,0)</f>
        <v>1</v>
      </c>
      <c r="AE55" s="15">
        <f>IF('ENCUESTA CONDUCTORES'!AM55="X",1,0)</f>
        <v>0</v>
      </c>
      <c r="AF55" s="15">
        <f>IF('ENCUESTA CONDUCTORES'!AN55="X",1,0)</f>
        <v>0</v>
      </c>
      <c r="AG55" s="15">
        <f>IF('ENCUESTA CONDUCTORES'!AO55="X",1,0)</f>
        <v>0</v>
      </c>
      <c r="AH55" s="15">
        <f>IF('ENCUESTA CONDUCTORES'!AP55="X",1,0)</f>
        <v>1</v>
      </c>
      <c r="AI55" s="15">
        <f>IF('ENCUESTA CONDUCTORES'!AQ55="X",1,0)</f>
        <v>0</v>
      </c>
      <c r="AJ55" s="15">
        <f>IF('ENCUESTA CONDUCTORES'!AR55="X",1,0)</f>
        <v>0</v>
      </c>
      <c r="AK55" s="15">
        <f>+'ENCUESTA CONDUCTORES'!AS55</f>
        <v>0</v>
      </c>
      <c r="AL55" s="15" t="str">
        <f>+'ENCUESTA CONDUCTORES'!AT55</f>
        <v>DETROIT</v>
      </c>
      <c r="AM55" s="1">
        <f>+'ENCUESTA CONDUCTORES'!AU55</f>
        <v>20000</v>
      </c>
      <c r="AN55" s="48">
        <f>+'ENCUESTA CONDUCTORES'!AV55</f>
        <v>0.5</v>
      </c>
      <c r="AO55" s="15">
        <f>+'ENCUESTA CONDUCTORES'!AW55</f>
        <v>2.5</v>
      </c>
      <c r="AP55" s="15">
        <f>+'ENCUESTA CONDUCTORES'!AX55</f>
        <v>2</v>
      </c>
      <c r="AQ55" s="15">
        <f>+'ENCUESTA CONDUCTORES'!AY55</f>
        <v>2</v>
      </c>
      <c r="AR55" s="15">
        <f>+'ENCUESTA CONDUCTORES'!AZ55</f>
        <v>690</v>
      </c>
      <c r="AS55" s="15">
        <f>+'ENCUESTA CONDUCTORES'!BA55</f>
        <v>1600</v>
      </c>
      <c r="AT55" s="15">
        <f>IF('ENCUESTA CONDUCTORES'!BB55="X",1,0)</f>
        <v>1</v>
      </c>
      <c r="AU55" s="15">
        <f>IF('ENCUESTA CONDUCTORES'!BC55="X",1,0)</f>
        <v>0</v>
      </c>
      <c r="AV55" s="15">
        <f>IF('ENCUESTA CONDUCTORES'!BD55="X",1,0)</f>
        <v>0</v>
      </c>
      <c r="AW55" s="1">
        <f>+'ENCUESTA CONDUCTORES'!BE55</f>
        <v>20000</v>
      </c>
      <c r="AX55" s="1">
        <f>+'ENCUESTA CONDUCTORES'!BF55</f>
        <v>120000</v>
      </c>
      <c r="AY55" s="1">
        <f>+'ENCUESTA CONDUCTORES'!BG55</f>
        <v>20000</v>
      </c>
      <c r="AZ55" s="1">
        <f>+'ENCUESTA CONDUCTORES'!BH55</f>
        <v>180000</v>
      </c>
      <c r="BA55" s="1">
        <f>+'ENCUESTA CONDUCTORES'!BI55</f>
        <v>20000</v>
      </c>
      <c r="BB55" s="15">
        <f>IF('ENCUESTA CONDUCTORES'!BJ55="X",1,0)</f>
        <v>0</v>
      </c>
      <c r="BC55" s="15">
        <f>IF('ENCUESTA CONDUCTORES'!BK55="X",1,0)</f>
        <v>0</v>
      </c>
      <c r="BD55" s="15">
        <f>IF('ENCUESTA CONDUCTORES'!BL55="X",1,0)</f>
        <v>0</v>
      </c>
      <c r="BE55" s="15">
        <f>IF('ENCUESTA CONDUCTORES'!BM55="X",1,0)</f>
        <v>1</v>
      </c>
      <c r="BF55" s="15">
        <f>IF('ENCUESTA CONDUCTORES'!BN55="X",1,0)</f>
        <v>0</v>
      </c>
      <c r="BG55" s="15">
        <f>IF('ENCUESTA CONDUCTORES'!BO55="X",1,0)</f>
        <v>0</v>
      </c>
      <c r="BH55" s="15">
        <f>IF('ENCUESTA CONDUCTORES'!BP55="X",1,0)</f>
        <v>0</v>
      </c>
      <c r="BI55" s="15">
        <f>IF('ENCUESTA CONDUCTORES'!BQ55="X",1,0)</f>
        <v>0</v>
      </c>
      <c r="BJ55" s="15">
        <f>IF('ENCUESTA CONDUCTORES'!BR55="X",1,0)</f>
        <v>0</v>
      </c>
      <c r="BK55" s="15">
        <f>+'ENCUESTA CONDUCTORES'!BS55</f>
        <v>0</v>
      </c>
      <c r="BL55" s="15">
        <f>IF('ENCUESTA CONDUCTORES'!BT55="X",1,0)</f>
        <v>0</v>
      </c>
      <c r="BM55" s="15">
        <f>IF('ENCUESTA CONDUCTORES'!BU55="X",1,0)</f>
        <v>1</v>
      </c>
      <c r="BN55" s="15">
        <f>IF('ENCUESTA CONDUCTORES'!BV55="X",1,0)</f>
        <v>0</v>
      </c>
      <c r="BO55" s="15">
        <f>IF('ENCUESTA CONDUCTORES'!BW55="X",1,0)</f>
        <v>0</v>
      </c>
      <c r="BP55" s="15">
        <f>+'ENCUESTA CONDUCTORES'!BX55</f>
        <v>1</v>
      </c>
      <c r="BQ55" s="15">
        <f>+'ENCUESTA CONDUCTORES'!BY55</f>
        <v>3</v>
      </c>
      <c r="BR55" s="15">
        <f>+'ENCUESTA CONDUCTORES'!BZ55</f>
        <v>2</v>
      </c>
      <c r="BS55" s="15">
        <f>+'ENCUESTA CONDUCTORES'!CA55</f>
        <v>0</v>
      </c>
      <c r="BT55" s="15">
        <f>IF('ENCUESTA CONDUCTORES'!CB55="X",1,0)</f>
        <v>1</v>
      </c>
      <c r="BU55" s="15">
        <f>IF('ENCUESTA CONDUCTORES'!CC55="X",1,0)</f>
        <v>0</v>
      </c>
      <c r="BV55" s="15">
        <f>IF('ENCUESTA CONDUCTORES'!CD55="X",1,0)</f>
        <v>0</v>
      </c>
      <c r="BW55" s="15">
        <f>IF('ENCUESTA CONDUCTORES'!CE55="X",1,0)</f>
        <v>0</v>
      </c>
      <c r="BX55" s="15">
        <f>IF('ENCUESTA CONDUCTORES'!CF55="X",1,0)</f>
        <v>0</v>
      </c>
      <c r="BY55" s="15">
        <f>IF('ENCUESTA CONDUCTORES'!CG55="X",1,0)</f>
        <v>0</v>
      </c>
      <c r="BZ55" s="15">
        <f>IF('ENCUESTA CONDUCTORES'!CH55="X",1,0)</f>
        <v>0</v>
      </c>
      <c r="CA55" s="15">
        <f>IF('ENCUESTA CONDUCTORES'!CI55="X",1,0)</f>
        <v>0</v>
      </c>
      <c r="CB55" s="15">
        <f>IF('ENCUESTA CONDUCTORES'!CJ55="X",1,0)</f>
        <v>0</v>
      </c>
      <c r="CC55" s="15">
        <f>IF('ENCUESTA CONDUCTORES'!CK55="X",1,0)</f>
        <v>0</v>
      </c>
      <c r="CD55" s="15">
        <f>IF('ENCUESTA CONDUCTORES'!CL55="X",1,0)</f>
        <v>1</v>
      </c>
      <c r="CE55" s="15">
        <f>IF('ENCUESTA CONDUCTORES'!CM55="X",1,0)</f>
        <v>1</v>
      </c>
      <c r="CF55" s="15" t="str">
        <f>+'ENCUESTA CONDUCTORES'!CN55</f>
        <v>FALTA DE TIEMPO</v>
      </c>
      <c r="CG55" s="15">
        <f>IF('ENCUESTA CONDUCTORES'!CO55="X",1,0)</f>
        <v>0</v>
      </c>
      <c r="CH55" s="15" t="str">
        <f>+'ENCUESTA CONDUCTORES'!CP55</f>
        <v>NO SABE</v>
      </c>
      <c r="CI55" s="15" t="str">
        <f>+'ENCUESTA CONDUCTORES'!CQ55</f>
        <v>PUBLICIDAD</v>
      </c>
      <c r="CJ55" s="15">
        <f>IF('ENCUESTA CONDUCTORES'!CR55="X",1,0)</f>
        <v>1</v>
      </c>
      <c r="CK55" s="15">
        <f>IF('ENCUESTA CONDUCTORES'!CS55="X",1,0)</f>
        <v>0</v>
      </c>
      <c r="CL55" s="15">
        <f>IF('ENCUESTA CONDUCTORES'!CT55="X",1,0)</f>
        <v>0</v>
      </c>
      <c r="CM55" s="15">
        <f>+'ENCUESTA CONDUCTORES'!CU55</f>
        <v>0</v>
      </c>
      <c r="CN55" s="15">
        <f>IF('ENCUESTA CONDUCTORES'!CV55="X",1,0)</f>
        <v>0</v>
      </c>
      <c r="CO55" s="15">
        <f>+'ENCUESTA CONDUCTORES'!CW55</f>
        <v>0</v>
      </c>
      <c r="CP55" s="15">
        <f>IF('ENCUESTA CONDUCTORES'!CX55="X",1,0)</f>
        <v>1</v>
      </c>
      <c r="CQ55" s="15">
        <f>IF('ENCUESTA CONDUCTORES'!CY55="X",1,0)</f>
        <v>1</v>
      </c>
      <c r="CR55" s="3">
        <f>+'ENCUESTA CONDUCTORES'!CZ55</f>
        <v>0</v>
      </c>
      <c r="CS55" s="49">
        <f>+'ENCUESTA CONDUCTORES'!DA55</f>
        <v>0</v>
      </c>
    </row>
    <row r="56" spans="2:97" x14ac:dyDescent="0.25">
      <c r="B56" s="14" t="str">
        <f>+'ENCUESTA CONDUCTORES'!D56</f>
        <v>C-062</v>
      </c>
      <c r="C56" s="15">
        <f>IF('ENCUESTA CONDUCTORES'!E56="X",1,0)</f>
        <v>0</v>
      </c>
      <c r="D56" s="15">
        <f>IF('ENCUESTA CONDUCTORES'!F56="X",1,0)</f>
        <v>0</v>
      </c>
      <c r="E56" s="15">
        <f>IF('ENCUESTA CONDUCTORES'!G56="X",1,0)</f>
        <v>0</v>
      </c>
      <c r="F56" s="15">
        <f>IF('ENCUESTA CONDUCTORES'!H56="X",1,0)</f>
        <v>1</v>
      </c>
      <c r="G56" s="15">
        <f>+'ENCUESTA CONDUCTORES'!I56</f>
        <v>62</v>
      </c>
      <c r="H56" s="15" t="str">
        <f>+'ENCUESTA CONDUCTORES'!J56</f>
        <v>M</v>
      </c>
      <c r="I56" s="15" t="str">
        <f>+'ENCUESTA CONDUCTORES'!K56</f>
        <v>PREPARATORIA</v>
      </c>
      <c r="J56" s="15" t="str">
        <f>+'ENCUESTA CONDUCTORES'!L56</f>
        <v>TEXCOCO, EDO. MEX</v>
      </c>
      <c r="K56" s="15" t="str">
        <f>+'ENCUESTA CONDUCTORES'!M56</f>
        <v>TEXCOCO</v>
      </c>
      <c r="L56" s="15" t="str">
        <f>+'ENCUESTA CONDUCTORES'!N56</f>
        <v>EDO. MEX.</v>
      </c>
      <c r="M56" s="15">
        <f>+'ENCUESTA CONDUCTORES'!O56</f>
        <v>44</v>
      </c>
      <c r="N56" s="15">
        <f>IF('ENCUESTA CONDUCTORES'!P56="X",1,0)</f>
        <v>0</v>
      </c>
      <c r="O56" s="15">
        <f>IF('ENCUESTA CONDUCTORES'!Q56="X",1,0)</f>
        <v>0</v>
      </c>
      <c r="P56" s="15">
        <f>IF('ENCUESTA CONDUCTORES'!R56="X",1,0)</f>
        <v>0</v>
      </c>
      <c r="Q56" s="15">
        <f>IF('ENCUESTA CONDUCTORES'!S56="X",1,0)</f>
        <v>1</v>
      </c>
      <c r="R56" s="15">
        <f>IF('ENCUESTA CONDUCTORES'!T56="X",1,0)</f>
        <v>0</v>
      </c>
      <c r="S56" s="15">
        <f>IF('ENCUESTA CONDUCTORES'!U56="X",1,0)</f>
        <v>1</v>
      </c>
      <c r="T56" s="15">
        <f>IF('ENCUESTA CONDUCTORES'!V56="X",1,0)</f>
        <v>0</v>
      </c>
      <c r="U56" s="15">
        <f>IF('ENCUESTA CONDUCTORES'!W56="X",1,0)</f>
        <v>0</v>
      </c>
      <c r="V56" s="15">
        <f>IF('ENCUESTA CONDUCTORES'!X56="X",1,0)</f>
        <v>0</v>
      </c>
      <c r="W56" s="15">
        <f>IF('ENCUESTA CONDUCTORES'!Y56="X",1,0)</f>
        <v>0</v>
      </c>
      <c r="X56" s="15">
        <f>IF('ENCUESTA CONDUCTORES'!Z56="X",1,0)</f>
        <v>0</v>
      </c>
      <c r="Y56" s="15">
        <f>+'ENCUESTA CONDUCTORES'!AG56</f>
        <v>0</v>
      </c>
      <c r="Z56" s="15">
        <f>+'ENCUESTA CONDUCTORES'!AH56</f>
        <v>2007</v>
      </c>
      <c r="AA56" s="1">
        <f>+'ENCUESTA CONDUCTORES'!AI56</f>
        <v>1700000</v>
      </c>
      <c r="AB56" s="15">
        <f>IF('ENCUESTA CONDUCTORES'!AJ56="X",1,0)</f>
        <v>0</v>
      </c>
      <c r="AC56" s="15">
        <f>IF('ENCUESTA CONDUCTORES'!AK56="X",1,0)</f>
        <v>0</v>
      </c>
      <c r="AD56" s="15">
        <f>IF('ENCUESTA CONDUCTORES'!AL56="X",1,0)</f>
        <v>1</v>
      </c>
      <c r="AE56" s="15">
        <f>IF('ENCUESTA CONDUCTORES'!AM56="X",1,0)</f>
        <v>0</v>
      </c>
      <c r="AF56" s="15">
        <f>IF('ENCUESTA CONDUCTORES'!AN56="X",1,0)</f>
        <v>0</v>
      </c>
      <c r="AG56" s="15">
        <f>IF('ENCUESTA CONDUCTORES'!AO56="X",1,0)</f>
        <v>0</v>
      </c>
      <c r="AH56" s="15">
        <f>IF('ENCUESTA CONDUCTORES'!AP56="X",1,0)</f>
        <v>1</v>
      </c>
      <c r="AI56" s="15">
        <f>IF('ENCUESTA CONDUCTORES'!AQ56="X",1,0)</f>
        <v>0</v>
      </c>
      <c r="AJ56" s="15">
        <f>IF('ENCUESTA CONDUCTORES'!AR56="X",1,0)</f>
        <v>0</v>
      </c>
      <c r="AK56" s="15">
        <f>+'ENCUESTA CONDUCTORES'!AS56</f>
        <v>0</v>
      </c>
      <c r="AL56" s="15" t="str">
        <f>+'ENCUESTA CONDUCTORES'!AT56</f>
        <v>CUMMINS</v>
      </c>
      <c r="AM56" s="1">
        <f>+'ENCUESTA CONDUCTORES'!AU56</f>
        <v>20000</v>
      </c>
      <c r="AN56" s="48">
        <f>+'ENCUESTA CONDUCTORES'!AV56</f>
        <v>0.1</v>
      </c>
      <c r="AO56" s="15">
        <f>+'ENCUESTA CONDUCTORES'!AW56</f>
        <v>3</v>
      </c>
      <c r="AP56" s="15">
        <f>+'ENCUESTA CONDUCTORES'!AX56</f>
        <v>2.5</v>
      </c>
      <c r="AQ56" s="15">
        <f>+'ENCUESTA CONDUCTORES'!AY56</f>
        <v>2</v>
      </c>
      <c r="AR56" s="15">
        <f>+'ENCUESTA CONDUCTORES'!AZ56</f>
        <v>910</v>
      </c>
      <c r="AS56" s="15">
        <f>+'ENCUESTA CONDUCTORES'!BA56</f>
        <v>2100</v>
      </c>
      <c r="AT56" s="15">
        <f>IF('ENCUESTA CONDUCTORES'!BB56="X",1,0)</f>
        <v>0</v>
      </c>
      <c r="AU56" s="15">
        <f>IF('ENCUESTA CONDUCTORES'!BC56="X",1,0)</f>
        <v>1</v>
      </c>
      <c r="AV56" s="15">
        <f>IF('ENCUESTA CONDUCTORES'!BD56="X",1,0)</f>
        <v>0</v>
      </c>
      <c r="AW56" s="1">
        <f>+'ENCUESTA CONDUCTORES'!BE56</f>
        <v>60000</v>
      </c>
      <c r="AX56" s="1">
        <f>+'ENCUESTA CONDUCTORES'!BF56</f>
        <v>120000</v>
      </c>
      <c r="AY56" s="1">
        <f>+'ENCUESTA CONDUCTORES'!BG56</f>
        <v>60000</v>
      </c>
      <c r="AZ56" s="1">
        <f>+'ENCUESTA CONDUCTORES'!BH56</f>
        <v>200000</v>
      </c>
      <c r="BA56" s="1">
        <f>+'ENCUESTA CONDUCTORES'!BI56</f>
        <v>60000</v>
      </c>
      <c r="BB56" s="15">
        <f>IF('ENCUESTA CONDUCTORES'!BJ56="X",1,0)</f>
        <v>0</v>
      </c>
      <c r="BC56" s="15">
        <f>IF('ENCUESTA CONDUCTORES'!BK56="X",1,0)</f>
        <v>0</v>
      </c>
      <c r="BD56" s="15">
        <f>IF('ENCUESTA CONDUCTORES'!BL56="X",1,0)</f>
        <v>0</v>
      </c>
      <c r="BE56" s="15">
        <f>IF('ENCUESTA CONDUCTORES'!BM56="X",1,0)</f>
        <v>0</v>
      </c>
      <c r="BF56" s="15">
        <f>IF('ENCUESTA CONDUCTORES'!BN56="X",1,0)</f>
        <v>0</v>
      </c>
      <c r="BG56" s="15">
        <f>IF('ENCUESTA CONDUCTORES'!BO56="X",1,0)</f>
        <v>0</v>
      </c>
      <c r="BH56" s="15">
        <f>IF('ENCUESTA CONDUCTORES'!BP56="X",1,0)</f>
        <v>0</v>
      </c>
      <c r="BI56" s="15">
        <f>IF('ENCUESTA CONDUCTORES'!BQ56="X",1,0)</f>
        <v>0</v>
      </c>
      <c r="BJ56" s="15">
        <f>IF('ENCUESTA CONDUCTORES'!BR56="X",1,0)</f>
        <v>0</v>
      </c>
      <c r="BK56" s="2" t="str">
        <f>+'ENCUESTA CONDUCTORES'!BS56</f>
        <v>MERCANCIA SECA</v>
      </c>
      <c r="BL56" s="15">
        <f>IF('ENCUESTA CONDUCTORES'!BT56="X",1,0)</f>
        <v>0</v>
      </c>
      <c r="BM56" s="15">
        <f>IF('ENCUESTA CONDUCTORES'!BU56="X",1,0)</f>
        <v>1</v>
      </c>
      <c r="BN56" s="15">
        <f>IF('ENCUESTA CONDUCTORES'!BV56="X",1,0)</f>
        <v>0</v>
      </c>
      <c r="BO56" s="15">
        <f>IF('ENCUESTA CONDUCTORES'!BW56="X",1,0)</f>
        <v>0</v>
      </c>
      <c r="BP56" s="15">
        <f>+'ENCUESTA CONDUCTORES'!BX56</f>
        <v>1</v>
      </c>
      <c r="BQ56" s="15">
        <f>+'ENCUESTA CONDUCTORES'!BY56</f>
        <v>2</v>
      </c>
      <c r="BR56" s="15">
        <f>+'ENCUESTA CONDUCTORES'!BZ56</f>
        <v>3</v>
      </c>
      <c r="BS56" s="15">
        <f>+'ENCUESTA CONDUCTORES'!CA56</f>
        <v>0</v>
      </c>
      <c r="BT56" s="15">
        <f>IF('ENCUESTA CONDUCTORES'!CB56="X",1,0)</f>
        <v>1</v>
      </c>
      <c r="BU56" s="15">
        <f>IF('ENCUESTA CONDUCTORES'!CC56="X",1,0)</f>
        <v>0</v>
      </c>
      <c r="BV56" s="15">
        <f>IF('ENCUESTA CONDUCTORES'!CD56="X",1,0)</f>
        <v>0</v>
      </c>
      <c r="BW56" s="15">
        <f>IF('ENCUESTA CONDUCTORES'!CE56="X",1,0)</f>
        <v>0</v>
      </c>
      <c r="BX56" s="15">
        <f>IF('ENCUESTA CONDUCTORES'!CF56="X",1,0)</f>
        <v>0</v>
      </c>
      <c r="BY56" s="15">
        <f>IF('ENCUESTA CONDUCTORES'!CG56="X",1,0)</f>
        <v>0</v>
      </c>
      <c r="BZ56" s="15">
        <f>IF('ENCUESTA CONDUCTORES'!CH56="X",1,0)</f>
        <v>0</v>
      </c>
      <c r="CA56" s="15">
        <f>IF('ENCUESTA CONDUCTORES'!CI56="X",1,0)</f>
        <v>0</v>
      </c>
      <c r="CB56" s="15">
        <f>IF('ENCUESTA CONDUCTORES'!CJ56="X",1,0)</f>
        <v>0</v>
      </c>
      <c r="CC56" s="15">
        <f>IF('ENCUESTA CONDUCTORES'!CK56="X",1,0)</f>
        <v>1</v>
      </c>
      <c r="CD56" s="15">
        <f>IF('ENCUESTA CONDUCTORES'!CL56="X",1,0)</f>
        <v>0</v>
      </c>
      <c r="CE56" s="15">
        <f>IF('ENCUESTA CONDUCTORES'!CM56="X",1,0)</f>
        <v>0</v>
      </c>
      <c r="CF56" s="15">
        <f>+'ENCUESTA CONDUCTORES'!CN56</f>
        <v>0</v>
      </c>
      <c r="CG56" s="15">
        <f>IF('ENCUESTA CONDUCTORES'!CO56="X",1,0)</f>
        <v>0</v>
      </c>
      <c r="CH56" s="15" t="str">
        <f>+'ENCUESTA CONDUCTORES'!CP56</f>
        <v>NO SABE</v>
      </c>
      <c r="CI56" s="15" t="str">
        <f>+'ENCUESTA CONDUCTORES'!CQ56</f>
        <v>NO SABE</v>
      </c>
      <c r="CJ56" s="15">
        <f>IF('ENCUESTA CONDUCTORES'!CR56="X",1,0)</f>
        <v>0</v>
      </c>
      <c r="CK56" s="15">
        <f>IF('ENCUESTA CONDUCTORES'!CS56="X",1,0)</f>
        <v>0</v>
      </c>
      <c r="CL56" s="15">
        <f>IF('ENCUESTA CONDUCTORES'!CT56="X",1,0)</f>
        <v>0</v>
      </c>
      <c r="CM56" s="2" t="str">
        <f>+'ENCUESTA CONDUCTORES'!CU56</f>
        <v>DESCARGA DE MATERIALES PELIGROSOS</v>
      </c>
      <c r="CN56" s="15">
        <f>IF('ENCUESTA CONDUCTORES'!CV56="X",1,0)</f>
        <v>1</v>
      </c>
      <c r="CO56" s="15" t="str">
        <f>+'ENCUESTA CONDUCTORES'!CW56</f>
        <v>NO TIENE TIEMPO</v>
      </c>
      <c r="CP56" s="15">
        <f>IF('ENCUESTA CONDUCTORES'!CX56="X",1,0)</f>
        <v>0</v>
      </c>
      <c r="CQ56" s="15">
        <f>IF('ENCUESTA CONDUCTORES'!CY56="X",1,0)</f>
        <v>0</v>
      </c>
      <c r="CR56" s="3">
        <f>+'ENCUESTA CONDUCTORES'!CZ56</f>
        <v>0</v>
      </c>
      <c r="CS56" s="49">
        <f>+'ENCUESTA CONDUCTORES'!DA56</f>
        <v>0</v>
      </c>
    </row>
    <row r="57" spans="2:97" x14ac:dyDescent="0.25">
      <c r="B57" s="14" t="str">
        <f>+'ENCUESTA CONDUCTORES'!D57</f>
        <v>C-063</v>
      </c>
      <c r="C57" s="15">
        <f>IF('ENCUESTA CONDUCTORES'!E57="X",1,0)</f>
        <v>0</v>
      </c>
      <c r="D57" s="15">
        <f>IF('ENCUESTA CONDUCTORES'!F57="X",1,0)</f>
        <v>1</v>
      </c>
      <c r="E57" s="15">
        <f>IF('ENCUESTA CONDUCTORES'!G57="X",1,0)</f>
        <v>0</v>
      </c>
      <c r="F57" s="15">
        <f>IF('ENCUESTA CONDUCTORES'!H57="X",1,0)</f>
        <v>0</v>
      </c>
      <c r="G57" s="15">
        <f>+'ENCUESTA CONDUCTORES'!I57</f>
        <v>38</v>
      </c>
      <c r="H57" s="15" t="str">
        <f>+'ENCUESTA CONDUCTORES'!J57</f>
        <v>M</v>
      </c>
      <c r="I57" s="15" t="str">
        <f>+'ENCUESTA CONDUCTORES'!K57</f>
        <v>PREPARATORIA</v>
      </c>
      <c r="J57" s="15" t="str">
        <f>+'ENCUESTA CONDUCTORES'!L57</f>
        <v>V. CARRANZA, D.F.</v>
      </c>
      <c r="K57" s="15" t="str">
        <f>+'ENCUESTA CONDUCTORES'!M57</f>
        <v>V. CARRANZA</v>
      </c>
      <c r="L57" s="15" t="str">
        <f>+'ENCUESTA CONDUCTORES'!N57</f>
        <v>D.F.</v>
      </c>
      <c r="M57" s="15">
        <f>+'ENCUESTA CONDUCTORES'!O57</f>
        <v>8</v>
      </c>
      <c r="N57" s="15">
        <f>IF('ENCUESTA CONDUCTORES'!P57="X",1,0)</f>
        <v>1</v>
      </c>
      <c r="O57" s="15">
        <f>IF('ENCUESTA CONDUCTORES'!Q57="X",1,0)</f>
        <v>0</v>
      </c>
      <c r="P57" s="15">
        <f>IF('ENCUESTA CONDUCTORES'!R57="X",1,0)</f>
        <v>0</v>
      </c>
      <c r="Q57" s="15">
        <f>IF('ENCUESTA CONDUCTORES'!S57="X",1,0)</f>
        <v>0</v>
      </c>
      <c r="R57" s="15">
        <f>IF('ENCUESTA CONDUCTORES'!T57="X",1,0)</f>
        <v>0</v>
      </c>
      <c r="S57" s="15">
        <f>IF('ENCUESTA CONDUCTORES'!U57="X",1,0)</f>
        <v>0</v>
      </c>
      <c r="T57" s="15">
        <f>IF('ENCUESTA CONDUCTORES'!V57="X",1,0)</f>
        <v>0</v>
      </c>
      <c r="U57" s="15">
        <f>IF('ENCUESTA CONDUCTORES'!W57="X",1,0)</f>
        <v>0</v>
      </c>
      <c r="V57" s="15">
        <f>IF('ENCUESTA CONDUCTORES'!X57="X",1,0)</f>
        <v>0</v>
      </c>
      <c r="W57" s="15">
        <f>IF('ENCUESTA CONDUCTORES'!Y57="X",1,0)</f>
        <v>0</v>
      </c>
      <c r="X57" s="15">
        <f>IF('ENCUESTA CONDUCTORES'!Z57="X",1,0)</f>
        <v>0</v>
      </c>
      <c r="Y57" s="15">
        <f>+'ENCUESTA CONDUCTORES'!AG57</f>
        <v>0</v>
      </c>
      <c r="Z57" s="15">
        <f>+'ENCUESTA CONDUCTORES'!AH57</f>
        <v>1989</v>
      </c>
      <c r="AA57" s="1" t="str">
        <f>+'ENCUESTA CONDUCTORES'!AI57</f>
        <v>DAÑADO</v>
      </c>
      <c r="AB57" s="15">
        <f>IF('ENCUESTA CONDUCTORES'!AJ57="X",1,0)</f>
        <v>1</v>
      </c>
      <c r="AC57" s="15">
        <f>IF('ENCUESTA CONDUCTORES'!AK57="X",1,0)</f>
        <v>0</v>
      </c>
      <c r="AD57" s="15">
        <f>IF('ENCUESTA CONDUCTORES'!AL57="X",1,0)</f>
        <v>0</v>
      </c>
      <c r="AE57" s="15">
        <f>IF('ENCUESTA CONDUCTORES'!AM57="X",1,0)</f>
        <v>0</v>
      </c>
      <c r="AF57" s="15">
        <f>IF('ENCUESTA CONDUCTORES'!AN57="X",1,0)</f>
        <v>0</v>
      </c>
      <c r="AG57" s="15">
        <f>IF('ENCUESTA CONDUCTORES'!AO57="X",1,0)</f>
        <v>0</v>
      </c>
      <c r="AH57" s="15">
        <f>IF('ENCUESTA CONDUCTORES'!AP57="X",1,0)</f>
        <v>1</v>
      </c>
      <c r="AI57" s="15">
        <f>IF('ENCUESTA CONDUCTORES'!AQ57="X",1,0)</f>
        <v>0</v>
      </c>
      <c r="AJ57" s="15">
        <f>IF('ENCUESTA CONDUCTORES'!AR57="X",1,0)</f>
        <v>0</v>
      </c>
      <c r="AK57" s="15">
        <f>+'ENCUESTA CONDUCTORES'!AS57</f>
        <v>0</v>
      </c>
      <c r="AL57" s="15" t="str">
        <f>+'ENCUESTA CONDUCTORES'!AT57</f>
        <v>FORD</v>
      </c>
      <c r="AM57" s="1">
        <f>+'ENCUESTA CONDUCTORES'!AU57</f>
        <v>10000</v>
      </c>
      <c r="AN57" s="48">
        <f>+'ENCUESTA CONDUCTORES'!AV57</f>
        <v>0.5</v>
      </c>
      <c r="AO57" s="15">
        <f>+'ENCUESTA CONDUCTORES'!AW57</f>
        <v>2.8</v>
      </c>
      <c r="AP57" s="15">
        <f>+'ENCUESTA CONDUCTORES'!AX57</f>
        <v>2.5</v>
      </c>
      <c r="AQ57" s="15">
        <f>+'ENCUESTA CONDUCTORES'!AY57</f>
        <v>1</v>
      </c>
      <c r="AR57" s="15">
        <f>+'ENCUESTA CONDUCTORES'!AZ57</f>
        <v>80</v>
      </c>
      <c r="AS57" s="15">
        <f>+'ENCUESTA CONDUCTORES'!BA57</f>
        <v>200</v>
      </c>
      <c r="AT57" s="15">
        <f>IF('ENCUESTA CONDUCTORES'!BB57="X",1,0)</f>
        <v>0</v>
      </c>
      <c r="AU57" s="15">
        <f>IF('ENCUESTA CONDUCTORES'!BC57="X",1,0)</f>
        <v>0</v>
      </c>
      <c r="AV57" s="15">
        <f>IF('ENCUESTA CONDUCTORES'!BD57="X",1,0)</f>
        <v>0</v>
      </c>
      <c r="AW57" s="1">
        <f>+'ENCUESTA CONDUCTORES'!BE57</f>
        <v>10000</v>
      </c>
      <c r="AX57" s="1">
        <f>+'ENCUESTA CONDUCTORES'!BF57</f>
        <v>50000</v>
      </c>
      <c r="AY57" s="1">
        <f>+'ENCUESTA CONDUCTORES'!BG57</f>
        <v>10000</v>
      </c>
      <c r="AZ57" s="1">
        <f>+'ENCUESTA CONDUCTORES'!BH57</f>
        <v>100000</v>
      </c>
      <c r="BA57" s="1" t="str">
        <f>+'ENCUESTA CONDUCTORES'!BI57</f>
        <v>NO APLICA</v>
      </c>
      <c r="BB57" s="15">
        <f>IF('ENCUESTA CONDUCTORES'!BJ57="X",1,0)</f>
        <v>0</v>
      </c>
      <c r="BC57" s="15">
        <f>IF('ENCUESTA CONDUCTORES'!BK57="X",1,0)</f>
        <v>0</v>
      </c>
      <c r="BD57" s="15">
        <f>IF('ENCUESTA CONDUCTORES'!BL57="X",1,0)</f>
        <v>0</v>
      </c>
      <c r="BE57" s="15">
        <f>IF('ENCUESTA CONDUCTORES'!BM57="X",1,0)</f>
        <v>0</v>
      </c>
      <c r="BF57" s="15">
        <f>IF('ENCUESTA CONDUCTORES'!BN57="X",1,0)</f>
        <v>1</v>
      </c>
      <c r="BG57" s="15">
        <f>IF('ENCUESTA CONDUCTORES'!BO57="X",1,0)</f>
        <v>0</v>
      </c>
      <c r="BH57" s="15">
        <f>IF('ENCUESTA CONDUCTORES'!BP57="X",1,0)</f>
        <v>0</v>
      </c>
      <c r="BI57" s="15">
        <f>IF('ENCUESTA CONDUCTORES'!BQ57="X",1,0)</f>
        <v>0</v>
      </c>
      <c r="BJ57" s="15">
        <f>IF('ENCUESTA CONDUCTORES'!BR57="X",1,0)</f>
        <v>0</v>
      </c>
      <c r="BK57" s="15">
        <f>+'ENCUESTA CONDUCTORES'!BS57</f>
        <v>0</v>
      </c>
      <c r="BL57" s="15">
        <f>IF('ENCUESTA CONDUCTORES'!BT57="X",1,0)</f>
        <v>0</v>
      </c>
      <c r="BM57" s="15">
        <f>IF('ENCUESTA CONDUCTORES'!BU57="X",1,0)</f>
        <v>1</v>
      </c>
      <c r="BN57" s="15">
        <f>IF('ENCUESTA CONDUCTORES'!BV57="X",1,0)</f>
        <v>0</v>
      </c>
      <c r="BO57" s="15">
        <f>IF('ENCUESTA CONDUCTORES'!BW57="X",1,0)</f>
        <v>0</v>
      </c>
      <c r="BP57" s="15">
        <f>+'ENCUESTA CONDUCTORES'!BX57</f>
        <v>2</v>
      </c>
      <c r="BQ57" s="15">
        <f>+'ENCUESTA CONDUCTORES'!BY57</f>
        <v>1</v>
      </c>
      <c r="BR57" s="15">
        <f>+'ENCUESTA CONDUCTORES'!BZ57</f>
        <v>3</v>
      </c>
      <c r="BS57" s="15">
        <f>+'ENCUESTA CONDUCTORES'!CA57</f>
        <v>0</v>
      </c>
      <c r="BT57" s="15">
        <f>IF('ENCUESTA CONDUCTORES'!CB57="X",1,0)</f>
        <v>1</v>
      </c>
      <c r="BU57" s="15">
        <f>IF('ENCUESTA CONDUCTORES'!CC57="X",1,0)</f>
        <v>0</v>
      </c>
      <c r="BV57" s="15">
        <f>IF('ENCUESTA CONDUCTORES'!CD57="X",1,0)</f>
        <v>0</v>
      </c>
      <c r="BW57" s="15">
        <f>IF('ENCUESTA CONDUCTORES'!CE57="X",1,0)</f>
        <v>0</v>
      </c>
      <c r="BX57" s="15">
        <f>IF('ENCUESTA CONDUCTORES'!CF57="X",1,0)</f>
        <v>0</v>
      </c>
      <c r="BY57" s="15">
        <f>IF('ENCUESTA CONDUCTORES'!CG57="X",1,0)</f>
        <v>0</v>
      </c>
      <c r="BZ57" s="15">
        <f>IF('ENCUESTA CONDUCTORES'!CH57="X",1,0)</f>
        <v>0</v>
      </c>
      <c r="CA57" s="15">
        <f>IF('ENCUESTA CONDUCTORES'!CI57="X",1,0)</f>
        <v>0</v>
      </c>
      <c r="CB57" s="15">
        <f>IF('ENCUESTA CONDUCTORES'!CJ57="X",1,0)</f>
        <v>0</v>
      </c>
      <c r="CC57" s="15">
        <f>IF('ENCUESTA CONDUCTORES'!CK57="X",1,0)</f>
        <v>1</v>
      </c>
      <c r="CD57" s="15">
        <f>IF('ENCUESTA CONDUCTORES'!CL57="X",1,0)</f>
        <v>0</v>
      </c>
      <c r="CE57" s="15">
        <f>IF('ENCUESTA CONDUCTORES'!CM57="X",1,0)</f>
        <v>0</v>
      </c>
      <c r="CF57" s="15">
        <f>+'ENCUESTA CONDUCTORES'!CN57</f>
        <v>0</v>
      </c>
      <c r="CG57" s="15">
        <f>IF('ENCUESTA CONDUCTORES'!CO57="X",1,0)</f>
        <v>0</v>
      </c>
      <c r="CH57" s="15" t="str">
        <f>+'ENCUESTA CONDUCTORES'!CP57</f>
        <v>NO SABE</v>
      </c>
      <c r="CI57" s="15" t="str">
        <f>+'ENCUESTA CONDUCTORES'!CQ57</f>
        <v>DARLO A CONOCER</v>
      </c>
      <c r="CJ57" s="15">
        <f>IF('ENCUESTA CONDUCTORES'!CR57="X",1,0)</f>
        <v>1</v>
      </c>
      <c r="CK57" s="15">
        <f>IF('ENCUESTA CONDUCTORES'!CS57="X",1,0)</f>
        <v>0</v>
      </c>
      <c r="CL57" s="15">
        <f>IF('ENCUESTA CONDUCTORES'!CT57="X",1,0)</f>
        <v>0</v>
      </c>
      <c r="CM57" s="15">
        <f>+'ENCUESTA CONDUCTORES'!CU57</f>
        <v>0</v>
      </c>
      <c r="CN57" s="15">
        <f>IF('ENCUESTA CONDUCTORES'!CV57="X",1,0)</f>
        <v>0</v>
      </c>
      <c r="CO57" s="15">
        <f>+'ENCUESTA CONDUCTORES'!CW57</f>
        <v>0</v>
      </c>
      <c r="CP57" s="15">
        <f>IF('ENCUESTA CONDUCTORES'!CX57="X",1,0)</f>
        <v>1</v>
      </c>
      <c r="CQ57" s="15">
        <f>IF('ENCUESTA CONDUCTORES'!CY57="X",1,0)</f>
        <v>1</v>
      </c>
      <c r="CR57" s="3">
        <f>+'ENCUESTA CONDUCTORES'!CZ57</f>
        <v>0</v>
      </c>
      <c r="CS57" s="49">
        <f>+'ENCUESTA CONDUCTORES'!DA57</f>
        <v>0</v>
      </c>
    </row>
    <row r="58" spans="2:97" x14ac:dyDescent="0.25">
      <c r="B58" s="14" t="str">
        <f>+'ENCUESTA CONDUCTORES'!D58</f>
        <v>C-064</v>
      </c>
      <c r="C58" s="15">
        <f>IF('ENCUESTA CONDUCTORES'!E58="X",1,0)</f>
        <v>0</v>
      </c>
      <c r="D58" s="15">
        <f>IF('ENCUESTA CONDUCTORES'!F58="X",1,0)</f>
        <v>0</v>
      </c>
      <c r="E58" s="15">
        <f>IF('ENCUESTA CONDUCTORES'!G58="X",1,0)</f>
        <v>1</v>
      </c>
      <c r="F58" s="15">
        <f>IF('ENCUESTA CONDUCTORES'!H58="X",1,0)</f>
        <v>0</v>
      </c>
      <c r="G58" s="15">
        <f>+'ENCUESTA CONDUCTORES'!I58</f>
        <v>50</v>
      </c>
      <c r="H58" s="15" t="str">
        <f>+'ENCUESTA CONDUCTORES'!J58</f>
        <v>M</v>
      </c>
      <c r="I58" s="15" t="str">
        <f>+'ENCUESTA CONDUCTORES'!K58</f>
        <v>PREPARATORIA</v>
      </c>
      <c r="J58" s="15" t="str">
        <f>+'ENCUESTA CONDUCTORES'!L58</f>
        <v>MAGDALENA CONTRERAS, D.F.</v>
      </c>
      <c r="K58" s="50" t="str">
        <f>+'ENCUESTA CONDUCTORES'!M58</f>
        <v>MAGDALENA CONTRERAS</v>
      </c>
      <c r="L58" s="15" t="str">
        <f>+'ENCUESTA CONDUCTORES'!N58</f>
        <v>D.F.</v>
      </c>
      <c r="M58" s="15">
        <f>+'ENCUESTA CONDUCTORES'!O58</f>
        <v>30</v>
      </c>
      <c r="N58" s="15">
        <f>IF('ENCUESTA CONDUCTORES'!P58="X",1,0)</f>
        <v>1</v>
      </c>
      <c r="O58" s="15">
        <f>IF('ENCUESTA CONDUCTORES'!Q58="X",1,0)</f>
        <v>0</v>
      </c>
      <c r="P58" s="15">
        <f>IF('ENCUESTA CONDUCTORES'!R58="X",1,0)</f>
        <v>0</v>
      </c>
      <c r="Q58" s="15">
        <f>IF('ENCUESTA CONDUCTORES'!S58="X",1,0)</f>
        <v>0</v>
      </c>
      <c r="R58" s="15">
        <f>IF('ENCUESTA CONDUCTORES'!T58="X",1,0)</f>
        <v>0</v>
      </c>
      <c r="S58" s="15">
        <f>IF('ENCUESTA CONDUCTORES'!U58="X",1,0)</f>
        <v>1</v>
      </c>
      <c r="T58" s="15">
        <f>IF('ENCUESTA CONDUCTORES'!V58="X",1,0)</f>
        <v>0</v>
      </c>
      <c r="U58" s="15">
        <f>IF('ENCUESTA CONDUCTORES'!W58="X",1,0)</f>
        <v>0</v>
      </c>
      <c r="V58" s="15">
        <f>IF('ENCUESTA CONDUCTORES'!X58="X",1,0)</f>
        <v>0</v>
      </c>
      <c r="W58" s="15">
        <f>IF('ENCUESTA CONDUCTORES'!Y58="X",1,0)</f>
        <v>0</v>
      </c>
      <c r="X58" s="15">
        <f>IF('ENCUESTA CONDUCTORES'!Z58="X",1,0)</f>
        <v>0</v>
      </c>
      <c r="Y58" s="15">
        <f>+'ENCUESTA CONDUCTORES'!AG58</f>
        <v>0</v>
      </c>
      <c r="Z58" s="15">
        <f>+'ENCUESTA CONDUCTORES'!AH58</f>
        <v>1995</v>
      </c>
      <c r="AA58" s="1">
        <f>+'ENCUESTA CONDUCTORES'!AI58</f>
        <v>900000</v>
      </c>
      <c r="AB58" s="15">
        <f>IF('ENCUESTA CONDUCTORES'!AJ58="X",1,0)</f>
        <v>0</v>
      </c>
      <c r="AC58" s="15">
        <f>IF('ENCUESTA CONDUCTORES'!AK58="X",1,0)</f>
        <v>1</v>
      </c>
      <c r="AD58" s="15">
        <f>IF('ENCUESTA CONDUCTORES'!AL58="X",1,0)</f>
        <v>0</v>
      </c>
      <c r="AE58" s="15">
        <f>IF('ENCUESTA CONDUCTORES'!AM58="X",1,0)</f>
        <v>0</v>
      </c>
      <c r="AF58" s="15">
        <f>IF('ENCUESTA CONDUCTORES'!AN58="X",1,0)</f>
        <v>0</v>
      </c>
      <c r="AG58" s="15">
        <f>IF('ENCUESTA CONDUCTORES'!AO58="X",1,0)</f>
        <v>1</v>
      </c>
      <c r="AH58" s="15">
        <f>IF('ENCUESTA CONDUCTORES'!AP58="X",1,0)</f>
        <v>0</v>
      </c>
      <c r="AI58" s="15">
        <f>IF('ENCUESTA CONDUCTORES'!AQ58="X",1,0)</f>
        <v>0</v>
      </c>
      <c r="AJ58" s="15">
        <f>IF('ENCUESTA CONDUCTORES'!AR58="X",1,0)</f>
        <v>0</v>
      </c>
      <c r="AK58" s="15">
        <f>+'ENCUESTA CONDUCTORES'!AS58</f>
        <v>0</v>
      </c>
      <c r="AL58" s="15" t="str">
        <f>+'ENCUESTA CONDUCTORES'!AT58</f>
        <v>FORD</v>
      </c>
      <c r="AM58" s="1">
        <f>+'ENCUESTA CONDUCTORES'!AU58</f>
        <v>4000</v>
      </c>
      <c r="AN58" s="48">
        <f>+'ENCUESTA CONDUCTORES'!AV58</f>
        <v>0.5</v>
      </c>
      <c r="AO58" s="15">
        <f>+'ENCUESTA CONDUCTORES'!AW58</f>
        <v>2.5</v>
      </c>
      <c r="AP58" s="15">
        <f>+'ENCUESTA CONDUCTORES'!AX58</f>
        <v>2</v>
      </c>
      <c r="AQ58" s="15">
        <f>+'ENCUESTA CONDUCTORES'!AY58</f>
        <v>1</v>
      </c>
      <c r="AR58" s="15">
        <f>+'ENCUESTA CONDUCTORES'!AZ58</f>
        <v>120</v>
      </c>
      <c r="AS58" s="15">
        <f>+'ENCUESTA CONDUCTORES'!BA58</f>
        <v>250</v>
      </c>
      <c r="AT58" s="15">
        <f>IF('ENCUESTA CONDUCTORES'!BB58="X",1,0)</f>
        <v>0</v>
      </c>
      <c r="AU58" s="15">
        <f>IF('ENCUESTA CONDUCTORES'!BC58="X",1,0)</f>
        <v>1</v>
      </c>
      <c r="AV58" s="15">
        <f>IF('ENCUESTA CONDUCTORES'!BD58="X",1,0)</f>
        <v>0</v>
      </c>
      <c r="AW58" s="1">
        <f>+'ENCUESTA CONDUCTORES'!BE58</f>
        <v>6000</v>
      </c>
      <c r="AX58" s="1">
        <f>+'ENCUESTA CONDUCTORES'!BF58</f>
        <v>10000</v>
      </c>
      <c r="AY58" s="1">
        <f>+'ENCUESTA CONDUCTORES'!BG58</f>
        <v>15000</v>
      </c>
      <c r="AZ58" s="1">
        <f>+'ENCUESTA CONDUCTORES'!BH58</f>
        <v>90000</v>
      </c>
      <c r="BA58" s="1" t="str">
        <f>+'ENCUESTA CONDUCTORES'!BI58</f>
        <v>NO APLICA</v>
      </c>
      <c r="BB58" s="15">
        <f>IF('ENCUESTA CONDUCTORES'!BJ58="X",1,0)</f>
        <v>0</v>
      </c>
      <c r="BC58" s="15">
        <f>IF('ENCUESTA CONDUCTORES'!BK58="X",1,0)</f>
        <v>0</v>
      </c>
      <c r="BD58" s="15">
        <f>IF('ENCUESTA CONDUCTORES'!BL58="X",1,0)</f>
        <v>0</v>
      </c>
      <c r="BE58" s="15">
        <f>IF('ENCUESTA CONDUCTORES'!BM58="X",1,0)</f>
        <v>0</v>
      </c>
      <c r="BF58" s="15">
        <f>IF('ENCUESTA CONDUCTORES'!BN58="X",1,0)</f>
        <v>0</v>
      </c>
      <c r="BG58" s="15">
        <f>IF('ENCUESTA CONDUCTORES'!BO58="X",1,0)</f>
        <v>0</v>
      </c>
      <c r="BH58" s="15">
        <f>IF('ENCUESTA CONDUCTORES'!BP58="X",1,0)</f>
        <v>0</v>
      </c>
      <c r="BI58" s="15">
        <f>IF('ENCUESTA CONDUCTORES'!BQ58="X",1,0)</f>
        <v>0</v>
      </c>
      <c r="BJ58" s="15">
        <f>IF('ENCUESTA CONDUCTORES'!BR58="X",1,0)</f>
        <v>0</v>
      </c>
      <c r="BK58" s="15" t="str">
        <f>+'ENCUESTA CONDUCTORES'!BS58</f>
        <v>PAPELERIA</v>
      </c>
      <c r="BL58" s="15">
        <f>IF('ENCUESTA CONDUCTORES'!BT58="X",1,0)</f>
        <v>0</v>
      </c>
      <c r="BM58" s="15">
        <f>IF('ENCUESTA CONDUCTORES'!BU58="X",1,0)</f>
        <v>1</v>
      </c>
      <c r="BN58" s="15">
        <f>IF('ENCUESTA CONDUCTORES'!BV58="X",1,0)</f>
        <v>0</v>
      </c>
      <c r="BO58" s="15">
        <f>IF('ENCUESTA CONDUCTORES'!BW58="X",1,0)</f>
        <v>0</v>
      </c>
      <c r="BP58" s="15">
        <f>+'ENCUESTA CONDUCTORES'!BX58</f>
        <v>2</v>
      </c>
      <c r="BQ58" s="15">
        <f>+'ENCUESTA CONDUCTORES'!BY58</f>
        <v>1</v>
      </c>
      <c r="BR58" s="15">
        <f>+'ENCUESTA CONDUCTORES'!BZ58</f>
        <v>3</v>
      </c>
      <c r="BS58" s="15">
        <f>+'ENCUESTA CONDUCTORES'!CA58</f>
        <v>0</v>
      </c>
      <c r="BT58" s="15">
        <f>IF('ENCUESTA CONDUCTORES'!CB58="X",1,0)</f>
        <v>1</v>
      </c>
      <c r="BU58" s="15">
        <f>IF('ENCUESTA CONDUCTORES'!CC58="X",1,0)</f>
        <v>0</v>
      </c>
      <c r="BV58" s="15">
        <f>IF('ENCUESTA CONDUCTORES'!CD58="X",1,0)</f>
        <v>0</v>
      </c>
      <c r="BW58" s="15">
        <f>IF('ENCUESTA CONDUCTORES'!CE58="X",1,0)</f>
        <v>0</v>
      </c>
      <c r="BX58" s="15">
        <f>IF('ENCUESTA CONDUCTORES'!CF58="X",1,0)</f>
        <v>0</v>
      </c>
      <c r="BY58" s="15">
        <f>IF('ENCUESTA CONDUCTORES'!CG58="X",1,0)</f>
        <v>0</v>
      </c>
      <c r="BZ58" s="15">
        <f>IF('ENCUESTA CONDUCTORES'!CH58="X",1,0)</f>
        <v>0</v>
      </c>
      <c r="CA58" s="15">
        <f>IF('ENCUESTA CONDUCTORES'!CI58="X",1,0)</f>
        <v>0</v>
      </c>
      <c r="CB58" s="15">
        <f>IF('ENCUESTA CONDUCTORES'!CJ58="X",1,0)</f>
        <v>0</v>
      </c>
      <c r="CC58" s="15">
        <f>IF('ENCUESTA CONDUCTORES'!CK58="X",1,0)</f>
        <v>1</v>
      </c>
      <c r="CD58" s="15">
        <f>IF('ENCUESTA CONDUCTORES'!CL58="X",1,0)</f>
        <v>0</v>
      </c>
      <c r="CE58" s="15">
        <f>IF('ENCUESTA CONDUCTORES'!CM58="X",1,0)</f>
        <v>0</v>
      </c>
      <c r="CF58" s="15" t="str">
        <f>+'ENCUESTA CONDUCTORES'!CN58</f>
        <v>AL PATRON NO LE INTERESA</v>
      </c>
      <c r="CG58" s="15">
        <f>IF('ENCUESTA CONDUCTORES'!CO58="X",1,0)</f>
        <v>0</v>
      </c>
      <c r="CH58" s="15" t="str">
        <f>+'ENCUESTA CONDUCTORES'!CP58</f>
        <v>NO LE INTERESA</v>
      </c>
      <c r="CI58" s="15" t="str">
        <f>+'ENCUESTA CONDUCTORES'!CQ58</f>
        <v>NO SABE</v>
      </c>
      <c r="CJ58" s="15">
        <f>IF('ENCUESTA CONDUCTORES'!CR58="X",1,0)</f>
        <v>0</v>
      </c>
      <c r="CK58" s="15">
        <f>IF('ENCUESTA CONDUCTORES'!CS58="X",1,0)</f>
        <v>1</v>
      </c>
      <c r="CL58" s="15">
        <f>IF('ENCUESTA CONDUCTORES'!CT58="X",1,0)</f>
        <v>0</v>
      </c>
      <c r="CM58" s="15">
        <f>+'ENCUESTA CONDUCTORES'!CU58</f>
        <v>0</v>
      </c>
      <c r="CN58" s="15">
        <f>IF('ENCUESTA CONDUCTORES'!CV58="X",1,0)</f>
        <v>1</v>
      </c>
      <c r="CO58" s="15" t="str">
        <f>+'ENCUESTA CONDUCTORES'!CW58</f>
        <v>NO TIENE TIEMPO</v>
      </c>
      <c r="CP58" s="15">
        <f>IF('ENCUESTA CONDUCTORES'!CX58="X",1,0)</f>
        <v>0</v>
      </c>
      <c r="CQ58" s="15">
        <f>IF('ENCUESTA CONDUCTORES'!CY58="X",1,0)</f>
        <v>0</v>
      </c>
      <c r="CR58" s="3">
        <f>+'ENCUESTA CONDUCTORES'!CZ58</f>
        <v>0</v>
      </c>
      <c r="CS58" s="49">
        <f>+'ENCUESTA CONDUCTORES'!DA58</f>
        <v>0</v>
      </c>
    </row>
    <row r="59" spans="2:97" x14ac:dyDescent="0.25">
      <c r="B59" s="14" t="str">
        <f>+'ENCUESTA CONDUCTORES'!D59</f>
        <v>C-065</v>
      </c>
      <c r="C59" s="15">
        <f>IF('ENCUESTA CONDUCTORES'!E59="X",1,0)</f>
        <v>0</v>
      </c>
      <c r="D59" s="15">
        <f>IF('ENCUESTA CONDUCTORES'!F59="X",1,0)</f>
        <v>0</v>
      </c>
      <c r="E59" s="15">
        <f>IF('ENCUESTA CONDUCTORES'!G59="X",1,0)</f>
        <v>0</v>
      </c>
      <c r="F59" s="15">
        <f>IF('ENCUESTA CONDUCTORES'!H59="X",1,0)</f>
        <v>1</v>
      </c>
      <c r="G59" s="15">
        <f>+'ENCUESTA CONDUCTORES'!I59</f>
        <v>51</v>
      </c>
      <c r="H59" s="15" t="str">
        <f>+'ENCUESTA CONDUCTORES'!J59</f>
        <v>M</v>
      </c>
      <c r="I59" s="15" t="str">
        <f>+'ENCUESTA CONDUCTORES'!K59</f>
        <v>SECUNDARIA</v>
      </c>
      <c r="J59" s="15" t="str">
        <f>+'ENCUESTA CONDUCTORES'!L59</f>
        <v>MOCHIS, SIN.</v>
      </c>
      <c r="K59" s="50" t="str">
        <f>+'ENCUESTA CONDUCTORES'!M59</f>
        <v>MOCHIS</v>
      </c>
      <c r="L59" s="15" t="str">
        <f>+'ENCUESTA CONDUCTORES'!N59</f>
        <v>SINALOA</v>
      </c>
      <c r="M59" s="15">
        <f>+'ENCUESTA CONDUCTORES'!O59</f>
        <v>30</v>
      </c>
      <c r="N59" s="15">
        <f>IF('ENCUESTA CONDUCTORES'!P59="X",1,0)</f>
        <v>0</v>
      </c>
      <c r="O59" s="15">
        <f>IF('ENCUESTA CONDUCTORES'!Q59="X",1,0)</f>
        <v>0</v>
      </c>
      <c r="P59" s="15">
        <f>IF('ENCUESTA CONDUCTORES'!R59="X",1,0)</f>
        <v>1</v>
      </c>
      <c r="Q59" s="15">
        <f>IF('ENCUESTA CONDUCTORES'!S59="X",1,0)</f>
        <v>0</v>
      </c>
      <c r="R59" s="15">
        <f>IF('ENCUESTA CONDUCTORES'!T59="X",1,0)</f>
        <v>0</v>
      </c>
      <c r="S59" s="15">
        <f>IF('ENCUESTA CONDUCTORES'!U59="X",1,0)</f>
        <v>0</v>
      </c>
      <c r="T59" s="15">
        <f>IF('ENCUESTA CONDUCTORES'!V59="X",1,0)</f>
        <v>0</v>
      </c>
      <c r="U59" s="15">
        <f>IF('ENCUESTA CONDUCTORES'!W59="X",1,0)</f>
        <v>0</v>
      </c>
      <c r="V59" s="15">
        <f>IF('ENCUESTA CONDUCTORES'!X59="X",1,0)</f>
        <v>1</v>
      </c>
      <c r="W59" s="15">
        <f>IF('ENCUESTA CONDUCTORES'!Y59="X",1,0)</f>
        <v>0</v>
      </c>
      <c r="X59" s="15">
        <f>IF('ENCUESTA CONDUCTORES'!Z59="X",1,0)</f>
        <v>0</v>
      </c>
      <c r="Y59" s="15">
        <f>+'ENCUESTA CONDUCTORES'!AG59</f>
        <v>0</v>
      </c>
      <c r="Z59" s="15">
        <f>+'ENCUESTA CONDUCTORES'!AH59</f>
        <v>2009</v>
      </c>
      <c r="AA59" s="1">
        <f>+'ENCUESTA CONDUCTORES'!AI59</f>
        <v>300000</v>
      </c>
      <c r="AB59" s="15">
        <f>IF('ENCUESTA CONDUCTORES'!AJ59="X",1,0)</f>
        <v>0</v>
      </c>
      <c r="AC59" s="15">
        <f>IF('ENCUESTA CONDUCTORES'!AK59="X",1,0)</f>
        <v>0</v>
      </c>
      <c r="AD59" s="15">
        <f>IF('ENCUESTA CONDUCTORES'!AL59="X",1,0)</f>
        <v>1</v>
      </c>
      <c r="AE59" s="15">
        <f>IF('ENCUESTA CONDUCTORES'!AM59="X",1,0)</f>
        <v>0</v>
      </c>
      <c r="AF59" s="15">
        <f>IF('ENCUESTA CONDUCTORES'!AN59="X",1,0)</f>
        <v>0</v>
      </c>
      <c r="AG59" s="15">
        <f>IF('ENCUESTA CONDUCTORES'!AO59="X",1,0)</f>
        <v>0</v>
      </c>
      <c r="AH59" s="15">
        <f>IF('ENCUESTA CONDUCTORES'!AP59="X",1,0)</f>
        <v>1</v>
      </c>
      <c r="AI59" s="15">
        <f>IF('ENCUESTA CONDUCTORES'!AQ59="X",1,0)</f>
        <v>0</v>
      </c>
      <c r="AJ59" s="15">
        <f>IF('ENCUESTA CONDUCTORES'!AR59="X",1,0)</f>
        <v>0</v>
      </c>
      <c r="AK59" s="15">
        <f>+'ENCUESTA CONDUCTORES'!AS59</f>
        <v>0</v>
      </c>
      <c r="AL59" s="15" t="str">
        <f>+'ENCUESTA CONDUCTORES'!AT59</f>
        <v>CUMMINS</v>
      </c>
      <c r="AM59" s="1">
        <f>+'ENCUESTA CONDUCTORES'!AU59</f>
        <v>6000</v>
      </c>
      <c r="AN59" s="48">
        <f>+'ENCUESTA CONDUCTORES'!AV59</f>
        <v>0.5</v>
      </c>
      <c r="AO59" s="15">
        <f>+'ENCUESTA CONDUCTORES'!AW59</f>
        <v>3</v>
      </c>
      <c r="AP59" s="15">
        <f>+'ENCUESTA CONDUCTORES'!AX59</f>
        <v>2.8</v>
      </c>
      <c r="AQ59" s="15">
        <f>+'ENCUESTA CONDUCTORES'!AY59</f>
        <v>3</v>
      </c>
      <c r="AR59" s="15">
        <f>+'ENCUESTA CONDUCTORES'!AZ59</f>
        <v>1200</v>
      </c>
      <c r="AS59" s="15">
        <f>+'ENCUESTA CONDUCTORES'!BA59</f>
        <v>3500</v>
      </c>
      <c r="AT59" s="15">
        <f>IF('ENCUESTA CONDUCTORES'!BB59="X",1,0)</f>
        <v>1</v>
      </c>
      <c r="AU59" s="15">
        <f>IF('ENCUESTA CONDUCTORES'!BC59="X",1,0)</f>
        <v>1</v>
      </c>
      <c r="AV59" s="15">
        <f>IF('ENCUESTA CONDUCTORES'!BD59="X",1,0)</f>
        <v>1</v>
      </c>
      <c r="AW59" s="1">
        <f>+'ENCUESTA CONDUCTORES'!BE59</f>
        <v>12000</v>
      </c>
      <c r="AX59" s="1">
        <f>+'ENCUESTA CONDUCTORES'!BF59</f>
        <v>12000</v>
      </c>
      <c r="AY59" s="1">
        <f>+'ENCUESTA CONDUCTORES'!BG59</f>
        <v>12000</v>
      </c>
      <c r="AZ59" s="1">
        <f>+'ENCUESTA CONDUCTORES'!BH59</f>
        <v>100000</v>
      </c>
      <c r="BA59" s="1">
        <f>+'ENCUESTA CONDUCTORES'!BI59</f>
        <v>12000</v>
      </c>
      <c r="BB59" s="15">
        <f>IF('ENCUESTA CONDUCTORES'!BJ59="X",1,0)</f>
        <v>1</v>
      </c>
      <c r="BC59" s="15">
        <f>IF('ENCUESTA CONDUCTORES'!BK59="X",1,0)</f>
        <v>0</v>
      </c>
      <c r="BD59" s="15">
        <f>IF('ENCUESTA CONDUCTORES'!BL59="X",1,0)</f>
        <v>0</v>
      </c>
      <c r="BE59" s="15">
        <f>IF('ENCUESTA CONDUCTORES'!BM59="X",1,0)</f>
        <v>0</v>
      </c>
      <c r="BF59" s="15">
        <f>IF('ENCUESTA CONDUCTORES'!BN59="X",1,0)</f>
        <v>0</v>
      </c>
      <c r="BG59" s="15">
        <f>IF('ENCUESTA CONDUCTORES'!BO59="X",1,0)</f>
        <v>0</v>
      </c>
      <c r="BH59" s="15">
        <f>IF('ENCUESTA CONDUCTORES'!BP59="X",1,0)</f>
        <v>0</v>
      </c>
      <c r="BI59" s="15">
        <f>IF('ENCUESTA CONDUCTORES'!BQ59="X",1,0)</f>
        <v>0</v>
      </c>
      <c r="BJ59" s="15">
        <f>IF('ENCUESTA CONDUCTORES'!BR59="X",1,0)</f>
        <v>0</v>
      </c>
      <c r="BK59" s="15">
        <f>+'ENCUESTA CONDUCTORES'!BS59</f>
        <v>0</v>
      </c>
      <c r="BL59" s="15">
        <f>IF('ENCUESTA CONDUCTORES'!BT59="X",1,0)</f>
        <v>0</v>
      </c>
      <c r="BM59" s="15">
        <f>IF('ENCUESTA CONDUCTORES'!BU59="X",1,0)</f>
        <v>1</v>
      </c>
      <c r="BN59" s="15">
        <f>IF('ENCUESTA CONDUCTORES'!BV59="X",1,0)</f>
        <v>0</v>
      </c>
      <c r="BO59" s="15">
        <f>IF('ENCUESTA CONDUCTORES'!BW59="X",1,0)</f>
        <v>0</v>
      </c>
      <c r="BP59" s="15">
        <f>+'ENCUESTA CONDUCTORES'!BX59</f>
        <v>1</v>
      </c>
      <c r="BQ59" s="15">
        <f>+'ENCUESTA CONDUCTORES'!BY59</f>
        <v>2</v>
      </c>
      <c r="BR59" s="15">
        <f>+'ENCUESTA CONDUCTORES'!BZ59</f>
        <v>3</v>
      </c>
      <c r="BS59" s="15">
        <f>+'ENCUESTA CONDUCTORES'!CA59</f>
        <v>0</v>
      </c>
      <c r="BT59" s="15">
        <f>IF('ENCUESTA CONDUCTORES'!CB59="X",1,0)</f>
        <v>0</v>
      </c>
      <c r="BU59" s="15">
        <f>IF('ENCUESTA CONDUCTORES'!CC59="X",1,0)</f>
        <v>1</v>
      </c>
      <c r="BV59" s="15">
        <f>IF('ENCUESTA CONDUCTORES'!CD59="X",1,0)</f>
        <v>0</v>
      </c>
      <c r="BW59" s="15">
        <f>IF('ENCUESTA CONDUCTORES'!CE59="X",1,0)</f>
        <v>1</v>
      </c>
      <c r="BX59" s="15">
        <f>IF('ENCUESTA CONDUCTORES'!CF59="X",1,0)</f>
        <v>0</v>
      </c>
      <c r="BY59" s="15">
        <f>IF('ENCUESTA CONDUCTORES'!CG59="X",1,0)</f>
        <v>0</v>
      </c>
      <c r="BZ59" s="15">
        <f>IF('ENCUESTA CONDUCTORES'!CH59="X",1,0)</f>
        <v>1</v>
      </c>
      <c r="CA59" s="15">
        <f>IF('ENCUESTA CONDUCTORES'!CI59="X",1,0)</f>
        <v>1</v>
      </c>
      <c r="CB59" s="15">
        <f>IF('ENCUESTA CONDUCTORES'!CJ59="X",1,0)</f>
        <v>0</v>
      </c>
      <c r="CC59" s="15">
        <f>IF('ENCUESTA CONDUCTORES'!CK59="X",1,0)</f>
        <v>0</v>
      </c>
      <c r="CD59" s="15">
        <f>IF('ENCUESTA CONDUCTORES'!CL59="X",1,0)</f>
        <v>1</v>
      </c>
      <c r="CE59" s="15">
        <f>IF('ENCUESTA CONDUCTORES'!CM59="X",1,0)</f>
        <v>1</v>
      </c>
      <c r="CF59" s="15" t="str">
        <f>+'ENCUESTA CONDUCTORES'!CN59</f>
        <v>AL PATRON NO LE INTERESA</v>
      </c>
      <c r="CG59" s="15">
        <f>IF('ENCUESTA CONDUCTORES'!CO59="X",1,0)</f>
        <v>0</v>
      </c>
      <c r="CH59" s="15" t="str">
        <f>+'ENCUESTA CONDUCTORES'!CP59</f>
        <v>BUENA FORMA DE NO CONTAMINAR</v>
      </c>
      <c r="CI59" s="15" t="str">
        <f>+'ENCUESTA CONDUCTORES'!CQ59</f>
        <v>MAYOR INFORMACION</v>
      </c>
      <c r="CJ59" s="15">
        <f>IF('ENCUESTA CONDUCTORES'!CR59="X",1,0)</f>
        <v>0</v>
      </c>
      <c r="CK59" s="15">
        <f>IF('ENCUESTA CONDUCTORES'!CS59="X",1,0)</f>
        <v>0</v>
      </c>
      <c r="CL59" s="15">
        <f>IF('ENCUESTA CONDUCTORES'!CT59="X",1,0)</f>
        <v>1</v>
      </c>
      <c r="CM59" s="15">
        <f>+'ENCUESTA CONDUCTORES'!CU59</f>
        <v>0</v>
      </c>
      <c r="CN59" s="15">
        <f>IF('ENCUESTA CONDUCTORES'!CV59="X",1,0)</f>
        <v>0</v>
      </c>
      <c r="CO59" s="15">
        <f>+'ENCUESTA CONDUCTORES'!CW59</f>
        <v>0</v>
      </c>
      <c r="CP59" s="15">
        <f>IF('ENCUESTA CONDUCTORES'!CX59="X",1,0)</f>
        <v>1</v>
      </c>
      <c r="CQ59" s="15">
        <f>IF('ENCUESTA CONDUCTORES'!CY59="X",1,0)</f>
        <v>0</v>
      </c>
      <c r="CR59" s="4" t="str">
        <f>+'ENCUESTA CONDUCTORES'!CZ59</f>
        <v>PROTECCION CIVIL</v>
      </c>
      <c r="CS59" s="49">
        <f>+'ENCUESTA CONDUCTORES'!DA59</f>
        <v>0</v>
      </c>
    </row>
    <row r="60" spans="2:97" x14ac:dyDescent="0.25">
      <c r="B60" s="14" t="str">
        <f>+'ENCUESTA CONDUCTORES'!D60</f>
        <v>C-066</v>
      </c>
      <c r="C60" s="15">
        <f>IF('ENCUESTA CONDUCTORES'!E60="X",1,0)</f>
        <v>0</v>
      </c>
      <c r="D60" s="15">
        <f>IF('ENCUESTA CONDUCTORES'!F60="X",1,0)</f>
        <v>0</v>
      </c>
      <c r="E60" s="15">
        <f>IF('ENCUESTA CONDUCTORES'!G60="X",1,0)</f>
        <v>1</v>
      </c>
      <c r="F60" s="15">
        <f>IF('ENCUESTA CONDUCTORES'!H60="X",1,0)</f>
        <v>0</v>
      </c>
      <c r="G60" s="15">
        <f>+'ENCUESTA CONDUCTORES'!I60</f>
        <v>34</v>
      </c>
      <c r="H60" s="15" t="str">
        <f>+'ENCUESTA CONDUCTORES'!J60</f>
        <v>M</v>
      </c>
      <c r="I60" s="15" t="str">
        <f>+'ENCUESTA CONDUCTORES'!K60</f>
        <v>SECUNDARIA</v>
      </c>
      <c r="J60" s="15" t="str">
        <f>+'ENCUESTA CONDUCTORES'!L60</f>
        <v>ECATEPEC, EDO. MEX.</v>
      </c>
      <c r="K60" s="15" t="str">
        <f>+'ENCUESTA CONDUCTORES'!M60</f>
        <v>ECATEPEC</v>
      </c>
      <c r="L60" s="15" t="str">
        <f>+'ENCUESTA CONDUCTORES'!N60</f>
        <v>EDO. MEX.</v>
      </c>
      <c r="M60" s="15">
        <f>+'ENCUESTA CONDUCTORES'!O60</f>
        <v>8</v>
      </c>
      <c r="N60" s="15">
        <f>IF('ENCUESTA CONDUCTORES'!P60="X",1,0)</f>
        <v>0</v>
      </c>
      <c r="O60" s="15">
        <f>IF('ENCUESTA CONDUCTORES'!Q60="X",1,0)</f>
        <v>0</v>
      </c>
      <c r="P60" s="15">
        <f>IF('ENCUESTA CONDUCTORES'!R60="X",1,0)</f>
        <v>0</v>
      </c>
      <c r="Q60" s="15">
        <f>IF('ENCUESTA CONDUCTORES'!S60="X",1,0)</f>
        <v>1</v>
      </c>
      <c r="R60" s="15">
        <f>IF('ENCUESTA CONDUCTORES'!T60="X",1,0)</f>
        <v>0</v>
      </c>
      <c r="S60" s="15">
        <f>IF('ENCUESTA CONDUCTORES'!U60="X",1,0)</f>
        <v>0</v>
      </c>
      <c r="T60" s="15">
        <f>IF('ENCUESTA CONDUCTORES'!V60="X",1,0)</f>
        <v>0</v>
      </c>
      <c r="U60" s="15">
        <f>IF('ENCUESTA CONDUCTORES'!W60="X",1,0)</f>
        <v>0</v>
      </c>
      <c r="V60" s="15">
        <f>IF('ENCUESTA CONDUCTORES'!X60="X",1,0)</f>
        <v>0</v>
      </c>
      <c r="W60" s="15">
        <f>IF('ENCUESTA CONDUCTORES'!Y60="X",1,0)</f>
        <v>0</v>
      </c>
      <c r="X60" s="15">
        <f>IF('ENCUESTA CONDUCTORES'!Z60="X",1,0)</f>
        <v>0</v>
      </c>
      <c r="Y60" s="15">
        <f>+'ENCUESTA CONDUCTORES'!AG60</f>
        <v>0</v>
      </c>
      <c r="Z60" s="15">
        <f>+'ENCUESTA CONDUCTORES'!AH60</f>
        <v>2007</v>
      </c>
      <c r="AA60" s="1">
        <f>+'ENCUESTA CONDUCTORES'!AI60</f>
        <v>600000</v>
      </c>
      <c r="AB60" s="15">
        <f>IF('ENCUESTA CONDUCTORES'!AJ60="X",1,0)</f>
        <v>0</v>
      </c>
      <c r="AC60" s="15">
        <f>IF('ENCUESTA CONDUCTORES'!AK60="X",1,0)</f>
        <v>0</v>
      </c>
      <c r="AD60" s="15">
        <f>IF('ENCUESTA CONDUCTORES'!AL60="X",1,0)</f>
        <v>1</v>
      </c>
      <c r="AE60" s="15">
        <f>IF('ENCUESTA CONDUCTORES'!AM60="X",1,0)</f>
        <v>0</v>
      </c>
      <c r="AF60" s="15">
        <f>IF('ENCUESTA CONDUCTORES'!AN60="X",1,0)</f>
        <v>0</v>
      </c>
      <c r="AG60" s="15">
        <f>IF('ENCUESTA CONDUCTORES'!AO60="X",1,0)</f>
        <v>0</v>
      </c>
      <c r="AH60" s="15">
        <f>IF('ENCUESTA CONDUCTORES'!AP60="X",1,0)</f>
        <v>1</v>
      </c>
      <c r="AI60" s="15">
        <f>IF('ENCUESTA CONDUCTORES'!AQ60="X",1,0)</f>
        <v>0</v>
      </c>
      <c r="AJ60" s="15">
        <f>IF('ENCUESTA CONDUCTORES'!AR60="X",1,0)</f>
        <v>0</v>
      </c>
      <c r="AK60" s="15">
        <f>+'ENCUESTA CONDUCTORES'!AS60</f>
        <v>0</v>
      </c>
      <c r="AL60" s="15" t="str">
        <f>+'ENCUESTA CONDUCTORES'!AT60</f>
        <v>KENWORTH</v>
      </c>
      <c r="AM60" s="1">
        <f>+'ENCUESTA CONDUCTORES'!AU60</f>
        <v>8000</v>
      </c>
      <c r="AN60" s="48">
        <f>+'ENCUESTA CONDUCTORES'!AV60</f>
        <v>0.5</v>
      </c>
      <c r="AO60" s="15">
        <f>+'ENCUESTA CONDUCTORES'!AW60</f>
        <v>2.5</v>
      </c>
      <c r="AP60" s="15">
        <f>+'ENCUESTA CONDUCTORES'!AX60</f>
        <v>2</v>
      </c>
      <c r="AQ60" s="15">
        <f>+'ENCUESTA CONDUCTORES'!AY60</f>
        <v>2</v>
      </c>
      <c r="AR60" s="15">
        <f>+'ENCUESTA CONDUCTORES'!AZ60</f>
        <v>1100</v>
      </c>
      <c r="AS60" s="15">
        <f>+'ENCUESTA CONDUCTORES'!BA60</f>
        <v>2500</v>
      </c>
      <c r="AT60" s="15">
        <f>IF('ENCUESTA CONDUCTORES'!BB60="X",1,0)</f>
        <v>1</v>
      </c>
      <c r="AU60" s="15">
        <f>IF('ENCUESTA CONDUCTORES'!BC60="X",1,0)</f>
        <v>1</v>
      </c>
      <c r="AV60" s="15">
        <f>IF('ENCUESTA CONDUCTORES'!BD60="X",1,0)</f>
        <v>1</v>
      </c>
      <c r="AW60" s="1">
        <f>+'ENCUESTA CONDUCTORES'!BE60</f>
        <v>24000</v>
      </c>
      <c r="AX60" s="1">
        <f>+'ENCUESTA CONDUCTORES'!BF60</f>
        <v>30000</v>
      </c>
      <c r="AY60" s="1">
        <f>+'ENCUESTA CONDUCTORES'!BG60</f>
        <v>24000</v>
      </c>
      <c r="AZ60" s="1">
        <f>+'ENCUESTA CONDUCTORES'!BH60</f>
        <v>90000</v>
      </c>
      <c r="BA60" s="1">
        <f>+'ENCUESTA CONDUCTORES'!BI60</f>
        <v>24000</v>
      </c>
      <c r="BB60" s="15">
        <f>IF('ENCUESTA CONDUCTORES'!BJ60="X",1,0)</f>
        <v>0</v>
      </c>
      <c r="BC60" s="15">
        <f>IF('ENCUESTA CONDUCTORES'!BK60="X",1,0)</f>
        <v>0</v>
      </c>
      <c r="BD60" s="15">
        <f>IF('ENCUESTA CONDUCTORES'!BL60="X",1,0)</f>
        <v>0</v>
      </c>
      <c r="BE60" s="15">
        <f>IF('ENCUESTA CONDUCTORES'!BM60="X",1,0)</f>
        <v>1</v>
      </c>
      <c r="BF60" s="15">
        <f>IF('ENCUESTA CONDUCTORES'!BN60="X",1,0)</f>
        <v>0</v>
      </c>
      <c r="BG60" s="15">
        <f>IF('ENCUESTA CONDUCTORES'!BO60="X",1,0)</f>
        <v>0</v>
      </c>
      <c r="BH60" s="15">
        <f>IF('ENCUESTA CONDUCTORES'!BP60="X",1,0)</f>
        <v>0</v>
      </c>
      <c r="BI60" s="15">
        <f>IF('ENCUESTA CONDUCTORES'!BQ60="X",1,0)</f>
        <v>0</v>
      </c>
      <c r="BJ60" s="15">
        <f>IF('ENCUESTA CONDUCTORES'!BR60="X",1,0)</f>
        <v>0</v>
      </c>
      <c r="BK60" s="15">
        <f>+'ENCUESTA CONDUCTORES'!BS60</f>
        <v>0</v>
      </c>
      <c r="BL60" s="15">
        <f>IF('ENCUESTA CONDUCTORES'!BT60="X",1,0)</f>
        <v>0</v>
      </c>
      <c r="BM60" s="15">
        <f>IF('ENCUESTA CONDUCTORES'!BU60="X",1,0)</f>
        <v>1</v>
      </c>
      <c r="BN60" s="15">
        <f>IF('ENCUESTA CONDUCTORES'!BV60="X",1,0)</f>
        <v>0</v>
      </c>
      <c r="BO60" s="15">
        <f>IF('ENCUESTA CONDUCTORES'!BW60="X",1,0)</f>
        <v>0</v>
      </c>
      <c r="BP60" s="15">
        <f>+'ENCUESTA CONDUCTORES'!BX60</f>
        <v>1</v>
      </c>
      <c r="BQ60" s="15">
        <f>+'ENCUESTA CONDUCTORES'!BY60</f>
        <v>2</v>
      </c>
      <c r="BR60" s="15">
        <f>+'ENCUESTA CONDUCTORES'!BZ60</f>
        <v>3</v>
      </c>
      <c r="BS60" s="15">
        <f>+'ENCUESTA CONDUCTORES'!CA60</f>
        <v>0</v>
      </c>
      <c r="BT60" s="15">
        <f>IF('ENCUESTA CONDUCTORES'!CB60="X",1,0)</f>
        <v>0</v>
      </c>
      <c r="BU60" s="15">
        <f>IF('ENCUESTA CONDUCTORES'!CC60="X",1,0)</f>
        <v>1</v>
      </c>
      <c r="BV60" s="15">
        <f>IF('ENCUESTA CONDUCTORES'!CD60="X",1,0)</f>
        <v>0</v>
      </c>
      <c r="BW60" s="15">
        <f>IF('ENCUESTA CONDUCTORES'!CE60="X",1,0)</f>
        <v>0</v>
      </c>
      <c r="BX60" s="15">
        <f>IF('ENCUESTA CONDUCTORES'!CF60="X",1,0)</f>
        <v>0</v>
      </c>
      <c r="BY60" s="15">
        <f>IF('ENCUESTA CONDUCTORES'!CG60="X",1,0)</f>
        <v>1</v>
      </c>
      <c r="BZ60" s="15">
        <f>IF('ENCUESTA CONDUCTORES'!CH60="X",1,0)</f>
        <v>1</v>
      </c>
      <c r="CA60" s="15">
        <f>IF('ENCUESTA CONDUCTORES'!CI60="X",1,0)</f>
        <v>0</v>
      </c>
      <c r="CB60" s="15">
        <f>IF('ENCUESTA CONDUCTORES'!CJ60="X",1,0)</f>
        <v>0</v>
      </c>
      <c r="CC60" s="15">
        <f>IF('ENCUESTA CONDUCTORES'!CK60="X",1,0)</f>
        <v>1</v>
      </c>
      <c r="CD60" s="15">
        <f>IF('ENCUESTA CONDUCTORES'!CL60="X",1,0)</f>
        <v>0</v>
      </c>
      <c r="CE60" s="15">
        <f>IF('ENCUESTA CONDUCTORES'!CM60="X",1,0)</f>
        <v>0</v>
      </c>
      <c r="CF60" s="15">
        <f>+'ENCUESTA CONDUCTORES'!CN60</f>
        <v>0</v>
      </c>
      <c r="CG60" s="15">
        <f>IF('ENCUESTA CONDUCTORES'!CO60="X",1,0)</f>
        <v>0</v>
      </c>
      <c r="CH60" s="15" t="str">
        <f>+'ENCUESTA CONDUCTORES'!CP60</f>
        <v>NO SABE</v>
      </c>
      <c r="CI60" s="15" t="str">
        <f>+'ENCUESTA CONDUCTORES'!CQ60</f>
        <v>DARLO A CONOCER</v>
      </c>
      <c r="CJ60" s="15">
        <f>IF('ENCUESTA CONDUCTORES'!CR60="X",1,0)</f>
        <v>1</v>
      </c>
      <c r="CK60" s="15">
        <f>IF('ENCUESTA CONDUCTORES'!CS60="X",1,0)</f>
        <v>0</v>
      </c>
      <c r="CL60" s="15">
        <f>IF('ENCUESTA CONDUCTORES'!CT60="X",1,0)</f>
        <v>0</v>
      </c>
      <c r="CM60" s="15">
        <f>+'ENCUESTA CONDUCTORES'!CU60</f>
        <v>0</v>
      </c>
      <c r="CN60" s="15">
        <f>IF('ENCUESTA CONDUCTORES'!CV60="X",1,0)</f>
        <v>0</v>
      </c>
      <c r="CO60" s="15">
        <f>+'ENCUESTA CONDUCTORES'!CW60</f>
        <v>0</v>
      </c>
      <c r="CP60" s="15">
        <f>IF('ENCUESTA CONDUCTORES'!CX60="X",1,0)</f>
        <v>0</v>
      </c>
      <c r="CQ60" s="15">
        <f>IF('ENCUESTA CONDUCTORES'!CY60="X",1,0)</f>
        <v>1</v>
      </c>
      <c r="CR60" s="3">
        <f>+'ENCUESTA CONDUCTORES'!CZ60</f>
        <v>0</v>
      </c>
      <c r="CS60" s="49">
        <f>+'ENCUESTA CONDUCTORES'!DA60</f>
        <v>0</v>
      </c>
    </row>
    <row r="61" spans="2:97" x14ac:dyDescent="0.25">
      <c r="B61" s="14" t="str">
        <f>+'ENCUESTA CONDUCTORES'!D61</f>
        <v>C-067</v>
      </c>
      <c r="C61" s="15">
        <f>IF('ENCUESTA CONDUCTORES'!E61="X",1,0)</f>
        <v>0</v>
      </c>
      <c r="D61" s="15">
        <f>IF('ENCUESTA CONDUCTORES'!F61="X",1,0)</f>
        <v>0</v>
      </c>
      <c r="E61" s="15">
        <f>IF('ENCUESTA CONDUCTORES'!G61="X",1,0)</f>
        <v>0</v>
      </c>
      <c r="F61" s="15">
        <f>IF('ENCUESTA CONDUCTORES'!H61="X",1,0)</f>
        <v>1</v>
      </c>
      <c r="G61" s="15">
        <f>+'ENCUESTA CONDUCTORES'!I61</f>
        <v>29</v>
      </c>
      <c r="H61" s="15" t="str">
        <f>+'ENCUESTA CONDUCTORES'!J61</f>
        <v>M</v>
      </c>
      <c r="I61" s="15" t="str">
        <f>+'ENCUESTA CONDUCTORES'!K61</f>
        <v>SECUNDARIA</v>
      </c>
      <c r="J61" s="15" t="str">
        <f>+'ENCUESTA CONDUCTORES'!L61</f>
        <v>NAUCALPAN, EDO. MEX.</v>
      </c>
      <c r="K61" s="15" t="str">
        <f>+'ENCUESTA CONDUCTORES'!M61</f>
        <v>NAUCALPAN</v>
      </c>
      <c r="L61" s="15" t="str">
        <f>+'ENCUESTA CONDUCTORES'!N61</f>
        <v>EDO. MEX.</v>
      </c>
      <c r="M61" s="15">
        <f>+'ENCUESTA CONDUCTORES'!O61</f>
        <v>7</v>
      </c>
      <c r="N61" s="15">
        <f>IF('ENCUESTA CONDUCTORES'!P61="X",1,0)</f>
        <v>0</v>
      </c>
      <c r="O61" s="15">
        <f>IF('ENCUESTA CONDUCTORES'!Q61="X",1,0)</f>
        <v>1</v>
      </c>
      <c r="P61" s="15">
        <f>IF('ENCUESTA CONDUCTORES'!R61="X",1,0)</f>
        <v>0</v>
      </c>
      <c r="Q61" s="15">
        <f>IF('ENCUESTA CONDUCTORES'!S61="X",1,0)</f>
        <v>0</v>
      </c>
      <c r="R61" s="15">
        <f>IF('ENCUESTA CONDUCTORES'!T61="X",1,0)</f>
        <v>0</v>
      </c>
      <c r="S61" s="15">
        <f>IF('ENCUESTA CONDUCTORES'!U61="X",1,0)</f>
        <v>1</v>
      </c>
      <c r="T61" s="15">
        <f>IF('ENCUESTA CONDUCTORES'!V61="X",1,0)</f>
        <v>0</v>
      </c>
      <c r="U61" s="15">
        <f>IF('ENCUESTA CONDUCTORES'!W61="X",1,0)</f>
        <v>0</v>
      </c>
      <c r="V61" s="15">
        <f>IF('ENCUESTA CONDUCTORES'!X61="X",1,0)</f>
        <v>0</v>
      </c>
      <c r="W61" s="15">
        <f>IF('ENCUESTA CONDUCTORES'!Y61="X",1,0)</f>
        <v>0</v>
      </c>
      <c r="X61" s="15">
        <f>IF('ENCUESTA CONDUCTORES'!Z61="X",1,0)</f>
        <v>0</v>
      </c>
      <c r="Y61" s="15">
        <f>+'ENCUESTA CONDUCTORES'!AG61</f>
        <v>0</v>
      </c>
      <c r="Z61" s="15">
        <f>+'ENCUESTA CONDUCTORES'!AH61</f>
        <v>2013</v>
      </c>
      <c r="AA61" s="1">
        <f>+'ENCUESTA CONDUCTORES'!AI61</f>
        <v>300000</v>
      </c>
      <c r="AB61" s="15">
        <f>IF('ENCUESTA CONDUCTORES'!AJ61="X",1,0)</f>
        <v>0</v>
      </c>
      <c r="AC61" s="15">
        <f>IF('ENCUESTA CONDUCTORES'!AK61="X",1,0)</f>
        <v>0</v>
      </c>
      <c r="AD61" s="15">
        <f>IF('ENCUESTA CONDUCTORES'!AL61="X",1,0)</f>
        <v>1</v>
      </c>
      <c r="AE61" s="15">
        <f>IF('ENCUESTA CONDUCTORES'!AM61="X",1,0)</f>
        <v>0</v>
      </c>
      <c r="AF61" s="15">
        <f>IF('ENCUESTA CONDUCTORES'!AN61="X",1,0)</f>
        <v>0</v>
      </c>
      <c r="AG61" s="15">
        <f>IF('ENCUESTA CONDUCTORES'!AO61="X",1,0)</f>
        <v>0</v>
      </c>
      <c r="AH61" s="15">
        <f>IF('ENCUESTA CONDUCTORES'!AP61="X",1,0)</f>
        <v>1</v>
      </c>
      <c r="AI61" s="15">
        <f>IF('ENCUESTA CONDUCTORES'!AQ61="X",1,0)</f>
        <v>0</v>
      </c>
      <c r="AJ61" s="15">
        <f>IF('ENCUESTA CONDUCTORES'!AR61="X",1,0)</f>
        <v>0</v>
      </c>
      <c r="AK61" s="15">
        <f>+'ENCUESTA CONDUCTORES'!AS61</f>
        <v>0</v>
      </c>
      <c r="AL61" s="15" t="str">
        <f>+'ENCUESTA CONDUCTORES'!AT61</f>
        <v>VOLVO</v>
      </c>
      <c r="AM61" s="1">
        <f>+'ENCUESTA CONDUCTORES'!AU61</f>
        <v>25000</v>
      </c>
      <c r="AN61" s="48">
        <f>+'ENCUESTA CONDUCTORES'!AV61</f>
        <v>0.1</v>
      </c>
      <c r="AO61" s="15">
        <f>+'ENCUESTA CONDUCTORES'!AW61</f>
        <v>3</v>
      </c>
      <c r="AP61" s="15">
        <f>+'ENCUESTA CONDUCTORES'!AX61</f>
        <v>2.8</v>
      </c>
      <c r="AQ61" s="15">
        <f>+'ENCUESTA CONDUCTORES'!AY61</f>
        <v>2</v>
      </c>
      <c r="AR61" s="15">
        <f>+'ENCUESTA CONDUCTORES'!AZ61</f>
        <v>1000</v>
      </c>
      <c r="AS61" s="15">
        <f>+'ENCUESTA CONDUCTORES'!BA61</f>
        <v>3000</v>
      </c>
      <c r="AT61" s="15">
        <f>IF('ENCUESTA CONDUCTORES'!BB61="X",1,0)</f>
        <v>1</v>
      </c>
      <c r="AU61" s="15">
        <f>IF('ENCUESTA CONDUCTORES'!BC61="X",1,0)</f>
        <v>1</v>
      </c>
      <c r="AV61" s="15">
        <f>IF('ENCUESTA CONDUCTORES'!BD61="X",1,0)</f>
        <v>1</v>
      </c>
      <c r="AW61" s="1">
        <f>+'ENCUESTA CONDUCTORES'!BE61</f>
        <v>20000</v>
      </c>
      <c r="AX61" s="1">
        <f>+'ENCUESTA CONDUCTORES'!BF61</f>
        <v>25000</v>
      </c>
      <c r="AY61" s="1">
        <f>+'ENCUESTA CONDUCTORES'!BG61</f>
        <v>20000</v>
      </c>
      <c r="AZ61" s="1">
        <f>+'ENCUESTA CONDUCTORES'!BH61</f>
        <v>200000</v>
      </c>
      <c r="BA61" s="1">
        <f>+'ENCUESTA CONDUCTORES'!BI61</f>
        <v>20000</v>
      </c>
      <c r="BB61" s="15">
        <f>IF('ENCUESTA CONDUCTORES'!BJ61="X",1,0)</f>
        <v>0</v>
      </c>
      <c r="BC61" s="15">
        <f>IF('ENCUESTA CONDUCTORES'!BK61="X",1,0)</f>
        <v>0</v>
      </c>
      <c r="BD61" s="15">
        <f>IF('ENCUESTA CONDUCTORES'!BL61="X",1,0)</f>
        <v>0</v>
      </c>
      <c r="BE61" s="15">
        <f>IF('ENCUESTA CONDUCTORES'!BM61="X",1,0)</f>
        <v>0</v>
      </c>
      <c r="BF61" s="15">
        <f>IF('ENCUESTA CONDUCTORES'!BN61="X",1,0)</f>
        <v>0</v>
      </c>
      <c r="BG61" s="15">
        <f>IF('ENCUESTA CONDUCTORES'!BO61="X",1,0)</f>
        <v>0</v>
      </c>
      <c r="BH61" s="15">
        <f>IF('ENCUESTA CONDUCTORES'!BP61="X",1,0)</f>
        <v>0</v>
      </c>
      <c r="BI61" s="15">
        <f>IF('ENCUESTA CONDUCTORES'!BQ61="X",1,0)</f>
        <v>0</v>
      </c>
      <c r="BJ61" s="15">
        <f>IF('ENCUESTA CONDUCTORES'!BR61="X",1,0)</f>
        <v>0</v>
      </c>
      <c r="BK61" s="15" t="str">
        <f>+'ENCUESTA CONDUCTORES'!BS61</f>
        <v>GENERAL</v>
      </c>
      <c r="BL61" s="15">
        <f>IF('ENCUESTA CONDUCTORES'!BT61="X",1,0)</f>
        <v>0</v>
      </c>
      <c r="BM61" s="15">
        <f>IF('ENCUESTA CONDUCTORES'!BU61="X",1,0)</f>
        <v>1</v>
      </c>
      <c r="BN61" s="15">
        <f>IF('ENCUESTA CONDUCTORES'!BV61="X",1,0)</f>
        <v>0</v>
      </c>
      <c r="BO61" s="15">
        <f>IF('ENCUESTA CONDUCTORES'!BW61="X",1,0)</f>
        <v>0</v>
      </c>
      <c r="BP61" s="15">
        <f>+'ENCUESTA CONDUCTORES'!BX61</f>
        <v>2</v>
      </c>
      <c r="BQ61" s="15">
        <f>+'ENCUESTA CONDUCTORES'!BY61</f>
        <v>1</v>
      </c>
      <c r="BR61" s="15">
        <f>+'ENCUESTA CONDUCTORES'!BZ61</f>
        <v>3</v>
      </c>
      <c r="BS61" s="15">
        <f>+'ENCUESTA CONDUCTORES'!CA61</f>
        <v>0</v>
      </c>
      <c r="BT61" s="15">
        <f>IF('ENCUESTA CONDUCTORES'!CB61="X",1,0)</f>
        <v>0</v>
      </c>
      <c r="BU61" s="15">
        <f>IF('ENCUESTA CONDUCTORES'!CC61="X",1,0)</f>
        <v>1</v>
      </c>
      <c r="BV61" s="15">
        <f>IF('ENCUESTA CONDUCTORES'!CD61="X",1,0)</f>
        <v>0</v>
      </c>
      <c r="BW61" s="15">
        <f>IF('ENCUESTA CONDUCTORES'!CE61="X",1,0)</f>
        <v>0</v>
      </c>
      <c r="BX61" s="15">
        <f>IF('ENCUESTA CONDUCTORES'!CF61="X",1,0)</f>
        <v>0</v>
      </c>
      <c r="BY61" s="15">
        <f>IF('ENCUESTA CONDUCTORES'!CG61="X",1,0)</f>
        <v>1</v>
      </c>
      <c r="BZ61" s="15">
        <f>IF('ENCUESTA CONDUCTORES'!CH61="X",1,0)</f>
        <v>0</v>
      </c>
      <c r="CA61" s="15">
        <f>IF('ENCUESTA CONDUCTORES'!CI61="X",1,0)</f>
        <v>1</v>
      </c>
      <c r="CB61" s="15">
        <f>IF('ENCUESTA CONDUCTORES'!CJ61="X",1,0)</f>
        <v>0</v>
      </c>
      <c r="CC61" s="15">
        <f>IF('ENCUESTA CONDUCTORES'!CK61="X",1,0)</f>
        <v>1</v>
      </c>
      <c r="CD61" s="15">
        <f>IF('ENCUESTA CONDUCTORES'!CL61="X",1,0)</f>
        <v>0</v>
      </c>
      <c r="CE61" s="15">
        <f>IF('ENCUESTA CONDUCTORES'!CM61="X",1,0)</f>
        <v>0</v>
      </c>
      <c r="CF61" s="15">
        <f>+'ENCUESTA CONDUCTORES'!CN61</f>
        <v>0</v>
      </c>
      <c r="CG61" s="15">
        <f>IF('ENCUESTA CONDUCTORES'!CO61="X",1,0)</f>
        <v>0</v>
      </c>
      <c r="CH61" s="15" t="str">
        <f>+'ENCUESTA CONDUCTORES'!CP61</f>
        <v>NO SABE</v>
      </c>
      <c r="CI61" s="15" t="str">
        <f>+'ENCUESTA CONDUCTORES'!CQ61</f>
        <v>DARLO A CONOCER</v>
      </c>
      <c r="CJ61" s="15">
        <f>IF('ENCUESTA CONDUCTORES'!CR61="X",1,0)</f>
        <v>0</v>
      </c>
      <c r="CK61" s="15">
        <f>IF('ENCUESTA CONDUCTORES'!CS61="X",1,0)</f>
        <v>0</v>
      </c>
      <c r="CL61" s="15">
        <f>IF('ENCUESTA CONDUCTORES'!CT61="X",1,0)</f>
        <v>1</v>
      </c>
      <c r="CM61" s="15" t="str">
        <f>+'ENCUESTA CONDUCTORES'!CU61</f>
        <v>DESCARGA DE MATERIALES PELIGROSOS</v>
      </c>
      <c r="CN61" s="15">
        <f>IF('ENCUESTA CONDUCTORES'!CV61="X",1,0)</f>
        <v>0</v>
      </c>
      <c r="CO61" s="2">
        <f>+'ENCUESTA CONDUCTORES'!CW61</f>
        <v>0</v>
      </c>
      <c r="CP61" s="15">
        <f>IF('ENCUESTA CONDUCTORES'!CX61="X",1,0)</f>
        <v>1</v>
      </c>
      <c r="CQ61" s="15">
        <f>IF('ENCUESTA CONDUCTORES'!CY61="X",1,0)</f>
        <v>1</v>
      </c>
      <c r="CR61" s="3">
        <f>+'ENCUESTA CONDUCTORES'!CZ61</f>
        <v>0</v>
      </c>
      <c r="CS61" s="49">
        <f>+'ENCUESTA CONDUCTORES'!DA61</f>
        <v>0</v>
      </c>
    </row>
    <row r="62" spans="2:97" x14ac:dyDescent="0.25">
      <c r="B62" s="14" t="str">
        <f>+'ENCUESTA CONDUCTORES'!D62</f>
        <v>C-068</v>
      </c>
      <c r="C62" s="15">
        <f>IF('ENCUESTA CONDUCTORES'!E62="X",1,0)</f>
        <v>0</v>
      </c>
      <c r="D62" s="15">
        <f>IF('ENCUESTA CONDUCTORES'!F62="X",1,0)</f>
        <v>0</v>
      </c>
      <c r="E62" s="15">
        <f>IF('ENCUESTA CONDUCTORES'!G62="X",1,0)</f>
        <v>0</v>
      </c>
      <c r="F62" s="15">
        <f>IF('ENCUESTA CONDUCTORES'!H62="X",1,0)</f>
        <v>1</v>
      </c>
      <c r="G62" s="15">
        <f>+'ENCUESTA CONDUCTORES'!I62</f>
        <v>31</v>
      </c>
      <c r="H62" s="15" t="str">
        <f>+'ENCUESTA CONDUCTORES'!J62</f>
        <v>M</v>
      </c>
      <c r="I62" s="15" t="str">
        <f>+'ENCUESTA CONDUCTORES'!K62</f>
        <v>SECUNDARIA</v>
      </c>
      <c r="J62" s="15" t="str">
        <f>+'ENCUESTA CONDUCTORES'!L62</f>
        <v>IXTAPALUCA, EDO. DE MEX.</v>
      </c>
      <c r="K62" s="15" t="str">
        <f>+'ENCUESTA CONDUCTORES'!M62</f>
        <v>IXTAPALUCA</v>
      </c>
      <c r="L62" s="15" t="str">
        <f>+'ENCUESTA CONDUCTORES'!N62</f>
        <v>EDO. MEX.</v>
      </c>
      <c r="M62" s="15">
        <f>+'ENCUESTA CONDUCTORES'!O62</f>
        <v>8</v>
      </c>
      <c r="N62" s="15">
        <f>IF('ENCUESTA CONDUCTORES'!P62="X",1,0)</f>
        <v>1</v>
      </c>
      <c r="O62" s="15">
        <f>IF('ENCUESTA CONDUCTORES'!Q62="X",1,0)</f>
        <v>0</v>
      </c>
      <c r="P62" s="15">
        <f>IF('ENCUESTA CONDUCTORES'!R62="X",1,0)</f>
        <v>0</v>
      </c>
      <c r="Q62" s="15">
        <f>IF('ENCUESTA CONDUCTORES'!S62="X",1,0)</f>
        <v>0</v>
      </c>
      <c r="R62" s="15">
        <f>IF('ENCUESTA CONDUCTORES'!T62="X",1,0)</f>
        <v>0</v>
      </c>
      <c r="S62" s="15">
        <f>IF('ENCUESTA CONDUCTORES'!U62="X",1,0)</f>
        <v>1</v>
      </c>
      <c r="T62" s="15">
        <f>IF('ENCUESTA CONDUCTORES'!V62="X",1,0)</f>
        <v>0</v>
      </c>
      <c r="U62" s="15">
        <f>IF('ENCUESTA CONDUCTORES'!W62="X",1,0)</f>
        <v>0</v>
      </c>
      <c r="V62" s="15">
        <f>IF('ENCUESTA CONDUCTORES'!X62="X",1,0)</f>
        <v>0</v>
      </c>
      <c r="W62" s="15">
        <f>IF('ENCUESTA CONDUCTORES'!Y62="X",1,0)</f>
        <v>0</v>
      </c>
      <c r="X62" s="15">
        <f>IF('ENCUESTA CONDUCTORES'!Z62="X",1,0)</f>
        <v>0</v>
      </c>
      <c r="Y62" s="15">
        <f>+'ENCUESTA CONDUCTORES'!AG62</f>
        <v>0</v>
      </c>
      <c r="Z62" s="15">
        <f>+'ENCUESTA CONDUCTORES'!AH62</f>
        <v>2007</v>
      </c>
      <c r="AA62" s="1">
        <f>+'ENCUESTA CONDUCTORES'!AI62</f>
        <v>800000</v>
      </c>
      <c r="AB62" s="15">
        <f>IF('ENCUESTA CONDUCTORES'!AJ62="X",1,0)</f>
        <v>0</v>
      </c>
      <c r="AC62" s="15">
        <f>IF('ENCUESTA CONDUCTORES'!AK62="X",1,0)</f>
        <v>0</v>
      </c>
      <c r="AD62" s="15">
        <f>IF('ENCUESTA CONDUCTORES'!AL62="X",1,0)</f>
        <v>1</v>
      </c>
      <c r="AE62" s="15">
        <f>IF('ENCUESTA CONDUCTORES'!AM62="X",1,0)</f>
        <v>0</v>
      </c>
      <c r="AF62" s="15">
        <f>IF('ENCUESTA CONDUCTORES'!AN62="X",1,0)</f>
        <v>0</v>
      </c>
      <c r="AG62" s="15">
        <f>IF('ENCUESTA CONDUCTORES'!AO62="X",1,0)</f>
        <v>0</v>
      </c>
      <c r="AH62" s="15">
        <f>IF('ENCUESTA CONDUCTORES'!AP62="X",1,0)</f>
        <v>1</v>
      </c>
      <c r="AI62" s="15">
        <f>IF('ENCUESTA CONDUCTORES'!AQ62="X",1,0)</f>
        <v>0</v>
      </c>
      <c r="AJ62" s="15">
        <f>IF('ENCUESTA CONDUCTORES'!AR62="X",1,0)</f>
        <v>0</v>
      </c>
      <c r="AK62" s="15">
        <f>+'ENCUESTA CONDUCTORES'!AS62</f>
        <v>0</v>
      </c>
      <c r="AL62" s="15" t="str">
        <f>+'ENCUESTA CONDUCTORES'!AT62</f>
        <v>KENWORTH</v>
      </c>
      <c r="AM62" s="1">
        <f>+'ENCUESTA CONDUCTORES'!AU62</f>
        <v>10000</v>
      </c>
      <c r="AN62" s="48">
        <f>+'ENCUESTA CONDUCTORES'!AV62</f>
        <v>0.5</v>
      </c>
      <c r="AO62" s="15">
        <f>+'ENCUESTA CONDUCTORES'!AW62</f>
        <v>3</v>
      </c>
      <c r="AP62" s="15">
        <f>+'ENCUESTA CONDUCTORES'!AX62</f>
        <v>2.5</v>
      </c>
      <c r="AQ62" s="15">
        <f>+'ENCUESTA CONDUCTORES'!AY62</f>
        <v>1</v>
      </c>
      <c r="AR62" s="15">
        <f>+'ENCUESTA CONDUCTORES'!AZ62</f>
        <v>450</v>
      </c>
      <c r="AS62" s="15">
        <f>+'ENCUESTA CONDUCTORES'!BA62</f>
        <v>1100</v>
      </c>
      <c r="AT62" s="15">
        <f>IF('ENCUESTA CONDUCTORES'!BB62="X",1,0)</f>
        <v>1</v>
      </c>
      <c r="AU62" s="15">
        <f>IF('ENCUESTA CONDUCTORES'!BC62="X",1,0)</f>
        <v>1</v>
      </c>
      <c r="AV62" s="15">
        <f>IF('ENCUESTA CONDUCTORES'!BD62="X",1,0)</f>
        <v>1</v>
      </c>
      <c r="AW62" s="1">
        <f>+'ENCUESTA CONDUCTORES'!BE62</f>
        <v>12000</v>
      </c>
      <c r="AX62" s="1">
        <f>+'ENCUESTA CONDUCTORES'!BF62</f>
        <v>25000</v>
      </c>
      <c r="AY62" s="1">
        <f>+'ENCUESTA CONDUCTORES'!BG62</f>
        <v>10000</v>
      </c>
      <c r="AZ62" s="1">
        <f>+'ENCUESTA CONDUCTORES'!BH62</f>
        <v>100000</v>
      </c>
      <c r="BA62" s="1">
        <f>+'ENCUESTA CONDUCTORES'!BI62</f>
        <v>10000</v>
      </c>
      <c r="BB62" s="15">
        <f>IF('ENCUESTA CONDUCTORES'!BJ62="X",1,0)</f>
        <v>0</v>
      </c>
      <c r="BC62" s="15">
        <f>IF('ENCUESTA CONDUCTORES'!BK62="X",1,0)</f>
        <v>0</v>
      </c>
      <c r="BD62" s="15">
        <f>IF('ENCUESTA CONDUCTORES'!BL62="X",1,0)</f>
        <v>0</v>
      </c>
      <c r="BE62" s="15">
        <f>IF('ENCUESTA CONDUCTORES'!BM62="X",1,0)</f>
        <v>0</v>
      </c>
      <c r="BF62" s="15">
        <f>IF('ENCUESTA CONDUCTORES'!BN62="X",1,0)</f>
        <v>0</v>
      </c>
      <c r="BG62" s="15">
        <f>IF('ENCUESTA CONDUCTORES'!BO62="X",1,0)</f>
        <v>0</v>
      </c>
      <c r="BH62" s="15">
        <f>IF('ENCUESTA CONDUCTORES'!BP62="X",1,0)</f>
        <v>0</v>
      </c>
      <c r="BI62" s="15">
        <f>IF('ENCUESTA CONDUCTORES'!BQ62="X",1,0)</f>
        <v>0</v>
      </c>
      <c r="BJ62" s="15">
        <f>IF('ENCUESTA CONDUCTORES'!BR62="X",1,0)</f>
        <v>0</v>
      </c>
      <c r="BK62" s="15" t="str">
        <f>+'ENCUESTA CONDUCTORES'!BS62</f>
        <v>GENERAL</v>
      </c>
      <c r="BL62" s="15">
        <f>IF('ENCUESTA CONDUCTORES'!BT62="X",1,0)</f>
        <v>0</v>
      </c>
      <c r="BM62" s="15">
        <f>IF('ENCUESTA CONDUCTORES'!BU62="X",1,0)</f>
        <v>1</v>
      </c>
      <c r="BN62" s="15">
        <f>IF('ENCUESTA CONDUCTORES'!BV62="X",1,0)</f>
        <v>0</v>
      </c>
      <c r="BO62" s="15">
        <f>IF('ENCUESTA CONDUCTORES'!BW62="X",1,0)</f>
        <v>0</v>
      </c>
      <c r="BP62" s="15">
        <f>+'ENCUESTA CONDUCTORES'!BX62</f>
        <v>2</v>
      </c>
      <c r="BQ62" s="15">
        <f>+'ENCUESTA CONDUCTORES'!BY62</f>
        <v>3</v>
      </c>
      <c r="BR62" s="15">
        <f>+'ENCUESTA CONDUCTORES'!BZ62</f>
        <v>1</v>
      </c>
      <c r="BS62" s="15">
        <f>+'ENCUESTA CONDUCTORES'!CA62</f>
        <v>0</v>
      </c>
      <c r="BT62" s="15">
        <f>IF('ENCUESTA CONDUCTORES'!CB62="X",1,0)</f>
        <v>0</v>
      </c>
      <c r="BU62" s="15">
        <f>IF('ENCUESTA CONDUCTORES'!CC62="X",1,0)</f>
        <v>1</v>
      </c>
      <c r="BV62" s="15">
        <f>IF('ENCUESTA CONDUCTORES'!CD62="X",1,0)</f>
        <v>0</v>
      </c>
      <c r="BW62" s="15">
        <f>IF('ENCUESTA CONDUCTORES'!CE62="X",1,0)</f>
        <v>1</v>
      </c>
      <c r="BX62" s="15">
        <f>IF('ENCUESTA CONDUCTORES'!CF62="X",1,0)</f>
        <v>0</v>
      </c>
      <c r="BY62" s="15">
        <f>IF('ENCUESTA CONDUCTORES'!CG62="X",1,0)</f>
        <v>0</v>
      </c>
      <c r="BZ62" s="15">
        <f>IF('ENCUESTA CONDUCTORES'!CH62="X",1,0)</f>
        <v>1</v>
      </c>
      <c r="CA62" s="15">
        <f>IF('ENCUESTA CONDUCTORES'!CI62="X",1,0)</f>
        <v>1</v>
      </c>
      <c r="CB62" s="15">
        <f>IF('ENCUESTA CONDUCTORES'!CJ62="X",1,0)</f>
        <v>0</v>
      </c>
      <c r="CC62" s="15">
        <f>IF('ENCUESTA CONDUCTORES'!CK62="X",1,0)</f>
        <v>1</v>
      </c>
      <c r="CD62" s="15">
        <f>IF('ENCUESTA CONDUCTORES'!CL62="X",1,0)</f>
        <v>0</v>
      </c>
      <c r="CE62" s="15">
        <f>IF('ENCUESTA CONDUCTORES'!CM62="X",1,0)</f>
        <v>0</v>
      </c>
      <c r="CF62" s="15">
        <f>+'ENCUESTA CONDUCTORES'!CN62</f>
        <v>0</v>
      </c>
      <c r="CG62" s="15">
        <f>IF('ENCUESTA CONDUCTORES'!CO62="X",1,0)</f>
        <v>0</v>
      </c>
      <c r="CH62" s="15" t="str">
        <f>+'ENCUESTA CONDUCTORES'!CP62</f>
        <v>NO SABE</v>
      </c>
      <c r="CI62" s="15" t="str">
        <f>+'ENCUESTA CONDUCTORES'!CQ62</f>
        <v>MAYOR INFORMACION</v>
      </c>
      <c r="CJ62" s="15">
        <f>IF('ENCUESTA CONDUCTORES'!CR62="X",1,0)</f>
        <v>0</v>
      </c>
      <c r="CK62" s="15">
        <f>IF('ENCUESTA CONDUCTORES'!CS62="X",1,0)</f>
        <v>0</v>
      </c>
      <c r="CL62" s="15">
        <f>IF('ENCUESTA CONDUCTORES'!CT62="X",1,0)</f>
        <v>1</v>
      </c>
      <c r="CM62" s="15">
        <f>+'ENCUESTA CONDUCTORES'!CU62</f>
        <v>0</v>
      </c>
      <c r="CN62" s="15">
        <f>IF('ENCUESTA CONDUCTORES'!CV62="X",1,0)</f>
        <v>0</v>
      </c>
      <c r="CO62" s="15">
        <f>+'ENCUESTA CONDUCTORES'!CW62</f>
        <v>0</v>
      </c>
      <c r="CP62" s="15">
        <f>IF('ENCUESTA CONDUCTORES'!CX62="X",1,0)</f>
        <v>1</v>
      </c>
      <c r="CQ62" s="15">
        <f>IF('ENCUESTA CONDUCTORES'!CY62="X",1,0)</f>
        <v>1</v>
      </c>
      <c r="CR62" s="3">
        <f>+'ENCUESTA CONDUCTORES'!CZ62</f>
        <v>0</v>
      </c>
      <c r="CS62" s="49">
        <f>+'ENCUESTA CONDUCTORES'!DA62</f>
        <v>0</v>
      </c>
    </row>
    <row r="63" spans="2:97" x14ac:dyDescent="0.25">
      <c r="B63" s="14" t="str">
        <f>+'ENCUESTA CONDUCTORES'!D63</f>
        <v>C-069</v>
      </c>
      <c r="C63" s="15">
        <f>IF('ENCUESTA CONDUCTORES'!E63="X",1,0)</f>
        <v>0</v>
      </c>
      <c r="D63" s="15">
        <f>IF('ENCUESTA CONDUCTORES'!F63="X",1,0)</f>
        <v>0</v>
      </c>
      <c r="E63" s="15">
        <f>IF('ENCUESTA CONDUCTORES'!G63="X",1,0)</f>
        <v>1</v>
      </c>
      <c r="F63" s="15">
        <f>IF('ENCUESTA CONDUCTORES'!H63="X",1,0)</f>
        <v>0</v>
      </c>
      <c r="G63" s="15">
        <f>+'ENCUESTA CONDUCTORES'!I63</f>
        <v>37</v>
      </c>
      <c r="H63" s="15" t="str">
        <f>+'ENCUESTA CONDUCTORES'!J63</f>
        <v>M</v>
      </c>
      <c r="I63" s="15" t="str">
        <f>+'ENCUESTA CONDUCTORES'!K63</f>
        <v>SECUNDARIA</v>
      </c>
      <c r="J63" s="15" t="str">
        <f>+'ENCUESTA CONDUCTORES'!L63</f>
        <v>CUAJIMALPA, D.F.</v>
      </c>
      <c r="K63" s="15" t="str">
        <f>+'ENCUESTA CONDUCTORES'!M63</f>
        <v>CUAJIMALPA</v>
      </c>
      <c r="L63" s="15" t="str">
        <f>+'ENCUESTA CONDUCTORES'!N63</f>
        <v>D.F.</v>
      </c>
      <c r="M63" s="15">
        <f>+'ENCUESTA CONDUCTORES'!O63</f>
        <v>18</v>
      </c>
      <c r="N63" s="15">
        <f>IF('ENCUESTA CONDUCTORES'!P63="X",1,0)</f>
        <v>0</v>
      </c>
      <c r="O63" s="15">
        <f>IF('ENCUESTA CONDUCTORES'!Q63="X",1,0)</f>
        <v>0</v>
      </c>
      <c r="P63" s="15">
        <f>IF('ENCUESTA CONDUCTORES'!R63="X",1,0)</f>
        <v>0</v>
      </c>
      <c r="Q63" s="15">
        <f>IF('ENCUESTA CONDUCTORES'!S63="X",1,0)</f>
        <v>1</v>
      </c>
      <c r="R63" s="15">
        <f>IF('ENCUESTA CONDUCTORES'!T63="X",1,0)</f>
        <v>0</v>
      </c>
      <c r="S63" s="15">
        <f>IF('ENCUESTA CONDUCTORES'!U63="X",1,0)</f>
        <v>1</v>
      </c>
      <c r="T63" s="15">
        <f>IF('ENCUESTA CONDUCTORES'!V63="X",1,0)</f>
        <v>0</v>
      </c>
      <c r="U63" s="15">
        <f>IF('ENCUESTA CONDUCTORES'!W63="X",1,0)</f>
        <v>0</v>
      </c>
      <c r="V63" s="15">
        <f>IF('ENCUESTA CONDUCTORES'!X63="X",1,0)</f>
        <v>0</v>
      </c>
      <c r="W63" s="15">
        <f>IF('ENCUESTA CONDUCTORES'!Y63="X",1,0)</f>
        <v>0</v>
      </c>
      <c r="X63" s="15">
        <f>IF('ENCUESTA CONDUCTORES'!Z63="X",1,0)</f>
        <v>0</v>
      </c>
      <c r="Y63" s="15">
        <f>+'ENCUESTA CONDUCTORES'!AG63</f>
        <v>0</v>
      </c>
      <c r="Z63" s="15">
        <f>+'ENCUESTA CONDUCTORES'!AH63</f>
        <v>2012</v>
      </c>
      <c r="AA63" s="1">
        <f>+'ENCUESTA CONDUCTORES'!AI63</f>
        <v>350000</v>
      </c>
      <c r="AB63" s="15">
        <f>IF('ENCUESTA CONDUCTORES'!AJ63="X",1,0)</f>
        <v>0</v>
      </c>
      <c r="AC63" s="15">
        <f>IF('ENCUESTA CONDUCTORES'!AK63="X",1,0)</f>
        <v>0</v>
      </c>
      <c r="AD63" s="15">
        <f>IF('ENCUESTA CONDUCTORES'!AL63="X",1,0)</f>
        <v>1</v>
      </c>
      <c r="AE63" s="15">
        <f>IF('ENCUESTA CONDUCTORES'!AM63="X",1,0)</f>
        <v>0</v>
      </c>
      <c r="AF63" s="15">
        <f>IF('ENCUESTA CONDUCTORES'!AN63="X",1,0)</f>
        <v>0</v>
      </c>
      <c r="AG63" s="15">
        <f>IF('ENCUESTA CONDUCTORES'!AO63="X",1,0)</f>
        <v>0</v>
      </c>
      <c r="AH63" s="15">
        <f>IF('ENCUESTA CONDUCTORES'!AP63="X",1,0)</f>
        <v>1</v>
      </c>
      <c r="AI63" s="15">
        <f>IF('ENCUESTA CONDUCTORES'!AQ63="X",1,0)</f>
        <v>0</v>
      </c>
      <c r="AJ63" s="15">
        <f>IF('ENCUESTA CONDUCTORES'!AR63="X",1,0)</f>
        <v>0</v>
      </c>
      <c r="AK63" s="15">
        <f>+'ENCUESTA CONDUCTORES'!AS63</f>
        <v>0</v>
      </c>
      <c r="AL63" s="15" t="str">
        <f>+'ENCUESTA CONDUCTORES'!AT63</f>
        <v>PACCAR</v>
      </c>
      <c r="AM63" s="1">
        <f>+'ENCUESTA CONDUCTORES'!AU63</f>
        <v>15000</v>
      </c>
      <c r="AN63" s="48">
        <f>+'ENCUESTA CONDUCTORES'!AV63</f>
        <v>0.1</v>
      </c>
      <c r="AO63" s="15">
        <f>+'ENCUESTA CONDUCTORES'!AW63</f>
        <v>2.9</v>
      </c>
      <c r="AP63" s="15">
        <f>+'ENCUESTA CONDUCTORES'!AX63</f>
        <v>2</v>
      </c>
      <c r="AQ63" s="15">
        <f>+'ENCUESTA CONDUCTORES'!AY63</f>
        <v>2</v>
      </c>
      <c r="AR63" s="15">
        <f>+'ENCUESTA CONDUCTORES'!AZ63</f>
        <v>880</v>
      </c>
      <c r="AS63" s="15">
        <f>+'ENCUESTA CONDUCTORES'!BA63</f>
        <v>2200</v>
      </c>
      <c r="AT63" s="15">
        <f>IF('ENCUESTA CONDUCTORES'!BB63="X",1,0)</f>
        <v>1</v>
      </c>
      <c r="AU63" s="15">
        <f>IF('ENCUESTA CONDUCTORES'!BC63="X",1,0)</f>
        <v>1</v>
      </c>
      <c r="AV63" s="15">
        <f>IF('ENCUESTA CONDUCTORES'!BD63="X",1,0)</f>
        <v>0</v>
      </c>
      <c r="AW63" s="1">
        <f>+'ENCUESTA CONDUCTORES'!BE63</f>
        <v>25000</v>
      </c>
      <c r="AX63" s="1">
        <f>+'ENCUESTA CONDUCTORES'!BF63</f>
        <v>90000</v>
      </c>
      <c r="AY63" s="1">
        <f>+'ENCUESTA CONDUCTORES'!BG63</f>
        <v>25000</v>
      </c>
      <c r="AZ63" s="1">
        <f>+'ENCUESTA CONDUCTORES'!BH63</f>
        <v>180000</v>
      </c>
      <c r="BA63" s="1">
        <f>+'ENCUESTA CONDUCTORES'!BI63</f>
        <v>25000</v>
      </c>
      <c r="BB63" s="15">
        <f>IF('ENCUESTA CONDUCTORES'!BJ63="X",1,0)</f>
        <v>0</v>
      </c>
      <c r="BC63" s="15">
        <f>IF('ENCUESTA CONDUCTORES'!BK63="X",1,0)</f>
        <v>0</v>
      </c>
      <c r="BD63" s="15">
        <f>IF('ENCUESTA CONDUCTORES'!BL63="X",1,0)</f>
        <v>0</v>
      </c>
      <c r="BE63" s="15">
        <f>IF('ENCUESTA CONDUCTORES'!BM63="X",1,0)</f>
        <v>0</v>
      </c>
      <c r="BF63" s="15">
        <f>IF('ENCUESTA CONDUCTORES'!BN63="X",1,0)</f>
        <v>0</v>
      </c>
      <c r="BG63" s="15">
        <f>IF('ENCUESTA CONDUCTORES'!BO63="X",1,0)</f>
        <v>1</v>
      </c>
      <c r="BH63" s="15">
        <f>IF('ENCUESTA CONDUCTORES'!BP63="X",1,0)</f>
        <v>0</v>
      </c>
      <c r="BI63" s="15">
        <f>IF('ENCUESTA CONDUCTORES'!BQ63="X",1,0)</f>
        <v>0</v>
      </c>
      <c r="BJ63" s="15">
        <f>IF('ENCUESTA CONDUCTORES'!BR63="X",1,0)</f>
        <v>0</v>
      </c>
      <c r="BK63" s="15">
        <f>+'ENCUESTA CONDUCTORES'!BS63</f>
        <v>0</v>
      </c>
      <c r="BL63" s="15">
        <f>IF('ENCUESTA CONDUCTORES'!BT63="X",1,0)</f>
        <v>0</v>
      </c>
      <c r="BM63" s="15">
        <f>IF('ENCUESTA CONDUCTORES'!BU63="X",1,0)</f>
        <v>0</v>
      </c>
      <c r="BN63" s="15">
        <f>IF('ENCUESTA CONDUCTORES'!BV63="X",1,0)</f>
        <v>1</v>
      </c>
      <c r="BO63" s="15">
        <f>IF('ENCUESTA CONDUCTORES'!BW63="X",1,0)</f>
        <v>0</v>
      </c>
      <c r="BP63" s="15">
        <f>+'ENCUESTA CONDUCTORES'!BX63</f>
        <v>2</v>
      </c>
      <c r="BQ63" s="15">
        <f>+'ENCUESTA CONDUCTORES'!BY63</f>
        <v>1</v>
      </c>
      <c r="BR63" s="15">
        <f>+'ENCUESTA CONDUCTORES'!BZ63</f>
        <v>3</v>
      </c>
      <c r="BS63" s="15">
        <f>+'ENCUESTA CONDUCTORES'!CA63</f>
        <v>0</v>
      </c>
      <c r="BT63" s="15">
        <f>IF('ENCUESTA CONDUCTORES'!CB63="X",1,0)</f>
        <v>1</v>
      </c>
      <c r="BU63" s="15">
        <f>IF('ENCUESTA CONDUCTORES'!CC63="X",1,0)</f>
        <v>0</v>
      </c>
      <c r="BV63" s="15">
        <f>IF('ENCUESTA CONDUCTORES'!CD63="X",1,0)</f>
        <v>0</v>
      </c>
      <c r="BW63" s="15">
        <f>IF('ENCUESTA CONDUCTORES'!CE63="X",1,0)</f>
        <v>0</v>
      </c>
      <c r="BX63" s="15">
        <f>IF('ENCUESTA CONDUCTORES'!CF63="X",1,0)</f>
        <v>0</v>
      </c>
      <c r="BY63" s="15">
        <f>IF('ENCUESTA CONDUCTORES'!CG63="X",1,0)</f>
        <v>0</v>
      </c>
      <c r="BZ63" s="15">
        <f>IF('ENCUESTA CONDUCTORES'!CH63="X",1,0)</f>
        <v>0</v>
      </c>
      <c r="CA63" s="15">
        <f>IF('ENCUESTA CONDUCTORES'!CI63="X",1,0)</f>
        <v>0</v>
      </c>
      <c r="CB63" s="15">
        <f>IF('ENCUESTA CONDUCTORES'!CJ63="X",1,0)</f>
        <v>0</v>
      </c>
      <c r="CC63" s="15">
        <f>IF('ENCUESTA CONDUCTORES'!CK63="X",1,0)</f>
        <v>1</v>
      </c>
      <c r="CD63" s="15">
        <f>IF('ENCUESTA CONDUCTORES'!CL63="X",1,0)</f>
        <v>0</v>
      </c>
      <c r="CE63" s="15">
        <f>IF('ENCUESTA CONDUCTORES'!CM63="X",1,0)</f>
        <v>0</v>
      </c>
      <c r="CF63" s="15">
        <f>+'ENCUESTA CONDUCTORES'!CN63</f>
        <v>0</v>
      </c>
      <c r="CG63" s="15">
        <f>IF('ENCUESTA CONDUCTORES'!CO63="X",1,0)</f>
        <v>0</v>
      </c>
      <c r="CH63" s="15" t="str">
        <f>+'ENCUESTA CONDUCTORES'!CP63</f>
        <v>NO SABE</v>
      </c>
      <c r="CI63" s="15" t="str">
        <f>+'ENCUESTA CONDUCTORES'!CQ63</f>
        <v>MAYOR INFORMACION</v>
      </c>
      <c r="CJ63" s="15">
        <f>IF('ENCUESTA CONDUCTORES'!CR63="X",1,0)</f>
        <v>0</v>
      </c>
      <c r="CK63" s="15">
        <f>IF('ENCUESTA CONDUCTORES'!CS63="X",1,0)</f>
        <v>0</v>
      </c>
      <c r="CL63" s="15">
        <f>IF('ENCUESTA CONDUCTORES'!CT63="X",1,0)</f>
        <v>1</v>
      </c>
      <c r="CM63" s="15">
        <f>+'ENCUESTA CONDUCTORES'!CU63</f>
        <v>0</v>
      </c>
      <c r="CN63" s="15">
        <f>IF('ENCUESTA CONDUCTORES'!CV63="X",1,0)</f>
        <v>0</v>
      </c>
      <c r="CO63" s="15">
        <f>+'ENCUESTA CONDUCTORES'!CW63</f>
        <v>0</v>
      </c>
      <c r="CP63" s="15">
        <f>IF('ENCUESTA CONDUCTORES'!CX63="X",1,0)</f>
        <v>0</v>
      </c>
      <c r="CQ63" s="15">
        <f>IF('ENCUESTA CONDUCTORES'!CY63="X",1,0)</f>
        <v>1</v>
      </c>
      <c r="CR63" s="3">
        <f>+'ENCUESTA CONDUCTORES'!CZ63</f>
        <v>0</v>
      </c>
      <c r="CS63" s="49">
        <f>+'ENCUESTA CONDUCTORES'!DA63</f>
        <v>0</v>
      </c>
    </row>
    <row r="64" spans="2:97" x14ac:dyDescent="0.25">
      <c r="B64" s="14" t="str">
        <f>+'ENCUESTA CONDUCTORES'!D64</f>
        <v>C-070</v>
      </c>
      <c r="C64" s="15">
        <f>IF('ENCUESTA CONDUCTORES'!E64="X",1,0)</f>
        <v>0</v>
      </c>
      <c r="D64" s="15">
        <f>IF('ENCUESTA CONDUCTORES'!F64="X",1,0)</f>
        <v>0</v>
      </c>
      <c r="E64" s="15">
        <f>IF('ENCUESTA CONDUCTORES'!G64="X",1,0)</f>
        <v>0</v>
      </c>
      <c r="F64" s="15">
        <f>IF('ENCUESTA CONDUCTORES'!H64="X",1,0)</f>
        <v>1</v>
      </c>
      <c r="G64" s="15">
        <f>+'ENCUESTA CONDUCTORES'!I64</f>
        <v>23</v>
      </c>
      <c r="H64" s="15" t="str">
        <f>+'ENCUESTA CONDUCTORES'!J64</f>
        <v>M</v>
      </c>
      <c r="I64" s="15" t="str">
        <f>+'ENCUESTA CONDUCTORES'!K64</f>
        <v>SECUNDARIA</v>
      </c>
      <c r="J64" s="15" t="str">
        <f>+'ENCUESTA CONDUCTORES'!L64</f>
        <v>CHALCO, EDO. MEX.</v>
      </c>
      <c r="K64" s="15" t="str">
        <f>+'ENCUESTA CONDUCTORES'!M64</f>
        <v>CHALCO</v>
      </c>
      <c r="L64" s="15" t="str">
        <f>+'ENCUESTA CONDUCTORES'!N64</f>
        <v>EDO. MEX.</v>
      </c>
      <c r="M64" s="15">
        <f>+'ENCUESTA CONDUCTORES'!O64</f>
        <v>5</v>
      </c>
      <c r="N64" s="15">
        <f>IF('ENCUESTA CONDUCTORES'!P64="X",1,0)</f>
        <v>0</v>
      </c>
      <c r="O64" s="15">
        <f>IF('ENCUESTA CONDUCTORES'!Q64="X",1,0)</f>
        <v>1</v>
      </c>
      <c r="P64" s="15">
        <f>IF('ENCUESTA CONDUCTORES'!R64="X",1,0)</f>
        <v>0</v>
      </c>
      <c r="Q64" s="15">
        <f>IF('ENCUESTA CONDUCTORES'!S64="X",1,0)</f>
        <v>0</v>
      </c>
      <c r="R64" s="15">
        <f>IF('ENCUESTA CONDUCTORES'!T64="X",1,0)</f>
        <v>0</v>
      </c>
      <c r="S64" s="15">
        <f>IF('ENCUESTA CONDUCTORES'!U64="X",1,0)</f>
        <v>1</v>
      </c>
      <c r="T64" s="15">
        <f>IF('ENCUESTA CONDUCTORES'!V64="X",1,0)</f>
        <v>0</v>
      </c>
      <c r="U64" s="15">
        <f>IF('ENCUESTA CONDUCTORES'!W64="X",1,0)</f>
        <v>0</v>
      </c>
      <c r="V64" s="15">
        <f>IF('ENCUESTA CONDUCTORES'!X64="X",1,0)</f>
        <v>0</v>
      </c>
      <c r="W64" s="15">
        <f>IF('ENCUESTA CONDUCTORES'!Y64="X",1,0)</f>
        <v>0</v>
      </c>
      <c r="X64" s="15">
        <f>IF('ENCUESTA CONDUCTORES'!Z64="X",1,0)</f>
        <v>0</v>
      </c>
      <c r="Y64" s="15">
        <f>+'ENCUESTA CONDUCTORES'!AG64</f>
        <v>0</v>
      </c>
      <c r="Z64" s="15">
        <f>+'ENCUESTA CONDUCTORES'!AH64</f>
        <v>2013</v>
      </c>
      <c r="AA64" s="1">
        <f>+'ENCUESTA CONDUCTORES'!AI64</f>
        <v>150000</v>
      </c>
      <c r="AB64" s="15">
        <f>IF('ENCUESTA CONDUCTORES'!AJ64="X",1,0)</f>
        <v>0</v>
      </c>
      <c r="AC64" s="15">
        <f>IF('ENCUESTA CONDUCTORES'!AK64="X",1,0)</f>
        <v>0</v>
      </c>
      <c r="AD64" s="15">
        <f>IF('ENCUESTA CONDUCTORES'!AL64="X",1,0)</f>
        <v>1</v>
      </c>
      <c r="AE64" s="15">
        <f>IF('ENCUESTA CONDUCTORES'!AM64="X",1,0)</f>
        <v>0</v>
      </c>
      <c r="AF64" s="15">
        <f>IF('ENCUESTA CONDUCTORES'!AN64="X",1,0)</f>
        <v>0</v>
      </c>
      <c r="AG64" s="15">
        <f>IF('ENCUESTA CONDUCTORES'!AO64="X",1,0)</f>
        <v>0</v>
      </c>
      <c r="AH64" s="15">
        <f>IF('ENCUESTA CONDUCTORES'!AP64="X",1,0)</f>
        <v>1</v>
      </c>
      <c r="AI64" s="15">
        <f>IF('ENCUESTA CONDUCTORES'!AQ64="X",1,0)</f>
        <v>0</v>
      </c>
      <c r="AJ64" s="15">
        <f>IF('ENCUESTA CONDUCTORES'!AR64="X",1,0)</f>
        <v>0</v>
      </c>
      <c r="AK64" s="15">
        <f>+'ENCUESTA CONDUCTORES'!AS64</f>
        <v>0</v>
      </c>
      <c r="AL64" s="15" t="str">
        <f>+'ENCUESTA CONDUCTORES'!AT64</f>
        <v>ISUZU</v>
      </c>
      <c r="AM64" s="1">
        <f>+'ENCUESTA CONDUCTORES'!AU64</f>
        <v>15000</v>
      </c>
      <c r="AN64" s="48">
        <f>+'ENCUESTA CONDUCTORES'!AV64</f>
        <v>0.2</v>
      </c>
      <c r="AO64" s="15">
        <f>+'ENCUESTA CONDUCTORES'!AW64</f>
        <v>2.8</v>
      </c>
      <c r="AP64" s="15">
        <f>+'ENCUESTA CONDUCTORES'!AX64</f>
        <v>2</v>
      </c>
      <c r="AQ64" s="15">
        <f>+'ENCUESTA CONDUCTORES'!AY64</f>
        <v>1</v>
      </c>
      <c r="AR64" s="15">
        <f>+'ENCUESTA CONDUCTORES'!AZ64</f>
        <v>350</v>
      </c>
      <c r="AS64" s="15">
        <f>+'ENCUESTA CONDUCTORES'!BA64</f>
        <v>800</v>
      </c>
      <c r="AT64" s="15">
        <f>IF('ENCUESTA CONDUCTORES'!BB64="X",1,0)</f>
        <v>0</v>
      </c>
      <c r="AU64" s="15">
        <f>IF('ENCUESTA CONDUCTORES'!BC64="X",1,0)</f>
        <v>0</v>
      </c>
      <c r="AV64" s="15">
        <f>IF('ENCUESTA CONDUCTORES'!BD64="X",1,0)</f>
        <v>1</v>
      </c>
      <c r="AW64" s="1">
        <f>+'ENCUESTA CONDUCTORES'!BE64</f>
        <v>10000</v>
      </c>
      <c r="AX64" s="1">
        <f>+'ENCUESTA CONDUCTORES'!BF64</f>
        <v>90000</v>
      </c>
      <c r="AY64" s="1">
        <f>+'ENCUESTA CONDUCTORES'!BG64</f>
        <v>10000</v>
      </c>
      <c r="AZ64" s="1">
        <f>+'ENCUESTA CONDUCTORES'!BH64</f>
        <v>180000</v>
      </c>
      <c r="BA64" s="1">
        <f>+'ENCUESTA CONDUCTORES'!BI64</f>
        <v>10000</v>
      </c>
      <c r="BB64" s="15">
        <f>IF('ENCUESTA CONDUCTORES'!BJ64="X",1,0)</f>
        <v>0</v>
      </c>
      <c r="BC64" s="15">
        <f>IF('ENCUESTA CONDUCTORES'!BK64="X",1,0)</f>
        <v>0</v>
      </c>
      <c r="BD64" s="15">
        <f>IF('ENCUESTA CONDUCTORES'!BL64="X",1,0)</f>
        <v>0</v>
      </c>
      <c r="BE64" s="15">
        <f>IF('ENCUESTA CONDUCTORES'!BM64="X",1,0)</f>
        <v>0</v>
      </c>
      <c r="BF64" s="15">
        <f>IF('ENCUESTA CONDUCTORES'!BN64="X",1,0)</f>
        <v>1</v>
      </c>
      <c r="BG64" s="15">
        <f>IF('ENCUESTA CONDUCTORES'!BO64="X",1,0)</f>
        <v>0</v>
      </c>
      <c r="BH64" s="15">
        <f>IF('ENCUESTA CONDUCTORES'!BP64="X",1,0)</f>
        <v>0</v>
      </c>
      <c r="BI64" s="15">
        <f>IF('ENCUESTA CONDUCTORES'!BQ64="X",1,0)</f>
        <v>0</v>
      </c>
      <c r="BJ64" s="15">
        <f>IF('ENCUESTA CONDUCTORES'!BR64="X",1,0)</f>
        <v>0</v>
      </c>
      <c r="BK64" s="15">
        <f>+'ENCUESTA CONDUCTORES'!BS64</f>
        <v>0</v>
      </c>
      <c r="BL64" s="15">
        <f>IF('ENCUESTA CONDUCTORES'!BT64="X",1,0)</f>
        <v>0</v>
      </c>
      <c r="BM64" s="15">
        <f>IF('ENCUESTA CONDUCTORES'!BU64="X",1,0)</f>
        <v>1</v>
      </c>
      <c r="BN64" s="15">
        <f>IF('ENCUESTA CONDUCTORES'!BV64="X",1,0)</f>
        <v>0</v>
      </c>
      <c r="BO64" s="15">
        <f>IF('ENCUESTA CONDUCTORES'!BW64="X",1,0)</f>
        <v>0</v>
      </c>
      <c r="BP64" s="15">
        <f>+'ENCUESTA CONDUCTORES'!BX64</f>
        <v>1</v>
      </c>
      <c r="BQ64" s="15">
        <f>+'ENCUESTA CONDUCTORES'!BY64</f>
        <v>2</v>
      </c>
      <c r="BR64" s="15">
        <f>+'ENCUESTA CONDUCTORES'!BZ64</f>
        <v>3</v>
      </c>
      <c r="BS64" s="15">
        <f>+'ENCUESTA CONDUCTORES'!CA64</f>
        <v>0</v>
      </c>
      <c r="BT64" s="15">
        <f>IF('ENCUESTA CONDUCTORES'!CB64="X",1,0)</f>
        <v>1</v>
      </c>
      <c r="BU64" s="15">
        <f>IF('ENCUESTA CONDUCTORES'!CC64="X",1,0)</f>
        <v>0</v>
      </c>
      <c r="BV64" s="15">
        <f>IF('ENCUESTA CONDUCTORES'!CD64="X",1,0)</f>
        <v>0</v>
      </c>
      <c r="BW64" s="15">
        <f>IF('ENCUESTA CONDUCTORES'!CE64="X",1,0)</f>
        <v>0</v>
      </c>
      <c r="BX64" s="15">
        <f>IF('ENCUESTA CONDUCTORES'!CF64="X",1,0)</f>
        <v>0</v>
      </c>
      <c r="BY64" s="15">
        <f>IF('ENCUESTA CONDUCTORES'!CG64="X",1,0)</f>
        <v>0</v>
      </c>
      <c r="BZ64" s="15">
        <f>IF('ENCUESTA CONDUCTORES'!CH64="X",1,0)</f>
        <v>0</v>
      </c>
      <c r="CA64" s="15">
        <f>IF('ENCUESTA CONDUCTORES'!CI64="X",1,0)</f>
        <v>0</v>
      </c>
      <c r="CB64" s="15">
        <f>IF('ENCUESTA CONDUCTORES'!CJ64="X",1,0)</f>
        <v>0</v>
      </c>
      <c r="CC64" s="15">
        <f>IF('ENCUESTA CONDUCTORES'!CK64="X",1,0)</f>
        <v>0</v>
      </c>
      <c r="CD64" s="15">
        <f>IF('ENCUESTA CONDUCTORES'!CL64="X",1,0)</f>
        <v>1</v>
      </c>
      <c r="CE64" s="15">
        <f>IF('ENCUESTA CONDUCTORES'!CM64="X",1,0)</f>
        <v>1</v>
      </c>
      <c r="CF64" s="15" t="str">
        <f>+'ENCUESTA CONDUCTORES'!CN64</f>
        <v>NO LE GUSTA</v>
      </c>
      <c r="CG64" s="15">
        <f>IF('ENCUESTA CONDUCTORES'!CO64="X",1,0)</f>
        <v>0</v>
      </c>
      <c r="CH64" s="15" t="str">
        <f>+'ENCUESTA CONDUCTORES'!CP64</f>
        <v>NO ME GUSTO</v>
      </c>
      <c r="CI64" s="15" t="str">
        <f>+'ENCUESTA CONDUCTORES'!CQ64</f>
        <v>NO SABE</v>
      </c>
      <c r="CJ64" s="15">
        <f>IF('ENCUESTA CONDUCTORES'!CR64="X",1,0)</f>
        <v>1</v>
      </c>
      <c r="CK64" s="15">
        <f>IF('ENCUESTA CONDUCTORES'!CS64="X",1,0)</f>
        <v>0</v>
      </c>
      <c r="CL64" s="15">
        <f>IF('ENCUESTA CONDUCTORES'!CT64="X",1,0)</f>
        <v>0</v>
      </c>
      <c r="CM64" s="15">
        <f>+'ENCUESTA CONDUCTORES'!CU64</f>
        <v>0</v>
      </c>
      <c r="CN64" s="15">
        <f>IF('ENCUESTA CONDUCTORES'!CV64="X",1,0)</f>
        <v>0</v>
      </c>
      <c r="CO64" s="15">
        <f>+'ENCUESTA CONDUCTORES'!CW64</f>
        <v>0</v>
      </c>
      <c r="CP64" s="15">
        <f>IF('ENCUESTA CONDUCTORES'!CX64="X",1,0)</f>
        <v>0</v>
      </c>
      <c r="CQ64" s="15">
        <f>IF('ENCUESTA CONDUCTORES'!CY64="X",1,0)</f>
        <v>1</v>
      </c>
      <c r="CR64" s="3">
        <f>+'ENCUESTA CONDUCTORES'!CZ64</f>
        <v>0</v>
      </c>
      <c r="CS64" s="49">
        <f>+'ENCUESTA CONDUCTORES'!DA64</f>
        <v>0</v>
      </c>
    </row>
    <row r="65" spans="2:97" x14ac:dyDescent="0.25">
      <c r="B65" s="14" t="str">
        <f>+'ENCUESTA CONDUCTORES'!D65</f>
        <v>C-071</v>
      </c>
      <c r="C65" s="15">
        <f>IF('ENCUESTA CONDUCTORES'!E65="X",1,0)</f>
        <v>0</v>
      </c>
      <c r="D65" s="15">
        <f>IF('ENCUESTA CONDUCTORES'!F65="X",1,0)</f>
        <v>1</v>
      </c>
      <c r="E65" s="15">
        <f>IF('ENCUESTA CONDUCTORES'!G65="X",1,0)</f>
        <v>0</v>
      </c>
      <c r="F65" s="15">
        <f>IF('ENCUESTA CONDUCTORES'!H65="X",1,0)</f>
        <v>0</v>
      </c>
      <c r="G65" s="15">
        <f>+'ENCUESTA CONDUCTORES'!I65</f>
        <v>30</v>
      </c>
      <c r="H65" s="15" t="str">
        <f>+'ENCUESTA CONDUCTORES'!J65</f>
        <v>M</v>
      </c>
      <c r="I65" s="15" t="str">
        <f>+'ENCUESTA CONDUCTORES'!K65</f>
        <v>SECUNDARIA</v>
      </c>
      <c r="J65" s="15" t="str">
        <f>+'ENCUESTA CONDUCTORES'!L65</f>
        <v>IZTAPALAPA, D.F.</v>
      </c>
      <c r="K65" s="15" t="str">
        <f>+'ENCUESTA CONDUCTORES'!M65</f>
        <v>IZTAPALAPA</v>
      </c>
      <c r="L65" s="15" t="str">
        <f>+'ENCUESTA CONDUCTORES'!N65</f>
        <v>D.F.</v>
      </c>
      <c r="M65" s="15">
        <f>+'ENCUESTA CONDUCTORES'!O65</f>
        <v>10</v>
      </c>
      <c r="N65" s="15">
        <f>IF('ENCUESTA CONDUCTORES'!P65="X",1,0)</f>
        <v>0</v>
      </c>
      <c r="O65" s="15">
        <f>IF('ENCUESTA CONDUCTORES'!Q65="X",1,0)</f>
        <v>0</v>
      </c>
      <c r="P65" s="15">
        <f>IF('ENCUESTA CONDUCTORES'!R65="X",1,0)</f>
        <v>0</v>
      </c>
      <c r="Q65" s="15">
        <f>IF('ENCUESTA CONDUCTORES'!S65="X",1,0)</f>
        <v>1</v>
      </c>
      <c r="R65" s="15">
        <f>IF('ENCUESTA CONDUCTORES'!T65="X",1,0)</f>
        <v>0</v>
      </c>
      <c r="S65" s="15">
        <f>IF('ENCUESTA CONDUCTORES'!U65="X",1,0)</f>
        <v>1</v>
      </c>
      <c r="T65" s="15">
        <f>IF('ENCUESTA CONDUCTORES'!V65="X",1,0)</f>
        <v>0</v>
      </c>
      <c r="U65" s="15">
        <f>IF('ENCUESTA CONDUCTORES'!W65="X",1,0)</f>
        <v>0</v>
      </c>
      <c r="V65" s="15">
        <f>IF('ENCUESTA CONDUCTORES'!X65="X",1,0)</f>
        <v>0</v>
      </c>
      <c r="W65" s="15">
        <f>IF('ENCUESTA CONDUCTORES'!Y65="X",1,0)</f>
        <v>0</v>
      </c>
      <c r="X65" s="15">
        <f>IF('ENCUESTA CONDUCTORES'!Z65="X",1,0)</f>
        <v>0</v>
      </c>
      <c r="Y65" s="15">
        <f>+'ENCUESTA CONDUCTORES'!AG65</f>
        <v>0</v>
      </c>
      <c r="Z65" s="15">
        <f>+'ENCUESTA CONDUCTORES'!AH65</f>
        <v>2002</v>
      </c>
      <c r="AA65" s="1">
        <f>+'ENCUESTA CONDUCTORES'!AI65</f>
        <v>1000000</v>
      </c>
      <c r="AB65" s="15">
        <f>IF('ENCUESTA CONDUCTORES'!AJ65="X",1,0)</f>
        <v>0</v>
      </c>
      <c r="AC65" s="15">
        <f>IF('ENCUESTA CONDUCTORES'!AK65="X",1,0)</f>
        <v>0</v>
      </c>
      <c r="AD65" s="15">
        <f>IF('ENCUESTA CONDUCTORES'!AL65="X",1,0)</f>
        <v>1</v>
      </c>
      <c r="AE65" s="15">
        <f>IF('ENCUESTA CONDUCTORES'!AM65="X",1,0)</f>
        <v>0</v>
      </c>
      <c r="AF65" s="15">
        <f>IF('ENCUESTA CONDUCTORES'!AN65="X",1,0)</f>
        <v>0</v>
      </c>
      <c r="AG65" s="15">
        <f>IF('ENCUESTA CONDUCTORES'!AO65="X",1,0)</f>
        <v>0</v>
      </c>
      <c r="AH65" s="15">
        <f>IF('ENCUESTA CONDUCTORES'!AP65="X",1,0)</f>
        <v>1</v>
      </c>
      <c r="AI65" s="15">
        <f>IF('ENCUESTA CONDUCTORES'!AQ65="X",1,0)</f>
        <v>0</v>
      </c>
      <c r="AJ65" s="15">
        <f>IF('ENCUESTA CONDUCTORES'!AR65="X",1,0)</f>
        <v>0</v>
      </c>
      <c r="AK65" s="15">
        <f>+'ENCUESTA CONDUCTORES'!AS65</f>
        <v>0</v>
      </c>
      <c r="AL65" s="15" t="str">
        <f>+'ENCUESTA CONDUCTORES'!AT65</f>
        <v>CUMMINS</v>
      </c>
      <c r="AM65" s="1">
        <f>+'ENCUESTA CONDUCTORES'!AU65</f>
        <v>5000</v>
      </c>
      <c r="AN65" s="48">
        <f>+'ENCUESTA CONDUCTORES'!AV65</f>
        <v>0.5</v>
      </c>
      <c r="AO65" s="15">
        <f>+'ENCUESTA CONDUCTORES'!AW65</f>
        <v>1.8</v>
      </c>
      <c r="AP65" s="15">
        <f>+'ENCUESTA CONDUCTORES'!AX65</f>
        <v>1.5</v>
      </c>
      <c r="AQ65" s="15">
        <f>+'ENCUESTA CONDUCTORES'!AY65</f>
        <v>3</v>
      </c>
      <c r="AR65" s="15">
        <f>+'ENCUESTA CONDUCTORES'!AZ65</f>
        <v>1100</v>
      </c>
      <c r="AS65" s="15">
        <f>+'ENCUESTA CONDUCTORES'!BA65</f>
        <v>2000</v>
      </c>
      <c r="AT65" s="15">
        <f>IF('ENCUESTA CONDUCTORES'!BB65="X",1,0)</f>
        <v>1</v>
      </c>
      <c r="AU65" s="15">
        <f>IF('ENCUESTA CONDUCTORES'!BC65="X",1,0)</f>
        <v>1</v>
      </c>
      <c r="AV65" s="15">
        <f>IF('ENCUESTA CONDUCTORES'!BD65="X",1,0)</f>
        <v>0</v>
      </c>
      <c r="AW65" s="1">
        <f>+'ENCUESTA CONDUCTORES'!BE65</f>
        <v>15000</v>
      </c>
      <c r="AX65" s="1">
        <f>+'ENCUESTA CONDUCTORES'!BF65</f>
        <v>30000</v>
      </c>
      <c r="AY65" s="1">
        <f>+'ENCUESTA CONDUCTORES'!BG65</f>
        <v>15000</v>
      </c>
      <c r="AZ65" s="1">
        <f>+'ENCUESTA CONDUCTORES'!BH65</f>
        <v>120000</v>
      </c>
      <c r="BA65" s="1">
        <f>+'ENCUESTA CONDUCTORES'!BI65</f>
        <v>15000</v>
      </c>
      <c r="BB65" s="15">
        <f>IF('ENCUESTA CONDUCTORES'!BJ65="X",1,0)</f>
        <v>0</v>
      </c>
      <c r="BC65" s="15">
        <f>IF('ENCUESTA CONDUCTORES'!BK65="X",1,0)</f>
        <v>0</v>
      </c>
      <c r="BD65" s="15">
        <f>IF('ENCUESTA CONDUCTORES'!BL65="X",1,0)</f>
        <v>1</v>
      </c>
      <c r="BE65" s="15">
        <f>IF('ENCUESTA CONDUCTORES'!BM65="X",1,0)</f>
        <v>0</v>
      </c>
      <c r="BF65" s="15">
        <f>IF('ENCUESTA CONDUCTORES'!BN65="X",1,0)</f>
        <v>0</v>
      </c>
      <c r="BG65" s="15">
        <f>IF('ENCUESTA CONDUCTORES'!BO65="X",1,0)</f>
        <v>0</v>
      </c>
      <c r="BH65" s="15">
        <f>IF('ENCUESTA CONDUCTORES'!BP65="X",1,0)</f>
        <v>0</v>
      </c>
      <c r="BI65" s="15">
        <f>IF('ENCUESTA CONDUCTORES'!BQ65="X",1,0)</f>
        <v>0</v>
      </c>
      <c r="BJ65" s="15">
        <f>IF('ENCUESTA CONDUCTORES'!BR65="X",1,0)</f>
        <v>0</v>
      </c>
      <c r="BK65" s="15">
        <f>+'ENCUESTA CONDUCTORES'!BS65</f>
        <v>0</v>
      </c>
      <c r="BL65" s="15">
        <f>IF('ENCUESTA CONDUCTORES'!BT65="X",1,0)</f>
        <v>0</v>
      </c>
      <c r="BM65" s="15">
        <f>IF('ENCUESTA CONDUCTORES'!BU65="X",1,0)</f>
        <v>1</v>
      </c>
      <c r="BN65" s="15">
        <f>IF('ENCUESTA CONDUCTORES'!BV65="X",1,0)</f>
        <v>0</v>
      </c>
      <c r="BO65" s="15">
        <f>IF('ENCUESTA CONDUCTORES'!BW65="X",1,0)</f>
        <v>0</v>
      </c>
      <c r="BP65" s="15">
        <f>+'ENCUESTA CONDUCTORES'!BX65</f>
        <v>1</v>
      </c>
      <c r="BQ65" s="15">
        <f>+'ENCUESTA CONDUCTORES'!BY65</f>
        <v>2</v>
      </c>
      <c r="BR65" s="15">
        <f>+'ENCUESTA CONDUCTORES'!BZ65</f>
        <v>3</v>
      </c>
      <c r="BS65" s="15">
        <f>+'ENCUESTA CONDUCTORES'!CA65</f>
        <v>0</v>
      </c>
      <c r="BT65" s="15">
        <f>IF('ENCUESTA CONDUCTORES'!CB65="X",1,0)</f>
        <v>1</v>
      </c>
      <c r="BU65" s="15">
        <f>IF('ENCUESTA CONDUCTORES'!CC65="X",1,0)</f>
        <v>0</v>
      </c>
      <c r="BV65" s="15">
        <f>IF('ENCUESTA CONDUCTORES'!CD65="X",1,0)</f>
        <v>0</v>
      </c>
      <c r="BW65" s="15">
        <f>IF('ENCUESTA CONDUCTORES'!CE65="X",1,0)</f>
        <v>0</v>
      </c>
      <c r="BX65" s="15">
        <f>IF('ENCUESTA CONDUCTORES'!CF65="X",1,0)</f>
        <v>0</v>
      </c>
      <c r="BY65" s="15">
        <f>IF('ENCUESTA CONDUCTORES'!CG65="X",1,0)</f>
        <v>0</v>
      </c>
      <c r="BZ65" s="15">
        <f>IF('ENCUESTA CONDUCTORES'!CH65="X",1,0)</f>
        <v>0</v>
      </c>
      <c r="CA65" s="15">
        <f>IF('ENCUESTA CONDUCTORES'!CI65="X",1,0)</f>
        <v>0</v>
      </c>
      <c r="CB65" s="15">
        <f>IF('ENCUESTA CONDUCTORES'!CJ65="X",1,0)</f>
        <v>0</v>
      </c>
      <c r="CC65" s="15">
        <f>IF('ENCUESTA CONDUCTORES'!CK65="X",1,0)</f>
        <v>1</v>
      </c>
      <c r="CD65" s="15">
        <f>IF('ENCUESTA CONDUCTORES'!CL65="X",1,0)</f>
        <v>0</v>
      </c>
      <c r="CE65" s="15">
        <f>IF('ENCUESTA CONDUCTORES'!CM65="X",1,0)</f>
        <v>0</v>
      </c>
      <c r="CF65" s="15">
        <f>+'ENCUESTA CONDUCTORES'!CN65</f>
        <v>0</v>
      </c>
      <c r="CG65" s="15">
        <f>IF('ENCUESTA CONDUCTORES'!CO65="X",1,0)</f>
        <v>0</v>
      </c>
      <c r="CH65" s="15" t="str">
        <f>+'ENCUESTA CONDUCTORES'!CP65</f>
        <v>NO SABE</v>
      </c>
      <c r="CI65" s="15" t="str">
        <f>+'ENCUESTA CONDUCTORES'!CQ65</f>
        <v>MAYOR INFORMACION</v>
      </c>
      <c r="CJ65" s="15">
        <f>IF('ENCUESTA CONDUCTORES'!CR65="X",1,0)</f>
        <v>0</v>
      </c>
      <c r="CK65" s="15">
        <f>IF('ENCUESTA CONDUCTORES'!CS65="X",1,0)</f>
        <v>0</v>
      </c>
      <c r="CL65" s="15">
        <f>IF('ENCUESTA CONDUCTORES'!CT65="X",1,0)</f>
        <v>1</v>
      </c>
      <c r="CM65" s="15">
        <f>+'ENCUESTA CONDUCTORES'!CU65</f>
        <v>0</v>
      </c>
      <c r="CN65" s="15">
        <f>IF('ENCUESTA CONDUCTORES'!CV65="X",1,0)</f>
        <v>0</v>
      </c>
      <c r="CO65" s="15">
        <f>+'ENCUESTA CONDUCTORES'!CW65</f>
        <v>0</v>
      </c>
      <c r="CP65" s="15">
        <f>IF('ENCUESTA CONDUCTORES'!CX65="X",1,0)</f>
        <v>1</v>
      </c>
      <c r="CQ65" s="15">
        <f>IF('ENCUESTA CONDUCTORES'!CY65="X",1,0)</f>
        <v>0</v>
      </c>
      <c r="CR65" s="3">
        <f>+'ENCUESTA CONDUCTORES'!CZ65</f>
        <v>0</v>
      </c>
      <c r="CS65" s="49" t="str">
        <f>+'ENCUESTA CONDUCTORES'!DA65</f>
        <v>SOLO LOS DE LA EMPRESA</v>
      </c>
    </row>
    <row r="66" spans="2:97" x14ac:dyDescent="0.25">
      <c r="B66" s="14" t="str">
        <f>+'ENCUESTA CONDUCTORES'!D66</f>
        <v>C-072</v>
      </c>
      <c r="C66" s="15">
        <f>IF('ENCUESTA CONDUCTORES'!E66="X",1,0)</f>
        <v>0</v>
      </c>
      <c r="D66" s="15">
        <f>IF('ENCUESTA CONDUCTORES'!F66="X",1,0)</f>
        <v>0</v>
      </c>
      <c r="E66" s="15">
        <f>IF('ENCUESTA CONDUCTORES'!G66="X",1,0)</f>
        <v>0</v>
      </c>
      <c r="F66" s="15">
        <f>IF('ENCUESTA CONDUCTORES'!H66="X",1,0)</f>
        <v>1</v>
      </c>
      <c r="G66" s="15">
        <f>+'ENCUESTA CONDUCTORES'!I66</f>
        <v>70</v>
      </c>
      <c r="H66" s="15" t="str">
        <f>+'ENCUESTA CONDUCTORES'!J66</f>
        <v>M</v>
      </c>
      <c r="I66" s="15" t="str">
        <f>+'ENCUESTA CONDUCTORES'!K66</f>
        <v>PRIMARIA</v>
      </c>
      <c r="J66" s="15" t="str">
        <f>+'ENCUESTA CONDUCTORES'!L66</f>
        <v>PACHUCA, HGO.</v>
      </c>
      <c r="K66" s="15" t="str">
        <f>+'ENCUESTA CONDUCTORES'!M66</f>
        <v>PACHUCA</v>
      </c>
      <c r="L66" s="15" t="str">
        <f>+'ENCUESTA CONDUCTORES'!N66</f>
        <v>HIDALGO</v>
      </c>
      <c r="M66" s="15">
        <f>+'ENCUESTA CONDUCTORES'!O66</f>
        <v>52</v>
      </c>
      <c r="N66" s="15">
        <f>IF('ENCUESTA CONDUCTORES'!P66="X",1,0)</f>
        <v>0</v>
      </c>
      <c r="O66" s="15">
        <f>IF('ENCUESTA CONDUCTORES'!Q66="X",1,0)</f>
        <v>0</v>
      </c>
      <c r="P66" s="15">
        <f>IF('ENCUESTA CONDUCTORES'!R66="X",1,0)</f>
        <v>0</v>
      </c>
      <c r="Q66" s="15">
        <f>IF('ENCUESTA CONDUCTORES'!S66="X",1,0)</f>
        <v>1</v>
      </c>
      <c r="R66" s="15">
        <f>IF('ENCUESTA CONDUCTORES'!T66="X",1,0)</f>
        <v>0</v>
      </c>
      <c r="S66" s="15">
        <f>IF('ENCUESTA CONDUCTORES'!U66="X",1,0)</f>
        <v>0</v>
      </c>
      <c r="T66" s="15">
        <f>IF('ENCUESTA CONDUCTORES'!V66="X",1,0)</f>
        <v>0</v>
      </c>
      <c r="U66" s="15">
        <f>IF('ENCUESTA CONDUCTORES'!W66="X",1,0)</f>
        <v>0</v>
      </c>
      <c r="V66" s="15">
        <f>IF('ENCUESTA CONDUCTORES'!X66="X",1,0)</f>
        <v>0</v>
      </c>
      <c r="W66" s="15">
        <f>IF('ENCUESTA CONDUCTORES'!Y66="X",1,0)</f>
        <v>0</v>
      </c>
      <c r="X66" s="15">
        <f>IF('ENCUESTA CONDUCTORES'!Z66="X",1,0)</f>
        <v>0</v>
      </c>
      <c r="Y66" s="15">
        <f>+'ENCUESTA CONDUCTORES'!AG66</f>
        <v>0</v>
      </c>
      <c r="Z66" s="15">
        <f>+'ENCUESTA CONDUCTORES'!AH66</f>
        <v>2004</v>
      </c>
      <c r="AA66" s="1">
        <f>+'ENCUESTA CONDUCTORES'!AI66</f>
        <v>500000</v>
      </c>
      <c r="AB66" s="15">
        <f>IF('ENCUESTA CONDUCTORES'!AJ66="X",1,0)</f>
        <v>0</v>
      </c>
      <c r="AC66" s="15">
        <f>IF('ENCUESTA CONDUCTORES'!AK66="X",1,0)</f>
        <v>0</v>
      </c>
      <c r="AD66" s="15">
        <f>IF('ENCUESTA CONDUCTORES'!AL66="X",1,0)</f>
        <v>1</v>
      </c>
      <c r="AE66" s="15">
        <f>IF('ENCUESTA CONDUCTORES'!AM66="X",1,0)</f>
        <v>0</v>
      </c>
      <c r="AF66" s="15">
        <f>IF('ENCUESTA CONDUCTORES'!AN66="X",1,0)</f>
        <v>0</v>
      </c>
      <c r="AG66" s="15">
        <f>IF('ENCUESTA CONDUCTORES'!AO66="X",1,0)</f>
        <v>0</v>
      </c>
      <c r="AH66" s="15">
        <f>IF('ENCUESTA CONDUCTORES'!AP66="X",1,0)</f>
        <v>1</v>
      </c>
      <c r="AI66" s="15">
        <f>IF('ENCUESTA CONDUCTORES'!AQ66="X",1,0)</f>
        <v>0</v>
      </c>
      <c r="AJ66" s="15">
        <f>IF('ENCUESTA CONDUCTORES'!AR66="X",1,0)</f>
        <v>0</v>
      </c>
      <c r="AK66" s="15">
        <f>+'ENCUESTA CONDUCTORES'!AS66</f>
        <v>0</v>
      </c>
      <c r="AL66" s="15" t="str">
        <f>+'ENCUESTA CONDUCTORES'!AT66</f>
        <v>CUMMINS</v>
      </c>
      <c r="AM66" s="1">
        <f>+'ENCUESTA CONDUCTORES'!AU66</f>
        <v>4000</v>
      </c>
      <c r="AN66" s="48">
        <f>+'ENCUESTA CONDUCTORES'!AV66</f>
        <v>0.5</v>
      </c>
      <c r="AO66" s="15">
        <f>+'ENCUESTA CONDUCTORES'!AW66</f>
        <v>3</v>
      </c>
      <c r="AP66" s="15">
        <f>+'ENCUESTA CONDUCTORES'!AX66</f>
        <v>2.8</v>
      </c>
      <c r="AQ66" s="15">
        <f>+'ENCUESTA CONDUCTORES'!AY66</f>
        <v>2</v>
      </c>
      <c r="AR66" s="15">
        <f>+'ENCUESTA CONDUCTORES'!AZ66</f>
        <v>340</v>
      </c>
      <c r="AS66" s="15">
        <f>+'ENCUESTA CONDUCTORES'!BA66</f>
        <v>1000</v>
      </c>
      <c r="AT66" s="15">
        <f>IF('ENCUESTA CONDUCTORES'!BB66="X",1,0)</f>
        <v>1</v>
      </c>
      <c r="AU66" s="15">
        <f>IF('ENCUESTA CONDUCTORES'!BC66="X",1,0)</f>
        <v>0</v>
      </c>
      <c r="AV66" s="15">
        <f>IF('ENCUESTA CONDUCTORES'!BD66="X",1,0)</f>
        <v>0</v>
      </c>
      <c r="AW66" s="1">
        <f>+'ENCUESTA CONDUCTORES'!BE66</f>
        <v>60000</v>
      </c>
      <c r="AX66" s="1">
        <f>+'ENCUESTA CONDUCTORES'!BF66</f>
        <v>40000</v>
      </c>
      <c r="AY66" s="1">
        <f>+'ENCUESTA CONDUCTORES'!BG66</f>
        <v>20000</v>
      </c>
      <c r="AZ66" s="1">
        <f>+'ENCUESTA CONDUCTORES'!BH66</f>
        <v>80000</v>
      </c>
      <c r="BA66" s="1">
        <f>+'ENCUESTA CONDUCTORES'!BI66</f>
        <v>20000</v>
      </c>
      <c r="BB66" s="15">
        <f>IF('ENCUESTA CONDUCTORES'!BJ66="X",1,0)</f>
        <v>0</v>
      </c>
      <c r="BC66" s="15">
        <f>IF('ENCUESTA CONDUCTORES'!BK66="X",1,0)</f>
        <v>0</v>
      </c>
      <c r="BD66" s="15">
        <f>IF('ENCUESTA CONDUCTORES'!BL66="X",1,0)</f>
        <v>0</v>
      </c>
      <c r="BE66" s="15">
        <f>IF('ENCUESTA CONDUCTORES'!BM66="X",1,0)</f>
        <v>0</v>
      </c>
      <c r="BF66" s="15">
        <f>IF('ENCUESTA CONDUCTORES'!BN66="X",1,0)</f>
        <v>0</v>
      </c>
      <c r="BG66" s="15">
        <f>IF('ENCUESTA CONDUCTORES'!BO66="X",1,0)</f>
        <v>0</v>
      </c>
      <c r="BH66" s="15">
        <f>IF('ENCUESTA CONDUCTORES'!BP66="X",1,0)</f>
        <v>0</v>
      </c>
      <c r="BI66" s="15">
        <f>IF('ENCUESTA CONDUCTORES'!BQ66="X",1,0)</f>
        <v>0</v>
      </c>
      <c r="BJ66" s="15">
        <f>IF('ENCUESTA CONDUCTORES'!BR66="X",1,0)</f>
        <v>0</v>
      </c>
      <c r="BK66" s="2" t="str">
        <f>+'ENCUESTA CONDUCTORES'!BS66</f>
        <v>MAQUINARIA</v>
      </c>
      <c r="BL66" s="15">
        <f>IF('ENCUESTA CONDUCTORES'!BT66="X",1,0)</f>
        <v>0</v>
      </c>
      <c r="BM66" s="15">
        <f>IF('ENCUESTA CONDUCTORES'!BU66="X",1,0)</f>
        <v>1</v>
      </c>
      <c r="BN66" s="15">
        <f>IF('ENCUESTA CONDUCTORES'!BV66="X",1,0)</f>
        <v>0</v>
      </c>
      <c r="BO66" s="15">
        <f>IF('ENCUESTA CONDUCTORES'!BW66="X",1,0)</f>
        <v>0</v>
      </c>
      <c r="BP66" s="15">
        <f>+'ENCUESTA CONDUCTORES'!BX66</f>
        <v>2</v>
      </c>
      <c r="BQ66" s="15">
        <f>+'ENCUESTA CONDUCTORES'!BY66</f>
        <v>3</v>
      </c>
      <c r="BR66" s="15">
        <f>+'ENCUESTA CONDUCTORES'!BZ66</f>
        <v>1</v>
      </c>
      <c r="BS66" s="15">
        <f>+'ENCUESTA CONDUCTORES'!CA66</f>
        <v>0</v>
      </c>
      <c r="BT66" s="15">
        <f>IF('ENCUESTA CONDUCTORES'!CB66="X",1,0)</f>
        <v>0</v>
      </c>
      <c r="BU66" s="15">
        <f>IF('ENCUESTA CONDUCTORES'!CC66="X",1,0)</f>
        <v>1</v>
      </c>
      <c r="BV66" s="15">
        <f>IF('ENCUESTA CONDUCTORES'!CD66="X",1,0)</f>
        <v>1</v>
      </c>
      <c r="BW66" s="15">
        <f>IF('ENCUESTA CONDUCTORES'!CE66="X",1,0)</f>
        <v>1</v>
      </c>
      <c r="BX66" s="15">
        <f>IF('ENCUESTA CONDUCTORES'!CF66="X",1,0)</f>
        <v>1</v>
      </c>
      <c r="BY66" s="15">
        <f>IF('ENCUESTA CONDUCTORES'!CG66="X",1,0)</f>
        <v>0</v>
      </c>
      <c r="BZ66" s="15">
        <f>IF('ENCUESTA CONDUCTORES'!CH66="X",1,0)</f>
        <v>0</v>
      </c>
      <c r="CA66" s="15">
        <f>IF('ENCUESTA CONDUCTORES'!CI66="X",1,0)</f>
        <v>1</v>
      </c>
      <c r="CB66" s="15">
        <f>IF('ENCUESTA CONDUCTORES'!CJ66="X",1,0)</f>
        <v>0</v>
      </c>
      <c r="CC66" s="15">
        <f>IF('ENCUESTA CONDUCTORES'!CK66="X",1,0)</f>
        <v>0</v>
      </c>
      <c r="CD66" s="15">
        <f>IF('ENCUESTA CONDUCTORES'!CL66="X",1,0)</f>
        <v>1</v>
      </c>
      <c r="CE66" s="15">
        <f>IF('ENCUESTA CONDUCTORES'!CM66="X",1,0)</f>
        <v>0</v>
      </c>
      <c r="CF66" s="15">
        <f>+'ENCUESTA CONDUCTORES'!CN66</f>
        <v>0</v>
      </c>
      <c r="CG66" s="15">
        <f>IF('ENCUESTA CONDUCTORES'!CO66="X",1,0)</f>
        <v>1</v>
      </c>
      <c r="CH66" s="15" t="str">
        <f>+'ENCUESTA CONDUCTORES'!CP66</f>
        <v>BUENO</v>
      </c>
      <c r="CI66" s="15" t="str">
        <f>+'ENCUESTA CONDUCTORES'!CQ66</f>
        <v>DARLO A CONOCER</v>
      </c>
      <c r="CJ66" s="15">
        <f>IF('ENCUESTA CONDUCTORES'!CR66="X",1,0)</f>
        <v>0</v>
      </c>
      <c r="CK66" s="15">
        <f>IF('ENCUESTA CONDUCTORES'!CS66="X",1,0)</f>
        <v>1</v>
      </c>
      <c r="CL66" s="2">
        <f>IF('ENCUESTA CONDUCTORES'!CT66="X",1,0)</f>
        <v>0</v>
      </c>
      <c r="CM66" s="2" t="str">
        <f>+'ENCUESTA CONDUCTORES'!CU66</f>
        <v>MANEJO A LA DEFENSIVA</v>
      </c>
      <c r="CN66" s="15">
        <f>IF('ENCUESTA CONDUCTORES'!CV66="X",1,0)</f>
        <v>0</v>
      </c>
      <c r="CO66" s="15">
        <f>+'ENCUESTA CONDUCTORES'!CW66</f>
        <v>0</v>
      </c>
      <c r="CP66" s="15">
        <f>IF('ENCUESTA CONDUCTORES'!CX66="X",1,0)</f>
        <v>0</v>
      </c>
      <c r="CQ66" s="15">
        <f>IF('ENCUESTA CONDUCTORES'!CY66="X",1,0)</f>
        <v>1</v>
      </c>
      <c r="CR66" s="3">
        <f>+'ENCUESTA CONDUCTORES'!CZ66</f>
        <v>0</v>
      </c>
      <c r="CS66" s="49">
        <f>+'ENCUESTA CONDUCTORES'!DA66</f>
        <v>0</v>
      </c>
    </row>
    <row r="67" spans="2:97" x14ac:dyDescent="0.25">
      <c r="B67" s="14" t="str">
        <f>+'ENCUESTA CONDUCTORES'!D67</f>
        <v>C-073</v>
      </c>
      <c r="C67" s="15">
        <f>IF('ENCUESTA CONDUCTORES'!E67="X",1,0)</f>
        <v>0</v>
      </c>
      <c r="D67" s="15">
        <f>IF('ENCUESTA CONDUCTORES'!F67="X",1,0)</f>
        <v>0</v>
      </c>
      <c r="E67" s="15">
        <f>IF('ENCUESTA CONDUCTORES'!G67="X",1,0)</f>
        <v>0</v>
      </c>
      <c r="F67" s="15">
        <f>IF('ENCUESTA CONDUCTORES'!H67="X",1,0)</f>
        <v>1</v>
      </c>
      <c r="G67" s="15">
        <f>+'ENCUESTA CONDUCTORES'!I67</f>
        <v>33</v>
      </c>
      <c r="H67" s="15" t="str">
        <f>+'ENCUESTA CONDUCTORES'!J67</f>
        <v>M</v>
      </c>
      <c r="I67" s="15" t="str">
        <f>+'ENCUESTA CONDUCTORES'!K67</f>
        <v>SECUNDARIA</v>
      </c>
      <c r="J67" s="15" t="str">
        <f>+'ENCUESTA CONDUCTORES'!L67</f>
        <v>ECATEPEC, EDO. MEX.</v>
      </c>
      <c r="K67" s="15" t="str">
        <f>+'ENCUESTA CONDUCTORES'!M67</f>
        <v>ECATEPEC</v>
      </c>
      <c r="L67" s="15" t="str">
        <f>+'ENCUESTA CONDUCTORES'!N67</f>
        <v>EDO. MEX.</v>
      </c>
      <c r="M67" s="15">
        <f>+'ENCUESTA CONDUCTORES'!O67</f>
        <v>12</v>
      </c>
      <c r="N67" s="15">
        <f>IF('ENCUESTA CONDUCTORES'!P67="X",1,0)</f>
        <v>0</v>
      </c>
      <c r="O67" s="15">
        <f>IF('ENCUESTA CONDUCTORES'!Q67="X",1,0)</f>
        <v>0</v>
      </c>
      <c r="P67" s="15">
        <f>IF('ENCUESTA CONDUCTORES'!R67="X",1,0)</f>
        <v>0</v>
      </c>
      <c r="Q67" s="15">
        <f>IF('ENCUESTA CONDUCTORES'!S67="X",1,0)</f>
        <v>1</v>
      </c>
      <c r="R67" s="15">
        <f>IF('ENCUESTA CONDUCTORES'!T67="X",1,0)</f>
        <v>0</v>
      </c>
      <c r="S67" s="15">
        <f>IF('ENCUESTA CONDUCTORES'!U67="X",1,0)</f>
        <v>1</v>
      </c>
      <c r="T67" s="15">
        <f>IF('ENCUESTA CONDUCTORES'!V67="X",1,0)</f>
        <v>0</v>
      </c>
      <c r="U67" s="15">
        <f>IF('ENCUESTA CONDUCTORES'!W67="X",1,0)</f>
        <v>0</v>
      </c>
      <c r="V67" s="15">
        <f>IF('ENCUESTA CONDUCTORES'!X67="X",1,0)</f>
        <v>0</v>
      </c>
      <c r="W67" s="15">
        <f>IF('ENCUESTA CONDUCTORES'!Y67="X",1,0)</f>
        <v>0</v>
      </c>
      <c r="X67" s="15">
        <f>IF('ENCUESTA CONDUCTORES'!Z67="X",1,0)</f>
        <v>0</v>
      </c>
      <c r="Y67" s="15">
        <f>+'ENCUESTA CONDUCTORES'!AG67</f>
        <v>0</v>
      </c>
      <c r="Z67" s="15">
        <f>+'ENCUESTA CONDUCTORES'!AH67</f>
        <v>2001</v>
      </c>
      <c r="AA67" s="1">
        <f>+'ENCUESTA CONDUCTORES'!AI67</f>
        <v>1750000</v>
      </c>
      <c r="AB67" s="15">
        <f>IF('ENCUESTA CONDUCTORES'!AJ67="X",1,0)</f>
        <v>0</v>
      </c>
      <c r="AC67" s="15">
        <f>IF('ENCUESTA CONDUCTORES'!AK67="X",1,0)</f>
        <v>0</v>
      </c>
      <c r="AD67" s="15">
        <f>IF('ENCUESTA CONDUCTORES'!AL67="X",1,0)</f>
        <v>1</v>
      </c>
      <c r="AE67" s="15">
        <f>IF('ENCUESTA CONDUCTORES'!AM67="X",1,0)</f>
        <v>0</v>
      </c>
      <c r="AF67" s="15">
        <f>IF('ENCUESTA CONDUCTORES'!AN67="X",1,0)</f>
        <v>0</v>
      </c>
      <c r="AG67" s="15">
        <f>IF('ENCUESTA CONDUCTORES'!AO67="X",1,0)</f>
        <v>0</v>
      </c>
      <c r="AH67" s="15">
        <f>IF('ENCUESTA CONDUCTORES'!AP67="X",1,0)</f>
        <v>0</v>
      </c>
      <c r="AI67" s="15">
        <f>IF('ENCUESTA CONDUCTORES'!AQ67="X",1,0)</f>
        <v>1</v>
      </c>
      <c r="AJ67" s="15">
        <f>IF('ENCUESTA CONDUCTORES'!AR67="X",1,0)</f>
        <v>0</v>
      </c>
      <c r="AK67" s="15">
        <f>+'ENCUESTA CONDUCTORES'!AS67</f>
        <v>2004</v>
      </c>
      <c r="AL67" s="15" t="str">
        <f>+'ENCUESTA CONDUCTORES'!AT67</f>
        <v>CUMMINS</v>
      </c>
      <c r="AM67" s="1">
        <f>+'ENCUESTA CONDUCTORES'!AU67</f>
        <v>12000</v>
      </c>
      <c r="AN67" s="48">
        <f>+'ENCUESTA CONDUCTORES'!AV67</f>
        <v>0.2</v>
      </c>
      <c r="AO67" s="15">
        <f>+'ENCUESTA CONDUCTORES'!AW67</f>
        <v>3.1</v>
      </c>
      <c r="AP67" s="15">
        <f>+'ENCUESTA CONDUCTORES'!AX67</f>
        <v>2.2000000000000002</v>
      </c>
      <c r="AQ67" s="15">
        <f>+'ENCUESTA CONDUCTORES'!AY67</f>
        <v>2</v>
      </c>
      <c r="AR67" s="15">
        <f>+'ENCUESTA CONDUCTORES'!AZ67</f>
        <v>650</v>
      </c>
      <c r="AS67" s="15">
        <f>+'ENCUESTA CONDUCTORES'!BA67</f>
        <v>1800</v>
      </c>
      <c r="AT67" s="15">
        <f>IF('ENCUESTA CONDUCTORES'!BB67="X",1,0)</f>
        <v>1</v>
      </c>
      <c r="AU67" s="15">
        <f>IF('ENCUESTA CONDUCTORES'!BC67="X",1,0)</f>
        <v>1</v>
      </c>
      <c r="AV67" s="15">
        <f>IF('ENCUESTA CONDUCTORES'!BD67="X",1,0)</f>
        <v>0</v>
      </c>
      <c r="AW67" s="1">
        <f>+'ENCUESTA CONDUCTORES'!BE67</f>
        <v>15000</v>
      </c>
      <c r="AX67" s="1">
        <f>+'ENCUESTA CONDUCTORES'!BF67</f>
        <v>72000</v>
      </c>
      <c r="AY67" s="1">
        <f>+'ENCUESTA CONDUCTORES'!BG67</f>
        <v>15000</v>
      </c>
      <c r="AZ67" s="1">
        <f>+'ENCUESTA CONDUCTORES'!BH67</f>
        <v>72000</v>
      </c>
      <c r="BA67" s="1">
        <f>+'ENCUESTA CONDUCTORES'!BI67</f>
        <v>15000</v>
      </c>
      <c r="BB67" s="15">
        <f>IF('ENCUESTA CONDUCTORES'!BJ67="X",1,0)</f>
        <v>0</v>
      </c>
      <c r="BC67" s="15">
        <f>IF('ENCUESTA CONDUCTORES'!BK67="X",1,0)</f>
        <v>0</v>
      </c>
      <c r="BD67" s="15">
        <f>IF('ENCUESTA CONDUCTORES'!BL67="X",1,0)</f>
        <v>0</v>
      </c>
      <c r="BE67" s="15">
        <f>IF('ENCUESTA CONDUCTORES'!BM67="X",1,0)</f>
        <v>0</v>
      </c>
      <c r="BF67" s="15">
        <f>IF('ENCUESTA CONDUCTORES'!BN67="X",1,0)</f>
        <v>0</v>
      </c>
      <c r="BG67" s="15">
        <f>IF('ENCUESTA CONDUCTORES'!BO67="X",1,0)</f>
        <v>0</v>
      </c>
      <c r="BH67" s="15">
        <f>IF('ENCUESTA CONDUCTORES'!BP67="X",1,0)</f>
        <v>0</v>
      </c>
      <c r="BI67" s="15">
        <f>IF('ENCUESTA CONDUCTORES'!BQ67="X",1,0)</f>
        <v>0</v>
      </c>
      <c r="BJ67" s="15">
        <f>IF('ENCUESTA CONDUCTORES'!BR67="X",1,0)</f>
        <v>1</v>
      </c>
      <c r="BK67" s="15">
        <f>+'ENCUESTA CONDUCTORES'!BS67</f>
        <v>0</v>
      </c>
      <c r="BL67" s="15">
        <f>IF('ENCUESTA CONDUCTORES'!BT67="X",1,0)</f>
        <v>0</v>
      </c>
      <c r="BM67" s="15">
        <f>IF('ENCUESTA CONDUCTORES'!BU67="X",1,0)</f>
        <v>1</v>
      </c>
      <c r="BN67" s="15">
        <f>IF('ENCUESTA CONDUCTORES'!BV67="X",1,0)</f>
        <v>0</v>
      </c>
      <c r="BO67" s="15">
        <f>IF('ENCUESTA CONDUCTORES'!BW67="X",1,0)</f>
        <v>0</v>
      </c>
      <c r="BP67" s="15">
        <f>+'ENCUESTA CONDUCTORES'!BX67</f>
        <v>2</v>
      </c>
      <c r="BQ67" s="15">
        <f>+'ENCUESTA CONDUCTORES'!BY67</f>
        <v>1</v>
      </c>
      <c r="BR67" s="15">
        <f>+'ENCUESTA CONDUCTORES'!BZ67</f>
        <v>3</v>
      </c>
      <c r="BS67" s="15">
        <f>+'ENCUESTA CONDUCTORES'!CA67</f>
        <v>0</v>
      </c>
      <c r="BT67" s="15">
        <f>IF('ENCUESTA CONDUCTORES'!CB67="X",1,0)</f>
        <v>0</v>
      </c>
      <c r="BU67" s="15">
        <f>IF('ENCUESTA CONDUCTORES'!CC67="X",1,0)</f>
        <v>1</v>
      </c>
      <c r="BV67" s="15">
        <f>IF('ENCUESTA CONDUCTORES'!CD67="X",1,0)</f>
        <v>0</v>
      </c>
      <c r="BW67" s="15">
        <f>IF('ENCUESTA CONDUCTORES'!CE67="X",1,0)</f>
        <v>0</v>
      </c>
      <c r="BX67" s="15">
        <f>IF('ENCUESTA CONDUCTORES'!CF67="X",1,0)</f>
        <v>0</v>
      </c>
      <c r="BY67" s="15">
        <f>IF('ENCUESTA CONDUCTORES'!CG67="X",1,0)</f>
        <v>1</v>
      </c>
      <c r="BZ67" s="15">
        <f>IF('ENCUESTA CONDUCTORES'!CH67="X",1,0)</f>
        <v>0</v>
      </c>
      <c r="CA67" s="15">
        <f>IF('ENCUESTA CONDUCTORES'!CI67="X",1,0)</f>
        <v>0</v>
      </c>
      <c r="CB67" s="15">
        <f>IF('ENCUESTA CONDUCTORES'!CJ67="X",1,0)</f>
        <v>0</v>
      </c>
      <c r="CC67" s="15">
        <f>IF('ENCUESTA CONDUCTORES'!CK67="X",1,0)</f>
        <v>1</v>
      </c>
      <c r="CD67" s="15">
        <f>IF('ENCUESTA CONDUCTORES'!CL67="X",1,0)</f>
        <v>0</v>
      </c>
      <c r="CE67" s="15">
        <f>IF('ENCUESTA CONDUCTORES'!CM67="X",1,0)</f>
        <v>0</v>
      </c>
      <c r="CF67" s="15">
        <f>+'ENCUESTA CONDUCTORES'!CN67</f>
        <v>0</v>
      </c>
      <c r="CG67" s="15">
        <f>IF('ENCUESTA CONDUCTORES'!CO67="X",1,0)</f>
        <v>0</v>
      </c>
      <c r="CH67" s="15" t="str">
        <f>+'ENCUESTA CONDUCTORES'!CP67</f>
        <v>NO SABE</v>
      </c>
      <c r="CI67" s="15" t="str">
        <f>+'ENCUESTA CONDUCTORES'!CQ67</f>
        <v>PUBLICIDAD</v>
      </c>
      <c r="CJ67" s="15">
        <f>IF('ENCUESTA CONDUCTORES'!CR67="X",1,0)</f>
        <v>0</v>
      </c>
      <c r="CK67" s="15">
        <f>IF('ENCUESTA CONDUCTORES'!CS67="X",1,0)</f>
        <v>0</v>
      </c>
      <c r="CL67" s="2">
        <f>IF('ENCUESTA CONDUCTORES'!CT67="X",1,0)</f>
        <v>0</v>
      </c>
      <c r="CM67" s="2" t="str">
        <f>+'ENCUESTA CONDUCTORES'!CU67</f>
        <v>MANEJO A LA DEFENSIVA</v>
      </c>
      <c r="CN67" s="15">
        <f>IF('ENCUESTA CONDUCTORES'!CV67="X",1,0)</f>
        <v>0</v>
      </c>
      <c r="CO67" s="15">
        <f>+'ENCUESTA CONDUCTORES'!CW67</f>
        <v>0</v>
      </c>
      <c r="CP67" s="15">
        <f>IF('ENCUESTA CONDUCTORES'!CX67="X",1,0)</f>
        <v>1</v>
      </c>
      <c r="CQ67" s="15">
        <f>IF('ENCUESTA CONDUCTORES'!CY67="X",1,0)</f>
        <v>1</v>
      </c>
      <c r="CR67" s="3">
        <f>+'ENCUESTA CONDUCTORES'!CZ67</f>
        <v>0</v>
      </c>
      <c r="CS67" s="49">
        <f>+'ENCUESTA CONDUCTORES'!DA67</f>
        <v>0</v>
      </c>
    </row>
    <row r="68" spans="2:97" x14ac:dyDescent="0.25">
      <c r="B68" s="14" t="str">
        <f>+'ENCUESTA CONDUCTORES'!D68</f>
        <v>C-074</v>
      </c>
      <c r="C68" s="15">
        <f>IF('ENCUESTA CONDUCTORES'!E68="X",1,0)</f>
        <v>0</v>
      </c>
      <c r="D68" s="15">
        <f>IF('ENCUESTA CONDUCTORES'!F68="X",1,0)</f>
        <v>0</v>
      </c>
      <c r="E68" s="15">
        <f>IF('ENCUESTA CONDUCTORES'!G68="X",1,0)</f>
        <v>1</v>
      </c>
      <c r="F68" s="15">
        <f>IF('ENCUESTA CONDUCTORES'!H68="X",1,0)</f>
        <v>0</v>
      </c>
      <c r="G68" s="15">
        <f>+'ENCUESTA CONDUCTORES'!I68</f>
        <v>38</v>
      </c>
      <c r="H68" s="15" t="str">
        <f>+'ENCUESTA CONDUCTORES'!J68</f>
        <v>M</v>
      </c>
      <c r="I68" s="15" t="str">
        <f>+'ENCUESTA CONDUCTORES'!K68</f>
        <v>SECUNDARIA</v>
      </c>
      <c r="J68" s="15" t="str">
        <f>+'ENCUESTA CONDUCTORES'!L68</f>
        <v>COACALCO, EDO. MEX</v>
      </c>
      <c r="K68" s="15" t="str">
        <f>+'ENCUESTA CONDUCTORES'!M68</f>
        <v>COACALCO</v>
      </c>
      <c r="L68" s="15" t="str">
        <f>+'ENCUESTA CONDUCTORES'!N68</f>
        <v>EDO. MEX.</v>
      </c>
      <c r="M68" s="15">
        <f>+'ENCUESTA CONDUCTORES'!O68</f>
        <v>13</v>
      </c>
      <c r="N68" s="15">
        <f>IF('ENCUESTA CONDUCTORES'!P68="X",1,0)</f>
        <v>0</v>
      </c>
      <c r="O68" s="15">
        <f>IF('ENCUESTA CONDUCTORES'!Q68="X",1,0)</f>
        <v>0</v>
      </c>
      <c r="P68" s="15">
        <f>IF('ENCUESTA CONDUCTORES'!R68="X",1,0)</f>
        <v>1</v>
      </c>
      <c r="Q68" s="15">
        <f>IF('ENCUESTA CONDUCTORES'!S68="X",1,0)</f>
        <v>0</v>
      </c>
      <c r="R68" s="15">
        <f>IF('ENCUESTA CONDUCTORES'!T68="X",1,0)</f>
        <v>0</v>
      </c>
      <c r="S68" s="15">
        <f>IF('ENCUESTA CONDUCTORES'!U68="X",1,0)</f>
        <v>1</v>
      </c>
      <c r="T68" s="15">
        <f>IF('ENCUESTA CONDUCTORES'!V68="X",1,0)</f>
        <v>0</v>
      </c>
      <c r="U68" s="15">
        <f>IF('ENCUESTA CONDUCTORES'!W68="X",1,0)</f>
        <v>0</v>
      </c>
      <c r="V68" s="15">
        <f>IF('ENCUESTA CONDUCTORES'!X68="X",1,0)</f>
        <v>0</v>
      </c>
      <c r="W68" s="15">
        <f>IF('ENCUESTA CONDUCTORES'!Y68="X",1,0)</f>
        <v>0</v>
      </c>
      <c r="X68" s="15">
        <f>IF('ENCUESTA CONDUCTORES'!Z68="X",1,0)</f>
        <v>0</v>
      </c>
      <c r="Y68" s="15">
        <f>+'ENCUESTA CONDUCTORES'!AG68</f>
        <v>0</v>
      </c>
      <c r="Z68" s="15">
        <f>+'ENCUESTA CONDUCTORES'!AH68</f>
        <v>1994</v>
      </c>
      <c r="AA68" s="1">
        <f>+'ENCUESTA CONDUCTORES'!AI68</f>
        <v>1800000</v>
      </c>
      <c r="AB68" s="15">
        <f>IF('ENCUESTA CONDUCTORES'!AJ68="X",1,0)</f>
        <v>0</v>
      </c>
      <c r="AC68" s="15">
        <f>IF('ENCUESTA CONDUCTORES'!AK68="X",1,0)</f>
        <v>0</v>
      </c>
      <c r="AD68" s="15">
        <f>IF('ENCUESTA CONDUCTORES'!AL68="X",1,0)</f>
        <v>1</v>
      </c>
      <c r="AE68" s="15">
        <f>IF('ENCUESTA CONDUCTORES'!AM68="X",1,0)</f>
        <v>0</v>
      </c>
      <c r="AF68" s="15">
        <f>IF('ENCUESTA CONDUCTORES'!AN68="X",1,0)</f>
        <v>0</v>
      </c>
      <c r="AG68" s="15">
        <f>IF('ENCUESTA CONDUCTORES'!AO68="X",1,0)</f>
        <v>1</v>
      </c>
      <c r="AH68" s="15">
        <f>IF('ENCUESTA CONDUCTORES'!AP68="X",1,0)</f>
        <v>0</v>
      </c>
      <c r="AI68" s="15">
        <f>IF('ENCUESTA CONDUCTORES'!AQ68="X",1,0)</f>
        <v>0</v>
      </c>
      <c r="AJ68" s="15">
        <f>IF('ENCUESTA CONDUCTORES'!AR68="X",1,0)</f>
        <v>0</v>
      </c>
      <c r="AK68" s="15">
        <f>+'ENCUESTA CONDUCTORES'!AS68</f>
        <v>0</v>
      </c>
      <c r="AL68" s="15" t="str">
        <f>+'ENCUESTA CONDUCTORES'!AT68</f>
        <v>CUMMINS</v>
      </c>
      <c r="AM68" s="1">
        <f>+'ENCUESTA CONDUCTORES'!AU68</f>
        <v>10000</v>
      </c>
      <c r="AN68" s="48">
        <f>+'ENCUESTA CONDUCTORES'!AV68</f>
        <v>0.5</v>
      </c>
      <c r="AO68" s="15">
        <f>+'ENCUESTA CONDUCTORES'!AW68</f>
        <v>3.2</v>
      </c>
      <c r="AP68" s="15">
        <f>+'ENCUESTA CONDUCTORES'!AX68</f>
        <v>2.9</v>
      </c>
      <c r="AQ68" s="15">
        <f>+'ENCUESTA CONDUCTORES'!AY68</f>
        <v>1</v>
      </c>
      <c r="AR68" s="15">
        <f>+'ENCUESTA CONDUCTORES'!AZ68</f>
        <v>500</v>
      </c>
      <c r="AS68" s="15">
        <f>+'ENCUESTA CONDUCTORES'!BA68</f>
        <v>1500</v>
      </c>
      <c r="AT68" s="15">
        <f>IF('ENCUESTA CONDUCTORES'!BB68="X",1,0)</f>
        <v>1</v>
      </c>
      <c r="AU68" s="15">
        <f>IF('ENCUESTA CONDUCTORES'!BC68="X",1,0)</f>
        <v>1</v>
      </c>
      <c r="AV68" s="15">
        <f>IF('ENCUESTA CONDUCTORES'!BD68="X",1,0)</f>
        <v>0</v>
      </c>
      <c r="AW68" s="1">
        <f>+'ENCUESTA CONDUCTORES'!BE68</f>
        <v>12000</v>
      </c>
      <c r="AX68" s="1">
        <f>+'ENCUESTA CONDUCTORES'!BF68</f>
        <v>15000</v>
      </c>
      <c r="AY68" s="1">
        <f>+'ENCUESTA CONDUCTORES'!BG68</f>
        <v>12000</v>
      </c>
      <c r="AZ68" s="1">
        <f>+'ENCUESTA CONDUCTORES'!BH68</f>
        <v>100000</v>
      </c>
      <c r="BA68" s="1">
        <f>+'ENCUESTA CONDUCTORES'!BI68</f>
        <v>12000</v>
      </c>
      <c r="BB68" s="15">
        <f>IF('ENCUESTA CONDUCTORES'!BJ68="X",1,0)</f>
        <v>0</v>
      </c>
      <c r="BC68" s="15">
        <f>IF('ENCUESTA CONDUCTORES'!BK68="X",1,0)</f>
        <v>0</v>
      </c>
      <c r="BD68" s="15">
        <f>IF('ENCUESTA CONDUCTORES'!BL68="X",1,0)</f>
        <v>0</v>
      </c>
      <c r="BE68" s="15">
        <f>IF('ENCUESTA CONDUCTORES'!BM68="X",1,0)</f>
        <v>0</v>
      </c>
      <c r="BF68" s="15">
        <f>IF('ENCUESTA CONDUCTORES'!BN68="X",1,0)</f>
        <v>0</v>
      </c>
      <c r="BG68" s="15">
        <f>IF('ENCUESTA CONDUCTORES'!BO68="X",1,0)</f>
        <v>0</v>
      </c>
      <c r="BH68" s="15">
        <f>IF('ENCUESTA CONDUCTORES'!BP68="X",1,0)</f>
        <v>0</v>
      </c>
      <c r="BI68" s="15">
        <f>IF('ENCUESTA CONDUCTORES'!BQ68="X",1,0)</f>
        <v>0</v>
      </c>
      <c r="BJ68" s="15">
        <f>IF('ENCUESTA CONDUCTORES'!BR68="X",1,0)</f>
        <v>0</v>
      </c>
      <c r="BK68" s="15" t="str">
        <f>+'ENCUESTA CONDUCTORES'!BS68</f>
        <v>CONTENEDOR</v>
      </c>
      <c r="BL68" s="15">
        <f>IF('ENCUESTA CONDUCTORES'!BT68="X",1,0)</f>
        <v>0</v>
      </c>
      <c r="BM68" s="15">
        <f>IF('ENCUESTA CONDUCTORES'!BU68="X",1,0)</f>
        <v>0</v>
      </c>
      <c r="BN68" s="15">
        <f>IF('ENCUESTA CONDUCTORES'!BV68="X",1,0)</f>
        <v>1</v>
      </c>
      <c r="BO68" s="15">
        <f>IF('ENCUESTA CONDUCTORES'!BW68="X",1,0)</f>
        <v>0</v>
      </c>
      <c r="BP68" s="15">
        <f>+'ENCUESTA CONDUCTORES'!BX68</f>
        <v>1</v>
      </c>
      <c r="BQ68" s="15">
        <f>+'ENCUESTA CONDUCTORES'!BY68</f>
        <v>3</v>
      </c>
      <c r="BR68" s="15">
        <f>+'ENCUESTA CONDUCTORES'!BZ68</f>
        <v>2</v>
      </c>
      <c r="BS68" s="15">
        <f>+'ENCUESTA CONDUCTORES'!CA68</f>
        <v>0</v>
      </c>
      <c r="BT68" s="15">
        <f>IF('ENCUESTA CONDUCTORES'!CB68="X",1,0)</f>
        <v>1</v>
      </c>
      <c r="BU68" s="15">
        <f>IF('ENCUESTA CONDUCTORES'!CC68="X",1,0)</f>
        <v>0</v>
      </c>
      <c r="BV68" s="15">
        <f>IF('ENCUESTA CONDUCTORES'!CD68="X",1,0)</f>
        <v>0</v>
      </c>
      <c r="BW68" s="15">
        <f>IF('ENCUESTA CONDUCTORES'!CE68="X",1,0)</f>
        <v>0</v>
      </c>
      <c r="BX68" s="15">
        <f>IF('ENCUESTA CONDUCTORES'!CF68="X",1,0)</f>
        <v>0</v>
      </c>
      <c r="BY68" s="15">
        <f>IF('ENCUESTA CONDUCTORES'!CG68="X",1,0)</f>
        <v>0</v>
      </c>
      <c r="BZ68" s="15">
        <f>IF('ENCUESTA CONDUCTORES'!CH68="X",1,0)</f>
        <v>0</v>
      </c>
      <c r="CA68" s="15">
        <f>IF('ENCUESTA CONDUCTORES'!CI68="X",1,0)</f>
        <v>0</v>
      </c>
      <c r="CB68" s="15">
        <f>IF('ENCUESTA CONDUCTORES'!CJ68="X",1,0)</f>
        <v>0</v>
      </c>
      <c r="CC68" s="15">
        <f>IF('ENCUESTA CONDUCTORES'!CK68="X",1,0)</f>
        <v>1</v>
      </c>
      <c r="CD68" s="15">
        <f>IF('ENCUESTA CONDUCTORES'!CL68="X",1,0)</f>
        <v>0</v>
      </c>
      <c r="CE68" s="15">
        <f>IF('ENCUESTA CONDUCTORES'!CM68="X",1,0)</f>
        <v>0</v>
      </c>
      <c r="CF68" s="15">
        <f>+'ENCUESTA CONDUCTORES'!CN68</f>
        <v>0</v>
      </c>
      <c r="CG68" s="15">
        <f>IF('ENCUESTA CONDUCTORES'!CO68="X",1,0)</f>
        <v>0</v>
      </c>
      <c r="CH68" s="15" t="str">
        <f>+'ENCUESTA CONDUCTORES'!CP68</f>
        <v>NO SABE</v>
      </c>
      <c r="CI68" s="15" t="str">
        <f>+'ENCUESTA CONDUCTORES'!CQ68</f>
        <v>DARLO A CONOCER</v>
      </c>
      <c r="CJ68" s="15">
        <f>IF('ENCUESTA CONDUCTORES'!CR68="X",1,0)</f>
        <v>1</v>
      </c>
      <c r="CK68" s="15">
        <f>IF('ENCUESTA CONDUCTORES'!CS68="X",1,0)</f>
        <v>0</v>
      </c>
      <c r="CL68" s="15">
        <f>IF('ENCUESTA CONDUCTORES'!CT68="X",1,0)</f>
        <v>0</v>
      </c>
      <c r="CM68" s="15">
        <f>+'ENCUESTA CONDUCTORES'!CU68</f>
        <v>0</v>
      </c>
      <c r="CN68" s="15">
        <f>IF('ENCUESTA CONDUCTORES'!CV68="X",1,0)</f>
        <v>0</v>
      </c>
      <c r="CO68" s="15">
        <f>+'ENCUESTA CONDUCTORES'!CW68</f>
        <v>0</v>
      </c>
      <c r="CP68" s="15">
        <f>IF('ENCUESTA CONDUCTORES'!CX68="X",1,0)</f>
        <v>1</v>
      </c>
      <c r="CQ68" s="15">
        <f>IF('ENCUESTA CONDUCTORES'!CY68="X",1,0)</f>
        <v>1</v>
      </c>
      <c r="CR68" s="3">
        <f>+'ENCUESTA CONDUCTORES'!CZ68</f>
        <v>0</v>
      </c>
      <c r="CS68" s="49">
        <f>+'ENCUESTA CONDUCTORES'!DA68</f>
        <v>0</v>
      </c>
    </row>
    <row r="69" spans="2:97" x14ac:dyDescent="0.25">
      <c r="B69" s="14" t="str">
        <f>+'ENCUESTA CONDUCTORES'!D69</f>
        <v>C-075</v>
      </c>
      <c r="C69" s="15">
        <f>IF('ENCUESTA CONDUCTORES'!E69="X",1,0)</f>
        <v>0</v>
      </c>
      <c r="D69" s="15">
        <f>IF('ENCUESTA CONDUCTORES'!F69="X",1,0)</f>
        <v>0</v>
      </c>
      <c r="E69" s="15">
        <f>IF('ENCUESTA CONDUCTORES'!G69="X",1,0)</f>
        <v>1</v>
      </c>
      <c r="F69" s="15">
        <f>IF('ENCUESTA CONDUCTORES'!H69="X",1,0)</f>
        <v>0</v>
      </c>
      <c r="G69" s="15">
        <f>+'ENCUESTA CONDUCTORES'!I69</f>
        <v>33</v>
      </c>
      <c r="H69" s="15" t="str">
        <f>+'ENCUESTA CONDUCTORES'!J69</f>
        <v>M</v>
      </c>
      <c r="I69" s="15" t="str">
        <f>+'ENCUESTA CONDUCTORES'!K69</f>
        <v>PRIMARIA</v>
      </c>
      <c r="J69" s="15" t="str">
        <f>+'ENCUESTA CONDUCTORES'!L69</f>
        <v>NEZAHUALCÓYOTL, EDO. MEX.</v>
      </c>
      <c r="K69" s="15" t="str">
        <f>+'ENCUESTA CONDUCTORES'!M69</f>
        <v>NEZAHUALCÓYOTL</v>
      </c>
      <c r="L69" s="15" t="str">
        <f>+'ENCUESTA CONDUCTORES'!N69</f>
        <v>EDO. MEX.</v>
      </c>
      <c r="M69" s="15">
        <f>+'ENCUESTA CONDUCTORES'!O69</f>
        <v>9</v>
      </c>
      <c r="N69" s="15">
        <f>IF('ENCUESTA CONDUCTORES'!P69="X",1,0)</f>
        <v>1</v>
      </c>
      <c r="O69" s="15">
        <f>IF('ENCUESTA CONDUCTORES'!Q69="X",1,0)</f>
        <v>0</v>
      </c>
      <c r="P69" s="15">
        <f>IF('ENCUESTA CONDUCTORES'!R69="X",1,0)</f>
        <v>0</v>
      </c>
      <c r="Q69" s="15">
        <f>IF('ENCUESTA CONDUCTORES'!S69="X",1,0)</f>
        <v>0</v>
      </c>
      <c r="R69" s="15">
        <f>IF('ENCUESTA CONDUCTORES'!T69="X",1,0)</f>
        <v>0</v>
      </c>
      <c r="S69" s="15">
        <f>IF('ENCUESTA CONDUCTORES'!U69="X",1,0)</f>
        <v>1</v>
      </c>
      <c r="T69" s="15">
        <f>IF('ENCUESTA CONDUCTORES'!V69="X",1,0)</f>
        <v>0</v>
      </c>
      <c r="U69" s="15">
        <f>IF('ENCUESTA CONDUCTORES'!W69="X",1,0)</f>
        <v>0</v>
      </c>
      <c r="V69" s="15">
        <f>IF('ENCUESTA CONDUCTORES'!X69="X",1,0)</f>
        <v>0</v>
      </c>
      <c r="W69" s="15">
        <f>IF('ENCUESTA CONDUCTORES'!Y69="X",1,0)</f>
        <v>0</v>
      </c>
      <c r="X69" s="15">
        <f>IF('ENCUESTA CONDUCTORES'!Z69="X",1,0)</f>
        <v>0</v>
      </c>
      <c r="Y69" s="15">
        <f>+'ENCUESTA CONDUCTORES'!AG69</f>
        <v>0</v>
      </c>
      <c r="Z69" s="15">
        <f>+'ENCUESTA CONDUCTORES'!AH69</f>
        <v>2005</v>
      </c>
      <c r="AA69" s="1">
        <f>+'ENCUESTA CONDUCTORES'!AI69</f>
        <v>1000000</v>
      </c>
      <c r="AB69" s="15">
        <f>IF('ENCUESTA CONDUCTORES'!AJ69="X",1,0)</f>
        <v>0</v>
      </c>
      <c r="AC69" s="15">
        <f>IF('ENCUESTA CONDUCTORES'!AK69="X",1,0)</f>
        <v>0</v>
      </c>
      <c r="AD69" s="15">
        <f>IF('ENCUESTA CONDUCTORES'!AL69="X",1,0)</f>
        <v>1</v>
      </c>
      <c r="AE69" s="15">
        <f>IF('ENCUESTA CONDUCTORES'!AM69="X",1,0)</f>
        <v>0</v>
      </c>
      <c r="AF69" s="15">
        <f>IF('ENCUESTA CONDUCTORES'!AN69="X",1,0)</f>
        <v>0</v>
      </c>
      <c r="AG69" s="15">
        <f>IF('ENCUESTA CONDUCTORES'!AO69="X",1,0)</f>
        <v>0</v>
      </c>
      <c r="AH69" s="15">
        <f>IF('ENCUESTA CONDUCTORES'!AP69="X",1,0)</f>
        <v>1</v>
      </c>
      <c r="AI69" s="15">
        <f>IF('ENCUESTA CONDUCTORES'!AQ69="X",1,0)</f>
        <v>0</v>
      </c>
      <c r="AJ69" s="15">
        <f>IF('ENCUESTA CONDUCTORES'!AR69="X",1,0)</f>
        <v>0</v>
      </c>
      <c r="AK69" s="15">
        <f>+'ENCUESTA CONDUCTORES'!AS69</f>
        <v>0</v>
      </c>
      <c r="AL69" s="15" t="str">
        <f>+'ENCUESTA CONDUCTORES'!AT69</f>
        <v>CUMMINS</v>
      </c>
      <c r="AM69" s="1">
        <f>+'ENCUESTA CONDUCTORES'!AU69</f>
        <v>10000</v>
      </c>
      <c r="AN69" s="48">
        <f>+'ENCUESTA CONDUCTORES'!AV69</f>
        <v>0.5</v>
      </c>
      <c r="AO69" s="15">
        <f>+'ENCUESTA CONDUCTORES'!AW69</f>
        <v>2.8</v>
      </c>
      <c r="AP69" s="15">
        <f>+'ENCUESTA CONDUCTORES'!AX69</f>
        <v>2.2999999999999998</v>
      </c>
      <c r="AQ69" s="15">
        <f>+'ENCUESTA CONDUCTORES'!AY69</f>
        <v>1</v>
      </c>
      <c r="AR69" s="15">
        <f>+'ENCUESTA CONDUCTORES'!AZ69</f>
        <v>380</v>
      </c>
      <c r="AS69" s="15">
        <f>+'ENCUESTA CONDUCTORES'!BA69</f>
        <v>1000</v>
      </c>
      <c r="AT69" s="15">
        <f>IF('ENCUESTA CONDUCTORES'!BB69="X",1,0)</f>
        <v>0</v>
      </c>
      <c r="AU69" s="15">
        <f>IF('ENCUESTA CONDUCTORES'!BC69="X",1,0)</f>
        <v>1</v>
      </c>
      <c r="AV69" s="15">
        <f>IF('ENCUESTA CONDUCTORES'!BD69="X",1,0)</f>
        <v>0</v>
      </c>
      <c r="AW69" s="1">
        <f>+'ENCUESTA CONDUCTORES'!BE69</f>
        <v>12000</v>
      </c>
      <c r="AX69" s="1">
        <f>+'ENCUESTA CONDUCTORES'!BF69</f>
        <v>60000</v>
      </c>
      <c r="AY69" s="1">
        <f>+'ENCUESTA CONDUCTORES'!BG69</f>
        <v>12000</v>
      </c>
      <c r="AZ69" s="1">
        <f>+'ENCUESTA CONDUCTORES'!BH69</f>
        <v>120000</v>
      </c>
      <c r="BA69" s="1">
        <f>+'ENCUESTA CONDUCTORES'!BI69</f>
        <v>12000</v>
      </c>
      <c r="BB69" s="15">
        <f>IF('ENCUESTA CONDUCTORES'!BJ69="X",1,0)</f>
        <v>0</v>
      </c>
      <c r="BC69" s="15">
        <f>IF('ENCUESTA CONDUCTORES'!BK69="X",1,0)</f>
        <v>0</v>
      </c>
      <c r="BD69" s="15">
        <f>IF('ENCUESTA CONDUCTORES'!BL69="X",1,0)</f>
        <v>0</v>
      </c>
      <c r="BE69" s="15">
        <f>IF('ENCUESTA CONDUCTORES'!BM69="X",1,0)</f>
        <v>0</v>
      </c>
      <c r="BF69" s="15">
        <f>IF('ENCUESTA CONDUCTORES'!BN69="X",1,0)</f>
        <v>1</v>
      </c>
      <c r="BG69" s="15">
        <f>IF('ENCUESTA CONDUCTORES'!BO69="X",1,0)</f>
        <v>0</v>
      </c>
      <c r="BH69" s="15">
        <f>IF('ENCUESTA CONDUCTORES'!BP69="X",1,0)</f>
        <v>0</v>
      </c>
      <c r="BI69" s="15">
        <f>IF('ENCUESTA CONDUCTORES'!BQ69="X",1,0)</f>
        <v>0</v>
      </c>
      <c r="BJ69" s="15">
        <f>IF('ENCUESTA CONDUCTORES'!BR69="X",1,0)</f>
        <v>0</v>
      </c>
      <c r="BK69" s="15">
        <f>+'ENCUESTA CONDUCTORES'!BS69</f>
        <v>0</v>
      </c>
      <c r="BL69" s="15">
        <f>IF('ENCUESTA CONDUCTORES'!BT69="X",1,0)</f>
        <v>0</v>
      </c>
      <c r="BM69" s="15">
        <f>IF('ENCUESTA CONDUCTORES'!BU69="X",1,0)</f>
        <v>0</v>
      </c>
      <c r="BN69" s="15">
        <f>IF('ENCUESTA CONDUCTORES'!BV69="X",1,0)</f>
        <v>1</v>
      </c>
      <c r="BO69" s="15">
        <f>IF('ENCUESTA CONDUCTORES'!BW69="X",1,0)</f>
        <v>0</v>
      </c>
      <c r="BP69" s="15">
        <f>+'ENCUESTA CONDUCTORES'!BX69</f>
        <v>2</v>
      </c>
      <c r="BQ69" s="15">
        <f>+'ENCUESTA CONDUCTORES'!BY69</f>
        <v>3</v>
      </c>
      <c r="BR69" s="15">
        <f>+'ENCUESTA CONDUCTORES'!BZ69</f>
        <v>1</v>
      </c>
      <c r="BS69" s="15">
        <f>+'ENCUESTA CONDUCTORES'!CA69</f>
        <v>0</v>
      </c>
      <c r="BT69" s="15">
        <f>IF('ENCUESTA CONDUCTORES'!CB69="X",1,0)</f>
        <v>1</v>
      </c>
      <c r="BU69" s="15">
        <f>IF('ENCUESTA CONDUCTORES'!CC69="X",1,0)</f>
        <v>0</v>
      </c>
      <c r="BV69" s="15">
        <f>IF('ENCUESTA CONDUCTORES'!CD69="X",1,0)</f>
        <v>0</v>
      </c>
      <c r="BW69" s="15">
        <f>IF('ENCUESTA CONDUCTORES'!CE69="X",1,0)</f>
        <v>0</v>
      </c>
      <c r="BX69" s="15">
        <f>IF('ENCUESTA CONDUCTORES'!CF69="X",1,0)</f>
        <v>0</v>
      </c>
      <c r="BY69" s="15">
        <f>IF('ENCUESTA CONDUCTORES'!CG69="X",1,0)</f>
        <v>0</v>
      </c>
      <c r="BZ69" s="15">
        <f>IF('ENCUESTA CONDUCTORES'!CH69="X",1,0)</f>
        <v>0</v>
      </c>
      <c r="CA69" s="15">
        <f>IF('ENCUESTA CONDUCTORES'!CI69="X",1,0)</f>
        <v>0</v>
      </c>
      <c r="CB69" s="15">
        <f>IF('ENCUESTA CONDUCTORES'!CJ69="X",1,0)</f>
        <v>0</v>
      </c>
      <c r="CC69" s="15">
        <f>IF('ENCUESTA CONDUCTORES'!CK69="X",1,0)</f>
        <v>1</v>
      </c>
      <c r="CD69" s="15">
        <f>IF('ENCUESTA CONDUCTORES'!CL69="X",1,0)</f>
        <v>0</v>
      </c>
      <c r="CE69" s="15">
        <f>IF('ENCUESTA CONDUCTORES'!CM69="X",1,0)</f>
        <v>0</v>
      </c>
      <c r="CF69" s="15">
        <f>+'ENCUESTA CONDUCTORES'!CN69</f>
        <v>0</v>
      </c>
      <c r="CG69" s="15">
        <f>IF('ENCUESTA CONDUCTORES'!CO69="X",1,0)</f>
        <v>0</v>
      </c>
      <c r="CH69" s="15" t="str">
        <f>+'ENCUESTA CONDUCTORES'!CP69</f>
        <v>NO SABE</v>
      </c>
      <c r="CI69" s="15" t="str">
        <f>+'ENCUESTA CONDUCTORES'!CQ69</f>
        <v>PUBLICIDAD</v>
      </c>
      <c r="CJ69" s="15">
        <f>IF('ENCUESTA CONDUCTORES'!CR69="X",1,0)</f>
        <v>0</v>
      </c>
      <c r="CK69" s="15">
        <f>IF('ENCUESTA CONDUCTORES'!CS69="X",1,0)</f>
        <v>0</v>
      </c>
      <c r="CL69" s="15">
        <f>IF('ENCUESTA CONDUCTORES'!CT69="X",1,0)</f>
        <v>1</v>
      </c>
      <c r="CM69" s="15">
        <f>+'ENCUESTA CONDUCTORES'!CU69</f>
        <v>0</v>
      </c>
      <c r="CN69" s="15">
        <f>IF('ENCUESTA CONDUCTORES'!CV69="X",1,0)</f>
        <v>0</v>
      </c>
      <c r="CO69" s="15">
        <f>+'ENCUESTA CONDUCTORES'!CW69</f>
        <v>0</v>
      </c>
      <c r="CP69" s="15">
        <f>IF('ENCUESTA CONDUCTORES'!CX69="X",1,0)</f>
        <v>0</v>
      </c>
      <c r="CQ69" s="15">
        <f>IF('ENCUESTA CONDUCTORES'!CY69="X",1,0)</f>
        <v>1</v>
      </c>
      <c r="CR69" s="3">
        <f>+'ENCUESTA CONDUCTORES'!CZ69</f>
        <v>0</v>
      </c>
      <c r="CS69" s="49">
        <f>+'ENCUESTA CONDUCTORES'!DA69</f>
        <v>0</v>
      </c>
    </row>
    <row r="70" spans="2:97" x14ac:dyDescent="0.25">
      <c r="B70" s="14" t="str">
        <f>+'ENCUESTA CONDUCTORES'!D70</f>
        <v>C-076</v>
      </c>
      <c r="C70" s="15">
        <f>IF('ENCUESTA CONDUCTORES'!E70="X",1,0)</f>
        <v>0</v>
      </c>
      <c r="D70" s="15">
        <f>IF('ENCUESTA CONDUCTORES'!F70="X",1,0)</f>
        <v>0</v>
      </c>
      <c r="E70" s="15">
        <f>IF('ENCUESTA CONDUCTORES'!G70="X",1,0)</f>
        <v>1</v>
      </c>
      <c r="F70" s="15">
        <f>IF('ENCUESTA CONDUCTORES'!H70="X",1,0)</f>
        <v>0</v>
      </c>
      <c r="G70" s="15">
        <f>+'ENCUESTA CONDUCTORES'!I70</f>
        <v>54</v>
      </c>
      <c r="H70" s="15" t="str">
        <f>+'ENCUESTA CONDUCTORES'!J70</f>
        <v>M</v>
      </c>
      <c r="I70" s="15" t="str">
        <f>+'ENCUESTA CONDUCTORES'!K70</f>
        <v>PREPARATORIA</v>
      </c>
      <c r="J70" s="15" t="str">
        <f>+'ENCUESTA CONDUCTORES'!L70</f>
        <v>ECATEPEC, EDO. MEX.</v>
      </c>
      <c r="K70" s="15" t="str">
        <f>+'ENCUESTA CONDUCTORES'!M70</f>
        <v>ECATEPEC</v>
      </c>
      <c r="L70" s="15" t="str">
        <f>+'ENCUESTA CONDUCTORES'!N70</f>
        <v>EDO. MEX.</v>
      </c>
      <c r="M70" s="15">
        <f>+'ENCUESTA CONDUCTORES'!O70</f>
        <v>35</v>
      </c>
      <c r="N70" s="15">
        <f>IF('ENCUESTA CONDUCTORES'!P70="X",1,0)</f>
        <v>0</v>
      </c>
      <c r="O70" s="15">
        <f>IF('ENCUESTA CONDUCTORES'!Q70="X",1,0)</f>
        <v>0</v>
      </c>
      <c r="P70" s="15">
        <f>IF('ENCUESTA CONDUCTORES'!R70="X",1,0)</f>
        <v>1</v>
      </c>
      <c r="Q70" s="15">
        <f>IF('ENCUESTA CONDUCTORES'!S70="X",1,0)</f>
        <v>0</v>
      </c>
      <c r="R70" s="15">
        <f>IF('ENCUESTA CONDUCTORES'!T70="X",1,0)</f>
        <v>0</v>
      </c>
      <c r="S70" s="15">
        <f>IF('ENCUESTA CONDUCTORES'!U70="X",1,0)</f>
        <v>1</v>
      </c>
      <c r="T70" s="15">
        <f>IF('ENCUESTA CONDUCTORES'!V70="X",1,0)</f>
        <v>0</v>
      </c>
      <c r="U70" s="15">
        <f>IF('ENCUESTA CONDUCTORES'!W70="X",1,0)</f>
        <v>0</v>
      </c>
      <c r="V70" s="15">
        <f>IF('ENCUESTA CONDUCTORES'!X70="X",1,0)</f>
        <v>0</v>
      </c>
      <c r="W70" s="15">
        <f>IF('ENCUESTA CONDUCTORES'!Y70="X",1,0)</f>
        <v>0</v>
      </c>
      <c r="X70" s="15">
        <f>IF('ENCUESTA CONDUCTORES'!Z70="X",1,0)</f>
        <v>0</v>
      </c>
      <c r="Y70" s="15">
        <f>+'ENCUESTA CONDUCTORES'!AG70</f>
        <v>0</v>
      </c>
      <c r="Z70" s="15">
        <f>+'ENCUESTA CONDUCTORES'!AH70</f>
        <v>2000</v>
      </c>
      <c r="AA70" s="1">
        <f>+'ENCUESTA CONDUCTORES'!AI70</f>
        <v>1850000</v>
      </c>
      <c r="AB70" s="15">
        <f>IF('ENCUESTA CONDUCTORES'!AJ70="X",1,0)</f>
        <v>0</v>
      </c>
      <c r="AC70" s="15">
        <f>IF('ENCUESTA CONDUCTORES'!AK70="X",1,0)</f>
        <v>0</v>
      </c>
      <c r="AD70" s="15">
        <f>IF('ENCUESTA CONDUCTORES'!AL70="X",1,0)</f>
        <v>1</v>
      </c>
      <c r="AE70" s="15">
        <f>IF('ENCUESTA CONDUCTORES'!AM70="X",1,0)</f>
        <v>0</v>
      </c>
      <c r="AF70" s="15">
        <f>IF('ENCUESTA CONDUCTORES'!AN70="X",1,0)</f>
        <v>0</v>
      </c>
      <c r="AG70" s="15">
        <f>IF('ENCUESTA CONDUCTORES'!AO70="X",1,0)</f>
        <v>1</v>
      </c>
      <c r="AH70" s="15">
        <f>IF('ENCUESTA CONDUCTORES'!AP70="X",1,0)</f>
        <v>0</v>
      </c>
      <c r="AI70" s="15">
        <f>IF('ENCUESTA CONDUCTORES'!AQ70="X",1,0)</f>
        <v>0</v>
      </c>
      <c r="AJ70" s="15">
        <f>IF('ENCUESTA CONDUCTORES'!AR70="X",1,0)</f>
        <v>0</v>
      </c>
      <c r="AK70" s="15">
        <f>+'ENCUESTA CONDUCTORES'!AS70</f>
        <v>0</v>
      </c>
      <c r="AL70" s="15" t="str">
        <f>+'ENCUESTA CONDUCTORES'!AT70</f>
        <v>CUMMINS</v>
      </c>
      <c r="AM70" s="1">
        <f>+'ENCUESTA CONDUCTORES'!AU70</f>
        <v>12000</v>
      </c>
      <c r="AN70" s="48">
        <f>+'ENCUESTA CONDUCTORES'!AV70</f>
        <v>0.5</v>
      </c>
      <c r="AO70" s="15">
        <f>+'ENCUESTA CONDUCTORES'!AW70</f>
        <v>3</v>
      </c>
      <c r="AP70" s="15">
        <f>+'ENCUESTA CONDUCTORES'!AX70</f>
        <v>2.5</v>
      </c>
      <c r="AQ70" s="15">
        <f>+'ENCUESTA CONDUCTORES'!AY70</f>
        <v>2</v>
      </c>
      <c r="AR70" s="15">
        <f>+'ENCUESTA CONDUCTORES'!AZ70</f>
        <v>650</v>
      </c>
      <c r="AS70" s="15">
        <f>+'ENCUESTA CONDUCTORES'!BA70</f>
        <v>1800</v>
      </c>
      <c r="AT70" s="15">
        <f>IF('ENCUESTA CONDUCTORES'!BB70="X",1,0)</f>
        <v>0</v>
      </c>
      <c r="AU70" s="15">
        <f>IF('ENCUESTA CONDUCTORES'!BC70="X",1,0)</f>
        <v>1</v>
      </c>
      <c r="AV70" s="15">
        <f>IF('ENCUESTA CONDUCTORES'!BD70="X",1,0)</f>
        <v>0</v>
      </c>
      <c r="AW70" s="1">
        <f>+'ENCUESTA CONDUCTORES'!BE70</f>
        <v>20000</v>
      </c>
      <c r="AX70" s="1">
        <f>+'ENCUESTA CONDUCTORES'!BF70</f>
        <v>20000</v>
      </c>
      <c r="AY70" s="1">
        <f>+'ENCUESTA CONDUCTORES'!BG70</f>
        <v>10000</v>
      </c>
      <c r="AZ70" s="1">
        <f>+'ENCUESTA CONDUCTORES'!BH70</f>
        <v>144000</v>
      </c>
      <c r="BA70" s="1">
        <f>+'ENCUESTA CONDUCTORES'!BI70</f>
        <v>10000</v>
      </c>
      <c r="BB70" s="15">
        <f>IF('ENCUESTA CONDUCTORES'!BJ70="X",1,0)</f>
        <v>0</v>
      </c>
      <c r="BC70" s="15">
        <f>IF('ENCUESTA CONDUCTORES'!BK70="X",1,0)</f>
        <v>0</v>
      </c>
      <c r="BD70" s="15">
        <f>IF('ENCUESTA CONDUCTORES'!BL70="X",1,0)</f>
        <v>0</v>
      </c>
      <c r="BE70" s="15">
        <f>IF('ENCUESTA CONDUCTORES'!BM70="X",1,0)</f>
        <v>1</v>
      </c>
      <c r="BF70" s="15">
        <f>IF('ENCUESTA CONDUCTORES'!BN70="X",1,0)</f>
        <v>0</v>
      </c>
      <c r="BG70" s="15">
        <f>IF('ENCUESTA CONDUCTORES'!BO70="X",1,0)</f>
        <v>0</v>
      </c>
      <c r="BH70" s="15">
        <f>IF('ENCUESTA CONDUCTORES'!BP70="X",1,0)</f>
        <v>0</v>
      </c>
      <c r="BI70" s="15">
        <f>IF('ENCUESTA CONDUCTORES'!BQ70="X",1,0)</f>
        <v>0</v>
      </c>
      <c r="BJ70" s="15">
        <f>IF('ENCUESTA CONDUCTORES'!BR70="X",1,0)</f>
        <v>0</v>
      </c>
      <c r="BK70" s="15">
        <f>+'ENCUESTA CONDUCTORES'!BS70</f>
        <v>0</v>
      </c>
      <c r="BL70" s="15">
        <f>IF('ENCUESTA CONDUCTORES'!BT70="X",1,0)</f>
        <v>0</v>
      </c>
      <c r="BM70" s="15">
        <f>IF('ENCUESTA CONDUCTORES'!BU70="X",1,0)</f>
        <v>0</v>
      </c>
      <c r="BN70" s="15">
        <f>IF('ENCUESTA CONDUCTORES'!BV70="X",1,0)</f>
        <v>1</v>
      </c>
      <c r="BO70" s="15">
        <f>IF('ENCUESTA CONDUCTORES'!BW70="X",1,0)</f>
        <v>0</v>
      </c>
      <c r="BP70" s="15">
        <f>+'ENCUESTA CONDUCTORES'!BX70</f>
        <v>1</v>
      </c>
      <c r="BQ70" s="15">
        <f>+'ENCUESTA CONDUCTORES'!BY70</f>
        <v>2</v>
      </c>
      <c r="BR70" s="15">
        <f>+'ENCUESTA CONDUCTORES'!BZ70</f>
        <v>3</v>
      </c>
      <c r="BS70" s="15">
        <f>+'ENCUESTA CONDUCTORES'!CA70</f>
        <v>0</v>
      </c>
      <c r="BT70" s="15">
        <f>IF('ENCUESTA CONDUCTORES'!CB70="X",1,0)</f>
        <v>1</v>
      </c>
      <c r="BU70" s="15">
        <f>IF('ENCUESTA CONDUCTORES'!CC70="X",1,0)</f>
        <v>0</v>
      </c>
      <c r="BV70" s="15">
        <f>IF('ENCUESTA CONDUCTORES'!CD70="X",1,0)</f>
        <v>0</v>
      </c>
      <c r="BW70" s="15">
        <f>IF('ENCUESTA CONDUCTORES'!CE70="X",1,0)</f>
        <v>0</v>
      </c>
      <c r="BX70" s="15">
        <f>IF('ENCUESTA CONDUCTORES'!CF70="X",1,0)</f>
        <v>0</v>
      </c>
      <c r="BY70" s="15">
        <f>IF('ENCUESTA CONDUCTORES'!CG70="X",1,0)</f>
        <v>0</v>
      </c>
      <c r="BZ70" s="15">
        <f>IF('ENCUESTA CONDUCTORES'!CH70="X",1,0)</f>
        <v>0</v>
      </c>
      <c r="CA70" s="15">
        <f>IF('ENCUESTA CONDUCTORES'!CI70="X",1,0)</f>
        <v>0</v>
      </c>
      <c r="CB70" s="15">
        <f>IF('ENCUESTA CONDUCTORES'!CJ70="X",1,0)</f>
        <v>0</v>
      </c>
      <c r="CC70" s="15">
        <f>IF('ENCUESTA CONDUCTORES'!CK70="X",1,0)</f>
        <v>1</v>
      </c>
      <c r="CD70" s="15">
        <f>IF('ENCUESTA CONDUCTORES'!CL70="X",1,0)</f>
        <v>0</v>
      </c>
      <c r="CE70" s="15">
        <f>IF('ENCUESTA CONDUCTORES'!CM70="X",1,0)</f>
        <v>0</v>
      </c>
      <c r="CF70" s="15">
        <f>+'ENCUESTA CONDUCTORES'!CN70</f>
        <v>0</v>
      </c>
      <c r="CG70" s="15">
        <f>IF('ENCUESTA CONDUCTORES'!CO70="X",1,0)</f>
        <v>0</v>
      </c>
      <c r="CH70" s="15" t="str">
        <f>+'ENCUESTA CONDUCTORES'!CP70</f>
        <v>NO SABE</v>
      </c>
      <c r="CI70" s="15" t="str">
        <f>+'ENCUESTA CONDUCTORES'!CQ70</f>
        <v>DARLO A CONOCER</v>
      </c>
      <c r="CJ70" s="15">
        <f>IF('ENCUESTA CONDUCTORES'!CR70="X",1,0)</f>
        <v>0</v>
      </c>
      <c r="CK70" s="15">
        <f>IF('ENCUESTA CONDUCTORES'!CS70="X",1,0)</f>
        <v>1</v>
      </c>
      <c r="CL70" s="15">
        <f>IF('ENCUESTA CONDUCTORES'!CT70="X",1,0)</f>
        <v>0</v>
      </c>
      <c r="CM70" s="15">
        <f>+'ENCUESTA CONDUCTORES'!CU70</f>
        <v>0</v>
      </c>
      <c r="CN70" s="15">
        <f>IF('ENCUESTA CONDUCTORES'!CV70="X",1,0)</f>
        <v>0</v>
      </c>
      <c r="CO70" s="15">
        <f>+'ENCUESTA CONDUCTORES'!CW70</f>
        <v>0</v>
      </c>
      <c r="CP70" s="15">
        <f>IF('ENCUESTA CONDUCTORES'!CX70="X",1,0)</f>
        <v>0</v>
      </c>
      <c r="CQ70" s="15">
        <f>IF('ENCUESTA CONDUCTORES'!CY70="X",1,0)</f>
        <v>1</v>
      </c>
      <c r="CR70" s="3">
        <f>+'ENCUESTA CONDUCTORES'!CZ70</f>
        <v>0</v>
      </c>
      <c r="CS70" s="49">
        <f>+'ENCUESTA CONDUCTORES'!DA70</f>
        <v>0</v>
      </c>
    </row>
    <row r="71" spans="2:97" x14ac:dyDescent="0.25">
      <c r="B71" s="14" t="str">
        <f>+'ENCUESTA CONDUCTORES'!D71</f>
        <v>C-077</v>
      </c>
      <c r="C71" s="15">
        <f>IF('ENCUESTA CONDUCTORES'!E71="X",1,0)</f>
        <v>0</v>
      </c>
      <c r="D71" s="15">
        <f>IF('ENCUESTA CONDUCTORES'!F71="X",1,0)</f>
        <v>0</v>
      </c>
      <c r="E71" s="15">
        <f>IF('ENCUESTA CONDUCTORES'!G71="X",1,0)</f>
        <v>1</v>
      </c>
      <c r="F71" s="15">
        <f>IF('ENCUESTA CONDUCTORES'!H71="X",1,0)</f>
        <v>0</v>
      </c>
      <c r="G71" s="15">
        <f>+'ENCUESTA CONDUCTORES'!I71</f>
        <v>42</v>
      </c>
      <c r="H71" s="15" t="str">
        <f>+'ENCUESTA CONDUCTORES'!J71</f>
        <v>M</v>
      </c>
      <c r="I71" s="15" t="str">
        <f>+'ENCUESTA CONDUCTORES'!K71</f>
        <v>BACHILLERATO</v>
      </c>
      <c r="J71" s="15" t="str">
        <f>+'ENCUESTA CONDUCTORES'!L71</f>
        <v>COYOACÁN, D.F.</v>
      </c>
      <c r="K71" s="15" t="str">
        <f>+'ENCUESTA CONDUCTORES'!M71</f>
        <v>COYOACÁN</v>
      </c>
      <c r="L71" s="15" t="str">
        <f>+'ENCUESTA CONDUCTORES'!N71</f>
        <v>D.F.</v>
      </c>
      <c r="M71" s="15">
        <f>+'ENCUESTA CONDUCTORES'!O71</f>
        <v>23</v>
      </c>
      <c r="N71" s="15">
        <f>IF('ENCUESTA CONDUCTORES'!P71="X",1,0)</f>
        <v>1</v>
      </c>
      <c r="O71" s="15">
        <f>IF('ENCUESTA CONDUCTORES'!Q71="X",1,0)</f>
        <v>0</v>
      </c>
      <c r="P71" s="15">
        <f>IF('ENCUESTA CONDUCTORES'!R71="X",1,0)</f>
        <v>0</v>
      </c>
      <c r="Q71" s="15">
        <f>IF('ENCUESTA CONDUCTORES'!S71="X",1,0)</f>
        <v>0</v>
      </c>
      <c r="R71" s="15">
        <f>IF('ENCUESTA CONDUCTORES'!T71="X",1,0)</f>
        <v>0</v>
      </c>
      <c r="S71" s="15">
        <f>IF('ENCUESTA CONDUCTORES'!U71="X",1,0)</f>
        <v>0</v>
      </c>
      <c r="T71" s="15">
        <f>IF('ENCUESTA CONDUCTORES'!V71="X",1,0)</f>
        <v>0</v>
      </c>
      <c r="U71" s="15">
        <f>IF('ENCUESTA CONDUCTORES'!W71="X",1,0)</f>
        <v>0</v>
      </c>
      <c r="V71" s="15">
        <f>IF('ENCUESTA CONDUCTORES'!X71="X",1,0)</f>
        <v>1</v>
      </c>
      <c r="W71" s="15">
        <f>IF('ENCUESTA CONDUCTORES'!Y71="X",1,0)</f>
        <v>0</v>
      </c>
      <c r="X71" s="15">
        <f>IF('ENCUESTA CONDUCTORES'!Z71="X",1,0)</f>
        <v>0</v>
      </c>
      <c r="Y71" s="15">
        <f>+'ENCUESTA CONDUCTORES'!AG71</f>
        <v>0</v>
      </c>
      <c r="Z71" s="15">
        <f>+'ENCUESTA CONDUCTORES'!AH71</f>
        <v>2011</v>
      </c>
      <c r="AA71" s="1">
        <f>+'ENCUESTA CONDUCTORES'!AI71</f>
        <v>500000</v>
      </c>
      <c r="AB71" s="15">
        <f>IF('ENCUESTA CONDUCTORES'!AJ71="X",1,0)</f>
        <v>0</v>
      </c>
      <c r="AC71" s="15">
        <f>IF('ENCUESTA CONDUCTORES'!AK71="X",1,0)</f>
        <v>0</v>
      </c>
      <c r="AD71" s="15">
        <f>IF('ENCUESTA CONDUCTORES'!AL71="X",1,0)</f>
        <v>1</v>
      </c>
      <c r="AE71" s="15">
        <f>IF('ENCUESTA CONDUCTORES'!AM71="X",1,0)</f>
        <v>0</v>
      </c>
      <c r="AF71" s="15">
        <f>IF('ENCUESTA CONDUCTORES'!AN71="X",1,0)</f>
        <v>0</v>
      </c>
      <c r="AG71" s="15">
        <f>IF('ENCUESTA CONDUCTORES'!AO71="X",1,0)</f>
        <v>0</v>
      </c>
      <c r="AH71" s="15">
        <f>IF('ENCUESTA CONDUCTORES'!AP71="X",1,0)</f>
        <v>1</v>
      </c>
      <c r="AI71" s="15">
        <f>IF('ENCUESTA CONDUCTORES'!AQ71="X",1,0)</f>
        <v>0</v>
      </c>
      <c r="AJ71" s="15">
        <f>IF('ENCUESTA CONDUCTORES'!AR71="X",1,0)</f>
        <v>0</v>
      </c>
      <c r="AK71" s="15">
        <f>+'ENCUESTA CONDUCTORES'!AS71</f>
        <v>0</v>
      </c>
      <c r="AL71" s="15" t="str">
        <f>+'ENCUESTA CONDUCTORES'!AT71</f>
        <v>MERCEDES BENZ</v>
      </c>
      <c r="AM71" s="1">
        <f>+'ENCUESTA CONDUCTORES'!AU71</f>
        <v>15000</v>
      </c>
      <c r="AN71" s="48">
        <f>+'ENCUESTA CONDUCTORES'!AV71</f>
        <v>0.5</v>
      </c>
      <c r="AO71" s="15">
        <f>+'ENCUESTA CONDUCTORES'!AW71</f>
        <v>3.8</v>
      </c>
      <c r="AP71" s="15">
        <f>+'ENCUESTA CONDUCTORES'!AX71</f>
        <v>3.2</v>
      </c>
      <c r="AQ71" s="15">
        <f>+'ENCUESTA CONDUCTORES'!AY71</f>
        <v>1</v>
      </c>
      <c r="AR71" s="15">
        <f>+'ENCUESTA CONDUCTORES'!AZ71</f>
        <v>350</v>
      </c>
      <c r="AS71" s="15">
        <f>+'ENCUESTA CONDUCTORES'!BA71</f>
        <v>1000</v>
      </c>
      <c r="AT71" s="15">
        <f>IF('ENCUESTA CONDUCTORES'!BB71="X",1,0)</f>
        <v>0</v>
      </c>
      <c r="AU71" s="15">
        <f>IF('ENCUESTA CONDUCTORES'!BC71="X",1,0)</f>
        <v>1</v>
      </c>
      <c r="AV71" s="15">
        <f>IF('ENCUESTA CONDUCTORES'!BD71="X",1,0)</f>
        <v>1</v>
      </c>
      <c r="AW71" s="1">
        <f>+'ENCUESTA CONDUCTORES'!BE71</f>
        <v>16000</v>
      </c>
      <c r="AX71" s="1">
        <f>+'ENCUESTA CONDUCTORES'!BF71</f>
        <v>40000</v>
      </c>
      <c r="AY71" s="1">
        <f>+'ENCUESTA CONDUCTORES'!BG71</f>
        <v>16000</v>
      </c>
      <c r="AZ71" s="1">
        <f>+'ENCUESTA CONDUCTORES'!BH71</f>
        <v>100000</v>
      </c>
      <c r="BA71" s="1">
        <f>+'ENCUESTA CONDUCTORES'!BI71</f>
        <v>16000</v>
      </c>
      <c r="BB71" s="15">
        <f>IF('ENCUESTA CONDUCTORES'!BJ71="X",1,0)</f>
        <v>0</v>
      </c>
      <c r="BC71" s="15">
        <f>IF('ENCUESTA CONDUCTORES'!BK71="X",1,0)</f>
        <v>0</v>
      </c>
      <c r="BD71" s="15">
        <f>IF('ENCUESTA CONDUCTORES'!BL71="X",1,0)</f>
        <v>0</v>
      </c>
      <c r="BE71" s="15">
        <f>IF('ENCUESTA CONDUCTORES'!BM71="X",1,0)</f>
        <v>0</v>
      </c>
      <c r="BF71" s="15">
        <f>IF('ENCUESTA CONDUCTORES'!BN71="X",1,0)</f>
        <v>0</v>
      </c>
      <c r="BG71" s="15">
        <f>IF('ENCUESTA CONDUCTORES'!BO71="X",1,0)</f>
        <v>0</v>
      </c>
      <c r="BH71" s="15">
        <f>IF('ENCUESTA CONDUCTORES'!BP71="X",1,0)</f>
        <v>0</v>
      </c>
      <c r="BI71" s="15">
        <f>IF('ENCUESTA CONDUCTORES'!BQ71="X",1,0)</f>
        <v>0</v>
      </c>
      <c r="BJ71" s="15">
        <f>IF('ENCUESTA CONDUCTORES'!BR71="X",1,0)</f>
        <v>0</v>
      </c>
      <c r="BK71" s="2" t="str">
        <f>+'ENCUESTA CONDUCTORES'!BS71</f>
        <v>MEDICAMENTOS</v>
      </c>
      <c r="BL71" s="15">
        <f>IF('ENCUESTA CONDUCTORES'!BT71="X",1,0)</f>
        <v>0</v>
      </c>
      <c r="BM71" s="15">
        <f>IF('ENCUESTA CONDUCTORES'!BU71="X",1,0)</f>
        <v>1</v>
      </c>
      <c r="BN71" s="15">
        <f>IF('ENCUESTA CONDUCTORES'!BV71="X",1,0)</f>
        <v>0</v>
      </c>
      <c r="BO71" s="15">
        <f>IF('ENCUESTA CONDUCTORES'!BW71="X",1,0)</f>
        <v>0</v>
      </c>
      <c r="BP71" s="15">
        <f>+'ENCUESTA CONDUCTORES'!BX71</f>
        <v>1</v>
      </c>
      <c r="BQ71" s="15">
        <f>+'ENCUESTA CONDUCTORES'!BY71</f>
        <v>3</v>
      </c>
      <c r="BR71" s="15">
        <f>+'ENCUESTA CONDUCTORES'!BZ71</f>
        <v>2</v>
      </c>
      <c r="BS71" s="15">
        <f>+'ENCUESTA CONDUCTORES'!CA71</f>
        <v>0</v>
      </c>
      <c r="BT71" s="15">
        <f>IF('ENCUESTA CONDUCTORES'!CB71="X",1,0)</f>
        <v>1</v>
      </c>
      <c r="BU71" s="15">
        <f>IF('ENCUESTA CONDUCTORES'!CC71="X",1,0)</f>
        <v>0</v>
      </c>
      <c r="BV71" s="15">
        <f>IF('ENCUESTA CONDUCTORES'!CD71="X",1,0)</f>
        <v>0</v>
      </c>
      <c r="BW71" s="15">
        <f>IF('ENCUESTA CONDUCTORES'!CE71="X",1,0)</f>
        <v>0</v>
      </c>
      <c r="BX71" s="15">
        <f>IF('ENCUESTA CONDUCTORES'!CF71="X",1,0)</f>
        <v>0</v>
      </c>
      <c r="BY71" s="15">
        <f>IF('ENCUESTA CONDUCTORES'!CG71="X",1,0)</f>
        <v>0</v>
      </c>
      <c r="BZ71" s="15">
        <f>IF('ENCUESTA CONDUCTORES'!CH71="X",1,0)</f>
        <v>0</v>
      </c>
      <c r="CA71" s="15">
        <f>IF('ENCUESTA CONDUCTORES'!CI71="X",1,0)</f>
        <v>0</v>
      </c>
      <c r="CB71" s="15">
        <f>IF('ENCUESTA CONDUCTORES'!CJ71="X",1,0)</f>
        <v>0</v>
      </c>
      <c r="CC71" s="15">
        <f>IF('ENCUESTA CONDUCTORES'!CK71="X",1,0)</f>
        <v>1</v>
      </c>
      <c r="CD71" s="15">
        <f>IF('ENCUESTA CONDUCTORES'!CL71="X",1,0)</f>
        <v>0</v>
      </c>
      <c r="CE71" s="15">
        <f>IF('ENCUESTA CONDUCTORES'!CM71="X",1,0)</f>
        <v>0</v>
      </c>
      <c r="CF71" s="15">
        <f>+'ENCUESTA CONDUCTORES'!CN71</f>
        <v>0</v>
      </c>
      <c r="CG71" s="15">
        <f>IF('ENCUESTA CONDUCTORES'!CO71="X",1,0)</f>
        <v>0</v>
      </c>
      <c r="CH71" s="15" t="str">
        <f>+'ENCUESTA CONDUCTORES'!CP71</f>
        <v>NO SABE</v>
      </c>
      <c r="CI71" s="15" t="str">
        <f>+'ENCUESTA CONDUCTORES'!CQ71</f>
        <v>DARLO A CONOCER</v>
      </c>
      <c r="CJ71" s="15">
        <f>IF('ENCUESTA CONDUCTORES'!CR71="X",1,0)</f>
        <v>0</v>
      </c>
      <c r="CK71" s="15">
        <f>IF('ENCUESTA CONDUCTORES'!CS71="X",1,0)</f>
        <v>0</v>
      </c>
      <c r="CL71" s="15">
        <f>IF('ENCUESTA CONDUCTORES'!CT71="X",1,0)</f>
        <v>1</v>
      </c>
      <c r="CM71" s="15">
        <f>+'ENCUESTA CONDUCTORES'!CU71</f>
        <v>0</v>
      </c>
      <c r="CN71" s="15">
        <f>IF('ENCUESTA CONDUCTORES'!CV71="X",1,0)</f>
        <v>1</v>
      </c>
      <c r="CO71" s="15" t="str">
        <f>+'ENCUESTA CONDUCTORES'!CW71</f>
        <v>NO TIENE TIEMPO</v>
      </c>
      <c r="CP71" s="15">
        <f>IF('ENCUESTA CONDUCTORES'!CX71="X",1,0)</f>
        <v>0</v>
      </c>
      <c r="CQ71" s="15">
        <f>IF('ENCUESTA CONDUCTORES'!CY71="X",1,0)</f>
        <v>0</v>
      </c>
      <c r="CR71" s="3">
        <f>+'ENCUESTA CONDUCTORES'!CZ71</f>
        <v>0</v>
      </c>
      <c r="CS71" s="49">
        <f>+'ENCUESTA CONDUCTORES'!DA71</f>
        <v>0</v>
      </c>
    </row>
    <row r="72" spans="2:97" x14ac:dyDescent="0.25">
      <c r="B72" s="14" t="str">
        <f>+'ENCUESTA CONDUCTORES'!D72</f>
        <v>C-078</v>
      </c>
      <c r="C72" s="15">
        <f>IF('ENCUESTA CONDUCTORES'!E72="X",1,0)</f>
        <v>0</v>
      </c>
      <c r="D72" s="15">
        <f>IF('ENCUESTA CONDUCTORES'!F72="X",1,0)</f>
        <v>0</v>
      </c>
      <c r="E72" s="15">
        <f>IF('ENCUESTA CONDUCTORES'!G72="X",1,0)</f>
        <v>0</v>
      </c>
      <c r="F72" s="15">
        <f>IF('ENCUESTA CONDUCTORES'!H72="X",1,0)</f>
        <v>1</v>
      </c>
      <c r="G72" s="15">
        <f>+'ENCUESTA CONDUCTORES'!I72</f>
        <v>35</v>
      </c>
      <c r="H72" s="15" t="str">
        <f>+'ENCUESTA CONDUCTORES'!J72</f>
        <v>M</v>
      </c>
      <c r="I72" s="15" t="str">
        <f>+'ENCUESTA CONDUCTORES'!K72</f>
        <v>SECUNDARIA</v>
      </c>
      <c r="J72" s="15" t="str">
        <f>+'ENCUESTA CONDUCTORES'!L72</f>
        <v>TLALNEPANTLA, EDO. MEX.</v>
      </c>
      <c r="K72" s="15" t="str">
        <f>+'ENCUESTA CONDUCTORES'!M72</f>
        <v>TLALNEPANTLA</v>
      </c>
      <c r="L72" s="15" t="str">
        <f>+'ENCUESTA CONDUCTORES'!N72</f>
        <v>EDO. MEX.</v>
      </c>
      <c r="M72" s="15">
        <f>+'ENCUESTA CONDUCTORES'!O72</f>
        <v>15</v>
      </c>
      <c r="N72" s="15">
        <f>IF('ENCUESTA CONDUCTORES'!P72="X",1,0)</f>
        <v>1</v>
      </c>
      <c r="O72" s="15">
        <f>IF('ENCUESTA CONDUCTORES'!Q72="X",1,0)</f>
        <v>0</v>
      </c>
      <c r="P72" s="15">
        <f>IF('ENCUESTA CONDUCTORES'!R72="X",1,0)</f>
        <v>0</v>
      </c>
      <c r="Q72" s="15">
        <f>IF('ENCUESTA CONDUCTORES'!S72="X",1,0)</f>
        <v>0</v>
      </c>
      <c r="R72" s="15">
        <f>IF('ENCUESTA CONDUCTORES'!T72="X",1,0)</f>
        <v>0</v>
      </c>
      <c r="S72" s="15">
        <f>IF('ENCUESTA CONDUCTORES'!U72="X",1,0)</f>
        <v>0</v>
      </c>
      <c r="T72" s="15">
        <f>IF('ENCUESTA CONDUCTORES'!V72="X",1,0)</f>
        <v>0</v>
      </c>
      <c r="U72" s="15">
        <f>IF('ENCUESTA CONDUCTORES'!W72="X",1,0)</f>
        <v>0</v>
      </c>
      <c r="V72" s="15">
        <f>IF('ENCUESTA CONDUCTORES'!X72="X",1,0)</f>
        <v>0</v>
      </c>
      <c r="W72" s="15">
        <f>IF('ENCUESTA CONDUCTORES'!Y72="X",1,0)</f>
        <v>1</v>
      </c>
      <c r="X72" s="15">
        <f>IF('ENCUESTA CONDUCTORES'!Z72="X",1,0)</f>
        <v>0</v>
      </c>
      <c r="Y72" s="15">
        <f>+'ENCUESTA CONDUCTORES'!AG72</f>
        <v>0</v>
      </c>
      <c r="Z72" s="15">
        <f>+'ENCUESTA CONDUCTORES'!AH72</f>
        <v>2010</v>
      </c>
      <c r="AA72" s="1">
        <f>+'ENCUESTA CONDUCTORES'!AI72</f>
        <v>540000</v>
      </c>
      <c r="AB72" s="15">
        <f>IF('ENCUESTA CONDUCTORES'!AJ72="X",1,0)</f>
        <v>0</v>
      </c>
      <c r="AC72" s="15">
        <f>IF('ENCUESTA CONDUCTORES'!AK72="X",1,0)</f>
        <v>0</v>
      </c>
      <c r="AD72" s="15">
        <f>IF('ENCUESTA CONDUCTORES'!AL72="X",1,0)</f>
        <v>1</v>
      </c>
      <c r="AE72" s="15">
        <f>IF('ENCUESTA CONDUCTORES'!AM72="X",1,0)</f>
        <v>0</v>
      </c>
      <c r="AF72" s="15">
        <f>IF('ENCUESTA CONDUCTORES'!AN72="X",1,0)</f>
        <v>0</v>
      </c>
      <c r="AG72" s="15">
        <f>IF('ENCUESTA CONDUCTORES'!AO72="X",1,0)</f>
        <v>0</v>
      </c>
      <c r="AH72" s="15">
        <f>IF('ENCUESTA CONDUCTORES'!AP72="X",1,0)</f>
        <v>1</v>
      </c>
      <c r="AI72" s="15">
        <f>IF('ENCUESTA CONDUCTORES'!AQ72="X",1,0)</f>
        <v>0</v>
      </c>
      <c r="AJ72" s="15">
        <f>IF('ENCUESTA CONDUCTORES'!AR72="X",1,0)</f>
        <v>0</v>
      </c>
      <c r="AK72" s="15">
        <f>+'ENCUESTA CONDUCTORES'!AS72</f>
        <v>0</v>
      </c>
      <c r="AL72" s="15" t="str">
        <f>+'ENCUESTA CONDUCTORES'!AT72</f>
        <v>KENWORTH</v>
      </c>
      <c r="AM72" s="1">
        <f>+'ENCUESTA CONDUCTORES'!AU72</f>
        <v>15000</v>
      </c>
      <c r="AN72" s="48">
        <f>+'ENCUESTA CONDUCTORES'!AV72</f>
        <v>0.5</v>
      </c>
      <c r="AO72" s="15">
        <f>+'ENCUESTA CONDUCTORES'!AW72</f>
        <v>3</v>
      </c>
      <c r="AP72" s="15">
        <f>+'ENCUESTA CONDUCTORES'!AX72</f>
        <v>2.8</v>
      </c>
      <c r="AQ72" s="15">
        <f>+'ENCUESTA CONDUCTORES'!AY72</f>
        <v>2</v>
      </c>
      <c r="AR72" s="15">
        <f>+'ENCUESTA CONDUCTORES'!AZ72</f>
        <v>870</v>
      </c>
      <c r="AS72" s="15">
        <f>+'ENCUESTA CONDUCTORES'!BA72</f>
        <v>2500</v>
      </c>
      <c r="AT72" s="15">
        <f>IF('ENCUESTA CONDUCTORES'!BB72="X",1,0)</f>
        <v>1</v>
      </c>
      <c r="AU72" s="15">
        <f>IF('ENCUESTA CONDUCTORES'!BC72="X",1,0)</f>
        <v>1</v>
      </c>
      <c r="AV72" s="15">
        <f>IF('ENCUESTA CONDUCTORES'!BD72="X",1,0)</f>
        <v>1</v>
      </c>
      <c r="AW72" s="1">
        <f>+'ENCUESTA CONDUCTORES'!BE72</f>
        <v>25000</v>
      </c>
      <c r="AX72" s="1">
        <f>+'ENCUESTA CONDUCTORES'!BF72</f>
        <v>60000</v>
      </c>
      <c r="AY72" s="1">
        <f>+'ENCUESTA CONDUCTORES'!BG72</f>
        <v>25000</v>
      </c>
      <c r="AZ72" s="1">
        <f>+'ENCUESTA CONDUCTORES'!BH72</f>
        <v>180000</v>
      </c>
      <c r="BA72" s="1">
        <f>+'ENCUESTA CONDUCTORES'!BI72</f>
        <v>25000</v>
      </c>
      <c r="BB72" s="15">
        <f>IF('ENCUESTA CONDUCTORES'!BJ72="X",1,0)</f>
        <v>0</v>
      </c>
      <c r="BC72" s="15">
        <f>IF('ENCUESTA CONDUCTORES'!BK72="X",1,0)</f>
        <v>0</v>
      </c>
      <c r="BD72" s="15">
        <f>IF('ENCUESTA CONDUCTORES'!BL72="X",1,0)</f>
        <v>0</v>
      </c>
      <c r="BE72" s="15">
        <f>IF('ENCUESTA CONDUCTORES'!BM72="X",1,0)</f>
        <v>0</v>
      </c>
      <c r="BF72" s="15">
        <f>IF('ENCUESTA CONDUCTORES'!BN72="X",1,0)</f>
        <v>0</v>
      </c>
      <c r="BG72" s="15">
        <f>IF('ENCUESTA CONDUCTORES'!BO72="X",1,0)</f>
        <v>0</v>
      </c>
      <c r="BH72" s="15">
        <f>IF('ENCUESTA CONDUCTORES'!BP72="X",1,0)</f>
        <v>0</v>
      </c>
      <c r="BI72" s="15">
        <f>IF('ENCUESTA CONDUCTORES'!BQ72="X",1,0)</f>
        <v>0</v>
      </c>
      <c r="BJ72" s="15">
        <f>IF('ENCUESTA CONDUCTORES'!BR72="X",1,0)</f>
        <v>1</v>
      </c>
      <c r="BK72" s="15">
        <f>+'ENCUESTA CONDUCTORES'!BS72</f>
        <v>0</v>
      </c>
      <c r="BL72" s="15">
        <f>IF('ENCUESTA CONDUCTORES'!BT72="X",1,0)</f>
        <v>0</v>
      </c>
      <c r="BM72" s="15">
        <f>IF('ENCUESTA CONDUCTORES'!BU72="X",1,0)</f>
        <v>1</v>
      </c>
      <c r="BN72" s="15">
        <f>IF('ENCUESTA CONDUCTORES'!BV72="X",1,0)</f>
        <v>0</v>
      </c>
      <c r="BO72" s="15">
        <f>IF('ENCUESTA CONDUCTORES'!BW72="X",1,0)</f>
        <v>0</v>
      </c>
      <c r="BP72" s="15">
        <f>+'ENCUESTA CONDUCTORES'!BX72</f>
        <v>2</v>
      </c>
      <c r="BQ72" s="15">
        <f>+'ENCUESTA CONDUCTORES'!BY72</f>
        <v>1</v>
      </c>
      <c r="BR72" s="15">
        <f>+'ENCUESTA CONDUCTORES'!BZ72</f>
        <v>3</v>
      </c>
      <c r="BS72" s="15">
        <f>+'ENCUESTA CONDUCTORES'!CA72</f>
        <v>0</v>
      </c>
      <c r="BT72" s="15">
        <f>IF('ENCUESTA CONDUCTORES'!CB72="X",1,0)</f>
        <v>0</v>
      </c>
      <c r="BU72" s="15">
        <f>IF('ENCUESTA CONDUCTORES'!CC72="X",1,0)</f>
        <v>1</v>
      </c>
      <c r="BV72" s="15">
        <f>IF('ENCUESTA CONDUCTORES'!CD72="X",1,0)</f>
        <v>0</v>
      </c>
      <c r="BW72" s="15">
        <f>IF('ENCUESTA CONDUCTORES'!CE72="X",1,0)</f>
        <v>1</v>
      </c>
      <c r="BX72" s="15">
        <f>IF('ENCUESTA CONDUCTORES'!CF72="X",1,0)</f>
        <v>0</v>
      </c>
      <c r="BY72" s="15">
        <f>IF('ENCUESTA CONDUCTORES'!CG72="X",1,0)</f>
        <v>0</v>
      </c>
      <c r="BZ72" s="15">
        <f>IF('ENCUESTA CONDUCTORES'!CH72="X",1,0)</f>
        <v>1</v>
      </c>
      <c r="CA72" s="15">
        <f>IF('ENCUESTA CONDUCTORES'!CI72="X",1,0)</f>
        <v>1</v>
      </c>
      <c r="CB72" s="15">
        <f>IF('ENCUESTA CONDUCTORES'!CJ72="X",1,0)</f>
        <v>0</v>
      </c>
      <c r="CC72" s="15">
        <f>IF('ENCUESTA CONDUCTORES'!CK72="X",1,0)</f>
        <v>1</v>
      </c>
      <c r="CD72" s="15">
        <f>IF('ENCUESTA CONDUCTORES'!CL72="X",1,0)</f>
        <v>0</v>
      </c>
      <c r="CE72" s="15">
        <f>IF('ENCUESTA CONDUCTORES'!CM72="X",1,0)</f>
        <v>0</v>
      </c>
      <c r="CF72" s="15">
        <f>+'ENCUESTA CONDUCTORES'!CN72</f>
        <v>0</v>
      </c>
      <c r="CG72" s="15">
        <f>IF('ENCUESTA CONDUCTORES'!CO72="X",1,0)</f>
        <v>0</v>
      </c>
      <c r="CH72" s="15" t="str">
        <f>+'ENCUESTA CONDUCTORES'!CP72</f>
        <v>NO SABE</v>
      </c>
      <c r="CI72" s="15" t="str">
        <f>+'ENCUESTA CONDUCTORES'!CQ72</f>
        <v>PUBLICIDAD</v>
      </c>
      <c r="CJ72" s="15">
        <f>IF('ENCUESTA CONDUCTORES'!CR72="X",1,0)</f>
        <v>0</v>
      </c>
      <c r="CK72" s="15">
        <f>IF('ENCUESTA CONDUCTORES'!CS72="X",1,0)</f>
        <v>0</v>
      </c>
      <c r="CL72" s="15">
        <f>IF('ENCUESTA CONDUCTORES'!CT72="X",1,0)</f>
        <v>0</v>
      </c>
      <c r="CM72" s="15" t="str">
        <f>+'ENCUESTA CONDUCTORES'!CU72</f>
        <v>PROTECCION CIVIL</v>
      </c>
      <c r="CN72" s="15">
        <f>IF('ENCUESTA CONDUCTORES'!CV72="X",1,0)</f>
        <v>1</v>
      </c>
      <c r="CO72" s="15" t="str">
        <f>+'ENCUESTA CONDUCTORES'!CW72</f>
        <v>YA LOS CURSÓ</v>
      </c>
      <c r="CP72" s="15">
        <f>IF('ENCUESTA CONDUCTORES'!CX72="X",1,0)</f>
        <v>1</v>
      </c>
      <c r="CQ72" s="15">
        <f>IF('ENCUESTA CONDUCTORES'!CY72="X",1,0)</f>
        <v>1</v>
      </c>
      <c r="CR72" s="3">
        <f>+'ENCUESTA CONDUCTORES'!CZ72</f>
        <v>0</v>
      </c>
      <c r="CS72" s="49">
        <f>+'ENCUESTA CONDUCTORES'!DA72</f>
        <v>0</v>
      </c>
    </row>
    <row r="73" spans="2:97" x14ac:dyDescent="0.25">
      <c r="B73" s="14" t="str">
        <f>+'ENCUESTA CONDUCTORES'!D73</f>
        <v>C-079</v>
      </c>
      <c r="C73" s="15">
        <f>IF('ENCUESTA CONDUCTORES'!E73="X",1,0)</f>
        <v>0</v>
      </c>
      <c r="D73" s="15">
        <f>IF('ENCUESTA CONDUCTORES'!F73="X",1,0)</f>
        <v>0</v>
      </c>
      <c r="E73" s="15">
        <f>IF('ENCUESTA CONDUCTORES'!G73="X",1,0)</f>
        <v>1</v>
      </c>
      <c r="F73" s="15">
        <f>IF('ENCUESTA CONDUCTORES'!H73="X",1,0)</f>
        <v>0</v>
      </c>
      <c r="G73" s="15">
        <f>+'ENCUESTA CONDUCTORES'!I73</f>
        <v>38</v>
      </c>
      <c r="H73" s="15" t="str">
        <f>+'ENCUESTA CONDUCTORES'!J73</f>
        <v>M</v>
      </c>
      <c r="I73" s="15" t="str">
        <f>+'ENCUESTA CONDUCTORES'!K73</f>
        <v>SECUNDARIA</v>
      </c>
      <c r="J73" s="15" t="str">
        <f>+'ENCUESTA CONDUCTORES'!L73</f>
        <v>CUAJIMALPA, D.F.</v>
      </c>
      <c r="K73" s="15" t="str">
        <f>+'ENCUESTA CONDUCTORES'!M73</f>
        <v>CUAJIMALPA</v>
      </c>
      <c r="L73" s="15" t="str">
        <f>+'ENCUESTA CONDUCTORES'!N73</f>
        <v>D.F.</v>
      </c>
      <c r="M73" s="15">
        <f>+'ENCUESTA CONDUCTORES'!O73</f>
        <v>15</v>
      </c>
      <c r="N73" s="15">
        <f>IF('ENCUESTA CONDUCTORES'!P73="X",1,0)</f>
        <v>0</v>
      </c>
      <c r="O73" s="15">
        <f>IF('ENCUESTA CONDUCTORES'!Q73="X",1,0)</f>
        <v>0</v>
      </c>
      <c r="P73" s="15">
        <f>IF('ENCUESTA CONDUCTORES'!R73="X",1,0)</f>
        <v>0</v>
      </c>
      <c r="Q73" s="15">
        <f>IF('ENCUESTA CONDUCTORES'!S73="X",1,0)</f>
        <v>1</v>
      </c>
      <c r="R73" s="15">
        <f>IF('ENCUESTA CONDUCTORES'!T73="X",1,0)</f>
        <v>0</v>
      </c>
      <c r="S73" s="15">
        <f>IF('ENCUESTA CONDUCTORES'!U73="X",1,0)</f>
        <v>1</v>
      </c>
      <c r="T73" s="15">
        <f>IF('ENCUESTA CONDUCTORES'!V73="X",1,0)</f>
        <v>0</v>
      </c>
      <c r="U73" s="15">
        <f>IF('ENCUESTA CONDUCTORES'!W73="X",1,0)</f>
        <v>0</v>
      </c>
      <c r="V73" s="15">
        <f>IF('ENCUESTA CONDUCTORES'!X73="X",1,0)</f>
        <v>0</v>
      </c>
      <c r="W73" s="15">
        <f>IF('ENCUESTA CONDUCTORES'!Y73="X",1,0)</f>
        <v>0</v>
      </c>
      <c r="X73" s="15">
        <f>IF('ENCUESTA CONDUCTORES'!Z73="X",1,0)</f>
        <v>0</v>
      </c>
      <c r="Y73" s="15">
        <f>+'ENCUESTA CONDUCTORES'!AG73</f>
        <v>0</v>
      </c>
      <c r="Z73" s="15">
        <f>+'ENCUESTA CONDUCTORES'!AH73</f>
        <v>2008</v>
      </c>
      <c r="AA73" s="1">
        <f>+'ENCUESTA CONDUCTORES'!AI73</f>
        <v>700000</v>
      </c>
      <c r="AB73" s="15">
        <f>IF('ENCUESTA CONDUCTORES'!AJ73="X",1,0)</f>
        <v>0</v>
      </c>
      <c r="AC73" s="15">
        <f>IF('ENCUESTA CONDUCTORES'!AK73="X",1,0)</f>
        <v>0</v>
      </c>
      <c r="AD73" s="15">
        <f>IF('ENCUESTA CONDUCTORES'!AL73="X",1,0)</f>
        <v>1</v>
      </c>
      <c r="AE73" s="15">
        <f>IF('ENCUESTA CONDUCTORES'!AM73="X",1,0)</f>
        <v>0</v>
      </c>
      <c r="AF73" s="15">
        <f>IF('ENCUESTA CONDUCTORES'!AN73="X",1,0)</f>
        <v>0</v>
      </c>
      <c r="AG73" s="15">
        <f>IF('ENCUESTA CONDUCTORES'!AO73="X",1,0)</f>
        <v>0</v>
      </c>
      <c r="AH73" s="15">
        <f>IF('ENCUESTA CONDUCTORES'!AP73="X",1,0)</f>
        <v>1</v>
      </c>
      <c r="AI73" s="15">
        <f>IF('ENCUESTA CONDUCTORES'!AQ73="X",1,0)</f>
        <v>0</v>
      </c>
      <c r="AJ73" s="15">
        <f>IF('ENCUESTA CONDUCTORES'!AR73="X",1,0)</f>
        <v>0</v>
      </c>
      <c r="AK73" s="15">
        <f>+'ENCUESTA CONDUCTORES'!AS73</f>
        <v>0</v>
      </c>
      <c r="AL73" s="15" t="str">
        <f>+'ENCUESTA CONDUCTORES'!AT73</f>
        <v>KENWORTH</v>
      </c>
      <c r="AM73" s="1">
        <f>+'ENCUESTA CONDUCTORES'!AU73</f>
        <v>10000</v>
      </c>
      <c r="AN73" s="48">
        <f>+'ENCUESTA CONDUCTORES'!AV73</f>
        <v>0.5</v>
      </c>
      <c r="AO73" s="15">
        <f>+'ENCUESTA CONDUCTORES'!AW73</f>
        <v>2.8</v>
      </c>
      <c r="AP73" s="15">
        <f>+'ENCUESTA CONDUCTORES'!AX73</f>
        <v>2.1</v>
      </c>
      <c r="AQ73" s="15">
        <f>+'ENCUESTA CONDUCTORES'!AY73</f>
        <v>3</v>
      </c>
      <c r="AR73" s="15">
        <f>+'ENCUESTA CONDUCTORES'!AZ73</f>
        <v>1100</v>
      </c>
      <c r="AS73" s="15">
        <f>+'ENCUESTA CONDUCTORES'!BA73</f>
        <v>2800</v>
      </c>
      <c r="AT73" s="15">
        <f>IF('ENCUESTA CONDUCTORES'!BB73="X",1,0)</f>
        <v>1</v>
      </c>
      <c r="AU73" s="15">
        <f>IF('ENCUESTA CONDUCTORES'!BC73="X",1,0)</f>
        <v>1</v>
      </c>
      <c r="AV73" s="15">
        <f>IF('ENCUESTA CONDUCTORES'!BD73="X",1,0)</f>
        <v>0</v>
      </c>
      <c r="AW73" s="1">
        <f>+'ENCUESTA CONDUCTORES'!BE73</f>
        <v>30000</v>
      </c>
      <c r="AX73" s="1">
        <f>+'ENCUESTA CONDUCTORES'!BF73</f>
        <v>40000</v>
      </c>
      <c r="AY73" s="1">
        <f>+'ENCUESTA CONDUCTORES'!BG73</f>
        <v>12000</v>
      </c>
      <c r="AZ73" s="1">
        <f>+'ENCUESTA CONDUCTORES'!BH73</f>
        <v>100000</v>
      </c>
      <c r="BA73" s="1">
        <f>+'ENCUESTA CONDUCTORES'!BI73</f>
        <v>12000</v>
      </c>
      <c r="BB73" s="15">
        <f>IF('ENCUESTA CONDUCTORES'!BJ73="X",1,0)</f>
        <v>0</v>
      </c>
      <c r="BC73" s="15">
        <f>IF('ENCUESTA CONDUCTORES'!BK73="X",1,0)</f>
        <v>0</v>
      </c>
      <c r="BD73" s="15">
        <f>IF('ENCUESTA CONDUCTORES'!BL73="X",1,0)</f>
        <v>0</v>
      </c>
      <c r="BE73" s="15">
        <f>IF('ENCUESTA CONDUCTORES'!BM73="X",1,0)</f>
        <v>0</v>
      </c>
      <c r="BF73" s="15">
        <f>IF('ENCUESTA CONDUCTORES'!BN73="X",1,0)</f>
        <v>0</v>
      </c>
      <c r="BG73" s="15">
        <f>IF('ENCUESTA CONDUCTORES'!BO73="X",1,0)</f>
        <v>0</v>
      </c>
      <c r="BH73" s="15">
        <f>IF('ENCUESTA CONDUCTORES'!BP73="X",1,0)</f>
        <v>0</v>
      </c>
      <c r="BI73" s="15">
        <f>IF('ENCUESTA CONDUCTORES'!BQ73="X",1,0)</f>
        <v>0</v>
      </c>
      <c r="BJ73" s="15">
        <f>IF('ENCUESTA CONDUCTORES'!BR73="X",1,0)</f>
        <v>1</v>
      </c>
      <c r="BK73" s="15">
        <f>+'ENCUESTA CONDUCTORES'!BS73</f>
        <v>0</v>
      </c>
      <c r="BL73" s="15">
        <f>IF('ENCUESTA CONDUCTORES'!BT73="X",1,0)</f>
        <v>0</v>
      </c>
      <c r="BM73" s="15">
        <f>IF('ENCUESTA CONDUCTORES'!BU73="X",1,0)</f>
        <v>0</v>
      </c>
      <c r="BN73" s="15">
        <f>IF('ENCUESTA CONDUCTORES'!BV73="X",1,0)</f>
        <v>1</v>
      </c>
      <c r="BO73" s="15">
        <f>IF('ENCUESTA CONDUCTORES'!BW73="X",1,0)</f>
        <v>0</v>
      </c>
      <c r="BP73" s="15">
        <f>+'ENCUESTA CONDUCTORES'!BX73</f>
        <v>2</v>
      </c>
      <c r="BQ73" s="15">
        <f>+'ENCUESTA CONDUCTORES'!BY73</f>
        <v>3</v>
      </c>
      <c r="BR73" s="15">
        <f>+'ENCUESTA CONDUCTORES'!BZ73</f>
        <v>1</v>
      </c>
      <c r="BS73" s="15">
        <f>+'ENCUESTA CONDUCTORES'!CA73</f>
        <v>0</v>
      </c>
      <c r="BT73" s="15">
        <f>IF('ENCUESTA CONDUCTORES'!CB73="X",1,0)</f>
        <v>0</v>
      </c>
      <c r="BU73" s="15">
        <f>IF('ENCUESTA CONDUCTORES'!CC73="X",1,0)</f>
        <v>1</v>
      </c>
      <c r="BV73" s="15">
        <f>IF('ENCUESTA CONDUCTORES'!CD73="X",1,0)</f>
        <v>0</v>
      </c>
      <c r="BW73" s="15">
        <f>IF('ENCUESTA CONDUCTORES'!CE73="X",1,0)</f>
        <v>1</v>
      </c>
      <c r="BX73" s="15">
        <f>IF('ENCUESTA CONDUCTORES'!CF73="X",1,0)</f>
        <v>0</v>
      </c>
      <c r="BY73" s="15">
        <f>IF('ENCUESTA CONDUCTORES'!CG73="X",1,0)</f>
        <v>1</v>
      </c>
      <c r="BZ73" s="15">
        <f>IF('ENCUESTA CONDUCTORES'!CH73="X",1,0)</f>
        <v>0</v>
      </c>
      <c r="CA73" s="15">
        <f>IF('ENCUESTA CONDUCTORES'!CI73="X",1,0)</f>
        <v>1</v>
      </c>
      <c r="CB73" s="15">
        <f>IF('ENCUESTA CONDUCTORES'!CJ73="X",1,0)</f>
        <v>0</v>
      </c>
      <c r="CC73" s="15">
        <f>IF('ENCUESTA CONDUCTORES'!CK73="X",1,0)</f>
        <v>1</v>
      </c>
      <c r="CD73" s="15">
        <f>IF('ENCUESTA CONDUCTORES'!CL73="X",1,0)</f>
        <v>0</v>
      </c>
      <c r="CE73" s="15">
        <f>IF('ENCUESTA CONDUCTORES'!CM73="X",1,0)</f>
        <v>0</v>
      </c>
      <c r="CF73" s="15">
        <f>+'ENCUESTA CONDUCTORES'!CN73</f>
        <v>0</v>
      </c>
      <c r="CG73" s="15">
        <f>IF('ENCUESTA CONDUCTORES'!CO73="X",1,0)</f>
        <v>0</v>
      </c>
      <c r="CH73" s="15" t="str">
        <f>+'ENCUESTA CONDUCTORES'!CP73</f>
        <v>NO SABE</v>
      </c>
      <c r="CI73" s="15" t="str">
        <f>+'ENCUESTA CONDUCTORES'!CQ73</f>
        <v>DARLO A CONOCER</v>
      </c>
      <c r="CJ73" s="15">
        <f>IF('ENCUESTA CONDUCTORES'!CR73="X",1,0)</f>
        <v>0</v>
      </c>
      <c r="CK73" s="15">
        <f>IF('ENCUESTA CONDUCTORES'!CS73="X",1,0)</f>
        <v>0</v>
      </c>
      <c r="CL73" s="15">
        <f>IF('ENCUESTA CONDUCTORES'!CT73="X",1,0)</f>
        <v>0</v>
      </c>
      <c r="CM73" s="2" t="str">
        <f>+'ENCUESTA CONDUCTORES'!CU73</f>
        <v>DESCARGA DE MATERIALES PELIGROSOS</v>
      </c>
      <c r="CN73" s="15">
        <f>IF('ENCUESTA CONDUCTORES'!CV73="X",1,0)</f>
        <v>0</v>
      </c>
      <c r="CO73" s="15">
        <f>+'ENCUESTA CONDUCTORES'!CW73</f>
        <v>0</v>
      </c>
      <c r="CP73" s="15">
        <f>IF('ENCUESTA CONDUCTORES'!CX73="X",1,0)</f>
        <v>1</v>
      </c>
      <c r="CQ73" s="15">
        <f>IF('ENCUESTA CONDUCTORES'!CY73="X",1,0)</f>
        <v>1</v>
      </c>
      <c r="CR73" s="3">
        <f>+'ENCUESTA CONDUCTORES'!CZ73</f>
        <v>0</v>
      </c>
      <c r="CS73" s="49">
        <f>+'ENCUESTA CONDUCTORES'!DA73</f>
        <v>0</v>
      </c>
    </row>
    <row r="74" spans="2:97" x14ac:dyDescent="0.25">
      <c r="B74" s="14" t="str">
        <f>+'ENCUESTA CONDUCTORES'!D74</f>
        <v>C-080</v>
      </c>
      <c r="C74" s="15">
        <f>IF('ENCUESTA CONDUCTORES'!E74="X",1,0)</f>
        <v>0</v>
      </c>
      <c r="D74" s="15">
        <f>IF('ENCUESTA CONDUCTORES'!F74="X",1,0)</f>
        <v>0</v>
      </c>
      <c r="E74" s="15">
        <f>IF('ENCUESTA CONDUCTORES'!G74="X",1,0)</f>
        <v>0</v>
      </c>
      <c r="F74" s="15">
        <f>IF('ENCUESTA CONDUCTORES'!H74="X",1,0)</f>
        <v>1</v>
      </c>
      <c r="G74" s="15">
        <f>+'ENCUESTA CONDUCTORES'!I74</f>
        <v>45</v>
      </c>
      <c r="H74" s="15" t="str">
        <f>+'ENCUESTA CONDUCTORES'!J74</f>
        <v>M</v>
      </c>
      <c r="I74" s="15" t="str">
        <f>+'ENCUESTA CONDUCTORES'!K74</f>
        <v>SECUNDARIA</v>
      </c>
      <c r="J74" s="15" t="str">
        <f>+'ENCUESTA CONDUCTORES'!L74</f>
        <v>COACALCO, EDO. MEX</v>
      </c>
      <c r="K74" s="15" t="str">
        <f>+'ENCUESTA CONDUCTORES'!M74</f>
        <v>COACALCO</v>
      </c>
      <c r="L74" s="15" t="str">
        <f>+'ENCUESTA CONDUCTORES'!N74</f>
        <v>EDO. MEX.</v>
      </c>
      <c r="M74" s="15">
        <f>+'ENCUESTA CONDUCTORES'!O74</f>
        <v>25</v>
      </c>
      <c r="N74" s="15">
        <f>IF('ENCUESTA CONDUCTORES'!P74="X",1,0)</f>
        <v>0</v>
      </c>
      <c r="O74" s="15">
        <f>IF('ENCUESTA CONDUCTORES'!Q74="X",1,0)</f>
        <v>1</v>
      </c>
      <c r="P74" s="15">
        <f>IF('ENCUESTA CONDUCTORES'!R74="X",1,0)</f>
        <v>0</v>
      </c>
      <c r="Q74" s="15">
        <f>IF('ENCUESTA CONDUCTORES'!S74="X",1,0)</f>
        <v>0</v>
      </c>
      <c r="R74" s="15">
        <f>IF('ENCUESTA CONDUCTORES'!T74="X",1,0)</f>
        <v>0</v>
      </c>
      <c r="S74" s="15">
        <f>IF('ENCUESTA CONDUCTORES'!U74="X",1,0)</f>
        <v>1</v>
      </c>
      <c r="T74" s="15">
        <f>IF('ENCUESTA CONDUCTORES'!V74="X",1,0)</f>
        <v>0</v>
      </c>
      <c r="U74" s="15">
        <f>IF('ENCUESTA CONDUCTORES'!W74="X",1,0)</f>
        <v>0</v>
      </c>
      <c r="V74" s="15">
        <f>IF('ENCUESTA CONDUCTORES'!X74="X",1,0)</f>
        <v>0</v>
      </c>
      <c r="W74" s="15">
        <f>IF('ENCUESTA CONDUCTORES'!Y74="X",1,0)</f>
        <v>0</v>
      </c>
      <c r="X74" s="15">
        <f>IF('ENCUESTA CONDUCTORES'!Z74="X",1,0)</f>
        <v>0</v>
      </c>
      <c r="Y74" s="15">
        <f>+'ENCUESTA CONDUCTORES'!AG74</f>
        <v>0</v>
      </c>
      <c r="Z74" s="15">
        <f>+'ENCUESTA CONDUCTORES'!AH74</f>
        <v>2000</v>
      </c>
      <c r="AA74" s="1">
        <f>+'ENCUESTA CONDUCTORES'!AI74</f>
        <v>2300000</v>
      </c>
      <c r="AB74" s="15">
        <f>IF('ENCUESTA CONDUCTORES'!AJ74="X",1,0)</f>
        <v>0</v>
      </c>
      <c r="AC74" s="15">
        <f>IF('ENCUESTA CONDUCTORES'!AK74="X",1,0)</f>
        <v>0</v>
      </c>
      <c r="AD74" s="15">
        <f>IF('ENCUESTA CONDUCTORES'!AL74="X",1,0)</f>
        <v>1</v>
      </c>
      <c r="AE74" s="15">
        <f>IF('ENCUESTA CONDUCTORES'!AM74="X",1,0)</f>
        <v>0</v>
      </c>
      <c r="AF74" s="15">
        <f>IF('ENCUESTA CONDUCTORES'!AN74="X",1,0)</f>
        <v>0</v>
      </c>
      <c r="AG74" s="15">
        <f>IF('ENCUESTA CONDUCTORES'!AO74="X",1,0)</f>
        <v>0</v>
      </c>
      <c r="AH74" s="15">
        <f>IF('ENCUESTA CONDUCTORES'!AP74="X",1,0)</f>
        <v>1</v>
      </c>
      <c r="AI74" s="15">
        <f>IF('ENCUESTA CONDUCTORES'!AQ74="X",1,0)</f>
        <v>0</v>
      </c>
      <c r="AJ74" s="15">
        <f>IF('ENCUESTA CONDUCTORES'!AR74="X",1,0)</f>
        <v>0</v>
      </c>
      <c r="AK74" s="15">
        <f>+'ENCUESTA CONDUCTORES'!AS74</f>
        <v>0</v>
      </c>
      <c r="AL74" s="15" t="str">
        <f>+'ENCUESTA CONDUCTORES'!AT74</f>
        <v>MERCEDES BENZ</v>
      </c>
      <c r="AM74" s="1">
        <f>+'ENCUESTA CONDUCTORES'!AU74</f>
        <v>15000</v>
      </c>
      <c r="AN74" s="48">
        <f>+'ENCUESTA CONDUCTORES'!AV74</f>
        <v>0.5</v>
      </c>
      <c r="AO74" s="15">
        <f>+'ENCUESTA CONDUCTORES'!AW74</f>
        <v>2.8</v>
      </c>
      <c r="AP74" s="15">
        <f>+'ENCUESTA CONDUCTORES'!AX74</f>
        <v>2</v>
      </c>
      <c r="AQ74" s="15">
        <f>+'ENCUESTA CONDUCTORES'!AY74</f>
        <v>2</v>
      </c>
      <c r="AR74" s="15">
        <f>+'ENCUESTA CONDUCTORES'!AZ74</f>
        <v>650</v>
      </c>
      <c r="AS74" s="15">
        <f>+'ENCUESTA CONDUCTORES'!BA74</f>
        <v>1600</v>
      </c>
      <c r="AT74" s="15">
        <f>IF('ENCUESTA CONDUCTORES'!BB74="X",1,0)</f>
        <v>0</v>
      </c>
      <c r="AU74" s="15">
        <f>IF('ENCUESTA CONDUCTORES'!BC74="X",1,0)</f>
        <v>1</v>
      </c>
      <c r="AV74" s="15">
        <f>IF('ENCUESTA CONDUCTORES'!BD74="X",1,0)</f>
        <v>0</v>
      </c>
      <c r="AW74" s="1">
        <f>+'ENCUESTA CONDUCTORES'!BE74</f>
        <v>20000</v>
      </c>
      <c r="AX74" s="1">
        <f>+'ENCUESTA CONDUCTORES'!BF74</f>
        <v>25000</v>
      </c>
      <c r="AY74" s="1">
        <f>+'ENCUESTA CONDUCTORES'!BG74</f>
        <v>20000</v>
      </c>
      <c r="AZ74" s="1">
        <f>+'ENCUESTA CONDUCTORES'!BH74</f>
        <v>80000</v>
      </c>
      <c r="BA74" s="1">
        <f>+'ENCUESTA CONDUCTORES'!BI74</f>
        <v>20000</v>
      </c>
      <c r="BB74" s="15">
        <f>IF('ENCUESTA CONDUCTORES'!BJ74="X",1,0)</f>
        <v>0</v>
      </c>
      <c r="BC74" s="15">
        <f>IF('ENCUESTA CONDUCTORES'!BK74="X",1,0)</f>
        <v>0</v>
      </c>
      <c r="BD74" s="15">
        <f>IF('ENCUESTA CONDUCTORES'!BL74="X",1,0)</f>
        <v>0</v>
      </c>
      <c r="BE74" s="15">
        <f>IF('ENCUESTA CONDUCTORES'!BM74="X",1,0)</f>
        <v>0</v>
      </c>
      <c r="BF74" s="15">
        <f>IF('ENCUESTA CONDUCTORES'!BN74="X",1,0)</f>
        <v>0</v>
      </c>
      <c r="BG74" s="15">
        <f>IF('ENCUESTA CONDUCTORES'!BO74="X",1,0)</f>
        <v>0</v>
      </c>
      <c r="BH74" s="15">
        <f>IF('ENCUESTA CONDUCTORES'!BP74="X",1,0)</f>
        <v>0</v>
      </c>
      <c r="BI74" s="15">
        <f>IF('ENCUESTA CONDUCTORES'!BQ74="X",1,0)</f>
        <v>0</v>
      </c>
      <c r="BJ74" s="15">
        <f>IF('ENCUESTA CONDUCTORES'!BR74="X",1,0)</f>
        <v>0</v>
      </c>
      <c r="BK74" s="15" t="str">
        <f>+'ENCUESTA CONDUCTORES'!BS74</f>
        <v>GENERAL</v>
      </c>
      <c r="BL74" s="15">
        <f>IF('ENCUESTA CONDUCTORES'!BT74="X",1,0)</f>
        <v>0</v>
      </c>
      <c r="BM74" s="15">
        <f>IF('ENCUESTA CONDUCTORES'!BU74="X",1,0)</f>
        <v>1</v>
      </c>
      <c r="BN74" s="15">
        <f>IF('ENCUESTA CONDUCTORES'!BV74="X",1,0)</f>
        <v>0</v>
      </c>
      <c r="BO74" s="15">
        <f>IF('ENCUESTA CONDUCTORES'!BW74="X",1,0)</f>
        <v>0</v>
      </c>
      <c r="BP74" s="15">
        <f>+'ENCUESTA CONDUCTORES'!BX74</f>
        <v>1</v>
      </c>
      <c r="BQ74" s="15">
        <f>+'ENCUESTA CONDUCTORES'!BY74</f>
        <v>2</v>
      </c>
      <c r="BR74" s="15">
        <f>+'ENCUESTA CONDUCTORES'!BZ74</f>
        <v>3</v>
      </c>
      <c r="BS74" s="15">
        <f>+'ENCUESTA CONDUCTORES'!CA74</f>
        <v>0</v>
      </c>
      <c r="BT74" s="15">
        <f>IF('ENCUESTA CONDUCTORES'!CB74="X",1,0)</f>
        <v>1</v>
      </c>
      <c r="BU74" s="15">
        <f>IF('ENCUESTA CONDUCTORES'!CC74="X",1,0)</f>
        <v>0</v>
      </c>
      <c r="BV74" s="15">
        <f>IF('ENCUESTA CONDUCTORES'!CD74="X",1,0)</f>
        <v>0</v>
      </c>
      <c r="BW74" s="15">
        <f>IF('ENCUESTA CONDUCTORES'!CE74="X",1,0)</f>
        <v>0</v>
      </c>
      <c r="BX74" s="15">
        <f>IF('ENCUESTA CONDUCTORES'!CF74="X",1,0)</f>
        <v>0</v>
      </c>
      <c r="BY74" s="15">
        <f>IF('ENCUESTA CONDUCTORES'!CG74="X",1,0)</f>
        <v>0</v>
      </c>
      <c r="BZ74" s="15">
        <f>IF('ENCUESTA CONDUCTORES'!CH74="X",1,0)</f>
        <v>0</v>
      </c>
      <c r="CA74" s="15">
        <f>IF('ENCUESTA CONDUCTORES'!CI74="X",1,0)</f>
        <v>0</v>
      </c>
      <c r="CB74" s="15">
        <f>IF('ENCUESTA CONDUCTORES'!CJ74="X",1,0)</f>
        <v>0</v>
      </c>
      <c r="CC74" s="15">
        <f>IF('ENCUESTA CONDUCTORES'!CK74="X",1,0)</f>
        <v>1</v>
      </c>
      <c r="CD74" s="15">
        <f>IF('ENCUESTA CONDUCTORES'!CL74="X",1,0)</f>
        <v>0</v>
      </c>
      <c r="CE74" s="15">
        <f>IF('ENCUESTA CONDUCTORES'!CM74="X",1,0)</f>
        <v>0</v>
      </c>
      <c r="CF74" s="15">
        <f>+'ENCUESTA CONDUCTORES'!CN74</f>
        <v>0</v>
      </c>
      <c r="CG74" s="15">
        <f>IF('ENCUESTA CONDUCTORES'!CO74="X",1,0)</f>
        <v>0</v>
      </c>
      <c r="CH74" s="15" t="str">
        <f>+'ENCUESTA CONDUCTORES'!CP74</f>
        <v>NO SABE</v>
      </c>
      <c r="CI74" s="15" t="str">
        <f>+'ENCUESTA CONDUCTORES'!CQ74</f>
        <v>DARLO A CONOCER</v>
      </c>
      <c r="CJ74" s="15">
        <f>IF('ENCUESTA CONDUCTORES'!CR74="X",1,0)</f>
        <v>0</v>
      </c>
      <c r="CK74" s="15">
        <f>IF('ENCUESTA CONDUCTORES'!CS74="X",1,0)</f>
        <v>1</v>
      </c>
      <c r="CL74" s="15">
        <f>IF('ENCUESTA CONDUCTORES'!CT74="X",1,0)</f>
        <v>0</v>
      </c>
      <c r="CM74" s="15">
        <f>+'ENCUESTA CONDUCTORES'!CU74</f>
        <v>0</v>
      </c>
      <c r="CN74" s="15">
        <f>IF('ENCUESTA CONDUCTORES'!CV74="X",1,0)</f>
        <v>0</v>
      </c>
      <c r="CO74" s="15">
        <f>+'ENCUESTA CONDUCTORES'!CW74</f>
        <v>0</v>
      </c>
      <c r="CP74" s="15">
        <f>IF('ENCUESTA CONDUCTORES'!CX74="X",1,0)</f>
        <v>0</v>
      </c>
      <c r="CQ74" s="15">
        <f>IF('ENCUESTA CONDUCTORES'!CY74="X",1,0)</f>
        <v>1</v>
      </c>
      <c r="CR74" s="3">
        <f>+'ENCUESTA CONDUCTORES'!CZ74</f>
        <v>0</v>
      </c>
      <c r="CS74" s="49">
        <f>+'ENCUESTA CONDUCTORES'!DA74</f>
        <v>0</v>
      </c>
    </row>
    <row r="75" spans="2:97" x14ac:dyDescent="0.25">
      <c r="B75" s="14" t="str">
        <f>+'ENCUESTA CONDUCTORES'!D75</f>
        <v>C-081</v>
      </c>
      <c r="C75" s="15">
        <f>IF('ENCUESTA CONDUCTORES'!E75="X",1,0)</f>
        <v>0</v>
      </c>
      <c r="D75" s="15">
        <f>IF('ENCUESTA CONDUCTORES'!F75="X",1,0)</f>
        <v>0</v>
      </c>
      <c r="E75" s="15">
        <f>IF('ENCUESTA CONDUCTORES'!G75="X",1,0)</f>
        <v>0</v>
      </c>
      <c r="F75" s="15">
        <f>IF('ENCUESTA CONDUCTORES'!H75="X",1,0)</f>
        <v>1</v>
      </c>
      <c r="G75" s="15">
        <f>+'ENCUESTA CONDUCTORES'!I75</f>
        <v>41</v>
      </c>
      <c r="H75" s="15" t="str">
        <f>+'ENCUESTA CONDUCTORES'!J75</f>
        <v>M</v>
      </c>
      <c r="I75" s="15" t="str">
        <f>+'ENCUESTA CONDUCTORES'!K75</f>
        <v>SECUNDARIA</v>
      </c>
      <c r="J75" s="15" t="str">
        <f>+'ENCUESTA CONDUCTORES'!L75</f>
        <v>TOLUCA, EDO. MEX.</v>
      </c>
      <c r="K75" s="15" t="str">
        <f>+'ENCUESTA CONDUCTORES'!M75</f>
        <v>TOLUCA</v>
      </c>
      <c r="L75" s="15" t="str">
        <f>+'ENCUESTA CONDUCTORES'!N75</f>
        <v>EDO. MEX.</v>
      </c>
      <c r="M75" s="15">
        <f>+'ENCUESTA CONDUCTORES'!O75</f>
        <v>22</v>
      </c>
      <c r="N75" s="15">
        <f>IF('ENCUESTA CONDUCTORES'!P75="X",1,0)</f>
        <v>0</v>
      </c>
      <c r="O75" s="15">
        <f>IF('ENCUESTA CONDUCTORES'!Q75="X",1,0)</f>
        <v>0</v>
      </c>
      <c r="P75" s="15">
        <f>IF('ENCUESTA CONDUCTORES'!R75="X",1,0)</f>
        <v>0</v>
      </c>
      <c r="Q75" s="15">
        <f>IF('ENCUESTA CONDUCTORES'!S75="X",1,0)</f>
        <v>1</v>
      </c>
      <c r="R75" s="15">
        <f>IF('ENCUESTA CONDUCTORES'!T75="X",1,0)</f>
        <v>0</v>
      </c>
      <c r="S75" s="15">
        <f>IF('ENCUESTA CONDUCTORES'!U75="X",1,0)</f>
        <v>0</v>
      </c>
      <c r="T75" s="15">
        <f>IF('ENCUESTA CONDUCTORES'!V75="X",1,0)</f>
        <v>0</v>
      </c>
      <c r="U75" s="15">
        <f>IF('ENCUESTA CONDUCTORES'!W75="X",1,0)</f>
        <v>0</v>
      </c>
      <c r="V75" s="15">
        <f>IF('ENCUESTA CONDUCTORES'!X75="X",1,0)</f>
        <v>0</v>
      </c>
      <c r="W75" s="15">
        <f>IF('ENCUESTA CONDUCTORES'!Y75="X",1,0)</f>
        <v>0</v>
      </c>
      <c r="X75" s="15">
        <f>IF('ENCUESTA CONDUCTORES'!Z75="X",1,0)</f>
        <v>0</v>
      </c>
      <c r="Y75" s="15">
        <f>+'ENCUESTA CONDUCTORES'!AG75</f>
        <v>0</v>
      </c>
      <c r="Z75" s="15">
        <f>+'ENCUESTA CONDUCTORES'!AH75</f>
        <v>2014</v>
      </c>
      <c r="AA75" s="1">
        <f>+'ENCUESTA CONDUCTORES'!AI75</f>
        <v>10000</v>
      </c>
      <c r="AB75" s="15">
        <f>IF('ENCUESTA CONDUCTORES'!AJ75="X",1,0)</f>
        <v>0</v>
      </c>
      <c r="AC75" s="15">
        <f>IF('ENCUESTA CONDUCTORES'!AK75="X",1,0)</f>
        <v>0</v>
      </c>
      <c r="AD75" s="15">
        <f>IF('ENCUESTA CONDUCTORES'!AL75="X",1,0)</f>
        <v>1</v>
      </c>
      <c r="AE75" s="15">
        <f>IF('ENCUESTA CONDUCTORES'!AM75="X",1,0)</f>
        <v>0</v>
      </c>
      <c r="AF75" s="15">
        <f>IF('ENCUESTA CONDUCTORES'!AN75="X",1,0)</f>
        <v>0</v>
      </c>
      <c r="AG75" s="15">
        <f>IF('ENCUESTA CONDUCTORES'!AO75="X",1,0)</f>
        <v>0</v>
      </c>
      <c r="AH75" s="15">
        <f>IF('ENCUESTA CONDUCTORES'!AP75="X",1,0)</f>
        <v>1</v>
      </c>
      <c r="AI75" s="15">
        <f>IF('ENCUESTA CONDUCTORES'!AQ75="X",1,0)</f>
        <v>0</v>
      </c>
      <c r="AJ75" s="15">
        <f>IF('ENCUESTA CONDUCTORES'!AR75="X",1,0)</f>
        <v>0</v>
      </c>
      <c r="AK75" s="15">
        <f>+'ENCUESTA CONDUCTORES'!AS75</f>
        <v>0</v>
      </c>
      <c r="AL75" s="15" t="str">
        <f>+'ENCUESTA CONDUCTORES'!AT75</f>
        <v>CUMMINS</v>
      </c>
      <c r="AM75" s="1">
        <f>+'ENCUESTA CONDUCTORES'!AU75</f>
        <v>15000</v>
      </c>
      <c r="AN75" s="48">
        <f>+'ENCUESTA CONDUCTORES'!AV75</f>
        <v>0.5</v>
      </c>
      <c r="AO75" s="15">
        <f>+'ENCUESTA CONDUCTORES'!AW75</f>
        <v>2.5</v>
      </c>
      <c r="AP75" s="15">
        <f>+'ENCUESTA CONDUCTORES'!AX75</f>
        <v>2</v>
      </c>
      <c r="AQ75" s="15">
        <f>+'ENCUESTA CONDUCTORES'!AY75</f>
        <v>3</v>
      </c>
      <c r="AR75" s="15">
        <f>+'ENCUESTA CONDUCTORES'!AZ75</f>
        <v>1100</v>
      </c>
      <c r="AS75" s="15">
        <f>+'ENCUESTA CONDUCTORES'!BA75</f>
        <v>2500</v>
      </c>
      <c r="AT75" s="15">
        <f>IF('ENCUESTA CONDUCTORES'!BB75="X",1,0)</f>
        <v>1</v>
      </c>
      <c r="AU75" s="15">
        <f>IF('ENCUESTA CONDUCTORES'!BC75="X",1,0)</f>
        <v>1</v>
      </c>
      <c r="AV75" s="15">
        <f>IF('ENCUESTA CONDUCTORES'!BD75="X",1,0)</f>
        <v>0</v>
      </c>
      <c r="AW75" s="1">
        <f>+'ENCUESTA CONDUCTORES'!BE75</f>
        <v>40000</v>
      </c>
      <c r="AX75" s="1">
        <f>+'ENCUESTA CONDUCTORES'!BF75</f>
        <v>40000</v>
      </c>
      <c r="AY75" s="1">
        <f>+'ENCUESTA CONDUCTORES'!BG75</f>
        <v>40000</v>
      </c>
      <c r="AZ75" s="1" t="str">
        <f>+'ENCUESTA CONDUCTORES'!BH75</f>
        <v>NO SABE</v>
      </c>
      <c r="BA75" s="1">
        <f>+'ENCUESTA CONDUCTORES'!BI75</f>
        <v>40000</v>
      </c>
      <c r="BB75" s="15">
        <f>IF('ENCUESTA CONDUCTORES'!BJ75="X",1,0)</f>
        <v>0</v>
      </c>
      <c r="BC75" s="15">
        <f>IF('ENCUESTA CONDUCTORES'!BK75="X",1,0)</f>
        <v>0</v>
      </c>
      <c r="BD75" s="15">
        <f>IF('ENCUESTA CONDUCTORES'!BL75="X",1,0)</f>
        <v>0</v>
      </c>
      <c r="BE75" s="15">
        <f>IF('ENCUESTA CONDUCTORES'!BM75="X",1,0)</f>
        <v>0</v>
      </c>
      <c r="BF75" s="15">
        <f>IF('ENCUESTA CONDUCTORES'!BN75="X",1,0)</f>
        <v>0</v>
      </c>
      <c r="BG75" s="15">
        <f>IF('ENCUESTA CONDUCTORES'!BO75="X",1,0)</f>
        <v>0</v>
      </c>
      <c r="BH75" s="15">
        <f>IF('ENCUESTA CONDUCTORES'!BP75="X",1,0)</f>
        <v>0</v>
      </c>
      <c r="BI75" s="15">
        <f>IF('ENCUESTA CONDUCTORES'!BQ75="X",1,0)</f>
        <v>0</v>
      </c>
      <c r="BJ75" s="15">
        <f>IF('ENCUESTA CONDUCTORES'!BR75="X",1,0)</f>
        <v>1</v>
      </c>
      <c r="BK75" s="15">
        <f>+'ENCUESTA CONDUCTORES'!BS75</f>
        <v>0</v>
      </c>
      <c r="BL75" s="15">
        <f>IF('ENCUESTA CONDUCTORES'!BT75="X",1,0)</f>
        <v>0</v>
      </c>
      <c r="BM75" s="15">
        <f>IF('ENCUESTA CONDUCTORES'!BU75="X",1,0)</f>
        <v>0</v>
      </c>
      <c r="BN75" s="15">
        <f>IF('ENCUESTA CONDUCTORES'!BV75="X",1,0)</f>
        <v>1</v>
      </c>
      <c r="BO75" s="15">
        <f>IF('ENCUESTA CONDUCTORES'!BW75="X",1,0)</f>
        <v>0</v>
      </c>
      <c r="BP75" s="15">
        <f>+'ENCUESTA CONDUCTORES'!BX75</f>
        <v>2</v>
      </c>
      <c r="BQ75" s="15">
        <f>+'ENCUESTA CONDUCTORES'!BY75</f>
        <v>4</v>
      </c>
      <c r="BR75" s="15">
        <f>+'ENCUESTA CONDUCTORES'!BZ75</f>
        <v>3</v>
      </c>
      <c r="BS75" s="15" t="str">
        <f>+'ENCUESTA CONDUCTORES'!CA75</f>
        <v>SEGURIDAD</v>
      </c>
      <c r="BT75" s="15">
        <f>IF('ENCUESTA CONDUCTORES'!CB75="X",1,0)</f>
        <v>0</v>
      </c>
      <c r="BU75" s="15">
        <f>IF('ENCUESTA CONDUCTORES'!CC75="X",1,0)</f>
        <v>1</v>
      </c>
      <c r="BV75" s="15">
        <f>IF('ENCUESTA CONDUCTORES'!CD75="X",1,0)</f>
        <v>0</v>
      </c>
      <c r="BW75" s="15">
        <f>IF('ENCUESTA CONDUCTORES'!CE75="X",1,0)</f>
        <v>1</v>
      </c>
      <c r="BX75" s="15">
        <f>IF('ENCUESTA CONDUCTORES'!CF75="X",1,0)</f>
        <v>1</v>
      </c>
      <c r="BY75" s="15">
        <f>IF('ENCUESTA CONDUCTORES'!CG75="X",1,0)</f>
        <v>1</v>
      </c>
      <c r="BZ75" s="15">
        <f>IF('ENCUESTA CONDUCTORES'!CH75="X",1,0)</f>
        <v>1</v>
      </c>
      <c r="CA75" s="15">
        <f>IF('ENCUESTA CONDUCTORES'!CI75="X",1,0)</f>
        <v>1</v>
      </c>
      <c r="CB75" s="15">
        <f>IF('ENCUESTA CONDUCTORES'!CJ75="X",1,0)</f>
        <v>0</v>
      </c>
      <c r="CC75" s="15">
        <f>IF('ENCUESTA CONDUCTORES'!CK75="X",1,0)</f>
        <v>0</v>
      </c>
      <c r="CD75" s="15">
        <f>IF('ENCUESTA CONDUCTORES'!CL75="X",1,0)</f>
        <v>1</v>
      </c>
      <c r="CE75" s="15">
        <f>IF('ENCUESTA CONDUCTORES'!CM75="X",1,0)</f>
        <v>0</v>
      </c>
      <c r="CF75" s="15">
        <f>+'ENCUESTA CONDUCTORES'!CN75</f>
        <v>0</v>
      </c>
      <c r="CG75" s="15">
        <f>IF('ENCUESTA CONDUCTORES'!CO75="X",1,0)</f>
        <v>1</v>
      </c>
      <c r="CH75" s="15" t="str">
        <f>+'ENCUESTA CONDUCTORES'!CP75</f>
        <v>BUENO</v>
      </c>
      <c r="CI75" s="15" t="str">
        <f>+'ENCUESTA CONDUCTORES'!CQ75</f>
        <v>DAR INCENTIVOS</v>
      </c>
      <c r="CJ75" s="15">
        <f>IF('ENCUESTA CONDUCTORES'!CR75="X",1,0)</f>
        <v>0</v>
      </c>
      <c r="CK75" s="15">
        <f>IF('ENCUESTA CONDUCTORES'!CS75="X",1,0)</f>
        <v>1</v>
      </c>
      <c r="CL75" s="15">
        <f>IF('ENCUESTA CONDUCTORES'!CT75="X",1,0)</f>
        <v>1</v>
      </c>
      <c r="CM75" s="2" t="str">
        <f>+'ENCUESTA CONDUCTORES'!CU75</f>
        <v>MANEJO A LA DEFENSIVA</v>
      </c>
      <c r="CN75" s="15">
        <f>IF('ENCUESTA CONDUCTORES'!CV75="X",1,0)</f>
        <v>0</v>
      </c>
      <c r="CO75" s="15">
        <f>+'ENCUESTA CONDUCTORES'!CW75</f>
        <v>0</v>
      </c>
      <c r="CP75" s="15">
        <f>IF('ENCUESTA CONDUCTORES'!CX75="X",1,0)</f>
        <v>0</v>
      </c>
      <c r="CQ75" s="15">
        <f>IF('ENCUESTA CONDUCTORES'!CY75="X",1,0)</f>
        <v>1</v>
      </c>
      <c r="CR75" s="4" t="str">
        <f>+'ENCUESTA CONDUCTORES'!CZ75</f>
        <v>CAPACITACIÓN EN RESIDUOS PELIGROSOS</v>
      </c>
      <c r="CS75" s="49">
        <f>+'ENCUESTA CONDUCTORES'!DA75</f>
        <v>0</v>
      </c>
    </row>
    <row r="76" spans="2:97" x14ac:dyDescent="0.25">
      <c r="B76" s="14" t="str">
        <f>+'ENCUESTA CONDUCTORES'!D76</f>
        <v>C-082</v>
      </c>
      <c r="C76" s="15">
        <f>IF('ENCUESTA CONDUCTORES'!E76="X",1,0)</f>
        <v>0</v>
      </c>
      <c r="D76" s="15">
        <f>IF('ENCUESTA CONDUCTORES'!F76="X",1,0)</f>
        <v>0</v>
      </c>
      <c r="E76" s="15">
        <f>IF('ENCUESTA CONDUCTORES'!G76="X",1,0)</f>
        <v>1</v>
      </c>
      <c r="F76" s="15">
        <f>IF('ENCUESTA CONDUCTORES'!H76="X",1,0)</f>
        <v>0</v>
      </c>
      <c r="G76" s="15">
        <f>+'ENCUESTA CONDUCTORES'!I76</f>
        <v>41</v>
      </c>
      <c r="H76" s="15" t="str">
        <f>+'ENCUESTA CONDUCTORES'!J76</f>
        <v>M</v>
      </c>
      <c r="I76" s="15" t="str">
        <f>+'ENCUESTA CONDUCTORES'!K76</f>
        <v>SECUNDARIA</v>
      </c>
      <c r="J76" s="15" t="str">
        <f>+'ENCUESTA CONDUCTORES'!L76</f>
        <v>IXTAPALUCA, EDO. DE MEX.</v>
      </c>
      <c r="K76" s="15" t="str">
        <f>+'ENCUESTA CONDUCTORES'!M76</f>
        <v>IXTAPALUCA</v>
      </c>
      <c r="L76" s="15" t="str">
        <f>+'ENCUESTA CONDUCTORES'!N76</f>
        <v>EDO. MEX.</v>
      </c>
      <c r="M76" s="15">
        <f>+'ENCUESTA CONDUCTORES'!O76</f>
        <v>20</v>
      </c>
      <c r="N76" s="15">
        <f>IF('ENCUESTA CONDUCTORES'!P76="X",1,0)</f>
        <v>0</v>
      </c>
      <c r="O76" s="15">
        <f>IF('ENCUESTA CONDUCTORES'!Q76="X",1,0)</f>
        <v>0</v>
      </c>
      <c r="P76" s="15">
        <f>IF('ENCUESTA CONDUCTORES'!R76="X",1,0)</f>
        <v>0</v>
      </c>
      <c r="Q76" s="15">
        <f>IF('ENCUESTA CONDUCTORES'!S76="X",1,0)</f>
        <v>1</v>
      </c>
      <c r="R76" s="15">
        <f>IF('ENCUESTA CONDUCTORES'!T76="X",1,0)</f>
        <v>0</v>
      </c>
      <c r="S76" s="15">
        <f>IF('ENCUESTA CONDUCTORES'!U76="X",1,0)</f>
        <v>1</v>
      </c>
      <c r="T76" s="15">
        <f>IF('ENCUESTA CONDUCTORES'!V76="X",1,0)</f>
        <v>0</v>
      </c>
      <c r="U76" s="15">
        <f>IF('ENCUESTA CONDUCTORES'!W76="X",1,0)</f>
        <v>0</v>
      </c>
      <c r="V76" s="15">
        <f>IF('ENCUESTA CONDUCTORES'!X76="X",1,0)</f>
        <v>0</v>
      </c>
      <c r="W76" s="15">
        <f>IF('ENCUESTA CONDUCTORES'!Y76="X",1,0)</f>
        <v>0</v>
      </c>
      <c r="X76" s="15">
        <f>IF('ENCUESTA CONDUCTORES'!Z76="X",1,0)</f>
        <v>0</v>
      </c>
      <c r="Y76" s="15">
        <f>+'ENCUESTA CONDUCTORES'!AG76</f>
        <v>0</v>
      </c>
      <c r="Z76" s="15">
        <f>+'ENCUESTA CONDUCTORES'!AH76</f>
        <v>2007</v>
      </c>
      <c r="AA76" s="1">
        <f>+'ENCUESTA CONDUCTORES'!AI76</f>
        <v>1400000</v>
      </c>
      <c r="AB76" s="15">
        <f>IF('ENCUESTA CONDUCTORES'!AJ76="X",1,0)</f>
        <v>0</v>
      </c>
      <c r="AC76" s="15">
        <f>IF('ENCUESTA CONDUCTORES'!AK76="X",1,0)</f>
        <v>0</v>
      </c>
      <c r="AD76" s="15">
        <f>IF('ENCUESTA CONDUCTORES'!AL76="X",1,0)</f>
        <v>1</v>
      </c>
      <c r="AE76" s="15">
        <f>IF('ENCUESTA CONDUCTORES'!AM76="X",1,0)</f>
        <v>0</v>
      </c>
      <c r="AF76" s="15">
        <f>IF('ENCUESTA CONDUCTORES'!AN76="X",1,0)</f>
        <v>0</v>
      </c>
      <c r="AG76" s="15">
        <f>IF('ENCUESTA CONDUCTORES'!AO76="X",1,0)</f>
        <v>0</v>
      </c>
      <c r="AH76" s="15">
        <f>IF('ENCUESTA CONDUCTORES'!AP76="X",1,0)</f>
        <v>1</v>
      </c>
      <c r="AI76" s="15">
        <f>IF('ENCUESTA CONDUCTORES'!AQ76="X",1,0)</f>
        <v>0</v>
      </c>
      <c r="AJ76" s="15">
        <f>IF('ENCUESTA CONDUCTORES'!AR76="X",1,0)</f>
        <v>0</v>
      </c>
      <c r="AK76" s="15">
        <f>+'ENCUESTA CONDUCTORES'!AS76</f>
        <v>0</v>
      </c>
      <c r="AL76" s="15" t="str">
        <f>+'ENCUESTA CONDUCTORES'!AT76</f>
        <v>CATERPILLAR</v>
      </c>
      <c r="AM76" s="1">
        <f>+'ENCUESTA CONDUCTORES'!AU76</f>
        <v>20000</v>
      </c>
      <c r="AN76" s="48">
        <f>+'ENCUESTA CONDUCTORES'!AV76</f>
        <v>0.15</v>
      </c>
      <c r="AO76" s="15">
        <f>+'ENCUESTA CONDUCTORES'!AW76</f>
        <v>2.5</v>
      </c>
      <c r="AP76" s="15">
        <f>+'ENCUESTA CONDUCTORES'!AX76</f>
        <v>1.5</v>
      </c>
      <c r="AQ76" s="15">
        <f>+'ENCUESTA CONDUCTORES'!AY76</f>
        <v>3</v>
      </c>
      <c r="AR76" s="15">
        <f>+'ENCUESTA CONDUCTORES'!AZ76</f>
        <v>1300</v>
      </c>
      <c r="AS76" s="15">
        <f>+'ENCUESTA CONDUCTORES'!BA76</f>
        <v>2600</v>
      </c>
      <c r="AT76" s="15">
        <f>IF('ENCUESTA CONDUCTORES'!BB76="X",1,0)</f>
        <v>0</v>
      </c>
      <c r="AU76" s="15">
        <f>IF('ENCUESTA CONDUCTORES'!BC76="X",1,0)</f>
        <v>1</v>
      </c>
      <c r="AV76" s="15">
        <f>IF('ENCUESTA CONDUCTORES'!BD76="X",1,0)</f>
        <v>0</v>
      </c>
      <c r="AW76" s="1">
        <f>+'ENCUESTA CONDUCTORES'!BE76</f>
        <v>30000</v>
      </c>
      <c r="AX76" s="1">
        <f>+'ENCUESTA CONDUCTORES'!BF76</f>
        <v>25000</v>
      </c>
      <c r="AY76" s="1">
        <f>+'ENCUESTA CONDUCTORES'!BG76</f>
        <v>30000</v>
      </c>
      <c r="AZ76" s="1">
        <f>+'ENCUESTA CONDUCTORES'!BH76</f>
        <v>240000</v>
      </c>
      <c r="BA76" s="1">
        <f>+'ENCUESTA CONDUCTORES'!BI76</f>
        <v>30000</v>
      </c>
      <c r="BB76" s="15">
        <f>IF('ENCUESTA CONDUCTORES'!BJ76="X",1,0)</f>
        <v>0</v>
      </c>
      <c r="BC76" s="15">
        <f>IF('ENCUESTA CONDUCTORES'!BK76="X",1,0)</f>
        <v>0</v>
      </c>
      <c r="BD76" s="15">
        <f>IF('ENCUESTA CONDUCTORES'!BL76="X",1,0)</f>
        <v>0</v>
      </c>
      <c r="BE76" s="15">
        <f>IF('ENCUESTA CONDUCTORES'!BM76="X",1,0)</f>
        <v>0</v>
      </c>
      <c r="BF76" s="15">
        <f>IF('ENCUESTA CONDUCTORES'!BN76="X",1,0)</f>
        <v>0</v>
      </c>
      <c r="BG76" s="15">
        <f>IF('ENCUESTA CONDUCTORES'!BO76="X",1,0)</f>
        <v>0</v>
      </c>
      <c r="BH76" s="15">
        <f>IF('ENCUESTA CONDUCTORES'!BP76="X",1,0)</f>
        <v>0</v>
      </c>
      <c r="BI76" s="15">
        <f>IF('ENCUESTA CONDUCTORES'!BQ76="X",1,0)</f>
        <v>0</v>
      </c>
      <c r="BJ76" s="15">
        <f>IF('ENCUESTA CONDUCTORES'!BR76="X",1,0)</f>
        <v>0</v>
      </c>
      <c r="BK76" s="15" t="str">
        <f>+'ENCUESTA CONDUCTORES'!BS76</f>
        <v>GENERAL</v>
      </c>
      <c r="BL76" s="15">
        <f>IF('ENCUESTA CONDUCTORES'!BT76="X",1,0)</f>
        <v>0</v>
      </c>
      <c r="BM76" s="15">
        <f>IF('ENCUESTA CONDUCTORES'!BU76="X",1,0)</f>
        <v>0</v>
      </c>
      <c r="BN76" s="15">
        <f>IF('ENCUESTA CONDUCTORES'!BV76="X",1,0)</f>
        <v>1</v>
      </c>
      <c r="BO76" s="15">
        <f>IF('ENCUESTA CONDUCTORES'!BW76="X",1,0)</f>
        <v>0</v>
      </c>
      <c r="BP76" s="15">
        <f>+'ENCUESTA CONDUCTORES'!BX76</f>
        <v>1</v>
      </c>
      <c r="BQ76" s="15">
        <f>+'ENCUESTA CONDUCTORES'!BY76</f>
        <v>3</v>
      </c>
      <c r="BR76" s="15">
        <f>+'ENCUESTA CONDUCTORES'!BZ76</f>
        <v>2</v>
      </c>
      <c r="BS76" s="15">
        <f>+'ENCUESTA CONDUCTORES'!CA76</f>
        <v>0</v>
      </c>
      <c r="BT76" s="15">
        <f>IF('ENCUESTA CONDUCTORES'!CB76="X",1,0)</f>
        <v>0</v>
      </c>
      <c r="BU76" s="15">
        <f>IF('ENCUESTA CONDUCTORES'!CC76="X",1,0)</f>
        <v>1</v>
      </c>
      <c r="BV76" s="15">
        <f>IF('ENCUESTA CONDUCTORES'!CD76="X",1,0)</f>
        <v>0</v>
      </c>
      <c r="BW76" s="15">
        <f>IF('ENCUESTA CONDUCTORES'!CE76="X",1,0)</f>
        <v>1</v>
      </c>
      <c r="BX76" s="15">
        <f>IF('ENCUESTA CONDUCTORES'!CF76="X",1,0)</f>
        <v>0</v>
      </c>
      <c r="BY76" s="15">
        <f>IF('ENCUESTA CONDUCTORES'!CG76="X",1,0)</f>
        <v>1</v>
      </c>
      <c r="BZ76" s="15">
        <f>IF('ENCUESTA CONDUCTORES'!CH76="X",1,0)</f>
        <v>0</v>
      </c>
      <c r="CA76" s="15">
        <f>IF('ENCUESTA CONDUCTORES'!CI76="X",1,0)</f>
        <v>0</v>
      </c>
      <c r="CB76" s="15">
        <f>IF('ENCUESTA CONDUCTORES'!CJ76="X",1,0)</f>
        <v>0</v>
      </c>
      <c r="CC76" s="15">
        <f>IF('ENCUESTA CONDUCTORES'!CK76="X",1,0)</f>
        <v>0</v>
      </c>
      <c r="CD76" s="15">
        <f>IF('ENCUESTA CONDUCTORES'!CL76="X",1,0)</f>
        <v>1</v>
      </c>
      <c r="CE76" s="15">
        <f>IF('ENCUESTA CONDUCTORES'!CM76="X",1,0)</f>
        <v>0</v>
      </c>
      <c r="CF76" s="15">
        <f>+'ENCUESTA CONDUCTORES'!CN76</f>
        <v>0</v>
      </c>
      <c r="CG76" s="15">
        <f>IF('ENCUESTA CONDUCTORES'!CO76="X",1,0)</f>
        <v>1</v>
      </c>
      <c r="CH76" s="15" t="str">
        <f>+'ENCUESTA CONDUCTORES'!CP76</f>
        <v>NO LE SIRVIO</v>
      </c>
      <c r="CI76" s="15" t="str">
        <f>+'ENCUESTA CONDUCTORES'!CQ76</f>
        <v>MEJOR EXPLICADO</v>
      </c>
      <c r="CJ76" s="15">
        <f>IF('ENCUESTA CONDUCTORES'!CR76="X",1,0)</f>
        <v>0</v>
      </c>
      <c r="CK76" s="15">
        <f>IF('ENCUESTA CONDUCTORES'!CS76="X",1,0)</f>
        <v>0</v>
      </c>
      <c r="CL76" s="15">
        <f>IF('ENCUESTA CONDUCTORES'!CT76="X",1,0)</f>
        <v>1</v>
      </c>
      <c r="CM76" s="15" t="str">
        <f>+'ENCUESTA CONDUCTORES'!CU76</f>
        <v>MANEJO A LA DEFENSIVA</v>
      </c>
      <c r="CN76" s="15">
        <f>IF('ENCUESTA CONDUCTORES'!CV76="X",1,0)</f>
        <v>0</v>
      </c>
      <c r="CO76" s="15">
        <f>+'ENCUESTA CONDUCTORES'!CW76</f>
        <v>0</v>
      </c>
      <c r="CP76" s="15">
        <f>IF('ENCUESTA CONDUCTORES'!CX76="X",1,0)</f>
        <v>1</v>
      </c>
      <c r="CQ76" s="15">
        <f>IF('ENCUESTA CONDUCTORES'!CY76="X",1,0)</f>
        <v>0</v>
      </c>
      <c r="CR76" s="3">
        <f>+'ENCUESTA CONDUCTORES'!CZ76</f>
        <v>0</v>
      </c>
      <c r="CS76" s="49">
        <f>+'ENCUESTA CONDUCTORES'!DA76</f>
        <v>0</v>
      </c>
    </row>
    <row r="77" spans="2:97" x14ac:dyDescent="0.25">
      <c r="B77" s="14" t="str">
        <f>+'ENCUESTA CONDUCTORES'!D77</f>
        <v>C-083</v>
      </c>
      <c r="C77" s="15">
        <f>IF('ENCUESTA CONDUCTORES'!E77="X",1,0)</f>
        <v>0</v>
      </c>
      <c r="D77" s="15">
        <f>IF('ENCUESTA CONDUCTORES'!F77="X",1,0)</f>
        <v>1</v>
      </c>
      <c r="E77" s="15">
        <f>IF('ENCUESTA CONDUCTORES'!G77="X",1,0)</f>
        <v>0</v>
      </c>
      <c r="F77" s="15">
        <f>IF('ENCUESTA CONDUCTORES'!H77="X",1,0)</f>
        <v>0</v>
      </c>
      <c r="G77" s="15">
        <f>+'ENCUESTA CONDUCTORES'!I77</f>
        <v>39</v>
      </c>
      <c r="H77" s="15" t="str">
        <f>+'ENCUESTA CONDUCTORES'!J77</f>
        <v>M</v>
      </c>
      <c r="I77" s="15" t="str">
        <f>+'ENCUESTA CONDUCTORES'!K77</f>
        <v>SECUNDARIA</v>
      </c>
      <c r="J77" s="15" t="str">
        <f>+'ENCUESTA CONDUCTORES'!L77</f>
        <v>JILOTEPEC, EDO. MEX.</v>
      </c>
      <c r="K77" s="15" t="str">
        <f>+'ENCUESTA CONDUCTORES'!M77</f>
        <v>JILOTEPEC</v>
      </c>
      <c r="L77" s="15" t="str">
        <f>+'ENCUESTA CONDUCTORES'!N77</f>
        <v>EDO. MEX.</v>
      </c>
      <c r="M77" s="15">
        <f>+'ENCUESTA CONDUCTORES'!O77</f>
        <v>18</v>
      </c>
      <c r="N77" s="15">
        <f>IF('ENCUESTA CONDUCTORES'!P77="X",1,0)</f>
        <v>0</v>
      </c>
      <c r="O77" s="15">
        <f>IF('ENCUESTA CONDUCTORES'!Q77="X",1,0)</f>
        <v>0</v>
      </c>
      <c r="P77" s="15">
        <f>IF('ENCUESTA CONDUCTORES'!R77="X",1,0)</f>
        <v>0</v>
      </c>
      <c r="Q77" s="15">
        <f>IF('ENCUESTA CONDUCTORES'!S77="X",1,0)</f>
        <v>1</v>
      </c>
      <c r="R77" s="15">
        <f>IF('ENCUESTA CONDUCTORES'!T77="X",1,0)</f>
        <v>0</v>
      </c>
      <c r="S77" s="15">
        <f>IF('ENCUESTA CONDUCTORES'!U77="X",1,0)</f>
        <v>1</v>
      </c>
      <c r="T77" s="15">
        <f>IF('ENCUESTA CONDUCTORES'!V77="X",1,0)</f>
        <v>0</v>
      </c>
      <c r="U77" s="15">
        <f>IF('ENCUESTA CONDUCTORES'!W77="X",1,0)</f>
        <v>0</v>
      </c>
      <c r="V77" s="15">
        <f>IF('ENCUESTA CONDUCTORES'!X77="X",1,0)</f>
        <v>0</v>
      </c>
      <c r="W77" s="15">
        <f>IF('ENCUESTA CONDUCTORES'!Y77="X",1,0)</f>
        <v>0</v>
      </c>
      <c r="X77" s="15">
        <f>IF('ENCUESTA CONDUCTORES'!Z77="X",1,0)</f>
        <v>0</v>
      </c>
      <c r="Y77" s="15">
        <f>+'ENCUESTA CONDUCTORES'!AG77</f>
        <v>0</v>
      </c>
      <c r="Z77" s="15">
        <f>+'ENCUESTA CONDUCTORES'!AH77</f>
        <v>2007</v>
      </c>
      <c r="AA77" s="1">
        <f>+'ENCUESTA CONDUCTORES'!AI77</f>
        <v>1700000</v>
      </c>
      <c r="AB77" s="15">
        <f>IF('ENCUESTA CONDUCTORES'!AJ77="X",1,0)</f>
        <v>0</v>
      </c>
      <c r="AC77" s="15">
        <f>IF('ENCUESTA CONDUCTORES'!AK77="X",1,0)</f>
        <v>0</v>
      </c>
      <c r="AD77" s="15">
        <f>IF('ENCUESTA CONDUCTORES'!AL77="X",1,0)</f>
        <v>1</v>
      </c>
      <c r="AE77" s="15">
        <f>IF('ENCUESTA CONDUCTORES'!AM77="X",1,0)</f>
        <v>0</v>
      </c>
      <c r="AF77" s="15">
        <f>IF('ENCUESTA CONDUCTORES'!AN77="X",1,0)</f>
        <v>0</v>
      </c>
      <c r="AG77" s="15">
        <f>IF('ENCUESTA CONDUCTORES'!AO77="X",1,0)</f>
        <v>0</v>
      </c>
      <c r="AH77" s="15">
        <f>IF('ENCUESTA CONDUCTORES'!AP77="X",1,0)</f>
        <v>1</v>
      </c>
      <c r="AI77" s="15">
        <f>IF('ENCUESTA CONDUCTORES'!AQ77="X",1,0)</f>
        <v>0</v>
      </c>
      <c r="AJ77" s="15">
        <f>IF('ENCUESTA CONDUCTORES'!AR77="X",1,0)</f>
        <v>0</v>
      </c>
      <c r="AK77" s="15">
        <f>+'ENCUESTA CONDUCTORES'!AS77</f>
        <v>0</v>
      </c>
      <c r="AL77" s="15" t="str">
        <f>+'ENCUESTA CONDUCTORES'!AT77</f>
        <v>CATERPILLAR</v>
      </c>
      <c r="AM77" s="1">
        <f>+'ENCUESTA CONDUCTORES'!AU77</f>
        <v>26000</v>
      </c>
      <c r="AN77" s="48">
        <f>+'ENCUESTA CONDUCTORES'!AV77</f>
        <v>0.3</v>
      </c>
      <c r="AO77" s="15">
        <f>+'ENCUESTA CONDUCTORES'!AW77</f>
        <v>3.2</v>
      </c>
      <c r="AP77" s="15">
        <f>+'ENCUESTA CONDUCTORES'!AX77</f>
        <v>2.8</v>
      </c>
      <c r="AQ77" s="15">
        <f>+'ENCUESTA CONDUCTORES'!AY77</f>
        <v>3</v>
      </c>
      <c r="AR77" s="15">
        <f>+'ENCUESTA CONDUCTORES'!AZ77</f>
        <v>1200</v>
      </c>
      <c r="AS77" s="15">
        <f>+'ENCUESTA CONDUCTORES'!BA77</f>
        <v>3500</v>
      </c>
      <c r="AT77" s="15">
        <f>IF('ENCUESTA CONDUCTORES'!BB77="X",1,0)</f>
        <v>1</v>
      </c>
      <c r="AU77" s="15">
        <f>IF('ENCUESTA CONDUCTORES'!BC77="X",1,0)</f>
        <v>1</v>
      </c>
      <c r="AV77" s="15">
        <f>IF('ENCUESTA CONDUCTORES'!BD77="X",1,0)</f>
        <v>0</v>
      </c>
      <c r="AW77" s="1">
        <f>+'ENCUESTA CONDUCTORES'!BE77</f>
        <v>25000</v>
      </c>
      <c r="AX77" s="1">
        <f>+'ENCUESTA CONDUCTORES'!BF77</f>
        <v>18000</v>
      </c>
      <c r="AY77" s="1">
        <f>+'ENCUESTA CONDUCTORES'!BG77</f>
        <v>18000</v>
      </c>
      <c r="AZ77" s="1">
        <f>+'ENCUESTA CONDUCTORES'!BH77</f>
        <v>150000</v>
      </c>
      <c r="BA77" s="1">
        <f>+'ENCUESTA CONDUCTORES'!BI77</f>
        <v>18000</v>
      </c>
      <c r="BB77" s="15">
        <f>IF('ENCUESTA CONDUCTORES'!BJ77="X",1,0)</f>
        <v>0</v>
      </c>
      <c r="BC77" s="15">
        <f>IF('ENCUESTA CONDUCTORES'!BK77="X",1,0)</f>
        <v>0</v>
      </c>
      <c r="BD77" s="15">
        <f>IF('ENCUESTA CONDUCTORES'!BL77="X",1,0)</f>
        <v>0</v>
      </c>
      <c r="BE77" s="15">
        <f>IF('ENCUESTA CONDUCTORES'!BM77="X",1,0)</f>
        <v>1</v>
      </c>
      <c r="BF77" s="15">
        <f>IF('ENCUESTA CONDUCTORES'!BN77="X",1,0)</f>
        <v>0</v>
      </c>
      <c r="BG77" s="15">
        <f>IF('ENCUESTA CONDUCTORES'!BO77="X",1,0)</f>
        <v>0</v>
      </c>
      <c r="BH77" s="15">
        <f>IF('ENCUESTA CONDUCTORES'!BP77="X",1,0)</f>
        <v>0</v>
      </c>
      <c r="BI77" s="15">
        <f>IF('ENCUESTA CONDUCTORES'!BQ77="X",1,0)</f>
        <v>0</v>
      </c>
      <c r="BJ77" s="15">
        <f>IF('ENCUESTA CONDUCTORES'!BR77="X",1,0)</f>
        <v>0</v>
      </c>
      <c r="BK77" s="15">
        <f>+'ENCUESTA CONDUCTORES'!BS77</f>
        <v>0</v>
      </c>
      <c r="BL77" s="15">
        <f>IF('ENCUESTA CONDUCTORES'!BT77="X",1,0)</f>
        <v>0</v>
      </c>
      <c r="BM77" s="15">
        <f>IF('ENCUESTA CONDUCTORES'!BU77="X",1,0)</f>
        <v>1</v>
      </c>
      <c r="BN77" s="15">
        <f>IF('ENCUESTA CONDUCTORES'!BV77="X",1,0)</f>
        <v>0</v>
      </c>
      <c r="BO77" s="15">
        <f>IF('ENCUESTA CONDUCTORES'!BW77="X",1,0)</f>
        <v>0</v>
      </c>
      <c r="BP77" s="15">
        <f>+'ENCUESTA CONDUCTORES'!BX77</f>
        <v>2</v>
      </c>
      <c r="BQ77" s="15">
        <f>+'ENCUESTA CONDUCTORES'!BY77</f>
        <v>3</v>
      </c>
      <c r="BR77" s="15">
        <f>+'ENCUESTA CONDUCTORES'!BZ77</f>
        <v>1</v>
      </c>
      <c r="BS77" s="15">
        <f>+'ENCUESTA CONDUCTORES'!CA77</f>
        <v>0</v>
      </c>
      <c r="BT77" s="15">
        <f>IF('ENCUESTA CONDUCTORES'!CB77="X",1,0)</f>
        <v>1</v>
      </c>
      <c r="BU77" s="15">
        <f>IF('ENCUESTA CONDUCTORES'!CC77="X",1,0)</f>
        <v>0</v>
      </c>
      <c r="BV77" s="15">
        <f>IF('ENCUESTA CONDUCTORES'!CD77="X",1,0)</f>
        <v>0</v>
      </c>
      <c r="BW77" s="15">
        <f>IF('ENCUESTA CONDUCTORES'!CE77="X",1,0)</f>
        <v>0</v>
      </c>
      <c r="BX77" s="15">
        <f>IF('ENCUESTA CONDUCTORES'!CF77="X",1,0)</f>
        <v>0</v>
      </c>
      <c r="BY77" s="15">
        <f>IF('ENCUESTA CONDUCTORES'!CG77="X",1,0)</f>
        <v>0</v>
      </c>
      <c r="BZ77" s="15">
        <f>IF('ENCUESTA CONDUCTORES'!CH77="X",1,0)</f>
        <v>0</v>
      </c>
      <c r="CA77" s="15">
        <f>IF('ENCUESTA CONDUCTORES'!CI77="X",1,0)</f>
        <v>0</v>
      </c>
      <c r="CB77" s="15">
        <f>IF('ENCUESTA CONDUCTORES'!CJ77="X",1,0)</f>
        <v>0</v>
      </c>
      <c r="CC77" s="15">
        <f>IF('ENCUESTA CONDUCTORES'!CK77="X",1,0)</f>
        <v>1</v>
      </c>
      <c r="CD77" s="15">
        <f>IF('ENCUESTA CONDUCTORES'!CL77="X",1,0)</f>
        <v>0</v>
      </c>
      <c r="CE77" s="15">
        <f>IF('ENCUESTA CONDUCTORES'!CM77="X",1,0)</f>
        <v>0</v>
      </c>
      <c r="CF77" s="15">
        <f>+'ENCUESTA CONDUCTORES'!CN77</f>
        <v>0</v>
      </c>
      <c r="CG77" s="15">
        <f>IF('ENCUESTA CONDUCTORES'!CO77="X",1,0)</f>
        <v>0</v>
      </c>
      <c r="CH77" s="15" t="str">
        <f>+'ENCUESTA CONDUCTORES'!CP77</f>
        <v>NO SABE</v>
      </c>
      <c r="CI77" s="15" t="str">
        <f>+'ENCUESTA CONDUCTORES'!CQ77</f>
        <v>DARLO A CONOCER</v>
      </c>
      <c r="CJ77" s="15">
        <f>IF('ENCUESTA CONDUCTORES'!CR77="X",1,0)</f>
        <v>0</v>
      </c>
      <c r="CK77" s="15">
        <f>IF('ENCUESTA CONDUCTORES'!CS77="X",1,0)</f>
        <v>0</v>
      </c>
      <c r="CL77" s="15">
        <f>IF('ENCUESTA CONDUCTORES'!CT77="X",1,0)</f>
        <v>0</v>
      </c>
      <c r="CM77" s="2" t="str">
        <f>+'ENCUESTA CONDUCTORES'!CU77</f>
        <v>DESCARGA DE MATERIALES PELIGROSOS</v>
      </c>
      <c r="CN77" s="15">
        <f>IF('ENCUESTA CONDUCTORES'!CV77="X",1,0)</f>
        <v>0</v>
      </c>
      <c r="CO77" s="15">
        <f>+'ENCUESTA CONDUCTORES'!CW77</f>
        <v>0</v>
      </c>
      <c r="CP77" s="15">
        <f>IF('ENCUESTA CONDUCTORES'!CX77="X",1,0)</f>
        <v>1</v>
      </c>
      <c r="CQ77" s="15">
        <f>IF('ENCUESTA CONDUCTORES'!CY77="X",1,0)</f>
        <v>1</v>
      </c>
      <c r="CR77" s="3">
        <f>+'ENCUESTA CONDUCTORES'!CZ77</f>
        <v>0</v>
      </c>
      <c r="CS77" s="49">
        <f>+'ENCUESTA CONDUCTORES'!DA77</f>
        <v>0</v>
      </c>
    </row>
    <row r="78" spans="2:97" x14ac:dyDescent="0.25">
      <c r="B78" s="14" t="str">
        <f>+'ENCUESTA CONDUCTORES'!D78</f>
        <v>C-084</v>
      </c>
      <c r="C78" s="15">
        <f>IF('ENCUESTA CONDUCTORES'!E78="X",1,0)</f>
        <v>1</v>
      </c>
      <c r="D78" s="15">
        <f>IF('ENCUESTA CONDUCTORES'!F78="X",1,0)</f>
        <v>0</v>
      </c>
      <c r="E78" s="15">
        <f>IF('ENCUESTA CONDUCTORES'!G78="X",1,0)</f>
        <v>0</v>
      </c>
      <c r="F78" s="15">
        <f>IF('ENCUESTA CONDUCTORES'!H78="X",1,0)</f>
        <v>0</v>
      </c>
      <c r="G78" s="15">
        <f>+'ENCUESTA CONDUCTORES'!I78</f>
        <v>43</v>
      </c>
      <c r="H78" s="15" t="str">
        <f>+'ENCUESTA CONDUCTORES'!J78</f>
        <v>M</v>
      </c>
      <c r="I78" s="15" t="str">
        <f>+'ENCUESTA CONDUCTORES'!K78</f>
        <v>PRIMARIA</v>
      </c>
      <c r="J78" s="15" t="str">
        <f>+'ENCUESTA CONDUCTORES'!L78</f>
        <v>TLALNEPANTLA, EDO. MEX.</v>
      </c>
      <c r="K78" s="15" t="str">
        <f>+'ENCUESTA CONDUCTORES'!M78</f>
        <v>TLALNEPANTLA</v>
      </c>
      <c r="L78" s="15" t="str">
        <f>+'ENCUESTA CONDUCTORES'!N78</f>
        <v>EDO. MEX.</v>
      </c>
      <c r="M78" s="15">
        <f>+'ENCUESTA CONDUCTORES'!O78</f>
        <v>12</v>
      </c>
      <c r="N78" s="15">
        <f>IF('ENCUESTA CONDUCTORES'!P78="X",1,0)</f>
        <v>1</v>
      </c>
      <c r="O78" s="15">
        <f>IF('ENCUESTA CONDUCTORES'!Q78="X",1,0)</f>
        <v>0</v>
      </c>
      <c r="P78" s="15">
        <f>IF('ENCUESTA CONDUCTORES'!R78="X",1,0)</f>
        <v>0</v>
      </c>
      <c r="Q78" s="15">
        <f>IF('ENCUESTA CONDUCTORES'!S78="X",1,0)</f>
        <v>0</v>
      </c>
      <c r="R78" s="15">
        <f>IF('ENCUESTA CONDUCTORES'!T78="X",1,0)</f>
        <v>0</v>
      </c>
      <c r="S78" s="15">
        <f>IF('ENCUESTA CONDUCTORES'!U78="X",1,0)</f>
        <v>0</v>
      </c>
      <c r="T78" s="15">
        <f>IF('ENCUESTA CONDUCTORES'!V78="X",1,0)</f>
        <v>0</v>
      </c>
      <c r="U78" s="15">
        <f>IF('ENCUESTA CONDUCTORES'!W78="X",1,0)</f>
        <v>0</v>
      </c>
      <c r="V78" s="15">
        <f>IF('ENCUESTA CONDUCTORES'!X78="X",1,0)</f>
        <v>0</v>
      </c>
      <c r="W78" s="15">
        <f>IF('ENCUESTA CONDUCTORES'!Y78="X",1,0)</f>
        <v>0</v>
      </c>
      <c r="X78" s="15">
        <f>IF('ENCUESTA CONDUCTORES'!Z78="X",1,0)</f>
        <v>0</v>
      </c>
      <c r="Y78" s="15">
        <f>+'ENCUESTA CONDUCTORES'!AG78</f>
        <v>0</v>
      </c>
      <c r="Z78" s="15">
        <f>+'ENCUESTA CONDUCTORES'!AH78</f>
        <v>1986</v>
      </c>
      <c r="AA78" s="1">
        <f>+'ENCUESTA CONDUCTORES'!AI78</f>
        <v>800000</v>
      </c>
      <c r="AB78" s="15">
        <f>IF('ENCUESTA CONDUCTORES'!AJ78="X",1,0)</f>
        <v>0</v>
      </c>
      <c r="AC78" s="15">
        <f>IF('ENCUESTA CONDUCTORES'!AK78="X",1,0)</f>
        <v>0</v>
      </c>
      <c r="AD78" s="15">
        <f>IF('ENCUESTA CONDUCTORES'!AL78="X",1,0)</f>
        <v>1</v>
      </c>
      <c r="AE78" s="15">
        <f>IF('ENCUESTA CONDUCTORES'!AM78="X",1,0)</f>
        <v>0</v>
      </c>
      <c r="AF78" s="15">
        <f>IF('ENCUESTA CONDUCTORES'!AN78="X",1,0)</f>
        <v>0</v>
      </c>
      <c r="AG78" s="15">
        <f>IF('ENCUESTA CONDUCTORES'!AO78="X",1,0)</f>
        <v>0</v>
      </c>
      <c r="AH78" s="15">
        <f>IF('ENCUESTA CONDUCTORES'!AP78="X",1,0)</f>
        <v>0</v>
      </c>
      <c r="AI78" s="15">
        <f>IF('ENCUESTA CONDUCTORES'!AQ78="X",1,0)</f>
        <v>1</v>
      </c>
      <c r="AJ78" s="15">
        <f>IF('ENCUESTA CONDUCTORES'!AR78="X",1,0)</f>
        <v>0</v>
      </c>
      <c r="AK78" s="15">
        <f>+'ENCUESTA CONDUCTORES'!AS78</f>
        <v>1995</v>
      </c>
      <c r="AL78" s="15" t="str">
        <f>+'ENCUESTA CONDUCTORES'!AT78</f>
        <v>NAVISTAR</v>
      </c>
      <c r="AM78" s="1">
        <f>+'ENCUESTA CONDUCTORES'!AU78</f>
        <v>3000</v>
      </c>
      <c r="AN78" s="48">
        <f>+'ENCUESTA CONDUCTORES'!AV78</f>
        <v>0.5</v>
      </c>
      <c r="AO78" s="15">
        <f>+'ENCUESTA CONDUCTORES'!AW78</f>
        <v>2</v>
      </c>
      <c r="AP78" s="15">
        <f>+'ENCUESTA CONDUCTORES'!AX78</f>
        <v>1.8</v>
      </c>
      <c r="AQ78" s="15">
        <f>+'ENCUESTA CONDUCTORES'!AY78</f>
        <v>2</v>
      </c>
      <c r="AR78" s="15">
        <f>+'ENCUESTA CONDUCTORES'!AZ78</f>
        <v>300</v>
      </c>
      <c r="AS78" s="15">
        <f>+'ENCUESTA CONDUCTORES'!BA78</f>
        <v>600</v>
      </c>
      <c r="AT78" s="15">
        <f>IF('ENCUESTA CONDUCTORES'!BB78="X",1,0)</f>
        <v>0</v>
      </c>
      <c r="AU78" s="15">
        <f>IF('ENCUESTA CONDUCTORES'!BC78="X",1,0)</f>
        <v>0</v>
      </c>
      <c r="AV78" s="15">
        <f>IF('ENCUESTA CONDUCTORES'!BD78="X",1,0)</f>
        <v>0</v>
      </c>
      <c r="AW78" s="1">
        <f>+'ENCUESTA CONDUCTORES'!BE78</f>
        <v>12000</v>
      </c>
      <c r="AX78" s="1">
        <f>+'ENCUESTA CONDUCTORES'!BF78</f>
        <v>25000</v>
      </c>
      <c r="AY78" s="1">
        <f>+'ENCUESTA CONDUCTORES'!BG78</f>
        <v>12000</v>
      </c>
      <c r="AZ78" s="1">
        <f>+'ENCUESTA CONDUCTORES'!BH78</f>
        <v>72000</v>
      </c>
      <c r="BA78" s="1">
        <f>+'ENCUESTA CONDUCTORES'!BI78</f>
        <v>12000</v>
      </c>
      <c r="BB78" s="15">
        <f>IF('ENCUESTA CONDUCTORES'!BJ78="X",1,0)</f>
        <v>0</v>
      </c>
      <c r="BC78" s="15">
        <f>IF('ENCUESTA CONDUCTORES'!BK78="X",1,0)</f>
        <v>0</v>
      </c>
      <c r="BD78" s="15">
        <f>IF('ENCUESTA CONDUCTORES'!BL78="X",1,0)</f>
        <v>0</v>
      </c>
      <c r="BE78" s="15">
        <f>IF('ENCUESTA CONDUCTORES'!BM78="X",1,0)</f>
        <v>0</v>
      </c>
      <c r="BF78" s="15">
        <f>IF('ENCUESTA CONDUCTORES'!BN78="X",1,0)</f>
        <v>0</v>
      </c>
      <c r="BG78" s="15">
        <f>IF('ENCUESTA CONDUCTORES'!BO78="X",1,0)</f>
        <v>0</v>
      </c>
      <c r="BH78" s="15">
        <f>IF('ENCUESTA CONDUCTORES'!BP78="X",1,0)</f>
        <v>0</v>
      </c>
      <c r="BI78" s="15">
        <f>IF('ENCUESTA CONDUCTORES'!BQ78="X",1,0)</f>
        <v>0</v>
      </c>
      <c r="BJ78" s="15">
        <f>IF('ENCUESTA CONDUCTORES'!BR78="X",1,0)</f>
        <v>0</v>
      </c>
      <c r="BK78" s="15" t="str">
        <f>+'ENCUESTA CONDUCTORES'!BS78</f>
        <v>MAQUINARIA</v>
      </c>
      <c r="BL78" s="15">
        <f>IF('ENCUESTA CONDUCTORES'!BT78="X",1,0)</f>
        <v>0</v>
      </c>
      <c r="BM78" s="15">
        <f>IF('ENCUESTA CONDUCTORES'!BU78="X",1,0)</f>
        <v>1</v>
      </c>
      <c r="BN78" s="15">
        <f>IF('ENCUESTA CONDUCTORES'!BV78="X",1,0)</f>
        <v>0</v>
      </c>
      <c r="BO78" s="15">
        <f>IF('ENCUESTA CONDUCTORES'!BW78="X",1,0)</f>
        <v>0</v>
      </c>
      <c r="BP78" s="15">
        <f>+'ENCUESTA CONDUCTORES'!BX78</f>
        <v>1</v>
      </c>
      <c r="BQ78" s="15">
        <f>+'ENCUESTA CONDUCTORES'!BY78</f>
        <v>2</v>
      </c>
      <c r="BR78" s="15">
        <f>+'ENCUESTA CONDUCTORES'!BZ78</f>
        <v>3</v>
      </c>
      <c r="BS78" s="15">
        <f>+'ENCUESTA CONDUCTORES'!CA78</f>
        <v>0</v>
      </c>
      <c r="BT78" s="15">
        <f>IF('ENCUESTA CONDUCTORES'!CB78="X",1,0)</f>
        <v>1</v>
      </c>
      <c r="BU78" s="15">
        <f>IF('ENCUESTA CONDUCTORES'!CC78="X",1,0)</f>
        <v>0</v>
      </c>
      <c r="BV78" s="15">
        <f>IF('ENCUESTA CONDUCTORES'!CD78="X",1,0)</f>
        <v>0</v>
      </c>
      <c r="BW78" s="15">
        <f>IF('ENCUESTA CONDUCTORES'!CE78="X",1,0)</f>
        <v>0</v>
      </c>
      <c r="BX78" s="15">
        <f>IF('ENCUESTA CONDUCTORES'!CF78="X",1,0)</f>
        <v>0</v>
      </c>
      <c r="BY78" s="15">
        <f>IF('ENCUESTA CONDUCTORES'!CG78="X",1,0)</f>
        <v>0</v>
      </c>
      <c r="BZ78" s="15">
        <f>IF('ENCUESTA CONDUCTORES'!CH78="X",1,0)</f>
        <v>0</v>
      </c>
      <c r="CA78" s="15">
        <f>IF('ENCUESTA CONDUCTORES'!CI78="X",1,0)</f>
        <v>0</v>
      </c>
      <c r="CB78" s="15">
        <f>IF('ENCUESTA CONDUCTORES'!CJ78="X",1,0)</f>
        <v>0</v>
      </c>
      <c r="CC78" s="15">
        <f>IF('ENCUESTA CONDUCTORES'!CK78="X",1,0)</f>
        <v>0</v>
      </c>
      <c r="CD78" s="15">
        <f>IF('ENCUESTA CONDUCTORES'!CL78="X",1,0)</f>
        <v>1</v>
      </c>
      <c r="CE78" s="15">
        <f>IF('ENCUESTA CONDUCTORES'!CM78="X",1,0)</f>
        <v>0</v>
      </c>
      <c r="CF78" s="15" t="str">
        <f>+'ENCUESTA CONDUCTORES'!CN78</f>
        <v>AL PATRON NO LE INTERESA</v>
      </c>
      <c r="CG78" s="15">
        <f>IF('ENCUESTA CONDUCTORES'!CO78="X",1,0)</f>
        <v>1</v>
      </c>
      <c r="CH78" s="15" t="str">
        <f>+'ENCUESTA CONDUCTORES'!CP78</f>
        <v>NO SABE</v>
      </c>
      <c r="CI78" s="15" t="str">
        <f>+'ENCUESTA CONDUCTORES'!CQ78</f>
        <v>PUBLICIDAD</v>
      </c>
      <c r="CJ78" s="15">
        <f>IF('ENCUESTA CONDUCTORES'!CR78="X",1,0)</f>
        <v>0</v>
      </c>
      <c r="CK78" s="15">
        <f>IF('ENCUESTA CONDUCTORES'!CS78="X",1,0)</f>
        <v>1</v>
      </c>
      <c r="CL78" s="15">
        <f>IF('ENCUESTA CONDUCTORES'!CT78="X",1,0)</f>
        <v>0</v>
      </c>
      <c r="CM78" s="15">
        <f>+'ENCUESTA CONDUCTORES'!CU78</f>
        <v>0</v>
      </c>
      <c r="CN78" s="15">
        <f>IF('ENCUESTA CONDUCTORES'!CV78="X",1,0)</f>
        <v>0</v>
      </c>
      <c r="CO78" s="15">
        <f>+'ENCUESTA CONDUCTORES'!CW78</f>
        <v>0</v>
      </c>
      <c r="CP78" s="15">
        <f>IF('ENCUESTA CONDUCTORES'!CX78="X",1,0)</f>
        <v>0</v>
      </c>
      <c r="CQ78" s="15">
        <f>IF('ENCUESTA CONDUCTORES'!CY78="X",1,0)</f>
        <v>1</v>
      </c>
      <c r="CR78" s="3">
        <f>+'ENCUESTA CONDUCTORES'!CZ78</f>
        <v>0</v>
      </c>
      <c r="CS78" s="49">
        <f>+'ENCUESTA CONDUCTORES'!DA78</f>
        <v>0</v>
      </c>
    </row>
    <row r="79" spans="2:97" x14ac:dyDescent="0.25">
      <c r="B79" s="14" t="str">
        <f>+'ENCUESTA CONDUCTORES'!D79</f>
        <v>C-085</v>
      </c>
      <c r="C79" s="15">
        <f>IF('ENCUESTA CONDUCTORES'!E79="X",1,0)</f>
        <v>0</v>
      </c>
      <c r="D79" s="15">
        <f>IF('ENCUESTA CONDUCTORES'!F79="X",1,0)</f>
        <v>0</v>
      </c>
      <c r="E79" s="15">
        <f>IF('ENCUESTA CONDUCTORES'!G79="X",1,0)</f>
        <v>1</v>
      </c>
      <c r="F79" s="15">
        <f>IF('ENCUESTA CONDUCTORES'!H79="X",1,0)</f>
        <v>0</v>
      </c>
      <c r="G79" s="15">
        <f>+'ENCUESTA CONDUCTORES'!I79</f>
        <v>34</v>
      </c>
      <c r="H79" s="15" t="str">
        <f>+'ENCUESTA CONDUCTORES'!J79</f>
        <v>M</v>
      </c>
      <c r="I79" s="15" t="str">
        <f>+'ENCUESTA CONDUCTORES'!K79</f>
        <v>BACHILLERATO</v>
      </c>
      <c r="J79" s="15" t="str">
        <f>+'ENCUESTA CONDUCTORES'!L79</f>
        <v>CUAJIMALPA, D.F.</v>
      </c>
      <c r="K79" s="15" t="str">
        <f>+'ENCUESTA CONDUCTORES'!M79</f>
        <v>CUAJIMALPA</v>
      </c>
      <c r="L79" s="15" t="str">
        <f>+'ENCUESTA CONDUCTORES'!N79</f>
        <v>EDO. MEX.</v>
      </c>
      <c r="M79" s="15">
        <f>+'ENCUESTA CONDUCTORES'!O79</f>
        <v>14</v>
      </c>
      <c r="N79" s="15">
        <f>IF('ENCUESTA CONDUCTORES'!P79="X",1,0)</f>
        <v>0</v>
      </c>
      <c r="O79" s="15">
        <f>IF('ENCUESTA CONDUCTORES'!Q79="X",1,0)</f>
        <v>1</v>
      </c>
      <c r="P79" s="15">
        <f>IF('ENCUESTA CONDUCTORES'!R79="X",1,0)</f>
        <v>0</v>
      </c>
      <c r="Q79" s="15">
        <f>IF('ENCUESTA CONDUCTORES'!S79="X",1,0)</f>
        <v>0</v>
      </c>
      <c r="R79" s="15">
        <f>IF('ENCUESTA CONDUCTORES'!T79="X",1,0)</f>
        <v>0</v>
      </c>
      <c r="S79" s="15">
        <f>IF('ENCUESTA CONDUCTORES'!U79="X",1,0)</f>
        <v>0</v>
      </c>
      <c r="T79" s="15">
        <f>IF('ENCUESTA CONDUCTORES'!V79="X",1,0)</f>
        <v>0</v>
      </c>
      <c r="U79" s="15">
        <f>IF('ENCUESTA CONDUCTORES'!W79="X",1,0)</f>
        <v>0</v>
      </c>
      <c r="V79" s="15">
        <f>IF('ENCUESTA CONDUCTORES'!X79="X",1,0)</f>
        <v>0</v>
      </c>
      <c r="W79" s="15">
        <f>IF('ENCUESTA CONDUCTORES'!Y79="X",1,0)</f>
        <v>1</v>
      </c>
      <c r="X79" s="15">
        <f>IF('ENCUESTA CONDUCTORES'!Z79="X",1,0)</f>
        <v>0</v>
      </c>
      <c r="Y79" s="15">
        <f>+'ENCUESTA CONDUCTORES'!AG79</f>
        <v>0</v>
      </c>
      <c r="Z79" s="15">
        <f>+'ENCUESTA CONDUCTORES'!AH79</f>
        <v>2000</v>
      </c>
      <c r="AA79" s="1">
        <f>+'ENCUESTA CONDUCTORES'!AI79</f>
        <v>2350000</v>
      </c>
      <c r="AB79" s="15">
        <f>IF('ENCUESTA CONDUCTORES'!AJ79="X",1,0)</f>
        <v>0</v>
      </c>
      <c r="AC79" s="15">
        <f>IF('ENCUESTA CONDUCTORES'!AK79="X",1,0)</f>
        <v>0</v>
      </c>
      <c r="AD79" s="15">
        <f>IF('ENCUESTA CONDUCTORES'!AL79="X",1,0)</f>
        <v>1</v>
      </c>
      <c r="AE79" s="15">
        <f>IF('ENCUESTA CONDUCTORES'!AM79="X",1,0)</f>
        <v>0</v>
      </c>
      <c r="AF79" s="15">
        <f>IF('ENCUESTA CONDUCTORES'!AN79="X",1,0)</f>
        <v>0</v>
      </c>
      <c r="AG79" s="15">
        <f>IF('ENCUESTA CONDUCTORES'!AO79="X",1,0)</f>
        <v>0</v>
      </c>
      <c r="AH79" s="15">
        <f>IF('ENCUESTA CONDUCTORES'!AP79="X",1,0)</f>
        <v>1</v>
      </c>
      <c r="AI79" s="15">
        <f>IF('ENCUESTA CONDUCTORES'!AQ79="X",1,0)</f>
        <v>0</v>
      </c>
      <c r="AJ79" s="15">
        <f>IF('ENCUESTA CONDUCTORES'!AR79="X",1,0)</f>
        <v>0</v>
      </c>
      <c r="AK79" s="15">
        <f>+'ENCUESTA CONDUCTORES'!AS79</f>
        <v>0</v>
      </c>
      <c r="AL79" s="15" t="str">
        <f>+'ENCUESTA CONDUCTORES'!AT79</f>
        <v>ISUZU</v>
      </c>
      <c r="AM79" s="1">
        <f>+'ENCUESTA CONDUCTORES'!AU79</f>
        <v>15000</v>
      </c>
      <c r="AN79" s="48">
        <f>+'ENCUESTA CONDUCTORES'!AV79</f>
        <v>0.5</v>
      </c>
      <c r="AO79" s="15">
        <f>+'ENCUESTA CONDUCTORES'!AW79</f>
        <v>2</v>
      </c>
      <c r="AP79" s="15">
        <f>+'ENCUESTA CONDUCTORES'!AX79</f>
        <v>1.5</v>
      </c>
      <c r="AQ79" s="15">
        <f>+'ENCUESTA CONDUCTORES'!AY79</f>
        <v>2</v>
      </c>
      <c r="AR79" s="15">
        <f>+'ENCUESTA CONDUCTORES'!AZ79</f>
        <v>380</v>
      </c>
      <c r="AS79" s="15">
        <f>+'ENCUESTA CONDUCTORES'!BA79</f>
        <v>700</v>
      </c>
      <c r="AT79" s="15">
        <f>IF('ENCUESTA CONDUCTORES'!BB79="X",1,0)</f>
        <v>0</v>
      </c>
      <c r="AU79" s="15">
        <f>IF('ENCUESTA CONDUCTORES'!BC79="X",1,0)</f>
        <v>0</v>
      </c>
      <c r="AV79" s="15">
        <f>IF('ENCUESTA CONDUCTORES'!BD79="X",1,0)</f>
        <v>0</v>
      </c>
      <c r="AW79" s="1">
        <f>+'ENCUESTA CONDUCTORES'!BE79</f>
        <v>7000</v>
      </c>
      <c r="AX79" s="1">
        <f>+'ENCUESTA CONDUCTORES'!BF79</f>
        <v>15000</v>
      </c>
      <c r="AY79" s="1">
        <f>+'ENCUESTA CONDUCTORES'!BG79</f>
        <v>15000</v>
      </c>
      <c r="AZ79" s="1">
        <f>+'ENCUESTA CONDUCTORES'!BH79</f>
        <v>90000</v>
      </c>
      <c r="BA79" s="1">
        <f>+'ENCUESTA CONDUCTORES'!BI79</f>
        <v>15000</v>
      </c>
      <c r="BB79" s="15">
        <f>IF('ENCUESTA CONDUCTORES'!BJ79="X",1,0)</f>
        <v>0</v>
      </c>
      <c r="BC79" s="15">
        <f>IF('ENCUESTA CONDUCTORES'!BK79="X",1,0)</f>
        <v>0</v>
      </c>
      <c r="BD79" s="15">
        <f>IF('ENCUESTA CONDUCTORES'!BL79="X",1,0)</f>
        <v>0</v>
      </c>
      <c r="BE79" s="15">
        <f>IF('ENCUESTA CONDUCTORES'!BM79="X",1,0)</f>
        <v>0</v>
      </c>
      <c r="BF79" s="15">
        <f>IF('ENCUESTA CONDUCTORES'!BN79="X",1,0)</f>
        <v>0</v>
      </c>
      <c r="BG79" s="15">
        <f>IF('ENCUESTA CONDUCTORES'!BO79="X",1,0)</f>
        <v>0</v>
      </c>
      <c r="BH79" s="15">
        <f>IF('ENCUESTA CONDUCTORES'!BP79="X",1,0)</f>
        <v>0</v>
      </c>
      <c r="BI79" s="15">
        <f>IF('ENCUESTA CONDUCTORES'!BQ79="X",1,0)</f>
        <v>0</v>
      </c>
      <c r="BJ79" s="15">
        <f>IF('ENCUESTA CONDUCTORES'!BR79="X",1,0)</f>
        <v>0</v>
      </c>
      <c r="BK79" s="15" t="str">
        <f>+'ENCUESTA CONDUCTORES'!BS79</f>
        <v>AGUA POTABLE</v>
      </c>
      <c r="BL79" s="15">
        <f>IF('ENCUESTA CONDUCTORES'!BT79="X",1,0)</f>
        <v>0</v>
      </c>
      <c r="BM79" s="15">
        <f>IF('ENCUESTA CONDUCTORES'!BU79="X",1,0)</f>
        <v>0</v>
      </c>
      <c r="BN79" s="15">
        <f>IF('ENCUESTA CONDUCTORES'!BV79="X",1,0)</f>
        <v>1</v>
      </c>
      <c r="BO79" s="15">
        <f>IF('ENCUESTA CONDUCTORES'!BW79="X",1,0)</f>
        <v>0</v>
      </c>
      <c r="BP79" s="15">
        <f>+'ENCUESTA CONDUCTORES'!BX79</f>
        <v>1</v>
      </c>
      <c r="BQ79" s="15">
        <f>+'ENCUESTA CONDUCTORES'!BY79</f>
        <v>3</v>
      </c>
      <c r="BR79" s="15">
        <f>+'ENCUESTA CONDUCTORES'!BZ79</f>
        <v>2</v>
      </c>
      <c r="BS79" s="15">
        <f>+'ENCUESTA CONDUCTORES'!CA79</f>
        <v>0</v>
      </c>
      <c r="BT79" s="15">
        <f>IF('ENCUESTA CONDUCTORES'!CB79="X",1,0)</f>
        <v>1</v>
      </c>
      <c r="BU79" s="15">
        <f>IF('ENCUESTA CONDUCTORES'!CC79="X",1,0)</f>
        <v>0</v>
      </c>
      <c r="BV79" s="15">
        <f>IF('ENCUESTA CONDUCTORES'!CD79="X",1,0)</f>
        <v>0</v>
      </c>
      <c r="BW79" s="15">
        <f>IF('ENCUESTA CONDUCTORES'!CE79="X",1,0)</f>
        <v>0</v>
      </c>
      <c r="BX79" s="15">
        <f>IF('ENCUESTA CONDUCTORES'!CF79="X",1,0)</f>
        <v>0</v>
      </c>
      <c r="BY79" s="15">
        <f>IF('ENCUESTA CONDUCTORES'!CG79="X",1,0)</f>
        <v>0</v>
      </c>
      <c r="BZ79" s="15">
        <f>IF('ENCUESTA CONDUCTORES'!CH79="X",1,0)</f>
        <v>0</v>
      </c>
      <c r="CA79" s="15">
        <f>IF('ENCUESTA CONDUCTORES'!CI79="X",1,0)</f>
        <v>0</v>
      </c>
      <c r="CB79" s="15">
        <f>IF('ENCUESTA CONDUCTORES'!CJ79="X",1,0)</f>
        <v>0</v>
      </c>
      <c r="CC79" s="15">
        <f>IF('ENCUESTA CONDUCTORES'!CK79="X",1,0)</f>
        <v>1</v>
      </c>
      <c r="CD79" s="15">
        <f>IF('ENCUESTA CONDUCTORES'!CL79="X",1,0)</f>
        <v>0</v>
      </c>
      <c r="CE79" s="15">
        <f>IF('ENCUESTA CONDUCTORES'!CM79="X",1,0)</f>
        <v>0</v>
      </c>
      <c r="CF79" s="15">
        <f>+'ENCUESTA CONDUCTORES'!CN79</f>
        <v>0</v>
      </c>
      <c r="CG79" s="15">
        <f>IF('ENCUESTA CONDUCTORES'!CO79="X",1,0)</f>
        <v>0</v>
      </c>
      <c r="CH79" s="15" t="str">
        <f>+'ENCUESTA CONDUCTORES'!CP79</f>
        <v>NO SABE</v>
      </c>
      <c r="CI79" s="15" t="str">
        <f>+'ENCUESTA CONDUCTORES'!CQ79</f>
        <v>DARLO A CONOCER</v>
      </c>
      <c r="CJ79" s="15">
        <f>IF('ENCUESTA CONDUCTORES'!CR79="X",1,0)</f>
        <v>1</v>
      </c>
      <c r="CK79" s="15">
        <f>IF('ENCUESTA CONDUCTORES'!CS79="X",1,0)</f>
        <v>0</v>
      </c>
      <c r="CL79" s="15">
        <f>IF('ENCUESTA CONDUCTORES'!CT79="X",1,0)</f>
        <v>0</v>
      </c>
      <c r="CM79" s="15">
        <f>+'ENCUESTA CONDUCTORES'!CU79</f>
        <v>0</v>
      </c>
      <c r="CN79" s="15">
        <f>IF('ENCUESTA CONDUCTORES'!CV79="X",1,0)</f>
        <v>1</v>
      </c>
      <c r="CO79" s="15" t="str">
        <f>+'ENCUESTA CONDUCTORES'!CW79</f>
        <v>NO TIENE TIEMPO</v>
      </c>
      <c r="CP79" s="15">
        <f>IF('ENCUESTA CONDUCTORES'!CX79="X",1,0)</f>
        <v>0</v>
      </c>
      <c r="CQ79" s="15">
        <f>IF('ENCUESTA CONDUCTORES'!CY79="X",1,0)</f>
        <v>0</v>
      </c>
      <c r="CR79" s="3">
        <f>+'ENCUESTA CONDUCTORES'!CZ79</f>
        <v>0</v>
      </c>
      <c r="CS79" s="49">
        <f>+'ENCUESTA CONDUCTORES'!DA79</f>
        <v>0</v>
      </c>
    </row>
    <row r="80" spans="2:97" x14ac:dyDescent="0.25">
      <c r="B80" s="14" t="str">
        <f>+'ENCUESTA CONDUCTORES'!D80</f>
        <v>C-086</v>
      </c>
      <c r="C80" s="15">
        <f>IF('ENCUESTA CONDUCTORES'!E80="X",1,0)</f>
        <v>0</v>
      </c>
      <c r="D80" s="15">
        <f>IF('ENCUESTA CONDUCTORES'!F80="X",1,0)</f>
        <v>0</v>
      </c>
      <c r="E80" s="15">
        <f>IF('ENCUESTA CONDUCTORES'!G80="X",1,0)</f>
        <v>1</v>
      </c>
      <c r="F80" s="15">
        <f>IF('ENCUESTA CONDUCTORES'!H80="X",1,0)</f>
        <v>0</v>
      </c>
      <c r="G80" s="15">
        <f>+'ENCUESTA CONDUCTORES'!I80</f>
        <v>23</v>
      </c>
      <c r="H80" s="15" t="str">
        <f>+'ENCUESTA CONDUCTORES'!J80</f>
        <v>M</v>
      </c>
      <c r="I80" s="15" t="str">
        <f>+'ENCUESTA CONDUCTORES'!K80</f>
        <v>SECUNDARIA</v>
      </c>
      <c r="J80" s="15" t="str">
        <f>+'ENCUESTA CONDUCTORES'!L80</f>
        <v>ATIZAPAN, EDO. MEX.</v>
      </c>
      <c r="K80" s="15" t="str">
        <f>+'ENCUESTA CONDUCTORES'!M80</f>
        <v>ATIZAPAN</v>
      </c>
      <c r="L80" s="15" t="str">
        <f>+'ENCUESTA CONDUCTORES'!N80</f>
        <v>EDO. MEX.</v>
      </c>
      <c r="M80" s="15">
        <f>+'ENCUESTA CONDUCTORES'!O80</f>
        <v>4</v>
      </c>
      <c r="N80" s="15">
        <f>IF('ENCUESTA CONDUCTORES'!P80="X",1,0)</f>
        <v>0</v>
      </c>
      <c r="O80" s="15">
        <f>IF('ENCUESTA CONDUCTORES'!Q80="X",1,0)</f>
        <v>0</v>
      </c>
      <c r="P80" s="15">
        <f>IF('ENCUESTA CONDUCTORES'!R80="X",1,0)</f>
        <v>1</v>
      </c>
      <c r="Q80" s="15">
        <f>IF('ENCUESTA CONDUCTORES'!S80="X",1,0)</f>
        <v>0</v>
      </c>
      <c r="R80" s="15">
        <f>IF('ENCUESTA CONDUCTORES'!T80="X",1,0)</f>
        <v>0</v>
      </c>
      <c r="S80" s="15">
        <f>IF('ENCUESTA CONDUCTORES'!U80="X",1,0)</f>
        <v>1</v>
      </c>
      <c r="T80" s="15">
        <f>IF('ENCUESTA CONDUCTORES'!V80="X",1,0)</f>
        <v>0</v>
      </c>
      <c r="U80" s="15">
        <f>IF('ENCUESTA CONDUCTORES'!W80="X",1,0)</f>
        <v>0</v>
      </c>
      <c r="V80" s="15">
        <f>IF('ENCUESTA CONDUCTORES'!X80="X",1,0)</f>
        <v>0</v>
      </c>
      <c r="W80" s="15">
        <f>IF('ENCUESTA CONDUCTORES'!Y80="X",1,0)</f>
        <v>0</v>
      </c>
      <c r="X80" s="15">
        <f>IF('ENCUESTA CONDUCTORES'!Z80="X",1,0)</f>
        <v>0</v>
      </c>
      <c r="Y80" s="15">
        <f>+'ENCUESTA CONDUCTORES'!AG80</f>
        <v>0</v>
      </c>
      <c r="Z80" s="15">
        <f>+'ENCUESTA CONDUCTORES'!AH80</f>
        <v>2005</v>
      </c>
      <c r="AA80" s="1">
        <f>+'ENCUESTA CONDUCTORES'!AI80</f>
        <v>450000</v>
      </c>
      <c r="AB80" s="15">
        <f>IF('ENCUESTA CONDUCTORES'!AJ80="X",1,0)</f>
        <v>0</v>
      </c>
      <c r="AC80" s="15">
        <f>IF('ENCUESTA CONDUCTORES'!AK80="X",1,0)</f>
        <v>0</v>
      </c>
      <c r="AD80" s="15">
        <f>IF('ENCUESTA CONDUCTORES'!AL80="X",1,0)</f>
        <v>1</v>
      </c>
      <c r="AE80" s="15">
        <f>IF('ENCUESTA CONDUCTORES'!AM80="X",1,0)</f>
        <v>0</v>
      </c>
      <c r="AF80" s="15">
        <f>IF('ENCUESTA CONDUCTORES'!AN80="X",1,0)</f>
        <v>0</v>
      </c>
      <c r="AG80" s="15">
        <f>IF('ENCUESTA CONDUCTORES'!AO80="X",1,0)</f>
        <v>0</v>
      </c>
      <c r="AH80" s="15">
        <f>IF('ENCUESTA CONDUCTORES'!AP80="X",1,0)</f>
        <v>1</v>
      </c>
      <c r="AI80" s="15">
        <f>IF('ENCUESTA CONDUCTORES'!AQ80="X",1,0)</f>
        <v>0</v>
      </c>
      <c r="AJ80" s="15">
        <f>IF('ENCUESTA CONDUCTORES'!AR80="X",1,0)</f>
        <v>0</v>
      </c>
      <c r="AK80" s="15">
        <f>+'ENCUESTA CONDUCTORES'!AS80</f>
        <v>0</v>
      </c>
      <c r="AL80" s="15" t="str">
        <f>+'ENCUESTA CONDUCTORES'!AT80</f>
        <v>KENWORTH</v>
      </c>
      <c r="AM80" s="1">
        <f>+'ENCUESTA CONDUCTORES'!AU80</f>
        <v>4500</v>
      </c>
      <c r="AN80" s="48">
        <f>+'ENCUESTA CONDUCTORES'!AV80</f>
        <v>0.5</v>
      </c>
      <c r="AO80" s="15">
        <f>+'ENCUESTA CONDUCTORES'!AW80</f>
        <v>1.8</v>
      </c>
      <c r="AP80" s="15">
        <f>+'ENCUESTA CONDUCTORES'!AX80</f>
        <v>1.5</v>
      </c>
      <c r="AQ80" s="15">
        <f>+'ENCUESTA CONDUCTORES'!AY80</f>
        <v>2</v>
      </c>
      <c r="AR80" s="15">
        <f>+'ENCUESTA CONDUCTORES'!AZ80</f>
        <v>1000</v>
      </c>
      <c r="AS80" s="15">
        <f>+'ENCUESTA CONDUCTORES'!BA80</f>
        <v>1700</v>
      </c>
      <c r="AT80" s="15">
        <f>IF('ENCUESTA CONDUCTORES'!BB80="X",1,0)</f>
        <v>1</v>
      </c>
      <c r="AU80" s="15">
        <f>IF('ENCUESTA CONDUCTORES'!BC80="X",1,0)</f>
        <v>1</v>
      </c>
      <c r="AV80" s="15">
        <f>IF('ENCUESTA CONDUCTORES'!BD80="X",1,0)</f>
        <v>1</v>
      </c>
      <c r="AW80" s="1">
        <f>+'ENCUESTA CONDUCTORES'!BE80</f>
        <v>10000</v>
      </c>
      <c r="AX80" s="1">
        <f>+'ENCUESTA CONDUCTORES'!BF80</f>
        <v>10000</v>
      </c>
      <c r="AY80" s="1">
        <f>+'ENCUESTA CONDUCTORES'!BG80</f>
        <v>10000</v>
      </c>
      <c r="AZ80" s="1">
        <f>+'ENCUESTA CONDUCTORES'!BH80</f>
        <v>120000</v>
      </c>
      <c r="BA80" s="1">
        <f>+'ENCUESTA CONDUCTORES'!BI80</f>
        <v>10000</v>
      </c>
      <c r="BB80" s="15">
        <f>IF('ENCUESTA CONDUCTORES'!BJ80="X",1,0)</f>
        <v>0</v>
      </c>
      <c r="BC80" s="15">
        <f>IF('ENCUESTA CONDUCTORES'!BK80="X",1,0)</f>
        <v>0</v>
      </c>
      <c r="BD80" s="15">
        <f>IF('ENCUESTA CONDUCTORES'!BL80="X",1,0)</f>
        <v>0</v>
      </c>
      <c r="BE80" s="15">
        <f>IF('ENCUESTA CONDUCTORES'!BM80="X",1,0)</f>
        <v>1</v>
      </c>
      <c r="BF80" s="15">
        <f>IF('ENCUESTA CONDUCTORES'!BN80="X",1,0)</f>
        <v>0</v>
      </c>
      <c r="BG80" s="15">
        <f>IF('ENCUESTA CONDUCTORES'!BO80="X",1,0)</f>
        <v>0</v>
      </c>
      <c r="BH80" s="15">
        <f>IF('ENCUESTA CONDUCTORES'!BP80="X",1,0)</f>
        <v>0</v>
      </c>
      <c r="BI80" s="15">
        <f>IF('ENCUESTA CONDUCTORES'!BQ80="X",1,0)</f>
        <v>0</v>
      </c>
      <c r="BJ80" s="15">
        <f>IF('ENCUESTA CONDUCTORES'!BR80="X",1,0)</f>
        <v>0</v>
      </c>
      <c r="BK80" s="15">
        <f>+'ENCUESTA CONDUCTORES'!BS80</f>
        <v>0</v>
      </c>
      <c r="BL80" s="15">
        <f>IF('ENCUESTA CONDUCTORES'!BT80="X",1,0)</f>
        <v>0</v>
      </c>
      <c r="BM80" s="15">
        <f>IF('ENCUESTA CONDUCTORES'!BU80="X",1,0)</f>
        <v>0</v>
      </c>
      <c r="BN80" s="15">
        <f>IF('ENCUESTA CONDUCTORES'!BV80="X",1,0)</f>
        <v>1</v>
      </c>
      <c r="BO80" s="15">
        <f>IF('ENCUESTA CONDUCTORES'!BW80="X",1,0)</f>
        <v>0</v>
      </c>
      <c r="BP80" s="15">
        <f>+'ENCUESTA CONDUCTORES'!BX80</f>
        <v>1</v>
      </c>
      <c r="BQ80" s="15">
        <f>+'ENCUESTA CONDUCTORES'!BY80</f>
        <v>3</v>
      </c>
      <c r="BR80" s="15">
        <f>+'ENCUESTA CONDUCTORES'!BZ80</f>
        <v>2</v>
      </c>
      <c r="BS80" s="15">
        <f>+'ENCUESTA CONDUCTORES'!CA80</f>
        <v>0</v>
      </c>
      <c r="BT80" s="15">
        <f>IF('ENCUESTA CONDUCTORES'!CB80="X",1,0)</f>
        <v>0</v>
      </c>
      <c r="BU80" s="15">
        <f>IF('ENCUESTA CONDUCTORES'!CC80="X",1,0)</f>
        <v>1</v>
      </c>
      <c r="BV80" s="15">
        <f>IF('ENCUESTA CONDUCTORES'!CD80="X",1,0)</f>
        <v>1</v>
      </c>
      <c r="BW80" s="15">
        <f>IF('ENCUESTA CONDUCTORES'!CE80="X",1,0)</f>
        <v>0</v>
      </c>
      <c r="BX80" s="15">
        <f>IF('ENCUESTA CONDUCTORES'!CF80="X",1,0)</f>
        <v>0</v>
      </c>
      <c r="BY80" s="15">
        <f>IF('ENCUESTA CONDUCTORES'!CG80="X",1,0)</f>
        <v>1</v>
      </c>
      <c r="BZ80" s="15">
        <f>IF('ENCUESTA CONDUCTORES'!CH80="X",1,0)</f>
        <v>0</v>
      </c>
      <c r="CA80" s="15">
        <f>IF('ENCUESTA CONDUCTORES'!CI80="X",1,0)</f>
        <v>0</v>
      </c>
      <c r="CB80" s="15">
        <f>IF('ENCUESTA CONDUCTORES'!CJ80="X",1,0)</f>
        <v>0</v>
      </c>
      <c r="CC80" s="15">
        <f>IF('ENCUESTA CONDUCTORES'!CK80="X",1,0)</f>
        <v>1</v>
      </c>
      <c r="CD80" s="15">
        <f>IF('ENCUESTA CONDUCTORES'!CL80="X",1,0)</f>
        <v>0</v>
      </c>
      <c r="CE80" s="15">
        <f>IF('ENCUESTA CONDUCTORES'!CM80="X",1,0)</f>
        <v>0</v>
      </c>
      <c r="CF80" s="15">
        <f>+'ENCUESTA CONDUCTORES'!CN80</f>
        <v>0</v>
      </c>
      <c r="CG80" s="15">
        <f>IF('ENCUESTA CONDUCTORES'!CO80="X",1,0)</f>
        <v>0</v>
      </c>
      <c r="CH80" s="15" t="str">
        <f>+'ENCUESTA CONDUCTORES'!CP80</f>
        <v>NO SABE</v>
      </c>
      <c r="CI80" s="15" t="str">
        <f>+'ENCUESTA CONDUCTORES'!CQ80</f>
        <v>DARLO A CONOCER</v>
      </c>
      <c r="CJ80" s="15">
        <f>IF('ENCUESTA CONDUCTORES'!CR80="X",1,0)</f>
        <v>0</v>
      </c>
      <c r="CK80" s="15">
        <f>IF('ENCUESTA CONDUCTORES'!CS80="X",1,0)</f>
        <v>0</v>
      </c>
      <c r="CL80" s="15">
        <f>IF('ENCUESTA CONDUCTORES'!CT80="X",1,0)</f>
        <v>1</v>
      </c>
      <c r="CM80" s="15">
        <f>+'ENCUESTA CONDUCTORES'!CU80</f>
        <v>0</v>
      </c>
      <c r="CN80" s="15">
        <f>IF('ENCUESTA CONDUCTORES'!CV80="X",1,0)</f>
        <v>0</v>
      </c>
      <c r="CO80" s="15">
        <f>+'ENCUESTA CONDUCTORES'!CW80</f>
        <v>0</v>
      </c>
      <c r="CP80" s="15">
        <f>IF('ENCUESTA CONDUCTORES'!CX80="X",1,0)</f>
        <v>1</v>
      </c>
      <c r="CQ80" s="15">
        <f>IF('ENCUESTA CONDUCTORES'!CY80="X",1,0)</f>
        <v>1</v>
      </c>
      <c r="CR80" s="3">
        <f>+'ENCUESTA CONDUCTORES'!CZ80</f>
        <v>0</v>
      </c>
      <c r="CS80" s="49">
        <f>+'ENCUESTA CONDUCTORES'!DA80</f>
        <v>0</v>
      </c>
    </row>
    <row r="81" spans="2:97" x14ac:dyDescent="0.25">
      <c r="B81" s="14" t="str">
        <f>+'ENCUESTA CONDUCTORES'!D81</f>
        <v>C-087</v>
      </c>
      <c r="C81" s="15">
        <f>IF('ENCUESTA CONDUCTORES'!E81="X",1,0)</f>
        <v>0</v>
      </c>
      <c r="D81" s="15">
        <f>IF('ENCUESTA CONDUCTORES'!F81="X",1,0)</f>
        <v>0</v>
      </c>
      <c r="E81" s="15">
        <f>IF('ENCUESTA CONDUCTORES'!G81="X",1,0)</f>
        <v>0</v>
      </c>
      <c r="F81" s="15">
        <f>IF('ENCUESTA CONDUCTORES'!H81="X",1,0)</f>
        <v>1</v>
      </c>
      <c r="G81" s="15">
        <f>+'ENCUESTA CONDUCTORES'!I81</f>
        <v>43</v>
      </c>
      <c r="H81" s="15" t="str">
        <f>+'ENCUESTA CONDUCTORES'!J81</f>
        <v>M</v>
      </c>
      <c r="I81" s="15" t="str">
        <f>+'ENCUESTA CONDUCTORES'!K81</f>
        <v>SECUNDARIA</v>
      </c>
      <c r="J81" s="15" t="str">
        <f>+'ENCUESTA CONDUCTORES'!L81</f>
        <v>CHALCO, EDO. MEX.</v>
      </c>
      <c r="K81" s="15" t="str">
        <f>+'ENCUESTA CONDUCTORES'!M81</f>
        <v>CHALCO</v>
      </c>
      <c r="L81" s="15" t="str">
        <f>+'ENCUESTA CONDUCTORES'!N81</f>
        <v>EDO. MEX.</v>
      </c>
      <c r="M81" s="15">
        <f>+'ENCUESTA CONDUCTORES'!O81</f>
        <v>23</v>
      </c>
      <c r="N81" s="15">
        <f>IF('ENCUESTA CONDUCTORES'!P81="X",1,0)</f>
        <v>1</v>
      </c>
      <c r="O81" s="15">
        <f>IF('ENCUESTA CONDUCTORES'!Q81="X",1,0)</f>
        <v>0</v>
      </c>
      <c r="P81" s="15">
        <f>IF('ENCUESTA CONDUCTORES'!R81="X",1,0)</f>
        <v>0</v>
      </c>
      <c r="Q81" s="15">
        <f>IF('ENCUESTA CONDUCTORES'!S81="X",1,0)</f>
        <v>0</v>
      </c>
      <c r="R81" s="15">
        <f>IF('ENCUESTA CONDUCTORES'!T81="X",1,0)</f>
        <v>0</v>
      </c>
      <c r="S81" s="15">
        <f>IF('ENCUESTA CONDUCTORES'!U81="X",1,0)</f>
        <v>1</v>
      </c>
      <c r="T81" s="15">
        <f>IF('ENCUESTA CONDUCTORES'!V81="X",1,0)</f>
        <v>0</v>
      </c>
      <c r="U81" s="15">
        <f>IF('ENCUESTA CONDUCTORES'!W81="X",1,0)</f>
        <v>0</v>
      </c>
      <c r="V81" s="15">
        <f>IF('ENCUESTA CONDUCTORES'!X81="X",1,0)</f>
        <v>0</v>
      </c>
      <c r="W81" s="15">
        <f>IF('ENCUESTA CONDUCTORES'!Y81="X",1,0)</f>
        <v>0</v>
      </c>
      <c r="X81" s="15">
        <f>IF('ENCUESTA CONDUCTORES'!Z81="X",1,0)</f>
        <v>0</v>
      </c>
      <c r="Y81" s="15">
        <f>+'ENCUESTA CONDUCTORES'!AG81</f>
        <v>0</v>
      </c>
      <c r="Z81" s="15">
        <f>+'ENCUESTA CONDUCTORES'!AH81</f>
        <v>2012</v>
      </c>
      <c r="AA81" s="1">
        <f>+'ENCUESTA CONDUCTORES'!AI81</f>
        <v>255000</v>
      </c>
      <c r="AB81" s="15">
        <f>IF('ENCUESTA CONDUCTORES'!AJ81="X",1,0)</f>
        <v>1</v>
      </c>
      <c r="AC81" s="15">
        <f>IF('ENCUESTA CONDUCTORES'!AK81="X",1,0)</f>
        <v>0</v>
      </c>
      <c r="AD81" s="15">
        <f>IF('ENCUESTA CONDUCTORES'!AL81="X",1,0)</f>
        <v>0</v>
      </c>
      <c r="AE81" s="15">
        <f>IF('ENCUESTA CONDUCTORES'!AM81="X",1,0)</f>
        <v>0</v>
      </c>
      <c r="AF81" s="15">
        <f>IF('ENCUESTA CONDUCTORES'!AN81="X",1,0)</f>
        <v>0</v>
      </c>
      <c r="AG81" s="15">
        <f>IF('ENCUESTA CONDUCTORES'!AO81="X",1,0)</f>
        <v>0</v>
      </c>
      <c r="AH81" s="15">
        <f>IF('ENCUESTA CONDUCTORES'!AP81="X",1,0)</f>
        <v>1</v>
      </c>
      <c r="AI81" s="15">
        <f>IF('ENCUESTA CONDUCTORES'!AQ81="X",1,0)</f>
        <v>0</v>
      </c>
      <c r="AJ81" s="15">
        <f>IF('ENCUESTA CONDUCTORES'!AR81="X",1,0)</f>
        <v>0</v>
      </c>
      <c r="AK81" s="15">
        <f>+'ENCUESTA CONDUCTORES'!AS81</f>
        <v>0</v>
      </c>
      <c r="AL81" s="15" t="str">
        <f>+'ENCUESTA CONDUCTORES'!AT81</f>
        <v>DINA</v>
      </c>
      <c r="AM81" s="1">
        <f>+'ENCUESTA CONDUCTORES'!AU81</f>
        <v>15000</v>
      </c>
      <c r="AN81" s="48">
        <f>+'ENCUESTA CONDUCTORES'!AV81</f>
        <v>0.5</v>
      </c>
      <c r="AO81" s="15">
        <f>+'ENCUESTA CONDUCTORES'!AW81</f>
        <v>1.8</v>
      </c>
      <c r="AP81" s="15">
        <f>+'ENCUESTA CONDUCTORES'!AX81</f>
        <v>1.5</v>
      </c>
      <c r="AQ81" s="15">
        <f>+'ENCUESTA CONDUCTORES'!AY81</f>
        <v>1</v>
      </c>
      <c r="AR81" s="15">
        <f>+'ENCUESTA CONDUCTORES'!AZ81</f>
        <v>350</v>
      </c>
      <c r="AS81" s="15">
        <f>+'ENCUESTA CONDUCTORES'!BA81</f>
        <v>600</v>
      </c>
      <c r="AT81" s="15">
        <f>IF('ENCUESTA CONDUCTORES'!BB81="X",1,0)</f>
        <v>1</v>
      </c>
      <c r="AU81" s="15">
        <f>IF('ENCUESTA CONDUCTORES'!BC81="X",1,0)</f>
        <v>0</v>
      </c>
      <c r="AV81" s="15">
        <f>IF('ENCUESTA CONDUCTORES'!BD81="X",1,0)</f>
        <v>0</v>
      </c>
      <c r="AW81" s="1">
        <f>+'ENCUESTA CONDUCTORES'!BE81</f>
        <v>12000</v>
      </c>
      <c r="AX81" s="1">
        <f>+'ENCUESTA CONDUCTORES'!BF81</f>
        <v>50000</v>
      </c>
      <c r="AY81" s="1">
        <f>+'ENCUESTA CONDUCTORES'!BG81</f>
        <v>30000</v>
      </c>
      <c r="AZ81" s="1">
        <f>+'ENCUESTA CONDUCTORES'!BH81</f>
        <v>200000</v>
      </c>
      <c r="BA81" s="1" t="str">
        <f>+'ENCUESTA CONDUCTORES'!BI81</f>
        <v>NO APLICA</v>
      </c>
      <c r="BB81" s="15">
        <f>IF('ENCUESTA CONDUCTORES'!BJ81="X",1,0)</f>
        <v>0</v>
      </c>
      <c r="BC81" s="15">
        <f>IF('ENCUESTA CONDUCTORES'!BK81="X",1,0)</f>
        <v>0</v>
      </c>
      <c r="BD81" s="15">
        <f>IF('ENCUESTA CONDUCTORES'!BL81="X",1,0)</f>
        <v>0</v>
      </c>
      <c r="BE81" s="15">
        <f>IF('ENCUESTA CONDUCTORES'!BM81="X",1,0)</f>
        <v>0</v>
      </c>
      <c r="BF81" s="15">
        <f>IF('ENCUESTA CONDUCTORES'!BN81="X",1,0)</f>
        <v>1</v>
      </c>
      <c r="BG81" s="15">
        <f>IF('ENCUESTA CONDUCTORES'!BO81="X",1,0)</f>
        <v>0</v>
      </c>
      <c r="BH81" s="15">
        <f>IF('ENCUESTA CONDUCTORES'!BP81="X",1,0)</f>
        <v>0</v>
      </c>
      <c r="BI81" s="15">
        <f>IF('ENCUESTA CONDUCTORES'!BQ81="X",1,0)</f>
        <v>0</v>
      </c>
      <c r="BJ81" s="15">
        <f>IF('ENCUESTA CONDUCTORES'!BR81="X",1,0)</f>
        <v>0</v>
      </c>
      <c r="BK81" s="15">
        <f>+'ENCUESTA CONDUCTORES'!BS81</f>
        <v>0</v>
      </c>
      <c r="BL81" s="15">
        <f>IF('ENCUESTA CONDUCTORES'!BT81="X",1,0)</f>
        <v>0</v>
      </c>
      <c r="BM81" s="15">
        <f>IF('ENCUESTA CONDUCTORES'!BU81="X",1,0)</f>
        <v>0</v>
      </c>
      <c r="BN81" s="15">
        <f>IF('ENCUESTA CONDUCTORES'!BV81="X",1,0)</f>
        <v>1</v>
      </c>
      <c r="BO81" s="15">
        <f>IF('ENCUESTA CONDUCTORES'!BW81="X",1,0)</f>
        <v>0</v>
      </c>
      <c r="BP81" s="15">
        <f>+'ENCUESTA CONDUCTORES'!BX81</f>
        <v>2</v>
      </c>
      <c r="BQ81" s="15">
        <f>+'ENCUESTA CONDUCTORES'!BY81</f>
        <v>1</v>
      </c>
      <c r="BR81" s="15">
        <f>+'ENCUESTA CONDUCTORES'!BZ81</f>
        <v>3</v>
      </c>
      <c r="BS81" s="15">
        <f>+'ENCUESTA CONDUCTORES'!CA81</f>
        <v>0</v>
      </c>
      <c r="BT81" s="15">
        <f>IF('ENCUESTA CONDUCTORES'!CB81="X",1,0)</f>
        <v>0</v>
      </c>
      <c r="BU81" s="15">
        <f>IF('ENCUESTA CONDUCTORES'!CC81="X",1,0)</f>
        <v>1</v>
      </c>
      <c r="BV81" s="15">
        <f>IF('ENCUESTA CONDUCTORES'!CD81="X",1,0)</f>
        <v>0</v>
      </c>
      <c r="BW81" s="15">
        <f>IF('ENCUESTA CONDUCTORES'!CE81="X",1,0)</f>
        <v>1</v>
      </c>
      <c r="BX81" s="15">
        <f>IF('ENCUESTA CONDUCTORES'!CF81="X",1,0)</f>
        <v>0</v>
      </c>
      <c r="BY81" s="15">
        <f>IF('ENCUESTA CONDUCTORES'!CG81="X",1,0)</f>
        <v>1</v>
      </c>
      <c r="BZ81" s="15">
        <f>IF('ENCUESTA CONDUCTORES'!CH81="X",1,0)</f>
        <v>0</v>
      </c>
      <c r="CA81" s="15">
        <f>IF('ENCUESTA CONDUCTORES'!CI81="X",1,0)</f>
        <v>1</v>
      </c>
      <c r="CB81" s="15">
        <f>IF('ENCUESTA CONDUCTORES'!CJ81="X",1,0)</f>
        <v>0</v>
      </c>
      <c r="CC81" s="15">
        <f>IF('ENCUESTA CONDUCTORES'!CK81="X",1,0)</f>
        <v>1</v>
      </c>
      <c r="CD81" s="15">
        <f>IF('ENCUESTA CONDUCTORES'!CL81="X",1,0)</f>
        <v>0</v>
      </c>
      <c r="CE81" s="15">
        <f>IF('ENCUESTA CONDUCTORES'!CM81="X",1,0)</f>
        <v>0</v>
      </c>
      <c r="CF81" s="15">
        <f>+'ENCUESTA CONDUCTORES'!CN81</f>
        <v>0</v>
      </c>
      <c r="CG81" s="15">
        <f>IF('ENCUESTA CONDUCTORES'!CO81="X",1,0)</f>
        <v>0</v>
      </c>
      <c r="CH81" s="15" t="str">
        <f>+'ENCUESTA CONDUCTORES'!CP81</f>
        <v>NO SABE</v>
      </c>
      <c r="CI81" s="15" t="str">
        <f>+'ENCUESTA CONDUCTORES'!CQ81</f>
        <v>DAR INCENTIVOS</v>
      </c>
      <c r="CJ81" s="15">
        <f>IF('ENCUESTA CONDUCTORES'!CR81="X",1,0)</f>
        <v>0</v>
      </c>
      <c r="CK81" s="15">
        <f>IF('ENCUESTA CONDUCTORES'!CS81="X",1,0)</f>
        <v>1</v>
      </c>
      <c r="CL81" s="15">
        <f>IF('ENCUESTA CONDUCTORES'!CT81="X",1,0)</f>
        <v>0</v>
      </c>
      <c r="CM81" s="15">
        <f>+'ENCUESTA CONDUCTORES'!CU81</f>
        <v>0</v>
      </c>
      <c r="CN81" s="15">
        <f>IF('ENCUESTA CONDUCTORES'!CV81="X",1,0)</f>
        <v>1</v>
      </c>
      <c r="CO81" s="15" t="str">
        <f>+'ENCUESTA CONDUCTORES'!CW81</f>
        <v>NO TIENE TIEMPO</v>
      </c>
      <c r="CP81" s="15">
        <f>IF('ENCUESTA CONDUCTORES'!CX81="X",1,0)</f>
        <v>0</v>
      </c>
      <c r="CQ81" s="15">
        <f>IF('ENCUESTA CONDUCTORES'!CY81="X",1,0)</f>
        <v>0</v>
      </c>
      <c r="CR81" s="3">
        <f>+'ENCUESTA CONDUCTORES'!CZ81</f>
        <v>0</v>
      </c>
      <c r="CS81" s="49">
        <f>+'ENCUESTA CONDUCTORES'!DA81</f>
        <v>0</v>
      </c>
    </row>
    <row r="82" spans="2:97" x14ac:dyDescent="0.25">
      <c r="B82" s="14" t="str">
        <f>+'ENCUESTA CONDUCTORES'!D82</f>
        <v>C-088</v>
      </c>
      <c r="C82" s="15">
        <f>IF('ENCUESTA CONDUCTORES'!E82="X",1,0)</f>
        <v>0</v>
      </c>
      <c r="D82" s="15">
        <f>IF('ENCUESTA CONDUCTORES'!F82="X",1,0)</f>
        <v>0</v>
      </c>
      <c r="E82" s="15">
        <f>IF('ENCUESTA CONDUCTORES'!G82="X",1,0)</f>
        <v>0</v>
      </c>
      <c r="F82" s="15">
        <f>IF('ENCUESTA CONDUCTORES'!H82="X",1,0)</f>
        <v>1</v>
      </c>
      <c r="G82" s="15">
        <f>+'ENCUESTA CONDUCTORES'!I82</f>
        <v>49</v>
      </c>
      <c r="H82" s="15" t="str">
        <f>+'ENCUESTA CONDUCTORES'!J82</f>
        <v>M</v>
      </c>
      <c r="I82" s="15" t="str">
        <f>+'ENCUESTA CONDUCTORES'!K82</f>
        <v>PREPARATORIA</v>
      </c>
      <c r="J82" s="15" t="str">
        <f>+'ENCUESTA CONDUCTORES'!L82</f>
        <v>XOCHIMILCO, D.F.</v>
      </c>
      <c r="K82" s="15" t="str">
        <f>+'ENCUESTA CONDUCTORES'!M82</f>
        <v>XOCHIMILCO</v>
      </c>
      <c r="L82" s="15" t="str">
        <f>+'ENCUESTA CONDUCTORES'!N82</f>
        <v>D.F.</v>
      </c>
      <c r="M82" s="15">
        <f>+'ENCUESTA CONDUCTORES'!O82</f>
        <v>22</v>
      </c>
      <c r="N82" s="15">
        <f>IF('ENCUESTA CONDUCTORES'!P82="X",1,0)</f>
        <v>1</v>
      </c>
      <c r="O82" s="15">
        <f>IF('ENCUESTA CONDUCTORES'!Q82="X",1,0)</f>
        <v>0</v>
      </c>
      <c r="P82" s="15">
        <f>IF('ENCUESTA CONDUCTORES'!R82="X",1,0)</f>
        <v>0</v>
      </c>
      <c r="Q82" s="15">
        <f>IF('ENCUESTA CONDUCTORES'!S82="X",1,0)</f>
        <v>0</v>
      </c>
      <c r="R82" s="15">
        <f>IF('ENCUESTA CONDUCTORES'!T82="X",1,0)</f>
        <v>0</v>
      </c>
      <c r="S82" s="15">
        <f>IF('ENCUESTA CONDUCTORES'!U82="X",1,0)</f>
        <v>1</v>
      </c>
      <c r="T82" s="15">
        <f>IF('ENCUESTA CONDUCTORES'!V82="X",1,0)</f>
        <v>0</v>
      </c>
      <c r="U82" s="15">
        <f>IF('ENCUESTA CONDUCTORES'!W82="X",1,0)</f>
        <v>0</v>
      </c>
      <c r="V82" s="15">
        <f>IF('ENCUESTA CONDUCTORES'!X82="X",1,0)</f>
        <v>0</v>
      </c>
      <c r="W82" s="15">
        <f>IF('ENCUESTA CONDUCTORES'!Y82="X",1,0)</f>
        <v>0</v>
      </c>
      <c r="X82" s="15">
        <f>IF('ENCUESTA CONDUCTORES'!Z82="X",1,0)</f>
        <v>0</v>
      </c>
      <c r="Y82" s="15">
        <f>+'ENCUESTA CONDUCTORES'!AG82</f>
        <v>0</v>
      </c>
      <c r="Z82" s="15">
        <f>+'ENCUESTA CONDUCTORES'!AH82</f>
        <v>2003</v>
      </c>
      <c r="AA82" s="1">
        <f>+'ENCUESTA CONDUCTORES'!AI82</f>
        <v>450000</v>
      </c>
      <c r="AB82" s="15">
        <f>IF('ENCUESTA CONDUCTORES'!AJ82="X",1,0)</f>
        <v>0</v>
      </c>
      <c r="AC82" s="15">
        <f>IF('ENCUESTA CONDUCTORES'!AK82="X",1,0)</f>
        <v>1</v>
      </c>
      <c r="AD82" s="15">
        <f>IF('ENCUESTA CONDUCTORES'!AL82="X",1,0)</f>
        <v>0</v>
      </c>
      <c r="AE82" s="15">
        <f>IF('ENCUESTA CONDUCTORES'!AM82="X",1,0)</f>
        <v>0</v>
      </c>
      <c r="AF82" s="15">
        <f>IF('ENCUESTA CONDUCTORES'!AN82="X",1,0)</f>
        <v>0</v>
      </c>
      <c r="AG82" s="15">
        <f>IF('ENCUESTA CONDUCTORES'!AO82="X",1,0)</f>
        <v>0</v>
      </c>
      <c r="AH82" s="15">
        <f>IF('ENCUESTA CONDUCTORES'!AP82="X",1,0)</f>
        <v>1</v>
      </c>
      <c r="AI82" s="15">
        <f>IF('ENCUESTA CONDUCTORES'!AQ82="X",1,0)</f>
        <v>0</v>
      </c>
      <c r="AJ82" s="15">
        <f>IF('ENCUESTA CONDUCTORES'!AR82="X",1,0)</f>
        <v>0</v>
      </c>
      <c r="AK82" s="15">
        <f>+'ENCUESTA CONDUCTORES'!AS82</f>
        <v>0</v>
      </c>
      <c r="AL82" s="15" t="str">
        <f>+'ENCUESTA CONDUCTORES'!AT82</f>
        <v>FORD</v>
      </c>
      <c r="AM82" s="1">
        <f>+'ENCUESTA CONDUCTORES'!AU82</f>
        <v>3500</v>
      </c>
      <c r="AN82" s="48">
        <f>+'ENCUESTA CONDUCTORES'!AV82</f>
        <v>0.5</v>
      </c>
      <c r="AO82" s="15">
        <f>+'ENCUESTA CONDUCTORES'!AW82</f>
        <v>4</v>
      </c>
      <c r="AP82" s="15">
        <f>+'ENCUESTA CONDUCTORES'!AX82</f>
        <v>3</v>
      </c>
      <c r="AQ82" s="15">
        <f>+'ENCUESTA CONDUCTORES'!AY82</f>
        <v>2</v>
      </c>
      <c r="AR82" s="15">
        <f>+'ENCUESTA CONDUCTORES'!AZ82</f>
        <v>250</v>
      </c>
      <c r="AS82" s="15">
        <f>+'ENCUESTA CONDUCTORES'!BA82</f>
        <v>900</v>
      </c>
      <c r="AT82" s="15">
        <f>IF('ENCUESTA CONDUCTORES'!BB82="X",1,0)</f>
        <v>1</v>
      </c>
      <c r="AU82" s="15">
        <f>IF('ENCUESTA CONDUCTORES'!BC82="X",1,0)</f>
        <v>0</v>
      </c>
      <c r="AV82" s="15">
        <f>IF('ENCUESTA CONDUCTORES'!BD82="X",1,0)</f>
        <v>0</v>
      </c>
      <c r="AW82" s="1">
        <f>+'ENCUESTA CONDUCTORES'!BE82</f>
        <v>30000</v>
      </c>
      <c r="AX82" s="1">
        <f>+'ENCUESTA CONDUCTORES'!BF82</f>
        <v>10000</v>
      </c>
      <c r="AY82" s="1">
        <f>+'ENCUESTA CONDUCTORES'!BG82</f>
        <v>100000</v>
      </c>
      <c r="AZ82" s="1">
        <f>+'ENCUESTA CONDUCTORES'!BH82</f>
        <v>300000</v>
      </c>
      <c r="BA82" s="1" t="str">
        <f>+'ENCUESTA CONDUCTORES'!BI82</f>
        <v>NO APLICA</v>
      </c>
      <c r="BB82" s="15">
        <f>IF('ENCUESTA CONDUCTORES'!BJ82="X",1,0)</f>
        <v>0</v>
      </c>
      <c r="BC82" s="15">
        <f>IF('ENCUESTA CONDUCTORES'!BK82="X",1,0)</f>
        <v>1</v>
      </c>
      <c r="BD82" s="15">
        <f>IF('ENCUESTA CONDUCTORES'!BL82="X",1,0)</f>
        <v>0</v>
      </c>
      <c r="BE82" s="15">
        <f>IF('ENCUESTA CONDUCTORES'!BM82="X",1,0)</f>
        <v>0</v>
      </c>
      <c r="BF82" s="15">
        <f>IF('ENCUESTA CONDUCTORES'!BN82="X",1,0)</f>
        <v>0</v>
      </c>
      <c r="BG82" s="15">
        <f>IF('ENCUESTA CONDUCTORES'!BO82="X",1,0)</f>
        <v>0</v>
      </c>
      <c r="BH82" s="15">
        <f>IF('ENCUESTA CONDUCTORES'!BP82="X",1,0)</f>
        <v>0</v>
      </c>
      <c r="BI82" s="15">
        <f>IF('ENCUESTA CONDUCTORES'!BQ82="X",1,0)</f>
        <v>0</v>
      </c>
      <c r="BJ82" s="15">
        <f>IF('ENCUESTA CONDUCTORES'!BR82="X",1,0)</f>
        <v>0</v>
      </c>
      <c r="BK82" s="15">
        <f>+'ENCUESTA CONDUCTORES'!BS82</f>
        <v>0</v>
      </c>
      <c r="BL82" s="15">
        <f>IF('ENCUESTA CONDUCTORES'!BT82="X",1,0)</f>
        <v>0</v>
      </c>
      <c r="BM82" s="15">
        <f>IF('ENCUESTA CONDUCTORES'!BU82="X",1,0)</f>
        <v>1</v>
      </c>
      <c r="BN82" s="15">
        <f>IF('ENCUESTA CONDUCTORES'!BV82="X",1,0)</f>
        <v>0</v>
      </c>
      <c r="BO82" s="15">
        <f>IF('ENCUESTA CONDUCTORES'!BW82="X",1,0)</f>
        <v>0</v>
      </c>
      <c r="BP82" s="15">
        <f>+'ENCUESTA CONDUCTORES'!BX82</f>
        <v>2</v>
      </c>
      <c r="BQ82" s="15">
        <f>+'ENCUESTA CONDUCTORES'!BY82</f>
        <v>3</v>
      </c>
      <c r="BR82" s="15">
        <f>+'ENCUESTA CONDUCTORES'!BZ82</f>
        <v>1</v>
      </c>
      <c r="BS82" s="15">
        <f>+'ENCUESTA CONDUCTORES'!CA82</f>
        <v>0</v>
      </c>
      <c r="BT82" s="15">
        <f>IF('ENCUESTA CONDUCTORES'!CB82="X",1,0)</f>
        <v>1</v>
      </c>
      <c r="BU82" s="15">
        <f>IF('ENCUESTA CONDUCTORES'!CC82="X",1,0)</f>
        <v>0</v>
      </c>
      <c r="BV82" s="15">
        <f>IF('ENCUESTA CONDUCTORES'!CD82="X",1,0)</f>
        <v>0</v>
      </c>
      <c r="BW82" s="15">
        <f>IF('ENCUESTA CONDUCTORES'!CE82="X",1,0)</f>
        <v>0</v>
      </c>
      <c r="BX82" s="15">
        <f>IF('ENCUESTA CONDUCTORES'!CF82="X",1,0)</f>
        <v>0</v>
      </c>
      <c r="BY82" s="15">
        <f>IF('ENCUESTA CONDUCTORES'!CG82="X",1,0)</f>
        <v>0</v>
      </c>
      <c r="BZ82" s="15">
        <f>IF('ENCUESTA CONDUCTORES'!CH82="X",1,0)</f>
        <v>0</v>
      </c>
      <c r="CA82" s="15">
        <f>IF('ENCUESTA CONDUCTORES'!CI82="X",1,0)</f>
        <v>0</v>
      </c>
      <c r="CB82" s="15">
        <f>IF('ENCUESTA CONDUCTORES'!CJ82="X",1,0)</f>
        <v>0</v>
      </c>
      <c r="CC82" s="15">
        <f>IF('ENCUESTA CONDUCTORES'!CK82="X",1,0)</f>
        <v>1</v>
      </c>
      <c r="CD82" s="15">
        <f>IF('ENCUESTA CONDUCTORES'!CL82="X",1,0)</f>
        <v>0</v>
      </c>
      <c r="CE82" s="15">
        <f>IF('ENCUESTA CONDUCTORES'!CM82="X",1,0)</f>
        <v>0</v>
      </c>
      <c r="CF82" s="15">
        <f>+'ENCUESTA CONDUCTORES'!CN82</f>
        <v>0</v>
      </c>
      <c r="CG82" s="15">
        <f>IF('ENCUESTA CONDUCTORES'!CO82="X",1,0)</f>
        <v>0</v>
      </c>
      <c r="CH82" s="15" t="str">
        <f>+'ENCUESTA CONDUCTORES'!CP82</f>
        <v>NO SABE</v>
      </c>
      <c r="CI82" s="15" t="str">
        <f>+'ENCUESTA CONDUCTORES'!CQ82</f>
        <v>DARLO A CONOCER</v>
      </c>
      <c r="CJ82" s="15">
        <f>IF('ENCUESTA CONDUCTORES'!CR82="X",1,0)</f>
        <v>0</v>
      </c>
      <c r="CK82" s="15">
        <f>IF('ENCUESTA CONDUCTORES'!CS82="X",1,0)</f>
        <v>1</v>
      </c>
      <c r="CL82" s="15">
        <f>IF('ENCUESTA CONDUCTORES'!CT82="X",1,0)</f>
        <v>1</v>
      </c>
      <c r="CM82" s="2" t="str">
        <f>+'ENCUESTA CONDUCTORES'!CU82</f>
        <v>MANEJO A LA DEFENSIVA</v>
      </c>
      <c r="CN82" s="15">
        <f>IF('ENCUESTA CONDUCTORES'!CV82="X",1,0)</f>
        <v>0</v>
      </c>
      <c r="CO82" s="15">
        <f>+'ENCUESTA CONDUCTORES'!CW82</f>
        <v>0</v>
      </c>
      <c r="CP82" s="15">
        <f>IF('ENCUESTA CONDUCTORES'!CX82="X",1,0)</f>
        <v>0</v>
      </c>
      <c r="CQ82" s="15">
        <f>IF('ENCUESTA CONDUCTORES'!CY82="X",1,0)</f>
        <v>1</v>
      </c>
      <c r="CR82" s="3">
        <f>+'ENCUESTA CONDUCTORES'!CZ82</f>
        <v>0</v>
      </c>
      <c r="CS82" s="49">
        <f>+'ENCUESTA CONDUCTORES'!DA82</f>
        <v>0</v>
      </c>
    </row>
    <row r="83" spans="2:97" x14ac:dyDescent="0.25">
      <c r="B83" s="14" t="str">
        <f>+'ENCUESTA CONDUCTORES'!D83</f>
        <v>C-089</v>
      </c>
      <c r="C83" s="15">
        <f>IF('ENCUESTA CONDUCTORES'!E83="X",1,0)</f>
        <v>0</v>
      </c>
      <c r="D83" s="15">
        <f>IF('ENCUESTA CONDUCTORES'!F83="X",1,0)</f>
        <v>0</v>
      </c>
      <c r="E83" s="15">
        <f>IF('ENCUESTA CONDUCTORES'!G83="X",1,0)</f>
        <v>0</v>
      </c>
      <c r="F83" s="15">
        <f>IF('ENCUESTA CONDUCTORES'!H83="X",1,0)</f>
        <v>1</v>
      </c>
      <c r="G83" s="15">
        <f>+'ENCUESTA CONDUCTORES'!I83</f>
        <v>36</v>
      </c>
      <c r="H83" s="15" t="str">
        <f>+'ENCUESTA CONDUCTORES'!J83</f>
        <v>M</v>
      </c>
      <c r="I83" s="15" t="str">
        <f>+'ENCUESTA CONDUCTORES'!K83</f>
        <v>SECUNDARIA</v>
      </c>
      <c r="J83" s="15" t="str">
        <f>+'ENCUESTA CONDUCTORES'!L83</f>
        <v>OCOYOACAC, EDO. MEX.</v>
      </c>
      <c r="K83" s="15" t="str">
        <f>+'ENCUESTA CONDUCTORES'!M83</f>
        <v>OCOYOACAC</v>
      </c>
      <c r="L83" s="15" t="str">
        <f>+'ENCUESTA CONDUCTORES'!N83</f>
        <v>EDO. MEX.</v>
      </c>
      <c r="M83" s="15">
        <f>+'ENCUESTA CONDUCTORES'!O83</f>
        <v>15</v>
      </c>
      <c r="N83" s="15">
        <f>IF('ENCUESTA CONDUCTORES'!P83="X",1,0)</f>
        <v>0</v>
      </c>
      <c r="O83" s="15">
        <f>IF('ENCUESTA CONDUCTORES'!Q83="X",1,0)</f>
        <v>0</v>
      </c>
      <c r="P83" s="15">
        <f>IF('ENCUESTA CONDUCTORES'!R83="X",1,0)</f>
        <v>0</v>
      </c>
      <c r="Q83" s="15">
        <f>IF('ENCUESTA CONDUCTORES'!S83="X",1,0)</f>
        <v>1</v>
      </c>
      <c r="R83" s="15">
        <f>IF('ENCUESTA CONDUCTORES'!T83="X",1,0)</f>
        <v>0</v>
      </c>
      <c r="S83" s="15">
        <f>IF('ENCUESTA CONDUCTORES'!U83="X",1,0)</f>
        <v>0</v>
      </c>
      <c r="T83" s="15">
        <f>IF('ENCUESTA CONDUCTORES'!V83="X",1,0)</f>
        <v>1</v>
      </c>
      <c r="U83" s="15">
        <f>IF('ENCUESTA CONDUCTORES'!W83="X",1,0)</f>
        <v>0</v>
      </c>
      <c r="V83" s="15">
        <f>IF('ENCUESTA CONDUCTORES'!X83="X",1,0)</f>
        <v>0</v>
      </c>
      <c r="W83" s="15">
        <f>IF('ENCUESTA CONDUCTORES'!Y83="X",1,0)</f>
        <v>0</v>
      </c>
      <c r="X83" s="15">
        <f>IF('ENCUESTA CONDUCTORES'!Z83="X",1,0)</f>
        <v>0</v>
      </c>
      <c r="Y83" s="15">
        <f>+'ENCUESTA CONDUCTORES'!AG83</f>
        <v>0</v>
      </c>
      <c r="Z83" s="15">
        <f>+'ENCUESTA CONDUCTORES'!AH83</f>
        <v>2013</v>
      </c>
      <c r="AA83" s="1">
        <f>+'ENCUESTA CONDUCTORES'!AI83</f>
        <v>200000</v>
      </c>
      <c r="AB83" s="15">
        <f>IF('ENCUESTA CONDUCTORES'!AJ83="X",1,0)</f>
        <v>0</v>
      </c>
      <c r="AC83" s="15">
        <f>IF('ENCUESTA CONDUCTORES'!AK83="X",1,0)</f>
        <v>0</v>
      </c>
      <c r="AD83" s="15">
        <f>IF('ENCUESTA CONDUCTORES'!AL83="X",1,0)</f>
        <v>1</v>
      </c>
      <c r="AE83" s="15">
        <f>IF('ENCUESTA CONDUCTORES'!AM83="X",1,0)</f>
        <v>0</v>
      </c>
      <c r="AF83" s="15">
        <f>IF('ENCUESTA CONDUCTORES'!AN83="X",1,0)</f>
        <v>0</v>
      </c>
      <c r="AG83" s="15">
        <f>IF('ENCUESTA CONDUCTORES'!AO83="X",1,0)</f>
        <v>0</v>
      </c>
      <c r="AH83" s="15">
        <f>IF('ENCUESTA CONDUCTORES'!AP83="X",1,0)</f>
        <v>1</v>
      </c>
      <c r="AI83" s="15">
        <f>IF('ENCUESTA CONDUCTORES'!AQ83="X",1,0)</f>
        <v>0</v>
      </c>
      <c r="AJ83" s="15">
        <f>IF('ENCUESTA CONDUCTORES'!AR83="X",1,0)</f>
        <v>0</v>
      </c>
      <c r="AK83" s="15">
        <f>+'ENCUESTA CONDUCTORES'!AS83</f>
        <v>0</v>
      </c>
      <c r="AL83" s="15" t="str">
        <f>+'ENCUESTA CONDUCTORES'!AT83</f>
        <v>KENWORTH</v>
      </c>
      <c r="AM83" s="1">
        <f>+'ENCUESTA CONDUCTORES'!AU83</f>
        <v>20000</v>
      </c>
      <c r="AN83" s="48">
        <f>+'ENCUESTA CONDUCTORES'!AV83</f>
        <v>0.1</v>
      </c>
      <c r="AO83" s="15">
        <f>+'ENCUESTA CONDUCTORES'!AW83</f>
        <v>2.8</v>
      </c>
      <c r="AP83" s="15">
        <f>+'ENCUESTA CONDUCTORES'!AX83</f>
        <v>2</v>
      </c>
      <c r="AQ83" s="15">
        <f>+'ENCUESTA CONDUCTORES'!AY83</f>
        <v>2</v>
      </c>
      <c r="AR83" s="15">
        <f>+'ENCUESTA CONDUCTORES'!AZ83</f>
        <v>800</v>
      </c>
      <c r="AS83" s="15">
        <f>+'ENCUESTA CONDUCTORES'!BA83</f>
        <v>2000</v>
      </c>
      <c r="AT83" s="15">
        <f>IF('ENCUESTA CONDUCTORES'!BB83="X",1,0)</f>
        <v>1</v>
      </c>
      <c r="AU83" s="15">
        <f>IF('ENCUESTA CONDUCTORES'!BC83="X",1,0)</f>
        <v>0</v>
      </c>
      <c r="AV83" s="15">
        <f>IF('ENCUESTA CONDUCTORES'!BD83="X",1,0)</f>
        <v>0</v>
      </c>
      <c r="AW83" s="1">
        <f>+'ENCUESTA CONDUCTORES'!BE83</f>
        <v>20000</v>
      </c>
      <c r="AX83" s="1">
        <f>+'ENCUESTA CONDUCTORES'!BF83</f>
        <v>40000</v>
      </c>
      <c r="AY83" s="1">
        <f>+'ENCUESTA CONDUCTORES'!BG83</f>
        <v>30000</v>
      </c>
      <c r="AZ83" s="1" t="str">
        <f>+'ENCUESTA CONDUCTORES'!BH83</f>
        <v>NO SABE</v>
      </c>
      <c r="BA83" s="1">
        <f>+'ENCUESTA CONDUCTORES'!BI83</f>
        <v>20000</v>
      </c>
      <c r="BB83" s="15">
        <f>IF('ENCUESTA CONDUCTORES'!BJ83="X",1,0)</f>
        <v>0</v>
      </c>
      <c r="BC83" s="15">
        <f>IF('ENCUESTA CONDUCTORES'!BK83="X",1,0)</f>
        <v>0</v>
      </c>
      <c r="BD83" s="15">
        <f>IF('ENCUESTA CONDUCTORES'!BL83="X",1,0)</f>
        <v>0</v>
      </c>
      <c r="BE83" s="15">
        <f>IF('ENCUESTA CONDUCTORES'!BM83="X",1,0)</f>
        <v>0</v>
      </c>
      <c r="BF83" s="15">
        <f>IF('ENCUESTA CONDUCTORES'!BN83="X",1,0)</f>
        <v>0</v>
      </c>
      <c r="BG83" s="15">
        <f>IF('ENCUESTA CONDUCTORES'!BO83="X",1,0)</f>
        <v>0</v>
      </c>
      <c r="BH83" s="15">
        <f>IF('ENCUESTA CONDUCTORES'!BP83="X",1,0)</f>
        <v>0</v>
      </c>
      <c r="BI83" s="15">
        <f>IF('ENCUESTA CONDUCTORES'!BQ83="X",1,0)</f>
        <v>0</v>
      </c>
      <c r="BJ83" s="15">
        <f>IF('ENCUESTA CONDUCTORES'!BR83="X",1,0)</f>
        <v>0</v>
      </c>
      <c r="BK83" s="15" t="str">
        <f>+'ENCUESTA CONDUCTORES'!BS83</f>
        <v>GENERAL</v>
      </c>
      <c r="BL83" s="15">
        <f>IF('ENCUESTA CONDUCTORES'!BT83="X",1,0)</f>
        <v>0</v>
      </c>
      <c r="BM83" s="15">
        <f>IF('ENCUESTA CONDUCTORES'!BU83="X",1,0)</f>
        <v>0</v>
      </c>
      <c r="BN83" s="15">
        <f>IF('ENCUESTA CONDUCTORES'!BV83="X",1,0)</f>
        <v>1</v>
      </c>
      <c r="BO83" s="15">
        <f>IF('ENCUESTA CONDUCTORES'!BW83="X",1,0)</f>
        <v>0</v>
      </c>
      <c r="BP83" s="15">
        <f>+'ENCUESTA CONDUCTORES'!BX83</f>
        <v>2</v>
      </c>
      <c r="BQ83" s="15">
        <f>+'ENCUESTA CONDUCTORES'!BY83</f>
        <v>4</v>
      </c>
      <c r="BR83" s="15">
        <f>+'ENCUESTA CONDUCTORES'!BZ83</f>
        <v>3</v>
      </c>
      <c r="BS83" s="2" t="str">
        <f>+'ENCUESTA CONDUCTORES'!CA83</f>
        <v>LUGAR DONDE SE ENCUENTRA</v>
      </c>
      <c r="BT83" s="15">
        <f>IF('ENCUESTA CONDUCTORES'!CB83="X",1,0)</f>
        <v>1</v>
      </c>
      <c r="BU83" s="15">
        <f>IF('ENCUESTA CONDUCTORES'!CC83="X",1,0)</f>
        <v>0</v>
      </c>
      <c r="BV83" s="15">
        <f>IF('ENCUESTA CONDUCTORES'!CD83="X",1,0)</f>
        <v>0</v>
      </c>
      <c r="BW83" s="15">
        <f>IF('ENCUESTA CONDUCTORES'!CE83="X",1,0)</f>
        <v>0</v>
      </c>
      <c r="BX83" s="15">
        <f>IF('ENCUESTA CONDUCTORES'!CF83="X",1,0)</f>
        <v>0</v>
      </c>
      <c r="BY83" s="15">
        <f>IF('ENCUESTA CONDUCTORES'!CG83="X",1,0)</f>
        <v>0</v>
      </c>
      <c r="BZ83" s="15">
        <f>IF('ENCUESTA CONDUCTORES'!CH83="X",1,0)</f>
        <v>0</v>
      </c>
      <c r="CA83" s="15">
        <f>IF('ENCUESTA CONDUCTORES'!CI83="X",1,0)</f>
        <v>0</v>
      </c>
      <c r="CB83" s="15">
        <f>IF('ENCUESTA CONDUCTORES'!CJ83="X",1,0)</f>
        <v>0</v>
      </c>
      <c r="CC83" s="15">
        <f>IF('ENCUESTA CONDUCTORES'!CK83="X",1,0)</f>
        <v>1</v>
      </c>
      <c r="CD83" s="15">
        <f>IF('ENCUESTA CONDUCTORES'!CL83="X",1,0)</f>
        <v>0</v>
      </c>
      <c r="CE83" s="15">
        <f>IF('ENCUESTA CONDUCTORES'!CM83="X",1,0)</f>
        <v>0</v>
      </c>
      <c r="CF83" s="15">
        <f>+'ENCUESTA CONDUCTORES'!CN83</f>
        <v>0</v>
      </c>
      <c r="CG83" s="15">
        <f>IF('ENCUESTA CONDUCTORES'!CO83="X",1,0)</f>
        <v>0</v>
      </c>
      <c r="CH83" s="15" t="str">
        <f>+'ENCUESTA CONDUCTORES'!CP83</f>
        <v>NO SABE</v>
      </c>
      <c r="CI83" s="15" t="str">
        <f>+'ENCUESTA CONDUCTORES'!CQ83</f>
        <v>PUBLICIDAD</v>
      </c>
      <c r="CJ83" s="15">
        <f>IF('ENCUESTA CONDUCTORES'!CR83="X",1,0)</f>
        <v>1</v>
      </c>
      <c r="CK83" s="15">
        <f>IF('ENCUESTA CONDUCTORES'!CS83="X",1,0)</f>
        <v>0</v>
      </c>
      <c r="CL83" s="15">
        <f>IF('ENCUESTA CONDUCTORES'!CT83="X",1,0)</f>
        <v>0</v>
      </c>
      <c r="CM83" s="15">
        <f>+'ENCUESTA CONDUCTORES'!CU83</f>
        <v>0</v>
      </c>
      <c r="CN83" s="15">
        <f>IF('ENCUESTA CONDUCTORES'!CV83="X",1,0)</f>
        <v>1</v>
      </c>
      <c r="CO83" s="15" t="str">
        <f>+'ENCUESTA CONDUCTORES'!CW83</f>
        <v>NO ME INTERESA</v>
      </c>
      <c r="CP83" s="15">
        <f>IF('ENCUESTA CONDUCTORES'!CX83="X",1,0)</f>
        <v>0</v>
      </c>
      <c r="CQ83" s="15">
        <f>IF('ENCUESTA CONDUCTORES'!CY83="X",1,0)</f>
        <v>0</v>
      </c>
      <c r="CR83" s="3">
        <f>+'ENCUESTA CONDUCTORES'!CZ83</f>
        <v>0</v>
      </c>
      <c r="CS83" s="49">
        <f>+'ENCUESTA CONDUCTORES'!DA83</f>
        <v>0</v>
      </c>
    </row>
    <row r="84" spans="2:97" x14ac:dyDescent="0.25">
      <c r="B84" s="14" t="str">
        <f>+'ENCUESTA CONDUCTORES'!D84</f>
        <v>C-090</v>
      </c>
      <c r="C84" s="15">
        <f>IF('ENCUESTA CONDUCTORES'!E84="X",1,0)</f>
        <v>0</v>
      </c>
      <c r="D84" s="15">
        <f>IF('ENCUESTA CONDUCTORES'!F84="X",1,0)</f>
        <v>1</v>
      </c>
      <c r="E84" s="15">
        <f>IF('ENCUESTA CONDUCTORES'!G84="X",1,0)</f>
        <v>0</v>
      </c>
      <c r="F84" s="15">
        <f>IF('ENCUESTA CONDUCTORES'!H84="X",1,0)</f>
        <v>0</v>
      </c>
      <c r="G84" s="15">
        <f>+'ENCUESTA CONDUCTORES'!I84</f>
        <v>39</v>
      </c>
      <c r="H84" s="15" t="str">
        <f>+'ENCUESTA CONDUCTORES'!J84</f>
        <v>M</v>
      </c>
      <c r="I84" s="15" t="str">
        <f>+'ENCUESTA CONDUCTORES'!K84</f>
        <v>PRIMARIA</v>
      </c>
      <c r="J84" s="15" t="str">
        <f>+'ENCUESTA CONDUCTORES'!L84</f>
        <v>LOS REYES LA PAZ, EDO. DE MEX.</v>
      </c>
      <c r="K84" s="50" t="str">
        <f>+'ENCUESTA CONDUCTORES'!M84</f>
        <v>LOS REYES LA PAZ</v>
      </c>
      <c r="L84" s="15" t="str">
        <f>+'ENCUESTA CONDUCTORES'!N84</f>
        <v>EDO. MEX.</v>
      </c>
      <c r="M84" s="15">
        <f>+'ENCUESTA CONDUCTORES'!O84</f>
        <v>21</v>
      </c>
      <c r="N84" s="15">
        <f>IF('ENCUESTA CONDUCTORES'!P84="X",1,0)</f>
        <v>0</v>
      </c>
      <c r="O84" s="15">
        <f>IF('ENCUESTA CONDUCTORES'!Q84="X",1,0)</f>
        <v>0</v>
      </c>
      <c r="P84" s="15">
        <f>IF('ENCUESTA CONDUCTORES'!R84="X",1,0)</f>
        <v>0</v>
      </c>
      <c r="Q84" s="15">
        <f>IF('ENCUESTA CONDUCTORES'!S84="X",1,0)</f>
        <v>1</v>
      </c>
      <c r="R84" s="15">
        <f>IF('ENCUESTA CONDUCTORES'!T84="X",1,0)</f>
        <v>0</v>
      </c>
      <c r="S84" s="15">
        <f>IF('ENCUESTA CONDUCTORES'!U84="X",1,0)</f>
        <v>1</v>
      </c>
      <c r="T84" s="15">
        <f>IF('ENCUESTA CONDUCTORES'!V84="X",1,0)</f>
        <v>0</v>
      </c>
      <c r="U84" s="15">
        <f>IF('ENCUESTA CONDUCTORES'!W84="X",1,0)</f>
        <v>0</v>
      </c>
      <c r="V84" s="15">
        <f>IF('ENCUESTA CONDUCTORES'!X84="X",1,0)</f>
        <v>0</v>
      </c>
      <c r="W84" s="15">
        <f>IF('ENCUESTA CONDUCTORES'!Y84="X",1,0)</f>
        <v>0</v>
      </c>
      <c r="X84" s="15">
        <f>IF('ENCUESTA CONDUCTORES'!Z84="X",1,0)</f>
        <v>0</v>
      </c>
      <c r="Y84" s="15">
        <f>+'ENCUESTA CONDUCTORES'!AG84</f>
        <v>0</v>
      </c>
      <c r="Z84" s="15">
        <f>+'ENCUESTA CONDUCTORES'!AH84</f>
        <v>2012</v>
      </c>
      <c r="AA84" s="1">
        <f>+'ENCUESTA CONDUCTORES'!AI84</f>
        <v>190000</v>
      </c>
      <c r="AB84" s="15">
        <f>IF('ENCUESTA CONDUCTORES'!AJ84="X",1,0)</f>
        <v>0</v>
      </c>
      <c r="AC84" s="15">
        <f>IF('ENCUESTA CONDUCTORES'!AK84="X",1,0)</f>
        <v>0</v>
      </c>
      <c r="AD84" s="15">
        <f>IF('ENCUESTA CONDUCTORES'!AL84="X",1,0)</f>
        <v>1</v>
      </c>
      <c r="AE84" s="15">
        <f>IF('ENCUESTA CONDUCTORES'!AM84="X",1,0)</f>
        <v>0</v>
      </c>
      <c r="AF84" s="15">
        <f>IF('ENCUESTA CONDUCTORES'!AN84="X",1,0)</f>
        <v>0</v>
      </c>
      <c r="AG84" s="15">
        <f>IF('ENCUESTA CONDUCTORES'!AO84="X",1,0)</f>
        <v>0</v>
      </c>
      <c r="AH84" s="15">
        <f>IF('ENCUESTA CONDUCTORES'!AP84="X",1,0)</f>
        <v>1</v>
      </c>
      <c r="AI84" s="15">
        <f>IF('ENCUESTA CONDUCTORES'!AQ84="X",1,0)</f>
        <v>0</v>
      </c>
      <c r="AJ84" s="15">
        <f>IF('ENCUESTA CONDUCTORES'!AR84="X",1,0)</f>
        <v>0</v>
      </c>
      <c r="AK84" s="15">
        <f>+'ENCUESTA CONDUCTORES'!AS84</f>
        <v>0</v>
      </c>
      <c r="AL84" s="15" t="str">
        <f>+'ENCUESTA CONDUCTORES'!AT84</f>
        <v>NAVISTAR</v>
      </c>
      <c r="AM84" s="1">
        <f>+'ENCUESTA CONDUCTORES'!AU84</f>
        <v>15000</v>
      </c>
      <c r="AN84" s="48">
        <f>+'ENCUESTA CONDUCTORES'!AV84</f>
        <v>0.5</v>
      </c>
      <c r="AO84" s="15">
        <f>+'ENCUESTA CONDUCTORES'!AW84</f>
        <v>2.6</v>
      </c>
      <c r="AP84" s="15">
        <f>+'ENCUESTA CONDUCTORES'!AX84</f>
        <v>2.4</v>
      </c>
      <c r="AQ84" s="15">
        <f>+'ENCUESTA CONDUCTORES'!AY84</f>
        <v>2</v>
      </c>
      <c r="AR84" s="15">
        <f>+'ENCUESTA CONDUCTORES'!AZ84</f>
        <v>320</v>
      </c>
      <c r="AS84" s="15">
        <f>+'ENCUESTA CONDUCTORES'!BA84</f>
        <v>800</v>
      </c>
      <c r="AT84" s="15">
        <f>IF('ENCUESTA CONDUCTORES'!BB84="X",1,0)</f>
        <v>1</v>
      </c>
      <c r="AU84" s="15">
        <f>IF('ENCUESTA CONDUCTORES'!BC84="X",1,0)</f>
        <v>0</v>
      </c>
      <c r="AV84" s="15">
        <f>IF('ENCUESTA CONDUCTORES'!BD84="X",1,0)</f>
        <v>0</v>
      </c>
      <c r="AW84" s="1">
        <f>+'ENCUESTA CONDUCTORES'!BE84</f>
        <v>6000</v>
      </c>
      <c r="AX84" s="1">
        <f>+'ENCUESTA CONDUCTORES'!BF84</f>
        <v>18000</v>
      </c>
      <c r="AY84" s="1">
        <f>+'ENCUESTA CONDUCTORES'!BG84</f>
        <v>6000</v>
      </c>
      <c r="AZ84" s="1">
        <f>+'ENCUESTA CONDUCTORES'!BH84</f>
        <v>70000</v>
      </c>
      <c r="BA84" s="1">
        <f>+'ENCUESTA CONDUCTORES'!BI84</f>
        <v>6000</v>
      </c>
      <c r="BB84" s="15">
        <f>IF('ENCUESTA CONDUCTORES'!BJ84="X",1,0)</f>
        <v>0</v>
      </c>
      <c r="BC84" s="15">
        <f>IF('ENCUESTA CONDUCTORES'!BK84="X",1,0)</f>
        <v>0</v>
      </c>
      <c r="BD84" s="15">
        <f>IF('ENCUESTA CONDUCTORES'!BL84="X",1,0)</f>
        <v>1</v>
      </c>
      <c r="BE84" s="15">
        <f>IF('ENCUESTA CONDUCTORES'!BM84="X",1,0)</f>
        <v>0</v>
      </c>
      <c r="BF84" s="15">
        <f>IF('ENCUESTA CONDUCTORES'!BN84="X",1,0)</f>
        <v>0</v>
      </c>
      <c r="BG84" s="15">
        <f>IF('ENCUESTA CONDUCTORES'!BO84="X",1,0)</f>
        <v>0</v>
      </c>
      <c r="BH84" s="15">
        <f>IF('ENCUESTA CONDUCTORES'!BP84="X",1,0)</f>
        <v>0</v>
      </c>
      <c r="BI84" s="15">
        <f>IF('ENCUESTA CONDUCTORES'!BQ84="X",1,0)</f>
        <v>0</v>
      </c>
      <c r="BJ84" s="15">
        <f>IF('ENCUESTA CONDUCTORES'!BR84="X",1,0)</f>
        <v>0</v>
      </c>
      <c r="BK84" s="15">
        <f>+'ENCUESTA CONDUCTORES'!BS84</f>
        <v>0</v>
      </c>
      <c r="BL84" s="15">
        <f>IF('ENCUESTA CONDUCTORES'!BT84="X",1,0)</f>
        <v>0</v>
      </c>
      <c r="BM84" s="15">
        <f>IF('ENCUESTA CONDUCTORES'!BU84="X",1,0)</f>
        <v>0</v>
      </c>
      <c r="BN84" s="15">
        <f>IF('ENCUESTA CONDUCTORES'!BV84="X",1,0)</f>
        <v>1</v>
      </c>
      <c r="BO84" s="15">
        <f>IF('ENCUESTA CONDUCTORES'!BW84="X",1,0)</f>
        <v>0</v>
      </c>
      <c r="BP84" s="15">
        <f>+'ENCUESTA CONDUCTORES'!BX84</f>
        <v>2</v>
      </c>
      <c r="BQ84" s="15">
        <f>+'ENCUESTA CONDUCTORES'!BY84</f>
        <v>3</v>
      </c>
      <c r="BR84" s="15">
        <f>+'ENCUESTA CONDUCTORES'!BZ84</f>
        <v>1</v>
      </c>
      <c r="BS84" s="15">
        <f>+'ENCUESTA CONDUCTORES'!CA84</f>
        <v>0</v>
      </c>
      <c r="BT84" s="15">
        <f>IF('ENCUESTA CONDUCTORES'!CB84="X",1,0)</f>
        <v>1</v>
      </c>
      <c r="BU84" s="15">
        <f>IF('ENCUESTA CONDUCTORES'!CC84="X",1,0)</f>
        <v>0</v>
      </c>
      <c r="BV84" s="15">
        <f>IF('ENCUESTA CONDUCTORES'!CD84="X",1,0)</f>
        <v>0</v>
      </c>
      <c r="BW84" s="15">
        <f>IF('ENCUESTA CONDUCTORES'!CE84="X",1,0)</f>
        <v>0</v>
      </c>
      <c r="BX84" s="15">
        <f>IF('ENCUESTA CONDUCTORES'!CF84="X",1,0)</f>
        <v>0</v>
      </c>
      <c r="BY84" s="15">
        <f>IF('ENCUESTA CONDUCTORES'!CG84="X",1,0)</f>
        <v>0</v>
      </c>
      <c r="BZ84" s="15">
        <f>IF('ENCUESTA CONDUCTORES'!CH84="X",1,0)</f>
        <v>0</v>
      </c>
      <c r="CA84" s="15">
        <f>IF('ENCUESTA CONDUCTORES'!CI84="X",1,0)</f>
        <v>0</v>
      </c>
      <c r="CB84" s="15">
        <f>IF('ENCUESTA CONDUCTORES'!CJ84="X",1,0)</f>
        <v>0</v>
      </c>
      <c r="CC84" s="15">
        <f>IF('ENCUESTA CONDUCTORES'!CK84="X",1,0)</f>
        <v>1</v>
      </c>
      <c r="CD84" s="15">
        <f>IF('ENCUESTA CONDUCTORES'!CL84="X",1,0)</f>
        <v>0</v>
      </c>
      <c r="CE84" s="15">
        <f>IF('ENCUESTA CONDUCTORES'!CM84="X",1,0)</f>
        <v>0</v>
      </c>
      <c r="CF84" s="15">
        <f>+'ENCUESTA CONDUCTORES'!CN84</f>
        <v>0</v>
      </c>
      <c r="CG84" s="15">
        <f>IF('ENCUESTA CONDUCTORES'!CO84="X",1,0)</f>
        <v>0</v>
      </c>
      <c r="CH84" s="15" t="str">
        <f>+'ENCUESTA CONDUCTORES'!CP84</f>
        <v>NO SABE</v>
      </c>
      <c r="CI84" s="15" t="str">
        <f>+'ENCUESTA CONDUCTORES'!CQ84</f>
        <v>DARLO A CONOCER</v>
      </c>
      <c r="CJ84" s="15">
        <f>IF('ENCUESTA CONDUCTORES'!CR84="X",1,0)</f>
        <v>0</v>
      </c>
      <c r="CK84" s="15">
        <f>IF('ENCUESTA CONDUCTORES'!CS84="X",1,0)</f>
        <v>0</v>
      </c>
      <c r="CL84" s="15">
        <f>IF('ENCUESTA CONDUCTORES'!CT84="X",1,0)</f>
        <v>0</v>
      </c>
      <c r="CM84" s="2">
        <f>+'ENCUESTA CONDUCTORES'!CU84</f>
        <v>0</v>
      </c>
      <c r="CN84" s="15">
        <f>IF('ENCUESTA CONDUCTORES'!CV84="X",1,0)</f>
        <v>0</v>
      </c>
      <c r="CO84" s="15" t="str">
        <f>+'ENCUESTA CONDUCTORES'!CW84</f>
        <v>MANEJO DE RESIDUOS</v>
      </c>
      <c r="CP84" s="15">
        <f>IF('ENCUESTA CONDUCTORES'!CX84="X",1,0)</f>
        <v>0</v>
      </c>
      <c r="CQ84" s="15">
        <f>IF('ENCUESTA CONDUCTORES'!CY84="X",1,0)</f>
        <v>1</v>
      </c>
      <c r="CR84" s="3">
        <f>+'ENCUESTA CONDUCTORES'!CZ84</f>
        <v>0</v>
      </c>
      <c r="CS84" s="49">
        <f>+'ENCUESTA CONDUCTORES'!DA84</f>
        <v>0</v>
      </c>
    </row>
    <row r="85" spans="2:97" x14ac:dyDescent="0.25">
      <c r="B85" s="14" t="str">
        <f>+'ENCUESTA CONDUCTORES'!D85</f>
        <v>C-091</v>
      </c>
      <c r="C85" s="15">
        <f>IF('ENCUESTA CONDUCTORES'!E85="X",1,0)</f>
        <v>1</v>
      </c>
      <c r="D85" s="15">
        <f>IF('ENCUESTA CONDUCTORES'!F85="X",1,0)</f>
        <v>0</v>
      </c>
      <c r="E85" s="15">
        <f>IF('ENCUESTA CONDUCTORES'!G85="X",1,0)</f>
        <v>0</v>
      </c>
      <c r="F85" s="15">
        <f>IF('ENCUESTA CONDUCTORES'!H85="X",1,0)</f>
        <v>0</v>
      </c>
      <c r="G85" s="15">
        <f>+'ENCUESTA CONDUCTORES'!I85</f>
        <v>41</v>
      </c>
      <c r="H85" s="15" t="str">
        <f>+'ENCUESTA CONDUCTORES'!J85</f>
        <v>M</v>
      </c>
      <c r="I85" s="15" t="str">
        <f>+'ENCUESTA CONDUCTORES'!K85</f>
        <v>SECUNDARIA</v>
      </c>
      <c r="J85" s="15" t="str">
        <f>+'ENCUESTA CONDUCTORES'!L85</f>
        <v>TOLUCA, EDO. MEX.</v>
      </c>
      <c r="K85" s="15" t="str">
        <f>+'ENCUESTA CONDUCTORES'!M85</f>
        <v>TOLUCA</v>
      </c>
      <c r="L85" s="15" t="str">
        <f>+'ENCUESTA CONDUCTORES'!N85</f>
        <v>EDO. MEX.</v>
      </c>
      <c r="M85" s="15">
        <f>+'ENCUESTA CONDUCTORES'!O85</f>
        <v>22</v>
      </c>
      <c r="N85" s="15">
        <f>IF('ENCUESTA CONDUCTORES'!P85="X",1,0)</f>
        <v>0</v>
      </c>
      <c r="O85" s="15">
        <f>IF('ENCUESTA CONDUCTORES'!Q85="X",1,0)</f>
        <v>1</v>
      </c>
      <c r="P85" s="15">
        <f>IF('ENCUESTA CONDUCTORES'!R85="X",1,0)</f>
        <v>0</v>
      </c>
      <c r="Q85" s="15">
        <f>IF('ENCUESTA CONDUCTORES'!S85="X",1,0)</f>
        <v>0</v>
      </c>
      <c r="R85" s="15">
        <f>IF('ENCUESTA CONDUCTORES'!T85="X",1,0)</f>
        <v>0</v>
      </c>
      <c r="S85" s="15">
        <f>IF('ENCUESTA CONDUCTORES'!U85="X",1,0)</f>
        <v>1</v>
      </c>
      <c r="T85" s="15">
        <f>IF('ENCUESTA CONDUCTORES'!V85="X",1,0)</f>
        <v>0</v>
      </c>
      <c r="U85" s="15">
        <f>IF('ENCUESTA CONDUCTORES'!W85="X",1,0)</f>
        <v>0</v>
      </c>
      <c r="V85" s="15">
        <f>IF('ENCUESTA CONDUCTORES'!X85="X",1,0)</f>
        <v>0</v>
      </c>
      <c r="W85" s="15">
        <f>IF('ENCUESTA CONDUCTORES'!Y85="X",1,0)</f>
        <v>0</v>
      </c>
      <c r="X85" s="15">
        <f>IF('ENCUESTA CONDUCTORES'!Z85="X",1,0)</f>
        <v>0</v>
      </c>
      <c r="Y85" s="15">
        <f>+'ENCUESTA CONDUCTORES'!AG85</f>
        <v>0</v>
      </c>
      <c r="Z85" s="15">
        <f>+'ENCUESTA CONDUCTORES'!AH85</f>
        <v>2001</v>
      </c>
      <c r="AA85" s="1">
        <f>+'ENCUESTA CONDUCTORES'!AI85</f>
        <v>865000</v>
      </c>
      <c r="AB85" s="15">
        <f>IF('ENCUESTA CONDUCTORES'!AJ85="X",1,0)</f>
        <v>0</v>
      </c>
      <c r="AC85" s="15">
        <f>IF('ENCUESTA CONDUCTORES'!AK85="X",1,0)</f>
        <v>0</v>
      </c>
      <c r="AD85" s="15">
        <f>IF('ENCUESTA CONDUCTORES'!AL85="X",1,0)</f>
        <v>1</v>
      </c>
      <c r="AE85" s="15">
        <f>IF('ENCUESTA CONDUCTORES'!AM85="X",1,0)</f>
        <v>0</v>
      </c>
      <c r="AF85" s="15">
        <f>IF('ENCUESTA CONDUCTORES'!AN85="X",1,0)</f>
        <v>0</v>
      </c>
      <c r="AG85" s="15">
        <f>IF('ENCUESTA CONDUCTORES'!AO85="X",1,0)</f>
        <v>0</v>
      </c>
      <c r="AH85" s="15">
        <f>IF('ENCUESTA CONDUCTORES'!AP85="X",1,0)</f>
        <v>1</v>
      </c>
      <c r="AI85" s="15">
        <f>IF('ENCUESTA CONDUCTORES'!AQ85="X",1,0)</f>
        <v>0</v>
      </c>
      <c r="AJ85" s="15">
        <f>IF('ENCUESTA CONDUCTORES'!AR85="X",1,0)</f>
        <v>0</v>
      </c>
      <c r="AK85" s="15">
        <f>+'ENCUESTA CONDUCTORES'!AS85</f>
        <v>0</v>
      </c>
      <c r="AL85" s="15" t="str">
        <f>+'ENCUESTA CONDUCTORES'!AT85</f>
        <v>CATERPILLAR</v>
      </c>
      <c r="AM85" s="1">
        <f>+'ENCUESTA CONDUCTORES'!AU85</f>
        <v>6000</v>
      </c>
      <c r="AN85" s="48">
        <f>+'ENCUESTA CONDUCTORES'!AV85</f>
        <v>0.5</v>
      </c>
      <c r="AO85" s="15">
        <f>+'ENCUESTA CONDUCTORES'!AW85</f>
        <v>3.5</v>
      </c>
      <c r="AP85" s="15">
        <f>+'ENCUESTA CONDUCTORES'!AX85</f>
        <v>3</v>
      </c>
      <c r="AQ85" s="15">
        <f>+'ENCUESTA CONDUCTORES'!AY85</f>
        <v>1</v>
      </c>
      <c r="AR85" s="15">
        <f>+'ENCUESTA CONDUCTORES'!AZ85</f>
        <v>300</v>
      </c>
      <c r="AS85" s="15">
        <f>+'ENCUESTA CONDUCTORES'!BA85</f>
        <v>900</v>
      </c>
      <c r="AT85" s="15">
        <f>IF('ENCUESTA CONDUCTORES'!BB85="X",1,0)</f>
        <v>0</v>
      </c>
      <c r="AU85" s="15">
        <f>IF('ENCUESTA CONDUCTORES'!BC85="X",1,0)</f>
        <v>1</v>
      </c>
      <c r="AV85" s="15">
        <f>IF('ENCUESTA CONDUCTORES'!BD85="X",1,0)</f>
        <v>0</v>
      </c>
      <c r="AW85" s="1">
        <f>+'ENCUESTA CONDUCTORES'!BE85</f>
        <v>18000</v>
      </c>
      <c r="AX85" s="1">
        <f>+'ENCUESTA CONDUCTORES'!BF85</f>
        <v>12000</v>
      </c>
      <c r="AY85" s="1">
        <f>+'ENCUESTA CONDUCTORES'!BG85</f>
        <v>18000</v>
      </c>
      <c r="AZ85" s="1">
        <f>+'ENCUESTA CONDUCTORES'!BH85</f>
        <v>90000</v>
      </c>
      <c r="BA85" s="1">
        <f>+'ENCUESTA CONDUCTORES'!BI85</f>
        <v>18000</v>
      </c>
      <c r="BB85" s="15">
        <f>IF('ENCUESTA CONDUCTORES'!BJ85="X",1,0)</f>
        <v>0</v>
      </c>
      <c r="BC85" s="15">
        <f>IF('ENCUESTA CONDUCTORES'!BK85="X",1,0)</f>
        <v>0</v>
      </c>
      <c r="BD85" s="15">
        <f>IF('ENCUESTA CONDUCTORES'!BL85="X",1,0)</f>
        <v>0</v>
      </c>
      <c r="BE85" s="15">
        <f>IF('ENCUESTA CONDUCTORES'!BM85="X",1,0)</f>
        <v>0</v>
      </c>
      <c r="BF85" s="15">
        <f>IF('ENCUESTA CONDUCTORES'!BN85="X",1,0)</f>
        <v>0</v>
      </c>
      <c r="BG85" s="15">
        <f>IF('ENCUESTA CONDUCTORES'!BO85="X",1,0)</f>
        <v>0</v>
      </c>
      <c r="BH85" s="15">
        <f>IF('ENCUESTA CONDUCTORES'!BP85="X",1,0)</f>
        <v>0</v>
      </c>
      <c r="BI85" s="15">
        <f>IF('ENCUESTA CONDUCTORES'!BQ85="X",1,0)</f>
        <v>0</v>
      </c>
      <c r="BJ85" s="15">
        <f>IF('ENCUESTA CONDUCTORES'!BR85="X",1,0)</f>
        <v>0</v>
      </c>
      <c r="BK85" s="15" t="str">
        <f>+'ENCUESTA CONDUCTORES'!BS85</f>
        <v>MUDANZAS</v>
      </c>
      <c r="BL85" s="15">
        <f>IF('ENCUESTA CONDUCTORES'!BT85="X",1,0)</f>
        <v>0</v>
      </c>
      <c r="BM85" s="15">
        <f>IF('ENCUESTA CONDUCTORES'!BU85="X",1,0)</f>
        <v>1</v>
      </c>
      <c r="BN85" s="15">
        <f>IF('ENCUESTA CONDUCTORES'!BV85="X",1,0)</f>
        <v>0</v>
      </c>
      <c r="BO85" s="15">
        <f>IF('ENCUESTA CONDUCTORES'!BW85="X",1,0)</f>
        <v>0</v>
      </c>
      <c r="BP85" s="15">
        <f>+'ENCUESTA CONDUCTORES'!BX85</f>
        <v>1</v>
      </c>
      <c r="BQ85" s="15">
        <f>+'ENCUESTA CONDUCTORES'!BY85</f>
        <v>2</v>
      </c>
      <c r="BR85" s="15">
        <f>+'ENCUESTA CONDUCTORES'!BZ85</f>
        <v>3</v>
      </c>
      <c r="BS85" s="15">
        <f>+'ENCUESTA CONDUCTORES'!CA85</f>
        <v>0</v>
      </c>
      <c r="BT85" s="15">
        <f>IF('ENCUESTA CONDUCTORES'!CB85="X",1,0)</f>
        <v>1</v>
      </c>
      <c r="BU85" s="15">
        <f>IF('ENCUESTA CONDUCTORES'!CC85="X",1,0)</f>
        <v>0</v>
      </c>
      <c r="BV85" s="15">
        <f>IF('ENCUESTA CONDUCTORES'!CD85="X",1,0)</f>
        <v>0</v>
      </c>
      <c r="BW85" s="15">
        <f>IF('ENCUESTA CONDUCTORES'!CE85="X",1,0)</f>
        <v>0</v>
      </c>
      <c r="BX85" s="15">
        <f>IF('ENCUESTA CONDUCTORES'!CF85="X",1,0)</f>
        <v>0</v>
      </c>
      <c r="BY85" s="15">
        <f>IF('ENCUESTA CONDUCTORES'!CG85="X",1,0)</f>
        <v>0</v>
      </c>
      <c r="BZ85" s="15">
        <f>IF('ENCUESTA CONDUCTORES'!CH85="X",1,0)</f>
        <v>0</v>
      </c>
      <c r="CA85" s="15">
        <f>IF('ENCUESTA CONDUCTORES'!CI85="X",1,0)</f>
        <v>0</v>
      </c>
      <c r="CB85" s="15">
        <f>IF('ENCUESTA CONDUCTORES'!CJ85="X",1,0)</f>
        <v>0</v>
      </c>
      <c r="CC85" s="15">
        <f>IF('ENCUESTA CONDUCTORES'!CK85="X",1,0)</f>
        <v>1</v>
      </c>
      <c r="CD85" s="15">
        <f>IF('ENCUESTA CONDUCTORES'!CL85="X",1,0)</f>
        <v>0</v>
      </c>
      <c r="CE85" s="15">
        <f>IF('ENCUESTA CONDUCTORES'!CM85="X",1,0)</f>
        <v>0</v>
      </c>
      <c r="CF85" s="15">
        <f>+'ENCUESTA CONDUCTORES'!CN85</f>
        <v>0</v>
      </c>
      <c r="CG85" s="15">
        <f>IF('ENCUESTA CONDUCTORES'!CO85="X",1,0)</f>
        <v>0</v>
      </c>
      <c r="CH85" s="15" t="str">
        <f>+'ENCUESTA CONDUCTORES'!CP85</f>
        <v>NO SABE</v>
      </c>
      <c r="CI85" s="15" t="str">
        <f>+'ENCUESTA CONDUCTORES'!CQ85</f>
        <v>DARLO A CONOCER</v>
      </c>
      <c r="CJ85" s="15">
        <f>IF('ENCUESTA CONDUCTORES'!CR85="X",1,0)</f>
        <v>0</v>
      </c>
      <c r="CK85" s="15">
        <f>IF('ENCUESTA CONDUCTORES'!CS85="X",1,0)</f>
        <v>0</v>
      </c>
      <c r="CL85" s="15">
        <f>IF('ENCUESTA CONDUCTORES'!CT85="X",1,0)</f>
        <v>1</v>
      </c>
      <c r="CM85" s="15">
        <f>+'ENCUESTA CONDUCTORES'!CU85</f>
        <v>0</v>
      </c>
      <c r="CN85" s="15">
        <f>IF('ENCUESTA CONDUCTORES'!CV85="X",1,0)</f>
        <v>0</v>
      </c>
      <c r="CO85" s="15">
        <f>+'ENCUESTA CONDUCTORES'!CW85</f>
        <v>0</v>
      </c>
      <c r="CP85" s="15">
        <f>IF('ENCUESTA CONDUCTORES'!CX85="X",1,0)</f>
        <v>1</v>
      </c>
      <c r="CQ85" s="15">
        <f>IF('ENCUESTA CONDUCTORES'!CY85="X",1,0)</f>
        <v>1</v>
      </c>
      <c r="CR85" s="3">
        <f>+'ENCUESTA CONDUCTORES'!CZ85</f>
        <v>0</v>
      </c>
      <c r="CS85" s="49">
        <f>+'ENCUESTA CONDUCTORES'!DA85</f>
        <v>0</v>
      </c>
    </row>
    <row r="86" spans="2:97" x14ac:dyDescent="0.25">
      <c r="B86" s="14" t="str">
        <f>+'ENCUESTA CONDUCTORES'!D86</f>
        <v>C-092</v>
      </c>
      <c r="C86" s="15">
        <f>IF('ENCUESTA CONDUCTORES'!E86="X",1,0)</f>
        <v>0</v>
      </c>
      <c r="D86" s="15">
        <f>IF('ENCUESTA CONDUCTORES'!F86="X",1,0)</f>
        <v>0</v>
      </c>
      <c r="E86" s="15">
        <f>IF('ENCUESTA CONDUCTORES'!G86="X",1,0)</f>
        <v>1</v>
      </c>
      <c r="F86" s="15">
        <f>IF('ENCUESTA CONDUCTORES'!H86="X",1,0)</f>
        <v>0</v>
      </c>
      <c r="G86" s="15">
        <f>+'ENCUESTA CONDUCTORES'!I86</f>
        <v>48</v>
      </c>
      <c r="H86" s="15" t="str">
        <f>+'ENCUESTA CONDUCTORES'!J86</f>
        <v>M</v>
      </c>
      <c r="I86" s="15" t="str">
        <f>+'ENCUESTA CONDUCTORES'!K86</f>
        <v>PRIMARIA</v>
      </c>
      <c r="J86" s="15" t="str">
        <f>+'ENCUESTA CONDUCTORES'!L86</f>
        <v>CUAUTITLÁN, EDO. MEX.</v>
      </c>
      <c r="K86" s="50" t="str">
        <f>+'ENCUESTA CONDUCTORES'!M86</f>
        <v>CUAUTITLÁN</v>
      </c>
      <c r="L86" s="15" t="str">
        <f>+'ENCUESTA CONDUCTORES'!N86</f>
        <v>EDO. MEX.</v>
      </c>
      <c r="M86" s="15">
        <f>+'ENCUESTA CONDUCTORES'!O86</f>
        <v>18</v>
      </c>
      <c r="N86" s="15">
        <f>IF('ENCUESTA CONDUCTORES'!P86="X",1,0)</f>
        <v>0</v>
      </c>
      <c r="O86" s="15">
        <f>IF('ENCUESTA CONDUCTORES'!Q86="X",1,0)</f>
        <v>0</v>
      </c>
      <c r="P86" s="15">
        <f>IF('ENCUESTA CONDUCTORES'!R86="X",1,0)</f>
        <v>0</v>
      </c>
      <c r="Q86" s="15">
        <f>IF('ENCUESTA CONDUCTORES'!S86="X",1,0)</f>
        <v>1</v>
      </c>
      <c r="R86" s="15">
        <f>IF('ENCUESTA CONDUCTORES'!T86="X",1,0)</f>
        <v>0</v>
      </c>
      <c r="S86" s="15">
        <f>IF('ENCUESTA CONDUCTORES'!U86="X",1,0)</f>
        <v>1</v>
      </c>
      <c r="T86" s="15">
        <f>IF('ENCUESTA CONDUCTORES'!V86="X",1,0)</f>
        <v>0</v>
      </c>
      <c r="U86" s="15">
        <f>IF('ENCUESTA CONDUCTORES'!W86="X",1,0)</f>
        <v>0</v>
      </c>
      <c r="V86" s="15">
        <f>IF('ENCUESTA CONDUCTORES'!X86="X",1,0)</f>
        <v>0</v>
      </c>
      <c r="W86" s="15">
        <f>IF('ENCUESTA CONDUCTORES'!Y86="X",1,0)</f>
        <v>0</v>
      </c>
      <c r="X86" s="15">
        <f>IF('ENCUESTA CONDUCTORES'!Z86="X",1,0)</f>
        <v>0</v>
      </c>
      <c r="Y86" s="15">
        <f>+'ENCUESTA CONDUCTORES'!AG86</f>
        <v>0</v>
      </c>
      <c r="Z86" s="15">
        <f>+'ENCUESTA CONDUCTORES'!AH86</f>
        <v>1998</v>
      </c>
      <c r="AA86" s="1">
        <f>+'ENCUESTA CONDUCTORES'!AI86</f>
        <v>2000000</v>
      </c>
      <c r="AB86" s="15">
        <f>IF('ENCUESTA CONDUCTORES'!AJ86="X",1,0)</f>
        <v>0</v>
      </c>
      <c r="AC86" s="15">
        <f>IF('ENCUESTA CONDUCTORES'!AK86="X",1,0)</f>
        <v>0</v>
      </c>
      <c r="AD86" s="15">
        <f>IF('ENCUESTA CONDUCTORES'!AL86="X",1,0)</f>
        <v>1</v>
      </c>
      <c r="AE86" s="15">
        <f>IF('ENCUESTA CONDUCTORES'!AM86="X",1,0)</f>
        <v>0</v>
      </c>
      <c r="AF86" s="15">
        <f>IF('ENCUESTA CONDUCTORES'!AN86="X",1,0)</f>
        <v>0</v>
      </c>
      <c r="AG86" s="15">
        <f>IF('ENCUESTA CONDUCTORES'!AO86="X",1,0)</f>
        <v>0</v>
      </c>
      <c r="AH86" s="15">
        <f>IF('ENCUESTA CONDUCTORES'!AP86="X",1,0)</f>
        <v>1</v>
      </c>
      <c r="AI86" s="15">
        <f>IF('ENCUESTA CONDUCTORES'!AQ86="X",1,0)</f>
        <v>0</v>
      </c>
      <c r="AJ86" s="15">
        <f>IF('ENCUESTA CONDUCTORES'!AR86="X",1,0)</f>
        <v>0</v>
      </c>
      <c r="AK86" s="15">
        <f>+'ENCUESTA CONDUCTORES'!AS86</f>
        <v>0</v>
      </c>
      <c r="AL86" s="15" t="str">
        <f>+'ENCUESTA CONDUCTORES'!AT86</f>
        <v>MERCEDES BENZ</v>
      </c>
      <c r="AM86" s="1">
        <f>+'ENCUESTA CONDUCTORES'!AU86</f>
        <v>12000</v>
      </c>
      <c r="AN86" s="48">
        <f>+'ENCUESTA CONDUCTORES'!AV86</f>
        <v>0.5</v>
      </c>
      <c r="AO86" s="15">
        <f>+'ENCUESTA CONDUCTORES'!AW86</f>
        <v>2</v>
      </c>
      <c r="AP86" s="15">
        <f>+'ENCUESTA CONDUCTORES'!AX86</f>
        <v>1.8</v>
      </c>
      <c r="AQ86" s="15">
        <f>+'ENCUESTA CONDUCTORES'!AY86</f>
        <v>2</v>
      </c>
      <c r="AR86" s="15">
        <f>+'ENCUESTA CONDUCTORES'!AZ86</f>
        <v>780</v>
      </c>
      <c r="AS86" s="15">
        <f>+'ENCUESTA CONDUCTORES'!BA86</f>
        <v>1500</v>
      </c>
      <c r="AT86" s="15">
        <f>IF('ENCUESTA CONDUCTORES'!BB86="X",1,0)</f>
        <v>1</v>
      </c>
      <c r="AU86" s="15">
        <f>IF('ENCUESTA CONDUCTORES'!BC86="X",1,0)</f>
        <v>1</v>
      </c>
      <c r="AV86" s="15">
        <f>IF('ENCUESTA CONDUCTORES'!BD86="X",1,0)</f>
        <v>0</v>
      </c>
      <c r="AW86" s="1">
        <f>+'ENCUESTA CONDUCTORES'!BE86</f>
        <v>10000</v>
      </c>
      <c r="AX86" s="1">
        <f>+'ENCUESTA CONDUCTORES'!BF86</f>
        <v>36000</v>
      </c>
      <c r="AY86" s="1">
        <f>+'ENCUESTA CONDUCTORES'!BG86</f>
        <v>10000</v>
      </c>
      <c r="AZ86" s="1">
        <f>+'ENCUESTA CONDUCTORES'!BH86</f>
        <v>72000</v>
      </c>
      <c r="BA86" s="1">
        <f>+'ENCUESTA CONDUCTORES'!BI86</f>
        <v>10000</v>
      </c>
      <c r="BB86" s="15">
        <f>IF('ENCUESTA CONDUCTORES'!BJ86="X",1,0)</f>
        <v>1</v>
      </c>
      <c r="BC86" s="15">
        <f>IF('ENCUESTA CONDUCTORES'!BK86="X",1,0)</f>
        <v>0</v>
      </c>
      <c r="BD86" s="15">
        <f>IF('ENCUESTA CONDUCTORES'!BL86="X",1,0)</f>
        <v>0</v>
      </c>
      <c r="BE86" s="15">
        <f>IF('ENCUESTA CONDUCTORES'!BM86="X",1,0)</f>
        <v>0</v>
      </c>
      <c r="BF86" s="15">
        <f>IF('ENCUESTA CONDUCTORES'!BN86="X",1,0)</f>
        <v>0</v>
      </c>
      <c r="BG86" s="15">
        <f>IF('ENCUESTA CONDUCTORES'!BO86="X",1,0)</f>
        <v>0</v>
      </c>
      <c r="BH86" s="15">
        <f>IF('ENCUESTA CONDUCTORES'!BP86="X",1,0)</f>
        <v>0</v>
      </c>
      <c r="BI86" s="15">
        <f>IF('ENCUESTA CONDUCTORES'!BQ86="X",1,0)</f>
        <v>0</v>
      </c>
      <c r="BJ86" s="15">
        <f>IF('ENCUESTA CONDUCTORES'!BR86="X",1,0)</f>
        <v>0</v>
      </c>
      <c r="BK86" s="15">
        <f>+'ENCUESTA CONDUCTORES'!BS86</f>
        <v>0</v>
      </c>
      <c r="BL86" s="15">
        <f>IF('ENCUESTA CONDUCTORES'!BT86="X",1,0)</f>
        <v>0</v>
      </c>
      <c r="BM86" s="15">
        <f>IF('ENCUESTA CONDUCTORES'!BU86="X",1,0)</f>
        <v>1</v>
      </c>
      <c r="BN86" s="15">
        <f>IF('ENCUESTA CONDUCTORES'!BV86="X",1,0)</f>
        <v>0</v>
      </c>
      <c r="BO86" s="15">
        <f>IF('ENCUESTA CONDUCTORES'!BW86="X",1,0)</f>
        <v>0</v>
      </c>
      <c r="BP86" s="15">
        <f>+'ENCUESTA CONDUCTORES'!BX86</f>
        <v>1</v>
      </c>
      <c r="BQ86" s="15">
        <f>+'ENCUESTA CONDUCTORES'!BY86</f>
        <v>3</v>
      </c>
      <c r="BR86" s="15">
        <f>+'ENCUESTA CONDUCTORES'!BZ86</f>
        <v>2</v>
      </c>
      <c r="BS86" s="15">
        <f>+'ENCUESTA CONDUCTORES'!CA86</f>
        <v>0</v>
      </c>
      <c r="BT86" s="15">
        <f>IF('ENCUESTA CONDUCTORES'!CB86="X",1,0)</f>
        <v>1</v>
      </c>
      <c r="BU86" s="15">
        <f>IF('ENCUESTA CONDUCTORES'!CC86="X",1,0)</f>
        <v>0</v>
      </c>
      <c r="BV86" s="15">
        <f>IF('ENCUESTA CONDUCTORES'!CD86="X",1,0)</f>
        <v>0</v>
      </c>
      <c r="BW86" s="15">
        <f>IF('ENCUESTA CONDUCTORES'!CE86="X",1,0)</f>
        <v>0</v>
      </c>
      <c r="BX86" s="15">
        <f>IF('ENCUESTA CONDUCTORES'!CF86="X",1,0)</f>
        <v>0</v>
      </c>
      <c r="BY86" s="15">
        <f>IF('ENCUESTA CONDUCTORES'!CG86="X",1,0)</f>
        <v>0</v>
      </c>
      <c r="BZ86" s="15">
        <f>IF('ENCUESTA CONDUCTORES'!CH86="X",1,0)</f>
        <v>0</v>
      </c>
      <c r="CA86" s="15">
        <f>IF('ENCUESTA CONDUCTORES'!CI86="X",1,0)</f>
        <v>0</v>
      </c>
      <c r="CB86" s="15">
        <f>IF('ENCUESTA CONDUCTORES'!CJ86="X",1,0)</f>
        <v>0</v>
      </c>
      <c r="CC86" s="15">
        <f>IF('ENCUESTA CONDUCTORES'!CK86="X",1,0)</f>
        <v>1</v>
      </c>
      <c r="CD86" s="15">
        <f>IF('ENCUESTA CONDUCTORES'!CL86="X",1,0)</f>
        <v>0</v>
      </c>
      <c r="CE86" s="15">
        <f>IF('ENCUESTA CONDUCTORES'!CM86="X",1,0)</f>
        <v>0</v>
      </c>
      <c r="CF86" s="15">
        <f>+'ENCUESTA CONDUCTORES'!CN86</f>
        <v>0</v>
      </c>
      <c r="CG86" s="15">
        <f>IF('ENCUESTA CONDUCTORES'!CO86="X",1,0)</f>
        <v>0</v>
      </c>
      <c r="CH86" s="15" t="str">
        <f>+'ENCUESTA CONDUCTORES'!CP86</f>
        <v>NO SABE</v>
      </c>
      <c r="CI86" s="15" t="str">
        <f>+'ENCUESTA CONDUCTORES'!CQ86</f>
        <v>DARLO A CONOCER</v>
      </c>
      <c r="CJ86" s="15">
        <f>IF('ENCUESTA CONDUCTORES'!CR86="X",1,0)</f>
        <v>0</v>
      </c>
      <c r="CK86" s="15">
        <f>IF('ENCUESTA CONDUCTORES'!CS86="X",1,0)</f>
        <v>1</v>
      </c>
      <c r="CL86" s="15">
        <f>IF('ENCUESTA CONDUCTORES'!CT86="X",1,0)</f>
        <v>0</v>
      </c>
      <c r="CM86" s="15">
        <f>+'ENCUESTA CONDUCTORES'!CU86</f>
        <v>0</v>
      </c>
      <c r="CN86" s="15">
        <f>IF('ENCUESTA CONDUCTORES'!CV86="X",1,0)</f>
        <v>1</v>
      </c>
      <c r="CO86" s="2" t="str">
        <f>+'ENCUESTA CONDUCTORES'!CW86</f>
        <v>EL PATRON NO QUIERE</v>
      </c>
      <c r="CP86" s="15">
        <f>IF('ENCUESTA CONDUCTORES'!CX86="X",1,0)</f>
        <v>0</v>
      </c>
      <c r="CQ86" s="15">
        <f>IF('ENCUESTA CONDUCTORES'!CY86="X",1,0)</f>
        <v>0</v>
      </c>
      <c r="CR86" s="3">
        <f>+'ENCUESTA CONDUCTORES'!CZ86</f>
        <v>0</v>
      </c>
      <c r="CS86" s="49">
        <f>+'ENCUESTA CONDUCTORES'!DA86</f>
        <v>0</v>
      </c>
    </row>
    <row r="87" spans="2:97" x14ac:dyDescent="0.25">
      <c r="B87" s="14" t="str">
        <f>+'ENCUESTA CONDUCTORES'!D87</f>
        <v>C-093</v>
      </c>
      <c r="C87" s="15">
        <f>IF('ENCUESTA CONDUCTORES'!E87="X",1,0)</f>
        <v>1</v>
      </c>
      <c r="D87" s="15">
        <f>IF('ENCUESTA CONDUCTORES'!F87="X",1,0)</f>
        <v>0</v>
      </c>
      <c r="E87" s="15">
        <f>IF('ENCUESTA CONDUCTORES'!G87="X",1,0)</f>
        <v>0</v>
      </c>
      <c r="F87" s="15">
        <f>IF('ENCUESTA CONDUCTORES'!H87="X",1,0)</f>
        <v>0</v>
      </c>
      <c r="G87" s="15">
        <f>+'ENCUESTA CONDUCTORES'!I87</f>
        <v>43</v>
      </c>
      <c r="H87" s="15" t="str">
        <f>+'ENCUESTA CONDUCTORES'!J87</f>
        <v>M</v>
      </c>
      <c r="I87" s="15" t="str">
        <f>+'ENCUESTA CONDUCTORES'!K87</f>
        <v>PRIMARIA</v>
      </c>
      <c r="J87" s="15" t="str">
        <f>+'ENCUESTA CONDUCTORES'!L87</f>
        <v>NAUCALPAN, EDO. MEX.</v>
      </c>
      <c r="K87" s="15" t="str">
        <f>+'ENCUESTA CONDUCTORES'!M87</f>
        <v>NAUCALPAN</v>
      </c>
      <c r="L87" s="15" t="str">
        <f>+'ENCUESTA CONDUCTORES'!N87</f>
        <v>EDO. MEX.</v>
      </c>
      <c r="M87" s="15">
        <f>+'ENCUESTA CONDUCTORES'!O87</f>
        <v>21</v>
      </c>
      <c r="N87" s="15">
        <f>IF('ENCUESTA CONDUCTORES'!P87="X",1,0)</f>
        <v>0</v>
      </c>
      <c r="O87" s="15">
        <f>IF('ENCUESTA CONDUCTORES'!Q87="X",1,0)</f>
        <v>0</v>
      </c>
      <c r="P87" s="15">
        <f>IF('ENCUESTA CONDUCTORES'!R87="X",1,0)</f>
        <v>0</v>
      </c>
      <c r="Q87" s="15">
        <f>IF('ENCUESTA CONDUCTORES'!S87="X",1,0)</f>
        <v>1</v>
      </c>
      <c r="R87" s="15">
        <f>IF('ENCUESTA CONDUCTORES'!T87="X",1,0)</f>
        <v>0</v>
      </c>
      <c r="S87" s="15">
        <f>IF('ENCUESTA CONDUCTORES'!U87="X",1,0)</f>
        <v>1</v>
      </c>
      <c r="T87" s="15">
        <f>IF('ENCUESTA CONDUCTORES'!V87="X",1,0)</f>
        <v>0</v>
      </c>
      <c r="U87" s="15">
        <f>IF('ENCUESTA CONDUCTORES'!W87="X",1,0)</f>
        <v>0</v>
      </c>
      <c r="V87" s="15">
        <f>IF('ENCUESTA CONDUCTORES'!X87="X",1,0)</f>
        <v>0</v>
      </c>
      <c r="W87" s="15">
        <f>IF('ENCUESTA CONDUCTORES'!Y87="X",1,0)</f>
        <v>0</v>
      </c>
      <c r="X87" s="15">
        <f>IF('ENCUESTA CONDUCTORES'!Z87="X",1,0)</f>
        <v>0</v>
      </c>
      <c r="Y87" s="15">
        <f>+'ENCUESTA CONDUCTORES'!AG87</f>
        <v>0</v>
      </c>
      <c r="Z87" s="15">
        <f>+'ENCUESTA CONDUCTORES'!AH87</f>
        <v>2000</v>
      </c>
      <c r="AA87" s="1">
        <f>+'ENCUESTA CONDUCTORES'!AI87</f>
        <v>1000000</v>
      </c>
      <c r="AB87" s="15">
        <f>IF('ENCUESTA CONDUCTORES'!AJ87="X",1,0)</f>
        <v>0</v>
      </c>
      <c r="AC87" s="15">
        <f>IF('ENCUESTA CONDUCTORES'!AK87="X",1,0)</f>
        <v>0</v>
      </c>
      <c r="AD87" s="15">
        <f>IF('ENCUESTA CONDUCTORES'!AL87="X",1,0)</f>
        <v>1</v>
      </c>
      <c r="AE87" s="15">
        <f>IF('ENCUESTA CONDUCTORES'!AM87="X",1,0)</f>
        <v>0</v>
      </c>
      <c r="AF87" s="15">
        <f>IF('ENCUESTA CONDUCTORES'!AN87="X",1,0)</f>
        <v>0</v>
      </c>
      <c r="AG87" s="15">
        <f>IF('ENCUESTA CONDUCTORES'!AO87="X",1,0)</f>
        <v>0</v>
      </c>
      <c r="AH87" s="15">
        <f>IF('ENCUESTA CONDUCTORES'!AP87="X",1,0)</f>
        <v>1</v>
      </c>
      <c r="AI87" s="15">
        <f>IF('ENCUESTA CONDUCTORES'!AQ87="X",1,0)</f>
        <v>0</v>
      </c>
      <c r="AJ87" s="15">
        <f>IF('ENCUESTA CONDUCTORES'!AR87="X",1,0)</f>
        <v>0</v>
      </c>
      <c r="AK87" s="15">
        <f>+'ENCUESTA CONDUCTORES'!AS87</f>
        <v>0</v>
      </c>
      <c r="AL87" s="15" t="str">
        <f>+'ENCUESTA CONDUCTORES'!AT87</f>
        <v>CUMMINS</v>
      </c>
      <c r="AM87" s="1">
        <f>+'ENCUESTA CONDUCTORES'!AU87</f>
        <v>6400</v>
      </c>
      <c r="AN87" s="48">
        <f>+'ENCUESTA CONDUCTORES'!AV87</f>
        <v>0.5</v>
      </c>
      <c r="AO87" s="15">
        <f>+'ENCUESTA CONDUCTORES'!AW87</f>
        <v>2.2999999999999998</v>
      </c>
      <c r="AP87" s="15">
        <f>+'ENCUESTA CONDUCTORES'!AX87</f>
        <v>1.5</v>
      </c>
      <c r="AQ87" s="15">
        <f>+'ENCUESTA CONDUCTORES'!AY87</f>
        <v>1</v>
      </c>
      <c r="AR87" s="15">
        <f>+'ENCUESTA CONDUCTORES'!AZ87</f>
        <v>300</v>
      </c>
      <c r="AS87" s="15">
        <f>+'ENCUESTA CONDUCTORES'!BA87</f>
        <v>600</v>
      </c>
      <c r="AT87" s="15">
        <f>IF('ENCUESTA CONDUCTORES'!BB87="X",1,0)</f>
        <v>0</v>
      </c>
      <c r="AU87" s="15">
        <f>IF('ENCUESTA CONDUCTORES'!BC87="X",1,0)</f>
        <v>1</v>
      </c>
      <c r="AV87" s="15">
        <f>IF('ENCUESTA CONDUCTORES'!BD87="X",1,0)</f>
        <v>0</v>
      </c>
      <c r="AW87" s="1">
        <f>+'ENCUESTA CONDUCTORES'!BE87</f>
        <v>10000</v>
      </c>
      <c r="AX87" s="1">
        <f>+'ENCUESTA CONDUCTORES'!BF87</f>
        <v>12000</v>
      </c>
      <c r="AY87" s="1">
        <f>+'ENCUESTA CONDUCTORES'!BG87</f>
        <v>10000</v>
      </c>
      <c r="AZ87" s="1">
        <f>+'ENCUESTA CONDUCTORES'!BH87</f>
        <v>36000</v>
      </c>
      <c r="BA87" s="1">
        <f>+'ENCUESTA CONDUCTORES'!BI87</f>
        <v>10000</v>
      </c>
      <c r="BB87" s="15">
        <f>IF('ENCUESTA CONDUCTORES'!BJ87="X",1,0)</f>
        <v>0</v>
      </c>
      <c r="BC87" s="15">
        <f>IF('ENCUESTA CONDUCTORES'!BK87="X",1,0)</f>
        <v>1</v>
      </c>
      <c r="BD87" s="15">
        <f>IF('ENCUESTA CONDUCTORES'!BL87="X",1,0)</f>
        <v>0</v>
      </c>
      <c r="BE87" s="15">
        <f>IF('ENCUESTA CONDUCTORES'!BM87="X",1,0)</f>
        <v>0</v>
      </c>
      <c r="BF87" s="15">
        <f>IF('ENCUESTA CONDUCTORES'!BN87="X",1,0)</f>
        <v>0</v>
      </c>
      <c r="BG87" s="15">
        <f>IF('ENCUESTA CONDUCTORES'!BO87="X",1,0)</f>
        <v>1</v>
      </c>
      <c r="BH87" s="15">
        <f>IF('ENCUESTA CONDUCTORES'!BP87="X",1,0)</f>
        <v>0</v>
      </c>
      <c r="BI87" s="15">
        <f>IF('ENCUESTA CONDUCTORES'!BQ87="X",1,0)</f>
        <v>0</v>
      </c>
      <c r="BJ87" s="15">
        <f>IF('ENCUESTA CONDUCTORES'!BR87="X",1,0)</f>
        <v>0</v>
      </c>
      <c r="BK87" s="15">
        <f>+'ENCUESTA CONDUCTORES'!BS87</f>
        <v>0</v>
      </c>
      <c r="BL87" s="15">
        <f>IF('ENCUESTA CONDUCTORES'!BT87="X",1,0)</f>
        <v>0</v>
      </c>
      <c r="BM87" s="15">
        <f>IF('ENCUESTA CONDUCTORES'!BU87="X",1,0)</f>
        <v>0</v>
      </c>
      <c r="BN87" s="15">
        <f>IF('ENCUESTA CONDUCTORES'!BV87="X",1,0)</f>
        <v>1</v>
      </c>
      <c r="BO87" s="15">
        <f>IF('ENCUESTA CONDUCTORES'!BW87="X",1,0)</f>
        <v>0</v>
      </c>
      <c r="BP87" s="15">
        <f>+'ENCUESTA CONDUCTORES'!BX87</f>
        <v>1</v>
      </c>
      <c r="BQ87" s="15">
        <f>+'ENCUESTA CONDUCTORES'!BY87</f>
        <v>3</v>
      </c>
      <c r="BR87" s="15">
        <f>+'ENCUESTA CONDUCTORES'!BZ87</f>
        <v>2</v>
      </c>
      <c r="BS87" s="15">
        <f>+'ENCUESTA CONDUCTORES'!CA87</f>
        <v>0</v>
      </c>
      <c r="BT87" s="15">
        <f>IF('ENCUESTA CONDUCTORES'!CB87="X",1,0)</f>
        <v>1</v>
      </c>
      <c r="BU87" s="15">
        <f>IF('ENCUESTA CONDUCTORES'!CC87="X",1,0)</f>
        <v>0</v>
      </c>
      <c r="BV87" s="15">
        <f>IF('ENCUESTA CONDUCTORES'!CD87="X",1,0)</f>
        <v>0</v>
      </c>
      <c r="BW87" s="15">
        <f>IF('ENCUESTA CONDUCTORES'!CE87="X",1,0)</f>
        <v>0</v>
      </c>
      <c r="BX87" s="15">
        <f>IF('ENCUESTA CONDUCTORES'!CF87="X",1,0)</f>
        <v>0</v>
      </c>
      <c r="BY87" s="15">
        <f>IF('ENCUESTA CONDUCTORES'!CG87="X",1,0)</f>
        <v>0</v>
      </c>
      <c r="BZ87" s="15">
        <f>IF('ENCUESTA CONDUCTORES'!CH87="X",1,0)</f>
        <v>0</v>
      </c>
      <c r="CA87" s="15">
        <f>IF('ENCUESTA CONDUCTORES'!CI87="X",1,0)</f>
        <v>0</v>
      </c>
      <c r="CB87" s="15">
        <f>IF('ENCUESTA CONDUCTORES'!CJ87="X",1,0)</f>
        <v>0</v>
      </c>
      <c r="CC87" s="15">
        <f>IF('ENCUESTA CONDUCTORES'!CK87="X",1,0)</f>
        <v>1</v>
      </c>
      <c r="CD87" s="15">
        <f>IF('ENCUESTA CONDUCTORES'!CL87="X",1,0)</f>
        <v>0</v>
      </c>
      <c r="CE87" s="15">
        <f>IF('ENCUESTA CONDUCTORES'!CM87="X",1,0)</f>
        <v>0</v>
      </c>
      <c r="CF87" s="15">
        <f>+'ENCUESTA CONDUCTORES'!CN87</f>
        <v>0</v>
      </c>
      <c r="CG87" s="15">
        <f>IF('ENCUESTA CONDUCTORES'!CO87="X",1,0)</f>
        <v>0</v>
      </c>
      <c r="CH87" s="15" t="str">
        <f>+'ENCUESTA CONDUCTORES'!CP87</f>
        <v>NO SABE</v>
      </c>
      <c r="CI87" s="15" t="str">
        <f>+'ENCUESTA CONDUCTORES'!CQ87</f>
        <v>PUBLICIDAD</v>
      </c>
      <c r="CJ87" s="15">
        <f>IF('ENCUESTA CONDUCTORES'!CR87="X",1,0)</f>
        <v>0</v>
      </c>
      <c r="CK87" s="15">
        <f>IF('ENCUESTA CONDUCTORES'!CS87="X",1,0)</f>
        <v>0</v>
      </c>
      <c r="CL87" s="15">
        <f>IF('ENCUESTA CONDUCTORES'!CT87="X",1,0)</f>
        <v>1</v>
      </c>
      <c r="CM87" s="15">
        <f>+'ENCUESTA CONDUCTORES'!CU87</f>
        <v>0</v>
      </c>
      <c r="CN87" s="15">
        <f>IF('ENCUESTA CONDUCTORES'!CV87="X",1,0)</f>
        <v>0</v>
      </c>
      <c r="CO87" s="15">
        <f>+'ENCUESTA CONDUCTORES'!CW87</f>
        <v>0</v>
      </c>
      <c r="CP87" s="15">
        <f>IF('ENCUESTA CONDUCTORES'!CX87="X",1,0)</f>
        <v>0</v>
      </c>
      <c r="CQ87" s="15">
        <f>IF('ENCUESTA CONDUCTORES'!CY87="X",1,0)</f>
        <v>1</v>
      </c>
      <c r="CR87" s="3" t="str">
        <f>+'ENCUESTA CONDUCTORES'!CZ87</f>
        <v>SEGURIDAD</v>
      </c>
      <c r="CS87" s="49">
        <f>+'ENCUESTA CONDUCTORES'!DA87</f>
        <v>0</v>
      </c>
    </row>
    <row r="88" spans="2:97" x14ac:dyDescent="0.25">
      <c r="B88" s="14" t="str">
        <f>+'ENCUESTA CONDUCTORES'!D88</f>
        <v>C-094</v>
      </c>
      <c r="C88" s="15">
        <f>IF('ENCUESTA CONDUCTORES'!E88="X",1,0)</f>
        <v>0</v>
      </c>
      <c r="D88" s="15">
        <f>IF('ENCUESTA CONDUCTORES'!F88="X",1,0)</f>
        <v>1</v>
      </c>
      <c r="E88" s="15">
        <f>IF('ENCUESTA CONDUCTORES'!G88="X",1,0)</f>
        <v>0</v>
      </c>
      <c r="F88" s="15">
        <f>IF('ENCUESTA CONDUCTORES'!H88="X",1,0)</f>
        <v>0</v>
      </c>
      <c r="G88" s="15">
        <f>+'ENCUESTA CONDUCTORES'!I88</f>
        <v>43</v>
      </c>
      <c r="H88" s="15" t="str">
        <f>+'ENCUESTA CONDUCTORES'!J88</f>
        <v>M</v>
      </c>
      <c r="I88" s="15" t="str">
        <f>+'ENCUESTA CONDUCTORES'!K88</f>
        <v>SECUNDARIA</v>
      </c>
      <c r="J88" s="15" t="str">
        <f>+'ENCUESTA CONDUCTORES'!L88</f>
        <v>MILPA ALTA, D.F.</v>
      </c>
      <c r="K88" s="15" t="str">
        <f>+'ENCUESTA CONDUCTORES'!M88</f>
        <v>MILPA ALTA</v>
      </c>
      <c r="L88" s="15" t="str">
        <f>+'ENCUESTA CONDUCTORES'!N88</f>
        <v>D.F.</v>
      </c>
      <c r="M88" s="15">
        <f>+'ENCUESTA CONDUCTORES'!O88</f>
        <v>25</v>
      </c>
      <c r="N88" s="15">
        <f>IF('ENCUESTA CONDUCTORES'!P88="X",1,0)</f>
        <v>0</v>
      </c>
      <c r="O88" s="15">
        <f>IF('ENCUESTA CONDUCTORES'!Q88="X",1,0)</f>
        <v>0</v>
      </c>
      <c r="P88" s="15">
        <f>IF('ENCUESTA CONDUCTORES'!R88="X",1,0)</f>
        <v>0</v>
      </c>
      <c r="Q88" s="15">
        <f>IF('ENCUESTA CONDUCTORES'!S88="X",1,0)</f>
        <v>1</v>
      </c>
      <c r="R88" s="15">
        <f>IF('ENCUESTA CONDUCTORES'!T88="X",1,0)</f>
        <v>0</v>
      </c>
      <c r="S88" s="15">
        <f>IF('ENCUESTA CONDUCTORES'!U88="X",1,0)</f>
        <v>1</v>
      </c>
      <c r="T88" s="15">
        <f>IF('ENCUESTA CONDUCTORES'!V88="X",1,0)</f>
        <v>0</v>
      </c>
      <c r="U88" s="15">
        <f>IF('ENCUESTA CONDUCTORES'!W88="X",1,0)</f>
        <v>0</v>
      </c>
      <c r="V88" s="15">
        <f>IF('ENCUESTA CONDUCTORES'!X88="X",1,0)</f>
        <v>0</v>
      </c>
      <c r="W88" s="15">
        <f>IF('ENCUESTA CONDUCTORES'!Y88="X",1,0)</f>
        <v>0</v>
      </c>
      <c r="X88" s="15">
        <f>IF('ENCUESTA CONDUCTORES'!Z88="X",1,0)</f>
        <v>0</v>
      </c>
      <c r="Y88" s="15">
        <f>+'ENCUESTA CONDUCTORES'!AG88</f>
        <v>0</v>
      </c>
      <c r="Z88" s="15">
        <f>+'ENCUESTA CONDUCTORES'!AH88</f>
        <v>2003</v>
      </c>
      <c r="AA88" s="1">
        <f>+'ENCUESTA CONDUCTORES'!AI88</f>
        <v>1000000</v>
      </c>
      <c r="AB88" s="15">
        <f>IF('ENCUESTA CONDUCTORES'!AJ88="X",1,0)</f>
        <v>0</v>
      </c>
      <c r="AC88" s="15">
        <f>IF('ENCUESTA CONDUCTORES'!AK88="X",1,0)</f>
        <v>0</v>
      </c>
      <c r="AD88" s="15">
        <f>IF('ENCUESTA CONDUCTORES'!AL88="X",1,0)</f>
        <v>1</v>
      </c>
      <c r="AE88" s="15">
        <f>IF('ENCUESTA CONDUCTORES'!AM88="X",1,0)</f>
        <v>0</v>
      </c>
      <c r="AF88" s="15">
        <f>IF('ENCUESTA CONDUCTORES'!AN88="X",1,0)</f>
        <v>0</v>
      </c>
      <c r="AG88" s="15">
        <f>IF('ENCUESTA CONDUCTORES'!AO88="X",1,0)</f>
        <v>0</v>
      </c>
      <c r="AH88" s="15">
        <f>IF('ENCUESTA CONDUCTORES'!AP88="X",1,0)</f>
        <v>1</v>
      </c>
      <c r="AI88" s="15">
        <f>IF('ENCUESTA CONDUCTORES'!AQ88="X",1,0)</f>
        <v>0</v>
      </c>
      <c r="AJ88" s="15">
        <f>IF('ENCUESTA CONDUCTORES'!AR88="X",1,0)</f>
        <v>0</v>
      </c>
      <c r="AK88" s="15">
        <f>+'ENCUESTA CONDUCTORES'!AS88</f>
        <v>0</v>
      </c>
      <c r="AL88" s="15" t="str">
        <f>+'ENCUESTA CONDUCTORES'!AT88</f>
        <v>CUMMINS</v>
      </c>
      <c r="AM88" s="1">
        <f>+'ENCUESTA CONDUCTORES'!AU88</f>
        <v>8500</v>
      </c>
      <c r="AN88" s="48">
        <f>+'ENCUESTA CONDUCTORES'!AV88</f>
        <v>0.5</v>
      </c>
      <c r="AO88" s="15">
        <f>+'ENCUESTA CONDUCTORES'!AW88</f>
        <v>2.2000000000000002</v>
      </c>
      <c r="AP88" s="15">
        <f>+'ENCUESTA CONDUCTORES'!AX88</f>
        <v>1.8</v>
      </c>
      <c r="AQ88" s="15">
        <f>+'ENCUESTA CONDUCTORES'!AY88</f>
        <v>2</v>
      </c>
      <c r="AR88" s="15">
        <f>+'ENCUESTA CONDUCTORES'!AZ88</f>
        <v>900</v>
      </c>
      <c r="AS88" s="15">
        <f>+'ENCUESTA CONDUCTORES'!BA88</f>
        <v>1800</v>
      </c>
      <c r="AT88" s="15">
        <f>IF('ENCUESTA CONDUCTORES'!BB88="X",1,0)</f>
        <v>0</v>
      </c>
      <c r="AU88" s="15">
        <f>IF('ENCUESTA CONDUCTORES'!BC88="X",1,0)</f>
        <v>1</v>
      </c>
      <c r="AV88" s="15">
        <f>IF('ENCUESTA CONDUCTORES'!BD88="X",1,0)</f>
        <v>0</v>
      </c>
      <c r="AW88" s="1">
        <f>+'ENCUESTA CONDUCTORES'!BE88</f>
        <v>16000</v>
      </c>
      <c r="AX88" s="1">
        <f>+'ENCUESTA CONDUCTORES'!BF88</f>
        <v>32000</v>
      </c>
      <c r="AY88" s="1">
        <f>+'ENCUESTA CONDUCTORES'!BG88</f>
        <v>16000</v>
      </c>
      <c r="AZ88" s="1">
        <f>+'ENCUESTA CONDUCTORES'!BH88</f>
        <v>80000</v>
      </c>
      <c r="BA88" s="1">
        <f>+'ENCUESTA CONDUCTORES'!BI88</f>
        <v>32000</v>
      </c>
      <c r="BB88" s="15">
        <f>IF('ENCUESTA CONDUCTORES'!BJ88="X",1,0)</f>
        <v>0</v>
      </c>
      <c r="BC88" s="15">
        <f>IF('ENCUESTA CONDUCTORES'!BK88="X",1,0)</f>
        <v>0</v>
      </c>
      <c r="BD88" s="15">
        <f>IF('ENCUESTA CONDUCTORES'!BL88="X",1,0)</f>
        <v>0</v>
      </c>
      <c r="BE88" s="15">
        <f>IF('ENCUESTA CONDUCTORES'!BM88="X",1,0)</f>
        <v>0</v>
      </c>
      <c r="BF88" s="15">
        <f>IF('ENCUESTA CONDUCTORES'!BN88="X",1,0)</f>
        <v>0</v>
      </c>
      <c r="BG88" s="15">
        <f>IF('ENCUESTA CONDUCTORES'!BO88="X",1,0)</f>
        <v>1</v>
      </c>
      <c r="BH88" s="15">
        <f>IF('ENCUESTA CONDUCTORES'!BP88="X",1,0)</f>
        <v>0</v>
      </c>
      <c r="BI88" s="15">
        <f>IF('ENCUESTA CONDUCTORES'!BQ88="X",1,0)</f>
        <v>0</v>
      </c>
      <c r="BJ88" s="15">
        <f>IF('ENCUESTA CONDUCTORES'!BR88="X",1,0)</f>
        <v>0</v>
      </c>
      <c r="BK88" s="15">
        <f>+'ENCUESTA CONDUCTORES'!BS88</f>
        <v>0</v>
      </c>
      <c r="BL88" s="15">
        <f>IF('ENCUESTA CONDUCTORES'!BT88="X",1,0)</f>
        <v>0</v>
      </c>
      <c r="BM88" s="15">
        <f>IF('ENCUESTA CONDUCTORES'!BU88="X",1,0)</f>
        <v>1</v>
      </c>
      <c r="BN88" s="15">
        <f>IF('ENCUESTA CONDUCTORES'!BV88="X",1,0)</f>
        <v>0</v>
      </c>
      <c r="BO88" s="15">
        <f>IF('ENCUESTA CONDUCTORES'!BW88="X",1,0)</f>
        <v>0</v>
      </c>
      <c r="BP88" s="15">
        <f>+'ENCUESTA CONDUCTORES'!BX88</f>
        <v>2</v>
      </c>
      <c r="BQ88" s="15">
        <f>+'ENCUESTA CONDUCTORES'!BY88</f>
        <v>3</v>
      </c>
      <c r="BR88" s="15">
        <f>+'ENCUESTA CONDUCTORES'!BZ88</f>
        <v>1</v>
      </c>
      <c r="BS88" s="15">
        <f>+'ENCUESTA CONDUCTORES'!CA88</f>
        <v>0</v>
      </c>
      <c r="BT88" s="15">
        <f>IF('ENCUESTA CONDUCTORES'!CB88="X",1,0)</f>
        <v>1</v>
      </c>
      <c r="BU88" s="15">
        <f>IF('ENCUESTA CONDUCTORES'!CC88="X",1,0)</f>
        <v>0</v>
      </c>
      <c r="BV88" s="15">
        <f>IF('ENCUESTA CONDUCTORES'!CD88="X",1,0)</f>
        <v>0</v>
      </c>
      <c r="BW88" s="15">
        <f>IF('ENCUESTA CONDUCTORES'!CE88="X",1,0)</f>
        <v>0</v>
      </c>
      <c r="BX88" s="15">
        <f>IF('ENCUESTA CONDUCTORES'!CF88="X",1,0)</f>
        <v>0</v>
      </c>
      <c r="BY88" s="15">
        <f>IF('ENCUESTA CONDUCTORES'!CG88="X",1,0)</f>
        <v>0</v>
      </c>
      <c r="BZ88" s="15">
        <f>IF('ENCUESTA CONDUCTORES'!CH88="X",1,0)</f>
        <v>0</v>
      </c>
      <c r="CA88" s="15">
        <f>IF('ENCUESTA CONDUCTORES'!CI88="X",1,0)</f>
        <v>0</v>
      </c>
      <c r="CB88" s="15">
        <f>IF('ENCUESTA CONDUCTORES'!CJ88="X",1,0)</f>
        <v>0</v>
      </c>
      <c r="CC88" s="15">
        <f>IF('ENCUESTA CONDUCTORES'!CK88="X",1,0)</f>
        <v>1</v>
      </c>
      <c r="CD88" s="15">
        <f>IF('ENCUESTA CONDUCTORES'!CL88="X",1,0)</f>
        <v>0</v>
      </c>
      <c r="CE88" s="15">
        <f>IF('ENCUESTA CONDUCTORES'!CM88="X",1,0)</f>
        <v>0</v>
      </c>
      <c r="CF88" s="15">
        <f>+'ENCUESTA CONDUCTORES'!CN88</f>
        <v>0</v>
      </c>
      <c r="CG88" s="15">
        <f>IF('ENCUESTA CONDUCTORES'!CO88="X",1,0)</f>
        <v>0</v>
      </c>
      <c r="CH88" s="15" t="str">
        <f>+'ENCUESTA CONDUCTORES'!CP88</f>
        <v>NO SABE</v>
      </c>
      <c r="CI88" s="15" t="str">
        <f>+'ENCUESTA CONDUCTORES'!CQ88</f>
        <v>DARLO A CONOCER</v>
      </c>
      <c r="CJ88" s="15">
        <f>IF('ENCUESTA CONDUCTORES'!CR88="X",1,0)</f>
        <v>0</v>
      </c>
      <c r="CK88" s="15">
        <f>IF('ENCUESTA CONDUCTORES'!CS88="X",1,0)</f>
        <v>0</v>
      </c>
      <c r="CL88" s="15">
        <f>IF('ENCUESTA CONDUCTORES'!CT88="X",1,0)</f>
        <v>1</v>
      </c>
      <c r="CM88" s="15">
        <f>+'ENCUESTA CONDUCTORES'!CU88</f>
        <v>0</v>
      </c>
      <c r="CN88" s="15">
        <f>IF('ENCUESTA CONDUCTORES'!CV88="X",1,0)</f>
        <v>0</v>
      </c>
      <c r="CO88" s="15">
        <f>+'ENCUESTA CONDUCTORES'!CW88</f>
        <v>0</v>
      </c>
      <c r="CP88" s="15">
        <f>IF('ENCUESTA CONDUCTORES'!CX88="X",1,0)</f>
        <v>0</v>
      </c>
      <c r="CQ88" s="15">
        <f>IF('ENCUESTA CONDUCTORES'!CY88="X",1,0)</f>
        <v>1</v>
      </c>
      <c r="CR88" s="3">
        <f>+'ENCUESTA CONDUCTORES'!CZ88</f>
        <v>0</v>
      </c>
      <c r="CS88" s="49">
        <f>+'ENCUESTA CONDUCTORES'!DA88</f>
        <v>0</v>
      </c>
    </row>
    <row r="89" spans="2:97" x14ac:dyDescent="0.25">
      <c r="B89" s="14" t="str">
        <f>+'ENCUESTA CONDUCTORES'!D89</f>
        <v>C-095</v>
      </c>
      <c r="C89" s="15">
        <f>IF('ENCUESTA CONDUCTORES'!E89="X",1,0)</f>
        <v>1</v>
      </c>
      <c r="D89" s="15">
        <f>IF('ENCUESTA CONDUCTORES'!F89="X",1,0)</f>
        <v>0</v>
      </c>
      <c r="E89" s="15">
        <f>IF('ENCUESTA CONDUCTORES'!G89="X",1,0)</f>
        <v>0</v>
      </c>
      <c r="F89" s="15">
        <f>IF('ENCUESTA CONDUCTORES'!H89="X",1,0)</f>
        <v>0</v>
      </c>
      <c r="G89" s="15">
        <f>+'ENCUESTA CONDUCTORES'!I89</f>
        <v>40</v>
      </c>
      <c r="H89" s="15" t="str">
        <f>+'ENCUESTA CONDUCTORES'!J89</f>
        <v>M</v>
      </c>
      <c r="I89" s="15" t="str">
        <f>+'ENCUESTA CONDUCTORES'!K89</f>
        <v>PRIMARIA</v>
      </c>
      <c r="J89" s="15" t="str">
        <f>+'ENCUESTA CONDUCTORES'!L89</f>
        <v>ATIZAPAN, EDO. MEX.</v>
      </c>
      <c r="K89" s="15" t="str">
        <f>+'ENCUESTA CONDUCTORES'!M89</f>
        <v>ATIZAPAN</v>
      </c>
      <c r="L89" s="15" t="str">
        <f>+'ENCUESTA CONDUCTORES'!N89</f>
        <v>EDO. MEX.</v>
      </c>
      <c r="M89" s="15">
        <f>+'ENCUESTA CONDUCTORES'!O89</f>
        <v>20</v>
      </c>
      <c r="N89" s="15">
        <f>IF('ENCUESTA CONDUCTORES'!P89="X",1,0)</f>
        <v>0</v>
      </c>
      <c r="O89" s="15">
        <f>IF('ENCUESTA CONDUCTORES'!Q89="X",1,0)</f>
        <v>0</v>
      </c>
      <c r="P89" s="15">
        <f>IF('ENCUESTA CONDUCTORES'!R89="X",1,0)</f>
        <v>0</v>
      </c>
      <c r="Q89" s="15">
        <f>IF('ENCUESTA CONDUCTORES'!S89="X",1,0)</f>
        <v>1</v>
      </c>
      <c r="R89" s="15">
        <f>IF('ENCUESTA CONDUCTORES'!T89="X",1,0)</f>
        <v>0</v>
      </c>
      <c r="S89" s="15">
        <f>IF('ENCUESTA CONDUCTORES'!U89="X",1,0)</f>
        <v>1</v>
      </c>
      <c r="T89" s="15">
        <f>IF('ENCUESTA CONDUCTORES'!V89="X",1,0)</f>
        <v>0</v>
      </c>
      <c r="U89" s="15">
        <f>IF('ENCUESTA CONDUCTORES'!W89="X",1,0)</f>
        <v>0</v>
      </c>
      <c r="V89" s="15">
        <f>IF('ENCUESTA CONDUCTORES'!X89="X",1,0)</f>
        <v>0</v>
      </c>
      <c r="W89" s="15">
        <f>IF('ENCUESTA CONDUCTORES'!Y89="X",1,0)</f>
        <v>0</v>
      </c>
      <c r="X89" s="15">
        <f>IF('ENCUESTA CONDUCTORES'!Z89="X",1,0)</f>
        <v>0</v>
      </c>
      <c r="Y89" s="15">
        <f>+'ENCUESTA CONDUCTORES'!AG89</f>
        <v>0</v>
      </c>
      <c r="Z89" s="15">
        <f>+'ENCUESTA CONDUCTORES'!AH89</f>
        <v>1999</v>
      </c>
      <c r="AA89" s="1">
        <f>+'ENCUESTA CONDUCTORES'!AI89</f>
        <v>400000</v>
      </c>
      <c r="AB89" s="15">
        <f>IF('ENCUESTA CONDUCTORES'!AJ89="X",1,0)</f>
        <v>0</v>
      </c>
      <c r="AC89" s="15">
        <f>IF('ENCUESTA CONDUCTORES'!AK89="X",1,0)</f>
        <v>0</v>
      </c>
      <c r="AD89" s="15">
        <f>IF('ENCUESTA CONDUCTORES'!AL89="X",1,0)</f>
        <v>1</v>
      </c>
      <c r="AE89" s="15">
        <f>IF('ENCUESTA CONDUCTORES'!AM89="X",1,0)</f>
        <v>0</v>
      </c>
      <c r="AF89" s="15">
        <f>IF('ENCUESTA CONDUCTORES'!AN89="X",1,0)</f>
        <v>0</v>
      </c>
      <c r="AG89" s="15">
        <f>IF('ENCUESTA CONDUCTORES'!AO89="X",1,0)</f>
        <v>0</v>
      </c>
      <c r="AH89" s="15">
        <f>IF('ENCUESTA CONDUCTORES'!AP89="X",1,0)</f>
        <v>1</v>
      </c>
      <c r="AI89" s="15">
        <f>IF('ENCUESTA CONDUCTORES'!AQ89="X",1,0)</f>
        <v>0</v>
      </c>
      <c r="AJ89" s="15">
        <f>IF('ENCUESTA CONDUCTORES'!AR89="X",1,0)</f>
        <v>0</v>
      </c>
      <c r="AK89" s="15">
        <f>+'ENCUESTA CONDUCTORES'!AS89</f>
        <v>0</v>
      </c>
      <c r="AL89" s="15" t="str">
        <f>+'ENCUESTA CONDUCTORES'!AT89</f>
        <v>CUMMINS</v>
      </c>
      <c r="AM89" s="1">
        <f>+'ENCUESTA CONDUCTORES'!AU89</f>
        <v>2500</v>
      </c>
      <c r="AN89" s="48">
        <f>+'ENCUESTA CONDUCTORES'!AV89</f>
        <v>0.5</v>
      </c>
      <c r="AO89" s="15">
        <f>+'ENCUESTA CONDUCTORES'!AW89</f>
        <v>1.5</v>
      </c>
      <c r="AP89" s="15">
        <f>+'ENCUESTA CONDUCTORES'!AX89</f>
        <v>1</v>
      </c>
      <c r="AQ89" s="15">
        <f>+'ENCUESTA CONDUCTORES'!AY89</f>
        <v>2</v>
      </c>
      <c r="AR89" s="15">
        <f>+'ENCUESTA CONDUCTORES'!AZ89</f>
        <v>920</v>
      </c>
      <c r="AS89" s="15">
        <f>+'ENCUESTA CONDUCTORES'!BA89</f>
        <v>1200</v>
      </c>
      <c r="AT89" s="15">
        <f>IF('ENCUESTA CONDUCTORES'!BB89="X",1,0)</f>
        <v>1</v>
      </c>
      <c r="AU89" s="15">
        <f>IF('ENCUESTA CONDUCTORES'!BC89="X",1,0)</f>
        <v>1</v>
      </c>
      <c r="AV89" s="15">
        <f>IF('ENCUESTA CONDUCTORES'!BD89="X",1,0)</f>
        <v>0</v>
      </c>
      <c r="AW89" s="1">
        <f>+'ENCUESTA CONDUCTORES'!BE89</f>
        <v>10000</v>
      </c>
      <c r="AX89" s="1">
        <f>+'ENCUESTA CONDUCTORES'!BF89</f>
        <v>10000</v>
      </c>
      <c r="AY89" s="1">
        <f>+'ENCUESTA CONDUCTORES'!BG89</f>
        <v>10000</v>
      </c>
      <c r="AZ89" s="1">
        <f>+'ENCUESTA CONDUCTORES'!BH89</f>
        <v>100000</v>
      </c>
      <c r="BA89" s="1">
        <f>+'ENCUESTA CONDUCTORES'!BI89</f>
        <v>10000</v>
      </c>
      <c r="BB89" s="15">
        <f>IF('ENCUESTA CONDUCTORES'!BJ89="X",1,0)</f>
        <v>0</v>
      </c>
      <c r="BC89" s="15">
        <f>IF('ENCUESTA CONDUCTORES'!BK89="X",1,0)</f>
        <v>1</v>
      </c>
      <c r="BD89" s="15">
        <f>IF('ENCUESTA CONDUCTORES'!BL89="X",1,0)</f>
        <v>0</v>
      </c>
      <c r="BE89" s="15">
        <f>IF('ENCUESTA CONDUCTORES'!BM89="X",1,0)</f>
        <v>0</v>
      </c>
      <c r="BF89" s="15">
        <f>IF('ENCUESTA CONDUCTORES'!BN89="X",1,0)</f>
        <v>0</v>
      </c>
      <c r="BG89" s="15">
        <f>IF('ENCUESTA CONDUCTORES'!BO89="X",1,0)</f>
        <v>1</v>
      </c>
      <c r="BH89" s="15">
        <f>IF('ENCUESTA CONDUCTORES'!BP89="X",1,0)</f>
        <v>0</v>
      </c>
      <c r="BI89" s="15">
        <f>IF('ENCUESTA CONDUCTORES'!BQ89="X",1,0)</f>
        <v>0</v>
      </c>
      <c r="BJ89" s="15">
        <f>IF('ENCUESTA CONDUCTORES'!BR89="X",1,0)</f>
        <v>0</v>
      </c>
      <c r="BK89" s="15">
        <f>+'ENCUESTA CONDUCTORES'!BS89</f>
        <v>0</v>
      </c>
      <c r="BL89" s="15">
        <f>IF('ENCUESTA CONDUCTORES'!BT89="X",1,0)</f>
        <v>0</v>
      </c>
      <c r="BM89" s="15">
        <f>IF('ENCUESTA CONDUCTORES'!BU89="X",1,0)</f>
        <v>1</v>
      </c>
      <c r="BN89" s="15">
        <f>IF('ENCUESTA CONDUCTORES'!BV89="X",1,0)</f>
        <v>0</v>
      </c>
      <c r="BO89" s="15">
        <f>IF('ENCUESTA CONDUCTORES'!BW89="X",1,0)</f>
        <v>0</v>
      </c>
      <c r="BP89" s="15">
        <f>+'ENCUESTA CONDUCTORES'!BX89</f>
        <v>1</v>
      </c>
      <c r="BQ89" s="15">
        <f>+'ENCUESTA CONDUCTORES'!BY89</f>
        <v>3</v>
      </c>
      <c r="BR89" s="15">
        <f>+'ENCUESTA CONDUCTORES'!BZ89</f>
        <v>2</v>
      </c>
      <c r="BS89" s="15">
        <f>+'ENCUESTA CONDUCTORES'!CA89</f>
        <v>0</v>
      </c>
      <c r="BT89" s="15">
        <f>IF('ENCUESTA CONDUCTORES'!CB89="X",1,0)</f>
        <v>1</v>
      </c>
      <c r="BU89" s="15">
        <f>IF('ENCUESTA CONDUCTORES'!CC89="X",1,0)</f>
        <v>0</v>
      </c>
      <c r="BV89" s="15">
        <f>IF('ENCUESTA CONDUCTORES'!CD89="X",1,0)</f>
        <v>0</v>
      </c>
      <c r="BW89" s="15">
        <f>IF('ENCUESTA CONDUCTORES'!CE89="X",1,0)</f>
        <v>0</v>
      </c>
      <c r="BX89" s="15">
        <f>IF('ENCUESTA CONDUCTORES'!CF89="X",1,0)</f>
        <v>0</v>
      </c>
      <c r="BY89" s="15">
        <f>IF('ENCUESTA CONDUCTORES'!CG89="X",1,0)</f>
        <v>0</v>
      </c>
      <c r="BZ89" s="15">
        <f>IF('ENCUESTA CONDUCTORES'!CH89="X",1,0)</f>
        <v>0</v>
      </c>
      <c r="CA89" s="15">
        <f>IF('ENCUESTA CONDUCTORES'!CI89="X",1,0)</f>
        <v>0</v>
      </c>
      <c r="CB89" s="15">
        <f>IF('ENCUESTA CONDUCTORES'!CJ89="X",1,0)</f>
        <v>0</v>
      </c>
      <c r="CC89" s="15">
        <f>IF('ENCUESTA CONDUCTORES'!CK89="X",1,0)</f>
        <v>1</v>
      </c>
      <c r="CD89" s="15">
        <f>IF('ENCUESTA CONDUCTORES'!CL89="X",1,0)</f>
        <v>0</v>
      </c>
      <c r="CE89" s="15">
        <f>IF('ENCUESTA CONDUCTORES'!CM89="X",1,0)</f>
        <v>0</v>
      </c>
      <c r="CF89" s="15">
        <f>+'ENCUESTA CONDUCTORES'!CN89</f>
        <v>0</v>
      </c>
      <c r="CG89" s="15">
        <f>IF('ENCUESTA CONDUCTORES'!CO89="X",1,0)</f>
        <v>0</v>
      </c>
      <c r="CH89" s="15" t="str">
        <f>+'ENCUESTA CONDUCTORES'!CP89</f>
        <v>NO SABE</v>
      </c>
      <c r="CI89" s="15" t="str">
        <f>+'ENCUESTA CONDUCTORES'!CQ89</f>
        <v>PUBLICIDAD</v>
      </c>
      <c r="CJ89" s="15">
        <f>IF('ENCUESTA CONDUCTORES'!CR89="X",1,0)</f>
        <v>0</v>
      </c>
      <c r="CK89" s="15">
        <f>IF('ENCUESTA CONDUCTORES'!CS89="X",1,0)</f>
        <v>1</v>
      </c>
      <c r="CL89" s="15">
        <f>IF('ENCUESTA CONDUCTORES'!CT89="X",1,0)</f>
        <v>1</v>
      </c>
      <c r="CM89" s="15">
        <f>+'ENCUESTA CONDUCTORES'!CU89</f>
        <v>0</v>
      </c>
      <c r="CN89" s="15">
        <f>IF('ENCUESTA CONDUCTORES'!CV89="X",1,0)</f>
        <v>0</v>
      </c>
      <c r="CO89" s="15">
        <f>+'ENCUESTA CONDUCTORES'!CW89</f>
        <v>0</v>
      </c>
      <c r="CP89" s="15">
        <f>IF('ENCUESTA CONDUCTORES'!CX89="X",1,0)</f>
        <v>1</v>
      </c>
      <c r="CQ89" s="15">
        <f>IF('ENCUESTA CONDUCTORES'!CY89="X",1,0)</f>
        <v>1</v>
      </c>
      <c r="CR89" s="3">
        <f>+'ENCUESTA CONDUCTORES'!CZ89</f>
        <v>0</v>
      </c>
      <c r="CS89" s="49">
        <f>+'ENCUESTA CONDUCTORES'!DA89</f>
        <v>0</v>
      </c>
    </row>
    <row r="90" spans="2:97" x14ac:dyDescent="0.25">
      <c r="B90" s="14" t="str">
        <f>+'ENCUESTA CONDUCTORES'!D90</f>
        <v>C-096</v>
      </c>
      <c r="C90" s="15">
        <f>IF('ENCUESTA CONDUCTORES'!E90="X",1,0)</f>
        <v>0</v>
      </c>
      <c r="D90" s="15">
        <f>IF('ENCUESTA CONDUCTORES'!F90="X",1,0)</f>
        <v>1</v>
      </c>
      <c r="E90" s="15">
        <f>IF('ENCUESTA CONDUCTORES'!G90="X",1,0)</f>
        <v>0</v>
      </c>
      <c r="F90" s="15">
        <f>IF('ENCUESTA CONDUCTORES'!H90="X",1,0)</f>
        <v>0</v>
      </c>
      <c r="G90" s="15">
        <f>+'ENCUESTA CONDUCTORES'!I90</f>
        <v>52</v>
      </c>
      <c r="H90" s="15" t="str">
        <f>+'ENCUESTA CONDUCTORES'!J90</f>
        <v>M</v>
      </c>
      <c r="I90" s="15" t="str">
        <f>+'ENCUESTA CONDUCTORES'!K90</f>
        <v>PREPARATORIA</v>
      </c>
      <c r="J90" s="15" t="str">
        <f>+'ENCUESTA CONDUCTORES'!L90</f>
        <v>PUEBLA, PUE</v>
      </c>
      <c r="K90" s="15" t="str">
        <f>+'ENCUESTA CONDUCTORES'!M90</f>
        <v>PUEBLA</v>
      </c>
      <c r="L90" s="15" t="str">
        <f>+'ENCUESTA CONDUCTORES'!N90</f>
        <v>PUEBLA</v>
      </c>
      <c r="M90" s="15">
        <f>+'ENCUESTA CONDUCTORES'!O90</f>
        <v>22</v>
      </c>
      <c r="N90" s="15">
        <f>IF('ENCUESTA CONDUCTORES'!P90="X",1,0)</f>
        <v>0</v>
      </c>
      <c r="O90" s="15">
        <f>IF('ENCUESTA CONDUCTORES'!Q90="X",1,0)</f>
        <v>0</v>
      </c>
      <c r="P90" s="15">
        <f>IF('ENCUESTA CONDUCTORES'!R90="X",1,0)</f>
        <v>0</v>
      </c>
      <c r="Q90" s="15">
        <f>IF('ENCUESTA CONDUCTORES'!S90="X",1,0)</f>
        <v>1</v>
      </c>
      <c r="R90" s="15">
        <f>IF('ENCUESTA CONDUCTORES'!T90="X",1,0)</f>
        <v>0</v>
      </c>
      <c r="S90" s="15">
        <f>IF('ENCUESTA CONDUCTORES'!U90="X",1,0)</f>
        <v>0</v>
      </c>
      <c r="T90" s="15">
        <f>IF('ENCUESTA CONDUCTORES'!V90="X",1,0)</f>
        <v>0</v>
      </c>
      <c r="U90" s="15">
        <f>IF('ENCUESTA CONDUCTORES'!W90="X",1,0)</f>
        <v>0</v>
      </c>
      <c r="V90" s="15">
        <f>IF('ENCUESTA CONDUCTORES'!X90="X",1,0)</f>
        <v>1</v>
      </c>
      <c r="W90" s="15">
        <f>IF('ENCUESTA CONDUCTORES'!Y90="X",1,0)</f>
        <v>0</v>
      </c>
      <c r="X90" s="15">
        <f>IF('ENCUESTA CONDUCTORES'!Z90="X",1,0)</f>
        <v>0</v>
      </c>
      <c r="Y90" s="15">
        <f>+'ENCUESTA CONDUCTORES'!AG90</f>
        <v>0</v>
      </c>
      <c r="Z90" s="15">
        <f>+'ENCUESTA CONDUCTORES'!AH90</f>
        <v>2004</v>
      </c>
      <c r="AA90" s="1">
        <f>+'ENCUESTA CONDUCTORES'!AI90</f>
        <v>1000000</v>
      </c>
      <c r="AB90" s="15">
        <f>IF('ENCUESTA CONDUCTORES'!AJ90="X",1,0)</f>
        <v>0</v>
      </c>
      <c r="AC90" s="15">
        <f>IF('ENCUESTA CONDUCTORES'!AK90="X",1,0)</f>
        <v>0</v>
      </c>
      <c r="AD90" s="15">
        <f>IF('ENCUESTA CONDUCTORES'!AL90="X",1,0)</f>
        <v>1</v>
      </c>
      <c r="AE90" s="15">
        <f>IF('ENCUESTA CONDUCTORES'!AM90="X",1,0)</f>
        <v>0</v>
      </c>
      <c r="AF90" s="15">
        <f>IF('ENCUESTA CONDUCTORES'!AN90="X",1,0)</f>
        <v>0</v>
      </c>
      <c r="AG90" s="15">
        <f>IF('ENCUESTA CONDUCTORES'!AO90="X",1,0)</f>
        <v>0</v>
      </c>
      <c r="AH90" s="15">
        <f>IF('ENCUESTA CONDUCTORES'!AP90="X",1,0)</f>
        <v>1</v>
      </c>
      <c r="AI90" s="15">
        <f>IF('ENCUESTA CONDUCTORES'!AQ90="X",1,0)</f>
        <v>0</v>
      </c>
      <c r="AJ90" s="15">
        <f>IF('ENCUESTA CONDUCTORES'!AR90="X",1,0)</f>
        <v>0</v>
      </c>
      <c r="AK90" s="15">
        <f>+'ENCUESTA CONDUCTORES'!AS90</f>
        <v>0</v>
      </c>
      <c r="AL90" s="15" t="str">
        <f>+'ENCUESTA CONDUCTORES'!AT90</f>
        <v>INTERNATIONAL</v>
      </c>
      <c r="AM90" s="1">
        <f>+'ENCUESTA CONDUCTORES'!AU90</f>
        <v>8000</v>
      </c>
      <c r="AN90" s="48">
        <f>+'ENCUESTA CONDUCTORES'!AV90</f>
        <v>0.5</v>
      </c>
      <c r="AO90" s="15">
        <f>+'ENCUESTA CONDUCTORES'!AW90</f>
        <v>2.5</v>
      </c>
      <c r="AP90" s="15">
        <f>+'ENCUESTA CONDUCTORES'!AX90</f>
        <v>2</v>
      </c>
      <c r="AQ90" s="15">
        <f>+'ENCUESTA CONDUCTORES'!AY90</f>
        <v>3</v>
      </c>
      <c r="AR90" s="15">
        <f>+'ENCUESTA CONDUCTORES'!AZ90</f>
        <v>1300</v>
      </c>
      <c r="AS90" s="15">
        <f>+'ENCUESTA CONDUCTORES'!BA90</f>
        <v>3000</v>
      </c>
      <c r="AT90" s="15">
        <f>IF('ENCUESTA CONDUCTORES'!BB90="X",1,0)</f>
        <v>0</v>
      </c>
      <c r="AU90" s="15">
        <f>IF('ENCUESTA CONDUCTORES'!BC90="X",1,0)</f>
        <v>1</v>
      </c>
      <c r="AV90" s="15">
        <f>IF('ENCUESTA CONDUCTORES'!BD90="X",1,0)</f>
        <v>1</v>
      </c>
      <c r="AW90" s="1">
        <f>+'ENCUESTA CONDUCTORES'!BE90</f>
        <v>24000</v>
      </c>
      <c r="AX90" s="1">
        <f>+'ENCUESTA CONDUCTORES'!BF90</f>
        <v>24000</v>
      </c>
      <c r="AY90" s="1">
        <f>+'ENCUESTA CONDUCTORES'!BG90</f>
        <v>24000</v>
      </c>
      <c r="AZ90" s="1">
        <f>+'ENCUESTA CONDUCTORES'!BH90</f>
        <v>96000</v>
      </c>
      <c r="BA90" s="1">
        <f>+'ENCUESTA CONDUCTORES'!BI90</f>
        <v>24000</v>
      </c>
      <c r="BB90" s="15">
        <f>IF('ENCUESTA CONDUCTORES'!BJ90="X",1,0)</f>
        <v>1</v>
      </c>
      <c r="BC90" s="15">
        <f>IF('ENCUESTA CONDUCTORES'!BK90="X",1,0)</f>
        <v>0</v>
      </c>
      <c r="BD90" s="15">
        <f>IF('ENCUESTA CONDUCTORES'!BL90="X",1,0)</f>
        <v>0</v>
      </c>
      <c r="BE90" s="15">
        <f>IF('ENCUESTA CONDUCTORES'!BM90="X",1,0)</f>
        <v>0</v>
      </c>
      <c r="BF90" s="15">
        <f>IF('ENCUESTA CONDUCTORES'!BN90="X",1,0)</f>
        <v>0</v>
      </c>
      <c r="BG90" s="15">
        <f>IF('ENCUESTA CONDUCTORES'!BO90="X",1,0)</f>
        <v>0</v>
      </c>
      <c r="BH90" s="15">
        <f>IF('ENCUESTA CONDUCTORES'!BP90="X",1,0)</f>
        <v>0</v>
      </c>
      <c r="BI90" s="15">
        <f>IF('ENCUESTA CONDUCTORES'!BQ90="X",1,0)</f>
        <v>0</v>
      </c>
      <c r="BJ90" s="15">
        <f>IF('ENCUESTA CONDUCTORES'!BR90="X",1,0)</f>
        <v>0</v>
      </c>
      <c r="BK90" s="15">
        <f>+'ENCUESTA CONDUCTORES'!BS90</f>
        <v>0</v>
      </c>
      <c r="BL90" s="15">
        <f>IF('ENCUESTA CONDUCTORES'!BT90="X",1,0)</f>
        <v>0</v>
      </c>
      <c r="BM90" s="15">
        <f>IF('ENCUESTA CONDUCTORES'!BU90="X",1,0)</f>
        <v>1</v>
      </c>
      <c r="BN90" s="15">
        <f>IF('ENCUESTA CONDUCTORES'!BV90="X",1,0)</f>
        <v>0</v>
      </c>
      <c r="BO90" s="15">
        <f>IF('ENCUESTA CONDUCTORES'!BW90="X",1,0)</f>
        <v>0</v>
      </c>
      <c r="BP90" s="15">
        <f>+'ENCUESTA CONDUCTORES'!BX90</f>
        <v>2</v>
      </c>
      <c r="BQ90" s="15">
        <f>+'ENCUESTA CONDUCTORES'!BY90</f>
        <v>3</v>
      </c>
      <c r="BR90" s="15">
        <f>+'ENCUESTA CONDUCTORES'!BZ90</f>
        <v>1</v>
      </c>
      <c r="BS90" s="15">
        <f>+'ENCUESTA CONDUCTORES'!CA90</f>
        <v>0</v>
      </c>
      <c r="BT90" s="15">
        <f>IF('ENCUESTA CONDUCTORES'!CB90="X",1,0)</f>
        <v>0</v>
      </c>
      <c r="BU90" s="15">
        <f>IF('ENCUESTA CONDUCTORES'!CC90="X",1,0)</f>
        <v>1</v>
      </c>
      <c r="BV90" s="15">
        <f>IF('ENCUESTA CONDUCTORES'!CD90="X",1,0)</f>
        <v>0</v>
      </c>
      <c r="BW90" s="15">
        <f>IF('ENCUESTA CONDUCTORES'!CE90="X",1,0)</f>
        <v>0</v>
      </c>
      <c r="BX90" s="15">
        <f>IF('ENCUESTA CONDUCTORES'!CF90="X",1,0)</f>
        <v>0</v>
      </c>
      <c r="BY90" s="15">
        <f>IF('ENCUESTA CONDUCTORES'!CG90="X",1,0)</f>
        <v>0</v>
      </c>
      <c r="BZ90" s="15">
        <f>IF('ENCUESTA CONDUCTORES'!CH90="X",1,0)</f>
        <v>1</v>
      </c>
      <c r="CA90" s="15">
        <f>IF('ENCUESTA CONDUCTORES'!CI90="X",1,0)</f>
        <v>1</v>
      </c>
      <c r="CB90" s="15">
        <f>IF('ENCUESTA CONDUCTORES'!CJ90="X",1,0)</f>
        <v>0</v>
      </c>
      <c r="CC90" s="15">
        <f>IF('ENCUESTA CONDUCTORES'!CK90="X",1,0)</f>
        <v>1</v>
      </c>
      <c r="CD90" s="15">
        <f>IF('ENCUESTA CONDUCTORES'!CL90="X",1,0)</f>
        <v>0</v>
      </c>
      <c r="CE90" s="15">
        <f>IF('ENCUESTA CONDUCTORES'!CM90="X",1,0)</f>
        <v>0</v>
      </c>
      <c r="CF90" s="15">
        <f>+'ENCUESTA CONDUCTORES'!CN90</f>
        <v>0</v>
      </c>
      <c r="CG90" s="15">
        <f>IF('ENCUESTA CONDUCTORES'!CO90="X",1,0)</f>
        <v>0</v>
      </c>
      <c r="CH90" s="15" t="str">
        <f>+'ENCUESTA CONDUCTORES'!CP90</f>
        <v>NO SABE</v>
      </c>
      <c r="CI90" s="15" t="str">
        <f>+'ENCUESTA CONDUCTORES'!CQ90</f>
        <v>DARLO A CONOCER</v>
      </c>
      <c r="CJ90" s="15">
        <f>IF('ENCUESTA CONDUCTORES'!CR90="X",1,0)</f>
        <v>1</v>
      </c>
      <c r="CK90" s="15">
        <f>IF('ENCUESTA CONDUCTORES'!CS90="X",1,0)</f>
        <v>0</v>
      </c>
      <c r="CL90" s="15">
        <f>IF('ENCUESTA CONDUCTORES'!CT90="X",1,0)</f>
        <v>0</v>
      </c>
      <c r="CM90" s="15">
        <f>+'ENCUESTA CONDUCTORES'!CU90</f>
        <v>0</v>
      </c>
      <c r="CN90" s="15">
        <f>IF('ENCUESTA CONDUCTORES'!CV90="X",1,0)</f>
        <v>1</v>
      </c>
      <c r="CO90" s="15" t="str">
        <f>+'ENCUESTA CONDUCTORES'!CW90</f>
        <v>NO TIENE TIEMPO</v>
      </c>
      <c r="CP90" s="15">
        <f>IF('ENCUESTA CONDUCTORES'!CX90="X",1,0)</f>
        <v>0</v>
      </c>
      <c r="CQ90" s="15">
        <f>IF('ENCUESTA CONDUCTORES'!CY90="X",1,0)</f>
        <v>0</v>
      </c>
      <c r="CR90" s="3">
        <f>+'ENCUESTA CONDUCTORES'!CZ90</f>
        <v>0</v>
      </c>
      <c r="CS90" s="49">
        <f>+'ENCUESTA CONDUCTORES'!DA90</f>
        <v>0</v>
      </c>
    </row>
    <row r="91" spans="2:97" x14ac:dyDescent="0.25">
      <c r="B91" s="14" t="str">
        <f>+'ENCUESTA CONDUCTORES'!D91</f>
        <v>C-097</v>
      </c>
      <c r="C91" s="15">
        <f>IF('ENCUESTA CONDUCTORES'!E91="X",1,0)</f>
        <v>0</v>
      </c>
      <c r="D91" s="15">
        <f>IF('ENCUESTA CONDUCTORES'!F91="X",1,0)</f>
        <v>0</v>
      </c>
      <c r="E91" s="15">
        <f>IF('ENCUESTA CONDUCTORES'!G91="X",1,0)</f>
        <v>1</v>
      </c>
      <c r="F91" s="15">
        <f>IF('ENCUESTA CONDUCTORES'!H91="X",1,0)</f>
        <v>0</v>
      </c>
      <c r="G91" s="15">
        <f>+'ENCUESTA CONDUCTORES'!I91</f>
        <v>40</v>
      </c>
      <c r="H91" s="15" t="str">
        <f>+'ENCUESTA CONDUCTORES'!J91</f>
        <v>M</v>
      </c>
      <c r="I91" s="15" t="str">
        <f>+'ENCUESTA CONDUCTORES'!K91</f>
        <v>PREPARATORIA</v>
      </c>
      <c r="J91" s="15" t="str">
        <f>+'ENCUESTA CONDUCTORES'!L91</f>
        <v>CHIMALHUACÁN, EDO. MEX.</v>
      </c>
      <c r="K91" s="50" t="str">
        <f>+'ENCUESTA CONDUCTORES'!M91</f>
        <v>CHIMALHUACÁN</v>
      </c>
      <c r="L91" s="15" t="str">
        <f>+'ENCUESTA CONDUCTORES'!N91</f>
        <v>EDO. MEX.</v>
      </c>
      <c r="M91" s="15">
        <f>+'ENCUESTA CONDUCTORES'!O91</f>
        <v>15</v>
      </c>
      <c r="N91" s="15">
        <f>IF('ENCUESTA CONDUCTORES'!P91="X",1,0)</f>
        <v>1</v>
      </c>
      <c r="O91" s="15">
        <f>IF('ENCUESTA CONDUCTORES'!Q91="X",1,0)</f>
        <v>0</v>
      </c>
      <c r="P91" s="15">
        <f>IF('ENCUESTA CONDUCTORES'!R91="X",1,0)</f>
        <v>0</v>
      </c>
      <c r="Q91" s="15">
        <f>IF('ENCUESTA CONDUCTORES'!S91="X",1,0)</f>
        <v>0</v>
      </c>
      <c r="R91" s="15">
        <f>IF('ENCUESTA CONDUCTORES'!T91="X",1,0)</f>
        <v>0</v>
      </c>
      <c r="S91" s="15">
        <f>IF('ENCUESTA CONDUCTORES'!U91="X",1,0)</f>
        <v>1</v>
      </c>
      <c r="T91" s="15">
        <f>IF('ENCUESTA CONDUCTORES'!V91="X",1,0)</f>
        <v>0</v>
      </c>
      <c r="U91" s="15">
        <f>IF('ENCUESTA CONDUCTORES'!W91="X",1,0)</f>
        <v>0</v>
      </c>
      <c r="V91" s="15">
        <f>IF('ENCUESTA CONDUCTORES'!X91="X",1,0)</f>
        <v>0</v>
      </c>
      <c r="W91" s="15">
        <f>IF('ENCUESTA CONDUCTORES'!Y91="X",1,0)</f>
        <v>0</v>
      </c>
      <c r="X91" s="15">
        <f>IF('ENCUESTA CONDUCTORES'!Z91="X",1,0)</f>
        <v>0</v>
      </c>
      <c r="Y91" s="15">
        <f>+'ENCUESTA CONDUCTORES'!AG91</f>
        <v>0</v>
      </c>
      <c r="Z91" s="15">
        <f>+'ENCUESTA CONDUCTORES'!AH91</f>
        <v>2008</v>
      </c>
      <c r="AA91" s="1">
        <f>+'ENCUESTA CONDUCTORES'!AI91</f>
        <v>900000</v>
      </c>
      <c r="AB91" s="15">
        <f>IF('ENCUESTA CONDUCTORES'!AJ91="X",1,0)</f>
        <v>0</v>
      </c>
      <c r="AC91" s="15">
        <f>IF('ENCUESTA CONDUCTORES'!AK91="X",1,0)</f>
        <v>0</v>
      </c>
      <c r="AD91" s="15">
        <f>IF('ENCUESTA CONDUCTORES'!AL91="X",1,0)</f>
        <v>1</v>
      </c>
      <c r="AE91" s="15">
        <f>IF('ENCUESTA CONDUCTORES'!AM91="X",1,0)</f>
        <v>0</v>
      </c>
      <c r="AF91" s="15">
        <f>IF('ENCUESTA CONDUCTORES'!AN91="X",1,0)</f>
        <v>0</v>
      </c>
      <c r="AG91" s="15">
        <f>IF('ENCUESTA CONDUCTORES'!AO91="X",1,0)</f>
        <v>0</v>
      </c>
      <c r="AH91" s="15">
        <f>IF('ENCUESTA CONDUCTORES'!AP91="X",1,0)</f>
        <v>1</v>
      </c>
      <c r="AI91" s="15">
        <f>IF('ENCUESTA CONDUCTORES'!AQ91="X",1,0)</f>
        <v>0</v>
      </c>
      <c r="AJ91" s="15">
        <f>IF('ENCUESTA CONDUCTORES'!AR91="X",1,0)</f>
        <v>0</v>
      </c>
      <c r="AK91" s="15">
        <f>+'ENCUESTA CONDUCTORES'!AS91</f>
        <v>0</v>
      </c>
      <c r="AL91" s="15" t="str">
        <f>+'ENCUESTA CONDUCTORES'!AT91</f>
        <v>CUMMINS</v>
      </c>
      <c r="AM91" s="1">
        <f>+'ENCUESTA CONDUCTORES'!AU91</f>
        <v>12000</v>
      </c>
      <c r="AN91" s="48">
        <f>+'ENCUESTA CONDUCTORES'!AV91</f>
        <v>0.3</v>
      </c>
      <c r="AO91" s="15">
        <f>+'ENCUESTA CONDUCTORES'!AW91</f>
        <v>3</v>
      </c>
      <c r="AP91" s="15">
        <f>+'ENCUESTA CONDUCTORES'!AX91</f>
        <v>2.5</v>
      </c>
      <c r="AQ91" s="15">
        <f>+'ENCUESTA CONDUCTORES'!AY91</f>
        <v>2</v>
      </c>
      <c r="AR91" s="15">
        <f>+'ENCUESTA CONDUCTORES'!AZ91</f>
        <v>420</v>
      </c>
      <c r="AS91" s="15">
        <f>+'ENCUESTA CONDUCTORES'!BA91</f>
        <v>1200</v>
      </c>
      <c r="AT91" s="15">
        <f>IF('ENCUESTA CONDUCTORES'!BB91="X",1,0)</f>
        <v>1</v>
      </c>
      <c r="AU91" s="15">
        <f>IF('ENCUESTA CONDUCTORES'!BC91="X",1,0)</f>
        <v>1</v>
      </c>
      <c r="AV91" s="15">
        <f>IF('ENCUESTA CONDUCTORES'!BD91="X",1,0)</f>
        <v>0</v>
      </c>
      <c r="AW91" s="1">
        <f>+'ENCUESTA CONDUCTORES'!BE91</f>
        <v>12000</v>
      </c>
      <c r="AX91" s="1">
        <f>+'ENCUESTA CONDUCTORES'!BF91</f>
        <v>35000</v>
      </c>
      <c r="AY91" s="1">
        <f>+'ENCUESTA CONDUCTORES'!BG91</f>
        <v>20000</v>
      </c>
      <c r="AZ91" s="1">
        <f>+'ENCUESTA CONDUCTORES'!BH91</f>
        <v>120000</v>
      </c>
      <c r="BA91" s="1">
        <f>+'ENCUESTA CONDUCTORES'!BI91</f>
        <v>20000</v>
      </c>
      <c r="BB91" s="15">
        <f>IF('ENCUESTA CONDUCTORES'!BJ91="X",1,0)</f>
        <v>0</v>
      </c>
      <c r="BC91" s="15">
        <f>IF('ENCUESTA CONDUCTORES'!BK91="X",1,0)</f>
        <v>0</v>
      </c>
      <c r="BD91" s="15">
        <f>IF('ENCUESTA CONDUCTORES'!BL91="X",1,0)</f>
        <v>0</v>
      </c>
      <c r="BE91" s="15">
        <f>IF('ENCUESTA CONDUCTORES'!BM91="X",1,0)</f>
        <v>0</v>
      </c>
      <c r="BF91" s="15">
        <f>IF('ENCUESTA CONDUCTORES'!BN91="X",1,0)</f>
        <v>0</v>
      </c>
      <c r="BG91" s="15">
        <f>IF('ENCUESTA CONDUCTORES'!BO91="X",1,0)</f>
        <v>1</v>
      </c>
      <c r="BH91" s="15">
        <f>IF('ENCUESTA CONDUCTORES'!BP91="X",1,0)</f>
        <v>0</v>
      </c>
      <c r="BI91" s="15">
        <f>IF('ENCUESTA CONDUCTORES'!BQ91="X",1,0)</f>
        <v>0</v>
      </c>
      <c r="BJ91" s="15">
        <f>IF('ENCUESTA CONDUCTORES'!BR91="X",1,0)</f>
        <v>0</v>
      </c>
      <c r="BK91" s="15">
        <f>+'ENCUESTA CONDUCTORES'!BS91</f>
        <v>0</v>
      </c>
      <c r="BL91" s="15">
        <f>IF('ENCUESTA CONDUCTORES'!BT91="X",1,0)</f>
        <v>0</v>
      </c>
      <c r="BM91" s="15">
        <f>IF('ENCUESTA CONDUCTORES'!BU91="X",1,0)</f>
        <v>0</v>
      </c>
      <c r="BN91" s="15">
        <f>IF('ENCUESTA CONDUCTORES'!BV91="X",1,0)</f>
        <v>1</v>
      </c>
      <c r="BO91" s="15">
        <f>IF('ENCUESTA CONDUCTORES'!BW91="X",1,0)</f>
        <v>0</v>
      </c>
      <c r="BP91" s="15">
        <f>+'ENCUESTA CONDUCTORES'!BX91</f>
        <v>3</v>
      </c>
      <c r="BQ91" s="15">
        <f>+'ENCUESTA CONDUCTORES'!BY91</f>
        <v>1</v>
      </c>
      <c r="BR91" s="15">
        <f>+'ENCUESTA CONDUCTORES'!BZ91</f>
        <v>2</v>
      </c>
      <c r="BS91" s="15">
        <f>+'ENCUESTA CONDUCTORES'!CA91</f>
        <v>0</v>
      </c>
      <c r="BT91" s="15">
        <f>IF('ENCUESTA CONDUCTORES'!CB91="X",1,0)</f>
        <v>0</v>
      </c>
      <c r="BU91" s="15">
        <f>IF('ENCUESTA CONDUCTORES'!CC91="X",1,0)</f>
        <v>1</v>
      </c>
      <c r="BV91" s="15">
        <f>IF('ENCUESTA CONDUCTORES'!CD91="X",1,0)</f>
        <v>0</v>
      </c>
      <c r="BW91" s="15">
        <f>IF('ENCUESTA CONDUCTORES'!CE91="X",1,0)</f>
        <v>1</v>
      </c>
      <c r="BX91" s="15">
        <f>IF('ENCUESTA CONDUCTORES'!CF91="X",1,0)</f>
        <v>0</v>
      </c>
      <c r="BY91" s="15">
        <f>IF('ENCUESTA CONDUCTORES'!CG91="X",1,0)</f>
        <v>1</v>
      </c>
      <c r="BZ91" s="15">
        <f>IF('ENCUESTA CONDUCTORES'!CH91="X",1,0)</f>
        <v>1</v>
      </c>
      <c r="CA91" s="15">
        <f>IF('ENCUESTA CONDUCTORES'!CI91="X",1,0)</f>
        <v>1</v>
      </c>
      <c r="CB91" s="15">
        <f>IF('ENCUESTA CONDUCTORES'!CJ91="X",1,0)</f>
        <v>0</v>
      </c>
      <c r="CC91" s="15">
        <f>IF('ENCUESTA CONDUCTORES'!CK91="X",1,0)</f>
        <v>1</v>
      </c>
      <c r="CD91" s="15">
        <f>IF('ENCUESTA CONDUCTORES'!CL91="X",1,0)</f>
        <v>0</v>
      </c>
      <c r="CE91" s="15">
        <f>IF('ENCUESTA CONDUCTORES'!CM91="X",1,0)</f>
        <v>0</v>
      </c>
      <c r="CF91" s="15">
        <f>+'ENCUESTA CONDUCTORES'!CN91</f>
        <v>0</v>
      </c>
      <c r="CG91" s="15">
        <f>IF('ENCUESTA CONDUCTORES'!CO91="X",1,0)</f>
        <v>0</v>
      </c>
      <c r="CH91" s="15" t="str">
        <f>+'ENCUESTA CONDUCTORES'!CP91</f>
        <v>NO SABE</v>
      </c>
      <c r="CI91" s="15" t="str">
        <f>+'ENCUESTA CONDUCTORES'!CQ91</f>
        <v>NO SABE</v>
      </c>
      <c r="CJ91" s="15">
        <f>IF('ENCUESTA CONDUCTORES'!CR91="X",1,0)</f>
        <v>1</v>
      </c>
      <c r="CK91" s="15">
        <f>IF('ENCUESTA CONDUCTORES'!CS91="X",1,0)</f>
        <v>1</v>
      </c>
      <c r="CL91" s="15">
        <f>IF('ENCUESTA CONDUCTORES'!CT91="X",1,0)</f>
        <v>0</v>
      </c>
      <c r="CM91" s="15">
        <f>+'ENCUESTA CONDUCTORES'!CU91</f>
        <v>0</v>
      </c>
      <c r="CN91" s="15">
        <f>IF('ENCUESTA CONDUCTORES'!CV91="X",1,0)</f>
        <v>1</v>
      </c>
      <c r="CO91" s="15" t="str">
        <f>+'ENCUESTA CONDUCTORES'!CW91</f>
        <v>NO TIENE TIEMPO</v>
      </c>
      <c r="CP91" s="15">
        <f>IF('ENCUESTA CONDUCTORES'!CX91="X",1,0)</f>
        <v>0</v>
      </c>
      <c r="CQ91" s="15">
        <f>IF('ENCUESTA CONDUCTORES'!CY91="X",1,0)</f>
        <v>0</v>
      </c>
      <c r="CR91" s="3">
        <f>+'ENCUESTA CONDUCTORES'!CZ91</f>
        <v>0</v>
      </c>
      <c r="CS91" s="49">
        <f>+'ENCUESTA CONDUCTORES'!DA91</f>
        <v>0</v>
      </c>
    </row>
    <row r="92" spans="2:97" x14ac:dyDescent="0.25">
      <c r="B92" s="14" t="str">
        <f>+'ENCUESTA CONDUCTORES'!D92</f>
        <v>C-098</v>
      </c>
      <c r="C92" s="15">
        <f>IF('ENCUESTA CONDUCTORES'!E92="X",1,0)</f>
        <v>0</v>
      </c>
      <c r="D92" s="15">
        <f>IF('ENCUESTA CONDUCTORES'!F92="X",1,0)</f>
        <v>0</v>
      </c>
      <c r="E92" s="15">
        <f>IF('ENCUESTA CONDUCTORES'!G92="X",1,0)</f>
        <v>0</v>
      </c>
      <c r="F92" s="15">
        <f>IF('ENCUESTA CONDUCTORES'!H92="X",1,0)</f>
        <v>1</v>
      </c>
      <c r="G92" s="15">
        <f>+'ENCUESTA CONDUCTORES'!I92</f>
        <v>60</v>
      </c>
      <c r="H92" s="15" t="str">
        <f>+'ENCUESTA CONDUCTORES'!J92</f>
        <v>M</v>
      </c>
      <c r="I92" s="15" t="str">
        <f>+'ENCUESTA CONDUCTORES'!K92</f>
        <v>SECUNDARIA</v>
      </c>
      <c r="J92" s="15" t="str">
        <f>+'ENCUESTA CONDUCTORES'!L92</f>
        <v>IZTAPALAPA, D.F.</v>
      </c>
      <c r="K92" s="15" t="str">
        <f>+'ENCUESTA CONDUCTORES'!M92</f>
        <v>IZTAPALAPA</v>
      </c>
      <c r="L92" s="15" t="str">
        <f>+'ENCUESTA CONDUCTORES'!N92</f>
        <v>D.F.</v>
      </c>
      <c r="M92" s="15">
        <f>+'ENCUESTA CONDUCTORES'!O92</f>
        <v>18</v>
      </c>
      <c r="N92" s="15">
        <f>IF('ENCUESTA CONDUCTORES'!P92="X",1,0)</f>
        <v>1</v>
      </c>
      <c r="O92" s="15">
        <f>IF('ENCUESTA CONDUCTORES'!Q92="X",1,0)</f>
        <v>0</v>
      </c>
      <c r="P92" s="15">
        <f>IF('ENCUESTA CONDUCTORES'!R92="X",1,0)</f>
        <v>0</v>
      </c>
      <c r="Q92" s="15">
        <f>IF('ENCUESTA CONDUCTORES'!S92="X",1,0)</f>
        <v>0</v>
      </c>
      <c r="R92" s="15">
        <f>IF('ENCUESTA CONDUCTORES'!T92="X",1,0)</f>
        <v>0</v>
      </c>
      <c r="S92" s="15">
        <f>IF('ENCUESTA CONDUCTORES'!U92="X",1,0)</f>
        <v>1</v>
      </c>
      <c r="T92" s="15">
        <f>IF('ENCUESTA CONDUCTORES'!V92="X",1,0)</f>
        <v>0</v>
      </c>
      <c r="U92" s="15">
        <f>IF('ENCUESTA CONDUCTORES'!W92="X",1,0)</f>
        <v>0</v>
      </c>
      <c r="V92" s="15">
        <f>IF('ENCUESTA CONDUCTORES'!X92="X",1,0)</f>
        <v>0</v>
      </c>
      <c r="W92" s="15">
        <f>IF('ENCUESTA CONDUCTORES'!Y92="X",1,0)</f>
        <v>0</v>
      </c>
      <c r="X92" s="15">
        <f>IF('ENCUESTA CONDUCTORES'!Z92="X",1,0)</f>
        <v>0</v>
      </c>
      <c r="Y92" s="15">
        <f>+'ENCUESTA CONDUCTORES'!AG92</f>
        <v>0</v>
      </c>
      <c r="Z92" s="15">
        <f>+'ENCUESTA CONDUCTORES'!AH92</f>
        <v>2004</v>
      </c>
      <c r="AA92" s="1">
        <f>+'ENCUESTA CONDUCTORES'!AI92</f>
        <v>800000</v>
      </c>
      <c r="AB92" s="15">
        <f>IF('ENCUESTA CONDUCTORES'!AJ92="X",1,0)</f>
        <v>0</v>
      </c>
      <c r="AC92" s="15">
        <f>IF('ENCUESTA CONDUCTORES'!AK92="X",1,0)</f>
        <v>0</v>
      </c>
      <c r="AD92" s="15">
        <f>IF('ENCUESTA CONDUCTORES'!AL92="X",1,0)</f>
        <v>1</v>
      </c>
      <c r="AE92" s="15">
        <f>IF('ENCUESTA CONDUCTORES'!AM92="X",1,0)</f>
        <v>0</v>
      </c>
      <c r="AF92" s="15">
        <f>IF('ENCUESTA CONDUCTORES'!AN92="X",1,0)</f>
        <v>0</v>
      </c>
      <c r="AG92" s="15">
        <f>IF('ENCUESTA CONDUCTORES'!AO92="X",1,0)</f>
        <v>1</v>
      </c>
      <c r="AH92" s="15">
        <f>IF('ENCUESTA CONDUCTORES'!AP92="X",1,0)</f>
        <v>0</v>
      </c>
      <c r="AI92" s="15">
        <f>IF('ENCUESTA CONDUCTORES'!AQ92="X",1,0)</f>
        <v>0</v>
      </c>
      <c r="AJ92" s="15">
        <f>IF('ENCUESTA CONDUCTORES'!AR92="X",1,0)</f>
        <v>0</v>
      </c>
      <c r="AK92" s="15">
        <f>+'ENCUESTA CONDUCTORES'!AS92</f>
        <v>0</v>
      </c>
      <c r="AL92" s="15" t="str">
        <f>+'ENCUESTA CONDUCTORES'!AT92</f>
        <v>FORD</v>
      </c>
      <c r="AM92" s="1">
        <f>+'ENCUESTA CONDUCTORES'!AU92</f>
        <v>6500</v>
      </c>
      <c r="AN92" s="48">
        <f>+'ENCUESTA CONDUCTORES'!AV92</f>
        <v>0.5</v>
      </c>
      <c r="AO92" s="15">
        <f>+'ENCUESTA CONDUCTORES'!AW92</f>
        <v>3.8</v>
      </c>
      <c r="AP92" s="15">
        <f>+'ENCUESTA CONDUCTORES'!AX92</f>
        <v>3</v>
      </c>
      <c r="AQ92" s="15">
        <f>+'ENCUESTA CONDUCTORES'!AY92</f>
        <v>1</v>
      </c>
      <c r="AR92" s="15">
        <f>+'ENCUESTA CONDUCTORES'!AZ92</f>
        <v>180</v>
      </c>
      <c r="AS92" s="15">
        <f>+'ENCUESTA CONDUCTORES'!BA92</f>
        <v>500</v>
      </c>
      <c r="AT92" s="15">
        <f>IF('ENCUESTA CONDUCTORES'!BB92="X",1,0)</f>
        <v>0</v>
      </c>
      <c r="AU92" s="15">
        <f>IF('ENCUESTA CONDUCTORES'!BC92="X",1,0)</f>
        <v>1</v>
      </c>
      <c r="AV92" s="15">
        <f>IF('ENCUESTA CONDUCTORES'!BD92="X",1,0)</f>
        <v>1</v>
      </c>
      <c r="AW92" s="1">
        <f>+'ENCUESTA CONDUCTORES'!BE92</f>
        <v>6000</v>
      </c>
      <c r="AX92" s="1">
        <f>+'ENCUESTA CONDUCTORES'!BF92</f>
        <v>6000</v>
      </c>
      <c r="AY92" s="1">
        <f>+'ENCUESTA CONDUCTORES'!BG92</f>
        <v>6000</v>
      </c>
      <c r="AZ92" s="1">
        <f>+'ENCUESTA CONDUCTORES'!BH92</f>
        <v>60000</v>
      </c>
      <c r="BA92" s="1">
        <f>+'ENCUESTA CONDUCTORES'!BI92</f>
        <v>6000</v>
      </c>
      <c r="BB92" s="15">
        <f>IF('ENCUESTA CONDUCTORES'!BJ92="X",1,0)</f>
        <v>0</v>
      </c>
      <c r="BC92" s="15">
        <f>IF('ENCUESTA CONDUCTORES'!BK92="X",1,0)</f>
        <v>0</v>
      </c>
      <c r="BD92" s="15">
        <f>IF('ENCUESTA CONDUCTORES'!BL92="X",1,0)</f>
        <v>0</v>
      </c>
      <c r="BE92" s="15">
        <f>IF('ENCUESTA CONDUCTORES'!BM92="X",1,0)</f>
        <v>0</v>
      </c>
      <c r="BF92" s="15">
        <f>IF('ENCUESTA CONDUCTORES'!BN92="X",1,0)</f>
        <v>0</v>
      </c>
      <c r="BG92" s="15">
        <f>IF('ENCUESTA CONDUCTORES'!BO92="X",1,0)</f>
        <v>0</v>
      </c>
      <c r="BH92" s="15">
        <f>IF('ENCUESTA CONDUCTORES'!BP92="X",1,0)</f>
        <v>0</v>
      </c>
      <c r="BI92" s="15">
        <f>IF('ENCUESTA CONDUCTORES'!BQ92="X",1,0)</f>
        <v>0</v>
      </c>
      <c r="BJ92" s="15">
        <f>IF('ENCUESTA CONDUCTORES'!BR92="X",1,0)</f>
        <v>0</v>
      </c>
      <c r="BK92" s="15" t="str">
        <f>+'ENCUESTA CONDUCTORES'!BS92</f>
        <v>GENERAL</v>
      </c>
      <c r="BL92" s="15">
        <f>IF('ENCUESTA CONDUCTORES'!BT92="X",1,0)</f>
        <v>0</v>
      </c>
      <c r="BM92" s="15">
        <f>IF('ENCUESTA CONDUCTORES'!BU92="X",1,0)</f>
        <v>1</v>
      </c>
      <c r="BN92" s="15">
        <f>IF('ENCUESTA CONDUCTORES'!BV92="X",1,0)</f>
        <v>0</v>
      </c>
      <c r="BO92" s="15">
        <f>IF('ENCUESTA CONDUCTORES'!BW92="X",1,0)</f>
        <v>0</v>
      </c>
      <c r="BP92" s="15">
        <f>+'ENCUESTA CONDUCTORES'!BX92</f>
        <v>1</v>
      </c>
      <c r="BQ92" s="15">
        <f>+'ENCUESTA CONDUCTORES'!BY92</f>
        <v>3</v>
      </c>
      <c r="BR92" s="15">
        <f>+'ENCUESTA CONDUCTORES'!BZ92</f>
        <v>2</v>
      </c>
      <c r="BS92" s="15">
        <f>+'ENCUESTA CONDUCTORES'!CA92</f>
        <v>0</v>
      </c>
      <c r="BT92" s="15">
        <f>IF('ENCUESTA CONDUCTORES'!CB92="X",1,0)</f>
        <v>0</v>
      </c>
      <c r="BU92" s="15">
        <f>IF('ENCUESTA CONDUCTORES'!CC92="X",1,0)</f>
        <v>1</v>
      </c>
      <c r="BV92" s="15">
        <f>IF('ENCUESTA CONDUCTORES'!CD92="X",1,0)</f>
        <v>0</v>
      </c>
      <c r="BW92" s="15">
        <f>IF('ENCUESTA CONDUCTORES'!CE92="X",1,0)</f>
        <v>1</v>
      </c>
      <c r="BX92" s="15">
        <f>IF('ENCUESTA CONDUCTORES'!CF92="X",1,0)</f>
        <v>0</v>
      </c>
      <c r="BY92" s="15">
        <f>IF('ENCUESTA CONDUCTORES'!CG92="X",1,0)</f>
        <v>0</v>
      </c>
      <c r="BZ92" s="15">
        <f>IF('ENCUESTA CONDUCTORES'!CH92="X",1,0)</f>
        <v>1</v>
      </c>
      <c r="CA92" s="15">
        <f>IF('ENCUESTA CONDUCTORES'!CI92="X",1,0)</f>
        <v>1</v>
      </c>
      <c r="CB92" s="15">
        <f>IF('ENCUESTA CONDUCTORES'!CJ92="X",1,0)</f>
        <v>0</v>
      </c>
      <c r="CC92" s="15">
        <f>IF('ENCUESTA CONDUCTORES'!CK92="X",1,0)</f>
        <v>1</v>
      </c>
      <c r="CD92" s="15">
        <f>IF('ENCUESTA CONDUCTORES'!CL92="X",1,0)</f>
        <v>0</v>
      </c>
      <c r="CE92" s="15">
        <f>IF('ENCUESTA CONDUCTORES'!CM92="X",1,0)</f>
        <v>0</v>
      </c>
      <c r="CF92" s="15">
        <f>+'ENCUESTA CONDUCTORES'!CN92</f>
        <v>0</v>
      </c>
      <c r="CG92" s="15">
        <f>IF('ENCUESTA CONDUCTORES'!CO92="X",1,0)</f>
        <v>0</v>
      </c>
      <c r="CH92" s="15" t="str">
        <f>+'ENCUESTA CONDUCTORES'!CP92</f>
        <v>NO SABE</v>
      </c>
      <c r="CI92" s="15" t="str">
        <f>+'ENCUESTA CONDUCTORES'!CQ92</f>
        <v>PUBLICIDAD</v>
      </c>
      <c r="CJ92" s="15">
        <f>IF('ENCUESTA CONDUCTORES'!CR92="X",1,0)</f>
        <v>1</v>
      </c>
      <c r="CK92" s="15">
        <f>IF('ENCUESTA CONDUCTORES'!CS92="X",1,0)</f>
        <v>0</v>
      </c>
      <c r="CL92" s="15">
        <f>IF('ENCUESTA CONDUCTORES'!CT92="X",1,0)</f>
        <v>0</v>
      </c>
      <c r="CM92" s="15">
        <f>+'ENCUESTA CONDUCTORES'!CU92</f>
        <v>0</v>
      </c>
      <c r="CN92" s="15">
        <f>IF('ENCUESTA CONDUCTORES'!CV92="X",1,0)</f>
        <v>1</v>
      </c>
      <c r="CO92" s="15" t="str">
        <f>+'ENCUESTA CONDUCTORES'!CW92</f>
        <v>NO LE INTERESA</v>
      </c>
      <c r="CP92" s="15">
        <f>IF('ENCUESTA CONDUCTORES'!CX92="X",1,0)</f>
        <v>0</v>
      </c>
      <c r="CQ92" s="15">
        <f>IF('ENCUESTA CONDUCTORES'!CY92="X",1,0)</f>
        <v>0</v>
      </c>
      <c r="CR92" s="3">
        <f>+'ENCUESTA CONDUCTORES'!CZ92</f>
        <v>0</v>
      </c>
      <c r="CS92" s="49">
        <f>+'ENCUESTA CONDUCTORES'!DA92</f>
        <v>0</v>
      </c>
    </row>
    <row r="93" spans="2:97" x14ac:dyDescent="0.25">
      <c r="B93" s="14" t="str">
        <f>+'ENCUESTA CONDUCTORES'!D93</f>
        <v>C-099</v>
      </c>
      <c r="C93" s="15">
        <f>IF('ENCUESTA CONDUCTORES'!E93="X",1,0)</f>
        <v>1</v>
      </c>
      <c r="D93" s="15">
        <f>IF('ENCUESTA CONDUCTORES'!F93="X",1,0)</f>
        <v>0</v>
      </c>
      <c r="E93" s="15">
        <f>IF('ENCUESTA CONDUCTORES'!G93="X",1,0)</f>
        <v>0</v>
      </c>
      <c r="F93" s="15">
        <f>IF('ENCUESTA CONDUCTORES'!H93="X",1,0)</f>
        <v>0</v>
      </c>
      <c r="G93" s="15">
        <f>+'ENCUESTA CONDUCTORES'!I93</f>
        <v>43</v>
      </c>
      <c r="H93" s="15" t="str">
        <f>+'ENCUESTA CONDUCTORES'!J93</f>
        <v>M</v>
      </c>
      <c r="I93" s="15" t="str">
        <f>+'ENCUESTA CONDUCTORES'!K93</f>
        <v>PREPARATORIA</v>
      </c>
      <c r="J93" s="15" t="str">
        <f>+'ENCUESTA CONDUCTORES'!L93</f>
        <v>PUEBLA, PUE</v>
      </c>
      <c r="K93" s="15" t="str">
        <f>+'ENCUESTA CONDUCTORES'!M93</f>
        <v>PUEBLA</v>
      </c>
      <c r="L93" s="15" t="str">
        <f>+'ENCUESTA CONDUCTORES'!N93</f>
        <v>PUEBLA</v>
      </c>
      <c r="M93" s="15">
        <f>+'ENCUESTA CONDUCTORES'!O93</f>
        <v>20</v>
      </c>
      <c r="N93" s="15">
        <f>IF('ENCUESTA CONDUCTORES'!P93="X",1,0)</f>
        <v>0</v>
      </c>
      <c r="O93" s="15">
        <f>IF('ENCUESTA CONDUCTORES'!Q93="X",1,0)</f>
        <v>1</v>
      </c>
      <c r="P93" s="15">
        <f>IF('ENCUESTA CONDUCTORES'!R93="X",1,0)</f>
        <v>0</v>
      </c>
      <c r="Q93" s="15">
        <f>IF('ENCUESTA CONDUCTORES'!S93="X",1,0)</f>
        <v>0</v>
      </c>
      <c r="R93" s="15">
        <f>IF('ENCUESTA CONDUCTORES'!T93="X",1,0)</f>
        <v>0</v>
      </c>
      <c r="S93" s="15">
        <f>IF('ENCUESTA CONDUCTORES'!U93="X",1,0)</f>
        <v>0</v>
      </c>
      <c r="T93" s="15">
        <f>IF('ENCUESTA CONDUCTORES'!V93="X",1,0)</f>
        <v>0</v>
      </c>
      <c r="U93" s="15">
        <f>IF('ENCUESTA CONDUCTORES'!W93="X",1,0)</f>
        <v>0</v>
      </c>
      <c r="V93" s="15">
        <f>IF('ENCUESTA CONDUCTORES'!X93="X",1,0)</f>
        <v>1</v>
      </c>
      <c r="W93" s="15">
        <f>IF('ENCUESTA CONDUCTORES'!Y93="X",1,0)</f>
        <v>0</v>
      </c>
      <c r="X93" s="15">
        <f>IF('ENCUESTA CONDUCTORES'!Z93="X",1,0)</f>
        <v>0</v>
      </c>
      <c r="Y93" s="15">
        <f>+'ENCUESTA CONDUCTORES'!AG93</f>
        <v>0</v>
      </c>
      <c r="Z93" s="15">
        <f>+'ENCUESTA CONDUCTORES'!AH93</f>
        <v>2005</v>
      </c>
      <c r="AA93" s="1">
        <f>+'ENCUESTA CONDUCTORES'!AI93</f>
        <v>1200000</v>
      </c>
      <c r="AB93" s="15">
        <f>IF('ENCUESTA CONDUCTORES'!AJ93="X",1,0)</f>
        <v>0</v>
      </c>
      <c r="AC93" s="15">
        <f>IF('ENCUESTA CONDUCTORES'!AK93="X",1,0)</f>
        <v>0</v>
      </c>
      <c r="AD93" s="15">
        <f>IF('ENCUESTA CONDUCTORES'!AL93="X",1,0)</f>
        <v>1</v>
      </c>
      <c r="AE93" s="15">
        <f>IF('ENCUESTA CONDUCTORES'!AM93="X",1,0)</f>
        <v>0</v>
      </c>
      <c r="AF93" s="15">
        <f>IF('ENCUESTA CONDUCTORES'!AN93="X",1,0)</f>
        <v>0</v>
      </c>
      <c r="AG93" s="15">
        <f>IF('ENCUESTA CONDUCTORES'!AO93="X",1,0)</f>
        <v>0</v>
      </c>
      <c r="AH93" s="15">
        <f>IF('ENCUESTA CONDUCTORES'!AP93="X",1,0)</f>
        <v>1</v>
      </c>
      <c r="AI93" s="15">
        <f>IF('ENCUESTA CONDUCTORES'!AQ93="X",1,0)</f>
        <v>0</v>
      </c>
      <c r="AJ93" s="15">
        <f>IF('ENCUESTA CONDUCTORES'!AR93="X",1,0)</f>
        <v>0</v>
      </c>
      <c r="AK93" s="15">
        <f>+'ENCUESTA CONDUCTORES'!AS93</f>
        <v>0</v>
      </c>
      <c r="AL93" s="15" t="str">
        <f>+'ENCUESTA CONDUCTORES'!AT93</f>
        <v>INTERNATIONAL</v>
      </c>
      <c r="AM93" s="1">
        <f>+'ENCUESTA CONDUCTORES'!AU93</f>
        <v>12000</v>
      </c>
      <c r="AN93" s="48">
        <f>+'ENCUESTA CONDUCTORES'!AV93</f>
        <v>0.5</v>
      </c>
      <c r="AO93" s="15">
        <f>+'ENCUESTA CONDUCTORES'!AW93</f>
        <v>2</v>
      </c>
      <c r="AP93" s="15">
        <f>+'ENCUESTA CONDUCTORES'!AX93</f>
        <v>1.8</v>
      </c>
      <c r="AQ93" s="15">
        <f>+'ENCUESTA CONDUCTORES'!AY93</f>
        <v>1</v>
      </c>
      <c r="AR93" s="15">
        <f>+'ENCUESTA CONDUCTORES'!AZ93</f>
        <v>450</v>
      </c>
      <c r="AS93" s="15">
        <f>+'ENCUESTA CONDUCTORES'!BA93</f>
        <v>900</v>
      </c>
      <c r="AT93" s="15">
        <f>IF('ENCUESTA CONDUCTORES'!BB93="X",1,0)</f>
        <v>0</v>
      </c>
      <c r="AU93" s="15">
        <f>IF('ENCUESTA CONDUCTORES'!BC93="X",1,0)</f>
        <v>1</v>
      </c>
      <c r="AV93" s="15">
        <f>IF('ENCUESTA CONDUCTORES'!BD93="X",1,0)</f>
        <v>1</v>
      </c>
      <c r="AW93" s="1">
        <f>+'ENCUESTA CONDUCTORES'!BE93</f>
        <v>12000</v>
      </c>
      <c r="AX93" s="1">
        <f>+'ENCUESTA CONDUCTORES'!BF93</f>
        <v>72000</v>
      </c>
      <c r="AY93" s="1">
        <f>+'ENCUESTA CONDUCTORES'!BG93</f>
        <v>24000</v>
      </c>
      <c r="AZ93" s="1">
        <f>+'ENCUESTA CONDUCTORES'!BH93</f>
        <v>72000</v>
      </c>
      <c r="BA93" s="1">
        <f>+'ENCUESTA CONDUCTORES'!BI93</f>
        <v>36000</v>
      </c>
      <c r="BB93" s="15">
        <f>IF('ENCUESTA CONDUCTORES'!BJ93="X",1,0)</f>
        <v>1</v>
      </c>
      <c r="BC93" s="15">
        <f>IF('ENCUESTA CONDUCTORES'!BK93="X",1,0)</f>
        <v>0</v>
      </c>
      <c r="BD93" s="15">
        <f>IF('ENCUESTA CONDUCTORES'!BL93="X",1,0)</f>
        <v>0</v>
      </c>
      <c r="BE93" s="15">
        <f>IF('ENCUESTA CONDUCTORES'!BM93="X",1,0)</f>
        <v>0</v>
      </c>
      <c r="BF93" s="15">
        <f>IF('ENCUESTA CONDUCTORES'!BN93="X",1,0)</f>
        <v>0</v>
      </c>
      <c r="BG93" s="15">
        <f>IF('ENCUESTA CONDUCTORES'!BO93="X",1,0)</f>
        <v>0</v>
      </c>
      <c r="BH93" s="15">
        <f>IF('ENCUESTA CONDUCTORES'!BP93="X",1,0)</f>
        <v>0</v>
      </c>
      <c r="BI93" s="15">
        <f>IF('ENCUESTA CONDUCTORES'!BQ93="X",1,0)</f>
        <v>0</v>
      </c>
      <c r="BJ93" s="15">
        <f>IF('ENCUESTA CONDUCTORES'!BR93="X",1,0)</f>
        <v>0</v>
      </c>
      <c r="BK93" s="15">
        <f>+'ENCUESTA CONDUCTORES'!BS93</f>
        <v>0</v>
      </c>
      <c r="BL93" s="15">
        <f>IF('ENCUESTA CONDUCTORES'!BT93="X",1,0)</f>
        <v>0</v>
      </c>
      <c r="BM93" s="15">
        <f>IF('ENCUESTA CONDUCTORES'!BU93="X",1,0)</f>
        <v>1</v>
      </c>
      <c r="BN93" s="15">
        <f>IF('ENCUESTA CONDUCTORES'!BV93="X",1,0)</f>
        <v>0</v>
      </c>
      <c r="BO93" s="15">
        <f>IF('ENCUESTA CONDUCTORES'!BW93="X",1,0)</f>
        <v>0</v>
      </c>
      <c r="BP93" s="15">
        <f>+'ENCUESTA CONDUCTORES'!BX93</f>
        <v>2</v>
      </c>
      <c r="BQ93" s="15">
        <f>+'ENCUESTA CONDUCTORES'!BY93</f>
        <v>1</v>
      </c>
      <c r="BR93" s="15">
        <f>+'ENCUESTA CONDUCTORES'!BZ93</f>
        <v>3</v>
      </c>
      <c r="BS93" s="15">
        <f>+'ENCUESTA CONDUCTORES'!CA93</f>
        <v>0</v>
      </c>
      <c r="BT93" s="15">
        <f>IF('ENCUESTA CONDUCTORES'!CB93="X",1,0)</f>
        <v>0</v>
      </c>
      <c r="BU93" s="15">
        <f>IF('ENCUESTA CONDUCTORES'!CC93="X",1,0)</f>
        <v>1</v>
      </c>
      <c r="BV93" s="15">
        <f>IF('ENCUESTA CONDUCTORES'!CD93="X",1,0)</f>
        <v>0</v>
      </c>
      <c r="BW93" s="15">
        <f>IF('ENCUESTA CONDUCTORES'!CE93="X",1,0)</f>
        <v>1</v>
      </c>
      <c r="BX93" s="15">
        <f>IF('ENCUESTA CONDUCTORES'!CF93="X",1,0)</f>
        <v>0</v>
      </c>
      <c r="BY93" s="15">
        <f>IF('ENCUESTA CONDUCTORES'!CG93="X",1,0)</f>
        <v>0</v>
      </c>
      <c r="BZ93" s="15">
        <f>IF('ENCUESTA CONDUCTORES'!CH93="X",1,0)</f>
        <v>1</v>
      </c>
      <c r="CA93" s="15">
        <f>IF('ENCUESTA CONDUCTORES'!CI93="X",1,0)</f>
        <v>1</v>
      </c>
      <c r="CB93" s="15">
        <f>IF('ENCUESTA CONDUCTORES'!CJ93="X",1,0)</f>
        <v>0</v>
      </c>
      <c r="CC93" s="15">
        <f>IF('ENCUESTA CONDUCTORES'!CK93="X",1,0)</f>
        <v>1</v>
      </c>
      <c r="CD93" s="15">
        <f>IF('ENCUESTA CONDUCTORES'!CL93="X",1,0)</f>
        <v>0</v>
      </c>
      <c r="CE93" s="15">
        <f>IF('ENCUESTA CONDUCTORES'!CM93="X",1,0)</f>
        <v>0</v>
      </c>
      <c r="CF93" s="15">
        <f>+'ENCUESTA CONDUCTORES'!CN93</f>
        <v>0</v>
      </c>
      <c r="CG93" s="15">
        <f>IF('ENCUESTA CONDUCTORES'!CO93="X",1,0)</f>
        <v>0</v>
      </c>
      <c r="CH93" s="15" t="str">
        <f>+'ENCUESTA CONDUCTORES'!CP93</f>
        <v>NO SABE</v>
      </c>
      <c r="CI93" s="15" t="str">
        <f>+'ENCUESTA CONDUCTORES'!CQ93</f>
        <v>NO SABE</v>
      </c>
      <c r="CJ93" s="15">
        <f>IF('ENCUESTA CONDUCTORES'!CR93="X",1,0)</f>
        <v>0</v>
      </c>
      <c r="CK93" s="15">
        <f>IF('ENCUESTA CONDUCTORES'!CS93="X",1,0)</f>
        <v>1</v>
      </c>
      <c r="CL93" s="15">
        <f>IF('ENCUESTA CONDUCTORES'!CT93="X",1,0)</f>
        <v>1</v>
      </c>
      <c r="CM93" s="2" t="str">
        <f>+'ENCUESTA CONDUCTORES'!CU93</f>
        <v>PROTECCION CIVIL</v>
      </c>
      <c r="CN93" s="15">
        <f>IF('ENCUESTA CONDUCTORES'!CV93="X",1,0)</f>
        <v>0</v>
      </c>
      <c r="CO93" s="15">
        <f>+'ENCUESTA CONDUCTORES'!CW93</f>
        <v>0</v>
      </c>
      <c r="CP93" s="15">
        <f>IF('ENCUESTA CONDUCTORES'!CX93="X",1,0)</f>
        <v>0</v>
      </c>
      <c r="CQ93" s="15">
        <f>IF('ENCUESTA CONDUCTORES'!CY93="X",1,0)</f>
        <v>0</v>
      </c>
      <c r="CR93" s="4" t="str">
        <f>+'ENCUESTA CONDUCTORES'!CZ93</f>
        <v>PRIMEROS AUXILIOS</v>
      </c>
      <c r="CS93" s="49">
        <f>+'ENCUESTA CONDUCTORES'!DA93</f>
        <v>0</v>
      </c>
    </row>
    <row r="94" spans="2:97" x14ac:dyDescent="0.25">
      <c r="B94" s="14" t="str">
        <f>+'ENCUESTA CONDUCTORES'!D94</f>
        <v>C-100</v>
      </c>
      <c r="C94" s="15">
        <f>IF('ENCUESTA CONDUCTORES'!E94="X",1,0)</f>
        <v>0</v>
      </c>
      <c r="D94" s="15">
        <f>IF('ENCUESTA CONDUCTORES'!F94="X",1,0)</f>
        <v>0</v>
      </c>
      <c r="E94" s="15">
        <f>IF('ENCUESTA CONDUCTORES'!G94="X",1,0)</f>
        <v>1</v>
      </c>
      <c r="F94" s="15">
        <f>IF('ENCUESTA CONDUCTORES'!H94="X",1,0)</f>
        <v>0</v>
      </c>
      <c r="G94" s="15">
        <f>+'ENCUESTA CONDUCTORES'!I94</f>
        <v>30</v>
      </c>
      <c r="H94" s="15" t="str">
        <f>+'ENCUESTA CONDUCTORES'!J94</f>
        <v>M</v>
      </c>
      <c r="I94" s="15" t="str">
        <f>+'ENCUESTA CONDUCTORES'!K94</f>
        <v>SECUNDARIA</v>
      </c>
      <c r="J94" s="15" t="str">
        <f>+'ENCUESTA CONDUCTORES'!L94</f>
        <v>IZTACALCO, D.F.</v>
      </c>
      <c r="K94" s="15" t="str">
        <f>+'ENCUESTA CONDUCTORES'!M94</f>
        <v>IZTACALCO</v>
      </c>
      <c r="L94" s="15" t="str">
        <f>+'ENCUESTA CONDUCTORES'!N94</f>
        <v>D.F.</v>
      </c>
      <c r="M94" s="15">
        <f>+'ENCUESTA CONDUCTORES'!O94</f>
        <v>10</v>
      </c>
      <c r="N94" s="15">
        <f>IF('ENCUESTA CONDUCTORES'!P94="X",1,0)</f>
        <v>0</v>
      </c>
      <c r="O94" s="15">
        <f>IF('ENCUESTA CONDUCTORES'!Q94="X",1,0)</f>
        <v>0</v>
      </c>
      <c r="P94" s="15">
        <f>IF('ENCUESTA CONDUCTORES'!R94="X",1,0)</f>
        <v>0</v>
      </c>
      <c r="Q94" s="15">
        <f>IF('ENCUESTA CONDUCTORES'!S94="X",1,0)</f>
        <v>1</v>
      </c>
      <c r="R94" s="15">
        <f>IF('ENCUESTA CONDUCTORES'!T94="X",1,0)</f>
        <v>0</v>
      </c>
      <c r="S94" s="15">
        <f>IF('ENCUESTA CONDUCTORES'!U94="X",1,0)</f>
        <v>1</v>
      </c>
      <c r="T94" s="15">
        <f>IF('ENCUESTA CONDUCTORES'!V94="X",1,0)</f>
        <v>0</v>
      </c>
      <c r="U94" s="15">
        <f>IF('ENCUESTA CONDUCTORES'!W94="X",1,0)</f>
        <v>0</v>
      </c>
      <c r="V94" s="15">
        <f>IF('ENCUESTA CONDUCTORES'!X94="X",1,0)</f>
        <v>0</v>
      </c>
      <c r="W94" s="15">
        <f>IF('ENCUESTA CONDUCTORES'!Y94="X",1,0)</f>
        <v>0</v>
      </c>
      <c r="X94" s="15">
        <f>IF('ENCUESTA CONDUCTORES'!Z94="X",1,0)</f>
        <v>0</v>
      </c>
      <c r="Y94" s="15">
        <f>+'ENCUESTA CONDUCTORES'!AG94</f>
        <v>0</v>
      </c>
      <c r="Z94" s="15">
        <f>+'ENCUESTA CONDUCTORES'!AH94</f>
        <v>2010</v>
      </c>
      <c r="AA94" s="1">
        <f>+'ENCUESTA CONDUCTORES'!AI94</f>
        <v>600000</v>
      </c>
      <c r="AB94" s="15">
        <f>IF('ENCUESTA CONDUCTORES'!AJ94="X",1,0)</f>
        <v>0</v>
      </c>
      <c r="AC94" s="15">
        <f>IF('ENCUESTA CONDUCTORES'!AK94="X",1,0)</f>
        <v>0</v>
      </c>
      <c r="AD94" s="15">
        <f>IF('ENCUESTA CONDUCTORES'!AL94="X",1,0)</f>
        <v>1</v>
      </c>
      <c r="AE94" s="15">
        <f>IF('ENCUESTA CONDUCTORES'!AM94="X",1,0)</f>
        <v>0</v>
      </c>
      <c r="AF94" s="15">
        <f>IF('ENCUESTA CONDUCTORES'!AN94="X",1,0)</f>
        <v>0</v>
      </c>
      <c r="AG94" s="15">
        <f>IF('ENCUESTA CONDUCTORES'!AO94="X",1,0)</f>
        <v>0</v>
      </c>
      <c r="AH94" s="15">
        <f>IF('ENCUESTA CONDUCTORES'!AP94="X",1,0)</f>
        <v>1</v>
      </c>
      <c r="AI94" s="15">
        <f>IF('ENCUESTA CONDUCTORES'!AQ94="X",1,0)</f>
        <v>0</v>
      </c>
      <c r="AJ94" s="15">
        <f>IF('ENCUESTA CONDUCTORES'!AR94="X",1,0)</f>
        <v>0</v>
      </c>
      <c r="AK94" s="15">
        <f>+'ENCUESTA CONDUCTORES'!AS94</f>
        <v>0</v>
      </c>
      <c r="AL94" s="15" t="str">
        <f>+'ENCUESTA CONDUCTORES'!AT94</f>
        <v>KENWORTH</v>
      </c>
      <c r="AM94" s="1">
        <f>+'ENCUESTA CONDUCTORES'!AU94</f>
        <v>12500</v>
      </c>
      <c r="AN94" s="48">
        <f>+'ENCUESTA CONDUCTORES'!AV94</f>
        <v>0.5</v>
      </c>
      <c r="AO94" s="15">
        <f>+'ENCUESTA CONDUCTORES'!AW94</f>
        <v>2.8</v>
      </c>
      <c r="AP94" s="15">
        <f>+'ENCUESTA CONDUCTORES'!AX94</f>
        <v>2.2000000000000002</v>
      </c>
      <c r="AQ94" s="15">
        <f>+'ENCUESTA CONDUCTORES'!AY94</f>
        <v>2</v>
      </c>
      <c r="AR94" s="15">
        <f>+'ENCUESTA CONDUCTORES'!AZ94</f>
        <v>1000</v>
      </c>
      <c r="AS94" s="15">
        <f>+'ENCUESTA CONDUCTORES'!BA94</f>
        <v>2500</v>
      </c>
      <c r="AT94" s="15">
        <f>IF('ENCUESTA CONDUCTORES'!BB94="X",1,0)</f>
        <v>1</v>
      </c>
      <c r="AU94" s="15">
        <f>IF('ENCUESTA CONDUCTORES'!BC94="X",1,0)</f>
        <v>1</v>
      </c>
      <c r="AV94" s="15">
        <f>IF('ENCUESTA CONDUCTORES'!BD94="X",1,0)</f>
        <v>0</v>
      </c>
      <c r="AW94" s="1">
        <f>+'ENCUESTA CONDUCTORES'!BE94</f>
        <v>12000</v>
      </c>
      <c r="AX94" s="1">
        <f>+'ENCUESTA CONDUCTORES'!BF94</f>
        <v>8000</v>
      </c>
      <c r="AY94" s="1">
        <f>+'ENCUESTA CONDUCTORES'!BG94</f>
        <v>12000</v>
      </c>
      <c r="AZ94" s="1">
        <f>+'ENCUESTA CONDUCTORES'!BH94</f>
        <v>120000</v>
      </c>
      <c r="BA94" s="1">
        <f>+'ENCUESTA CONDUCTORES'!BI94</f>
        <v>12000</v>
      </c>
      <c r="BB94" s="15">
        <f>IF('ENCUESTA CONDUCTORES'!BJ94="X",1,0)</f>
        <v>0</v>
      </c>
      <c r="BC94" s="15">
        <f>IF('ENCUESTA CONDUCTORES'!BK94="X",1,0)</f>
        <v>0</v>
      </c>
      <c r="BD94" s="15">
        <f>IF('ENCUESTA CONDUCTORES'!BL94="X",1,0)</f>
        <v>1</v>
      </c>
      <c r="BE94" s="15">
        <f>IF('ENCUESTA CONDUCTORES'!BM94="X",1,0)</f>
        <v>0</v>
      </c>
      <c r="BF94" s="15">
        <f>IF('ENCUESTA CONDUCTORES'!BN94="X",1,0)</f>
        <v>0</v>
      </c>
      <c r="BG94" s="15">
        <f>IF('ENCUESTA CONDUCTORES'!BO94="X",1,0)</f>
        <v>0</v>
      </c>
      <c r="BH94" s="15">
        <f>IF('ENCUESTA CONDUCTORES'!BP94="X",1,0)</f>
        <v>0</v>
      </c>
      <c r="BI94" s="15">
        <f>IF('ENCUESTA CONDUCTORES'!BQ94="X",1,0)</f>
        <v>0</v>
      </c>
      <c r="BJ94" s="15">
        <f>IF('ENCUESTA CONDUCTORES'!BR94="X",1,0)</f>
        <v>0</v>
      </c>
      <c r="BK94" s="15">
        <f>+'ENCUESTA CONDUCTORES'!BS94</f>
        <v>0</v>
      </c>
      <c r="BL94" s="15">
        <f>IF('ENCUESTA CONDUCTORES'!BT94="X",1,0)</f>
        <v>0</v>
      </c>
      <c r="BM94" s="15">
        <f>IF('ENCUESTA CONDUCTORES'!BU94="X",1,0)</f>
        <v>1</v>
      </c>
      <c r="BN94" s="15">
        <f>IF('ENCUESTA CONDUCTORES'!BV94="X",1,0)</f>
        <v>0</v>
      </c>
      <c r="BO94" s="15">
        <f>IF('ENCUESTA CONDUCTORES'!BW94="X",1,0)</f>
        <v>0</v>
      </c>
      <c r="BP94" s="15">
        <f>+'ENCUESTA CONDUCTORES'!BX94</f>
        <v>1</v>
      </c>
      <c r="BQ94" s="15">
        <f>+'ENCUESTA CONDUCTORES'!BY94</f>
        <v>3</v>
      </c>
      <c r="BR94" s="15">
        <f>+'ENCUESTA CONDUCTORES'!BZ94</f>
        <v>2</v>
      </c>
      <c r="BS94" s="15">
        <f>+'ENCUESTA CONDUCTORES'!CA94</f>
        <v>0</v>
      </c>
      <c r="BT94" s="15">
        <f>IF('ENCUESTA CONDUCTORES'!CB94="X",1,0)</f>
        <v>0</v>
      </c>
      <c r="BU94" s="15">
        <f>IF('ENCUESTA CONDUCTORES'!CC94="X",1,0)</f>
        <v>1</v>
      </c>
      <c r="BV94" s="15">
        <f>IF('ENCUESTA CONDUCTORES'!CD94="X",1,0)</f>
        <v>0</v>
      </c>
      <c r="BW94" s="15">
        <f>IF('ENCUESTA CONDUCTORES'!CE94="X",1,0)</f>
        <v>0</v>
      </c>
      <c r="BX94" s="15">
        <f>IF('ENCUESTA CONDUCTORES'!CF94="X",1,0)</f>
        <v>0</v>
      </c>
      <c r="BY94" s="15">
        <f>IF('ENCUESTA CONDUCTORES'!CG94="X",1,0)</f>
        <v>1</v>
      </c>
      <c r="BZ94" s="15">
        <f>IF('ENCUESTA CONDUCTORES'!CH94="X",1,0)</f>
        <v>0</v>
      </c>
      <c r="CA94" s="15">
        <f>IF('ENCUESTA CONDUCTORES'!CI94="X",1,0)</f>
        <v>1</v>
      </c>
      <c r="CB94" s="15">
        <f>IF('ENCUESTA CONDUCTORES'!CJ94="X",1,0)</f>
        <v>0</v>
      </c>
      <c r="CC94" s="15">
        <f>IF('ENCUESTA CONDUCTORES'!CK94="X",1,0)</f>
        <v>1</v>
      </c>
      <c r="CD94" s="15">
        <f>IF('ENCUESTA CONDUCTORES'!CL94="X",1,0)</f>
        <v>0</v>
      </c>
      <c r="CE94" s="15">
        <f>IF('ENCUESTA CONDUCTORES'!CM94="X",1,0)</f>
        <v>0</v>
      </c>
      <c r="CF94" s="15">
        <f>+'ENCUESTA CONDUCTORES'!CN94</f>
        <v>0</v>
      </c>
      <c r="CG94" s="15">
        <f>IF('ENCUESTA CONDUCTORES'!CO94="X",1,0)</f>
        <v>0</v>
      </c>
      <c r="CH94" s="15" t="str">
        <f>+'ENCUESTA CONDUCTORES'!CP94</f>
        <v>NO SABE</v>
      </c>
      <c r="CI94" s="15" t="str">
        <f>+'ENCUESTA CONDUCTORES'!CQ94</f>
        <v>DARLO A CONOCER</v>
      </c>
      <c r="CJ94" s="15">
        <f>IF('ENCUESTA CONDUCTORES'!CR94="X",1,0)</f>
        <v>0</v>
      </c>
      <c r="CK94" s="15">
        <f>IF('ENCUESTA CONDUCTORES'!CS94="X",1,0)</f>
        <v>0</v>
      </c>
      <c r="CL94" s="15">
        <f>IF('ENCUESTA CONDUCTORES'!CT94="X",1,0)</f>
        <v>0</v>
      </c>
      <c r="CM94" s="2" t="str">
        <f>+'ENCUESTA CONDUCTORES'!CU94</f>
        <v>MATERIAL PELIGROSO</v>
      </c>
      <c r="CN94" s="15">
        <f>IF('ENCUESTA CONDUCTORES'!CV94="X",1,0)</f>
        <v>1</v>
      </c>
      <c r="CO94" s="15" t="str">
        <f>+'ENCUESTA CONDUCTORES'!CW94</f>
        <v>NO TIENE TIEMPO</v>
      </c>
      <c r="CP94" s="15">
        <f>IF('ENCUESTA CONDUCTORES'!CX94="X",1,0)</f>
        <v>0</v>
      </c>
      <c r="CQ94" s="15">
        <f>IF('ENCUESTA CONDUCTORES'!CY94="X",1,0)</f>
        <v>0</v>
      </c>
      <c r="CR94" s="3">
        <f>+'ENCUESTA CONDUCTORES'!CZ94</f>
        <v>0</v>
      </c>
      <c r="CS94" s="49">
        <f>+'ENCUESTA CONDUCTORES'!DA94</f>
        <v>0</v>
      </c>
    </row>
    <row r="95" spans="2:97" x14ac:dyDescent="0.25">
      <c r="B95" s="14" t="str">
        <f>+'ENCUESTA CONDUCTORES'!D95</f>
        <v>C-101</v>
      </c>
      <c r="C95" s="15">
        <f>IF('ENCUESTA CONDUCTORES'!E95="X",1,0)</f>
        <v>0</v>
      </c>
      <c r="D95" s="15">
        <f>IF('ENCUESTA CONDUCTORES'!F95="X",1,0)</f>
        <v>1</v>
      </c>
      <c r="E95" s="15">
        <f>IF('ENCUESTA CONDUCTORES'!G95="X",1,0)</f>
        <v>0</v>
      </c>
      <c r="F95" s="15">
        <f>IF('ENCUESTA CONDUCTORES'!H95="X",1,0)</f>
        <v>0</v>
      </c>
      <c r="G95" s="15">
        <f>+'ENCUESTA CONDUCTORES'!I95</f>
        <v>39</v>
      </c>
      <c r="H95" s="15" t="str">
        <f>+'ENCUESTA CONDUCTORES'!J95</f>
        <v>M</v>
      </c>
      <c r="I95" s="15" t="str">
        <f>+'ENCUESTA CONDUCTORES'!K95</f>
        <v>SECUNDARIA</v>
      </c>
      <c r="J95" s="15" t="str">
        <f>+'ENCUESTA CONDUCTORES'!L95</f>
        <v>CUAJIMALPA, D.F.</v>
      </c>
      <c r="K95" s="15" t="str">
        <f>+'ENCUESTA CONDUCTORES'!M95</f>
        <v>CUAJIMALPA</v>
      </c>
      <c r="L95" s="15" t="str">
        <f>+'ENCUESTA CONDUCTORES'!N95</f>
        <v>D.F.</v>
      </c>
      <c r="M95" s="15">
        <f>+'ENCUESTA CONDUCTORES'!O95</f>
        <v>20</v>
      </c>
      <c r="N95" s="15">
        <f>IF('ENCUESTA CONDUCTORES'!P95="X",1,0)</f>
        <v>1</v>
      </c>
      <c r="O95" s="15">
        <f>IF('ENCUESTA CONDUCTORES'!Q95="X",1,0)</f>
        <v>0</v>
      </c>
      <c r="P95" s="15">
        <f>IF('ENCUESTA CONDUCTORES'!R95="X",1,0)</f>
        <v>0</v>
      </c>
      <c r="Q95" s="15">
        <f>IF('ENCUESTA CONDUCTORES'!S95="X",1,0)</f>
        <v>0</v>
      </c>
      <c r="R95" s="15">
        <f>IF('ENCUESTA CONDUCTORES'!T95="X",1,0)</f>
        <v>0</v>
      </c>
      <c r="S95" s="15">
        <f>IF('ENCUESTA CONDUCTORES'!U95="X",1,0)</f>
        <v>1</v>
      </c>
      <c r="T95" s="15">
        <f>IF('ENCUESTA CONDUCTORES'!V95="X",1,0)</f>
        <v>0</v>
      </c>
      <c r="U95" s="15">
        <f>IF('ENCUESTA CONDUCTORES'!W95="X",1,0)</f>
        <v>0</v>
      </c>
      <c r="V95" s="15">
        <f>IF('ENCUESTA CONDUCTORES'!X95="X",1,0)</f>
        <v>0</v>
      </c>
      <c r="W95" s="15">
        <f>IF('ENCUESTA CONDUCTORES'!Y95="X",1,0)</f>
        <v>0</v>
      </c>
      <c r="X95" s="15">
        <f>IF('ENCUESTA CONDUCTORES'!Z95="X",1,0)</f>
        <v>0</v>
      </c>
      <c r="Y95" s="15">
        <f>+'ENCUESTA CONDUCTORES'!AG95</f>
        <v>0</v>
      </c>
      <c r="Z95" s="15">
        <f>+'ENCUESTA CONDUCTORES'!AH95</f>
        <v>2000</v>
      </c>
      <c r="AA95" s="1">
        <f>+'ENCUESTA CONDUCTORES'!AI95</f>
        <v>2340000</v>
      </c>
      <c r="AB95" s="15">
        <f>IF('ENCUESTA CONDUCTORES'!AJ95="X",1,0)</f>
        <v>0</v>
      </c>
      <c r="AC95" s="15">
        <f>IF('ENCUESTA CONDUCTORES'!AK95="X",1,0)</f>
        <v>0</v>
      </c>
      <c r="AD95" s="15">
        <f>IF('ENCUESTA CONDUCTORES'!AL95="X",1,0)</f>
        <v>1</v>
      </c>
      <c r="AE95" s="15">
        <f>IF('ENCUESTA CONDUCTORES'!AM95="X",1,0)</f>
        <v>0</v>
      </c>
      <c r="AF95" s="15">
        <f>IF('ENCUESTA CONDUCTORES'!AN95="X",1,0)</f>
        <v>0</v>
      </c>
      <c r="AG95" s="15">
        <f>IF('ENCUESTA CONDUCTORES'!AO95="X",1,0)</f>
        <v>0</v>
      </c>
      <c r="AH95" s="15">
        <f>IF('ENCUESTA CONDUCTORES'!AP95="X",1,0)</f>
        <v>1</v>
      </c>
      <c r="AI95" s="15">
        <f>IF('ENCUESTA CONDUCTORES'!AQ95="X",1,0)</f>
        <v>0</v>
      </c>
      <c r="AJ95" s="15">
        <f>IF('ENCUESTA CONDUCTORES'!AR95="X",1,0)</f>
        <v>0</v>
      </c>
      <c r="AK95" s="15">
        <f>+'ENCUESTA CONDUCTORES'!AS95</f>
        <v>0</v>
      </c>
      <c r="AL95" s="15" t="str">
        <f>+'ENCUESTA CONDUCTORES'!AT95</f>
        <v>KENWORTH</v>
      </c>
      <c r="AM95" s="1">
        <f>+'ENCUESTA CONDUCTORES'!AU95</f>
        <v>15000</v>
      </c>
      <c r="AN95" s="48">
        <f>+'ENCUESTA CONDUCTORES'!AV95</f>
        <v>0.5</v>
      </c>
      <c r="AO95" s="15">
        <f>+'ENCUESTA CONDUCTORES'!AW95</f>
        <v>3</v>
      </c>
      <c r="AP95" s="15">
        <f>+'ENCUESTA CONDUCTORES'!AX95</f>
        <v>2.8</v>
      </c>
      <c r="AQ95" s="15">
        <f>+'ENCUESTA CONDUCTORES'!AY95</f>
        <v>3</v>
      </c>
      <c r="AR95" s="15">
        <f>+'ENCUESTA CONDUCTORES'!AZ95</f>
        <v>850</v>
      </c>
      <c r="AS95" s="15">
        <f>+'ENCUESTA CONDUCTORES'!BA95</f>
        <v>2500</v>
      </c>
      <c r="AT95" s="15">
        <f>IF('ENCUESTA CONDUCTORES'!BB95="X",1,0)</f>
        <v>0</v>
      </c>
      <c r="AU95" s="15">
        <f>IF('ENCUESTA CONDUCTORES'!BC95="X",1,0)</f>
        <v>1</v>
      </c>
      <c r="AV95" s="15">
        <f>IF('ENCUESTA CONDUCTORES'!BD95="X",1,0)</f>
        <v>0</v>
      </c>
      <c r="AW95" s="1">
        <f>+'ENCUESTA CONDUCTORES'!BE95</f>
        <v>45000</v>
      </c>
      <c r="AX95" s="1">
        <f>+'ENCUESTA CONDUCTORES'!BF95</f>
        <v>90000</v>
      </c>
      <c r="AY95" s="1">
        <f>+'ENCUESTA CONDUCTORES'!BG95</f>
        <v>45000</v>
      </c>
      <c r="AZ95" s="1">
        <f>+'ENCUESTA CONDUCTORES'!BH95</f>
        <v>180000</v>
      </c>
      <c r="BA95" s="1">
        <f>+'ENCUESTA CONDUCTORES'!BI95</f>
        <v>45000</v>
      </c>
      <c r="BB95" s="15">
        <f>IF('ENCUESTA CONDUCTORES'!BJ95="X",1,0)</f>
        <v>0</v>
      </c>
      <c r="BC95" s="15">
        <f>IF('ENCUESTA CONDUCTORES'!BK95="X",1,0)</f>
        <v>0</v>
      </c>
      <c r="BD95" s="15">
        <f>IF('ENCUESTA CONDUCTORES'!BL95="X",1,0)</f>
        <v>0</v>
      </c>
      <c r="BE95" s="15">
        <f>IF('ENCUESTA CONDUCTORES'!BM95="X",1,0)</f>
        <v>0</v>
      </c>
      <c r="BF95" s="15">
        <f>IF('ENCUESTA CONDUCTORES'!BN95="X",1,0)</f>
        <v>0</v>
      </c>
      <c r="BG95" s="15">
        <f>IF('ENCUESTA CONDUCTORES'!BO95="X",1,0)</f>
        <v>0</v>
      </c>
      <c r="BH95" s="15">
        <f>IF('ENCUESTA CONDUCTORES'!BP95="X",1,0)</f>
        <v>0</v>
      </c>
      <c r="BI95" s="15">
        <f>IF('ENCUESTA CONDUCTORES'!BQ95="X",1,0)</f>
        <v>0</v>
      </c>
      <c r="BJ95" s="15">
        <f>IF('ENCUESTA CONDUCTORES'!BR95="X",1,0)</f>
        <v>0</v>
      </c>
      <c r="BK95" s="15" t="str">
        <f>+'ENCUESTA CONDUCTORES'!BS95</f>
        <v>GENERAL</v>
      </c>
      <c r="BL95" s="15">
        <f>IF('ENCUESTA CONDUCTORES'!BT95="X",1,0)</f>
        <v>0</v>
      </c>
      <c r="BM95" s="15">
        <f>IF('ENCUESTA CONDUCTORES'!BU95="X",1,0)</f>
        <v>1</v>
      </c>
      <c r="BN95" s="15">
        <f>IF('ENCUESTA CONDUCTORES'!BV95="X",1,0)</f>
        <v>0</v>
      </c>
      <c r="BO95" s="15">
        <f>IF('ENCUESTA CONDUCTORES'!BW95="X",1,0)</f>
        <v>0</v>
      </c>
      <c r="BP95" s="15">
        <f>+'ENCUESTA CONDUCTORES'!BX95</f>
        <v>3</v>
      </c>
      <c r="BQ95" s="15">
        <f>+'ENCUESTA CONDUCTORES'!BY95</f>
        <v>1</v>
      </c>
      <c r="BR95" s="15">
        <f>+'ENCUESTA CONDUCTORES'!BZ95</f>
        <v>2</v>
      </c>
      <c r="BS95" s="15">
        <f>+'ENCUESTA CONDUCTORES'!CA95</f>
        <v>0</v>
      </c>
      <c r="BT95" s="15">
        <f>IF('ENCUESTA CONDUCTORES'!CB95="X",1,0)</f>
        <v>0</v>
      </c>
      <c r="BU95" s="15">
        <f>IF('ENCUESTA CONDUCTORES'!CC95="X",1,0)</f>
        <v>1</v>
      </c>
      <c r="BV95" s="15">
        <f>IF('ENCUESTA CONDUCTORES'!CD95="X",1,0)</f>
        <v>0</v>
      </c>
      <c r="BW95" s="15">
        <f>IF('ENCUESTA CONDUCTORES'!CE95="X",1,0)</f>
        <v>0</v>
      </c>
      <c r="BX95" s="15">
        <f>IF('ENCUESTA CONDUCTORES'!CF95="X",1,0)</f>
        <v>0</v>
      </c>
      <c r="BY95" s="15">
        <f>IF('ENCUESTA CONDUCTORES'!CG95="X",1,0)</f>
        <v>0</v>
      </c>
      <c r="BZ95" s="15">
        <f>IF('ENCUESTA CONDUCTORES'!CH95="X",1,0)</f>
        <v>1</v>
      </c>
      <c r="CA95" s="15">
        <f>IF('ENCUESTA CONDUCTORES'!CI95="X",1,0)</f>
        <v>1</v>
      </c>
      <c r="CB95" s="15">
        <f>IF('ENCUESTA CONDUCTORES'!CJ95="X",1,0)</f>
        <v>0</v>
      </c>
      <c r="CC95" s="15">
        <f>IF('ENCUESTA CONDUCTORES'!CK95="X",1,0)</f>
        <v>1</v>
      </c>
      <c r="CD95" s="15">
        <f>IF('ENCUESTA CONDUCTORES'!CL95="X",1,0)</f>
        <v>0</v>
      </c>
      <c r="CE95" s="15">
        <f>IF('ENCUESTA CONDUCTORES'!CM95="X",1,0)</f>
        <v>0</v>
      </c>
      <c r="CF95" s="15">
        <f>+'ENCUESTA CONDUCTORES'!CN95</f>
        <v>0</v>
      </c>
      <c r="CG95" s="15">
        <f>IF('ENCUESTA CONDUCTORES'!CO95="X",1,0)</f>
        <v>0</v>
      </c>
      <c r="CH95" s="15" t="str">
        <f>+'ENCUESTA CONDUCTORES'!CP95</f>
        <v>NO SABE</v>
      </c>
      <c r="CI95" s="15" t="str">
        <f>+'ENCUESTA CONDUCTORES'!CQ95</f>
        <v>DARLO A CONOCER</v>
      </c>
      <c r="CJ95" s="15">
        <f>IF('ENCUESTA CONDUCTORES'!CR95="X",1,0)</f>
        <v>0</v>
      </c>
      <c r="CK95" s="15">
        <f>IF('ENCUESTA CONDUCTORES'!CS95="X",1,0)</f>
        <v>1</v>
      </c>
      <c r="CL95" s="15">
        <f>IF('ENCUESTA CONDUCTORES'!CT95="X",1,0)</f>
        <v>1</v>
      </c>
      <c r="CM95" s="15">
        <f>+'ENCUESTA CONDUCTORES'!CU95</f>
        <v>0</v>
      </c>
      <c r="CN95" s="15">
        <f>IF('ENCUESTA CONDUCTORES'!CV95="X",1,0)</f>
        <v>0</v>
      </c>
      <c r="CO95" s="15">
        <f>+'ENCUESTA CONDUCTORES'!CW95</f>
        <v>0</v>
      </c>
      <c r="CP95" s="15">
        <f>IF('ENCUESTA CONDUCTORES'!CX95="X",1,0)</f>
        <v>1</v>
      </c>
      <c r="CQ95" s="15">
        <f>IF('ENCUESTA CONDUCTORES'!CY95="X",1,0)</f>
        <v>1</v>
      </c>
      <c r="CR95" s="3">
        <f>+'ENCUESTA CONDUCTORES'!CZ95</f>
        <v>0</v>
      </c>
      <c r="CS95" s="49">
        <f>+'ENCUESTA CONDUCTORES'!DA95</f>
        <v>0</v>
      </c>
    </row>
    <row r="96" spans="2:97" x14ac:dyDescent="0.25">
      <c r="B96" s="14" t="str">
        <f>+'ENCUESTA CONDUCTORES'!D96</f>
        <v>C-102</v>
      </c>
      <c r="C96" s="15">
        <f>IF('ENCUESTA CONDUCTORES'!E96="X",1,0)</f>
        <v>0</v>
      </c>
      <c r="D96" s="15">
        <f>IF('ENCUESTA CONDUCTORES'!F96="X",1,0)</f>
        <v>0</v>
      </c>
      <c r="E96" s="15">
        <f>IF('ENCUESTA CONDUCTORES'!G96="X",1,0)</f>
        <v>1</v>
      </c>
      <c r="F96" s="15">
        <f>IF('ENCUESTA CONDUCTORES'!H96="X",1,0)</f>
        <v>0</v>
      </c>
      <c r="G96" s="15">
        <f>+'ENCUESTA CONDUCTORES'!I96</f>
        <v>20</v>
      </c>
      <c r="H96" s="15" t="str">
        <f>+'ENCUESTA CONDUCTORES'!J96</f>
        <v>M</v>
      </c>
      <c r="I96" s="15" t="str">
        <f>+'ENCUESTA CONDUCTORES'!K96</f>
        <v>SECUNDARIA</v>
      </c>
      <c r="J96" s="15" t="str">
        <f>+'ENCUESTA CONDUCTORES'!L96</f>
        <v>AMECAMECA, EDO.MEX.</v>
      </c>
      <c r="K96" s="50" t="str">
        <f>+'ENCUESTA CONDUCTORES'!M96</f>
        <v>AMECAMECA</v>
      </c>
      <c r="L96" s="15" t="str">
        <f>+'ENCUESTA CONDUCTORES'!N96</f>
        <v>EDO. MEX.</v>
      </c>
      <c r="M96" s="15">
        <f>+'ENCUESTA CONDUCTORES'!O96</f>
        <v>2</v>
      </c>
      <c r="N96" s="15">
        <f>IF('ENCUESTA CONDUCTORES'!P96="X",1,0)</f>
        <v>1</v>
      </c>
      <c r="O96" s="15">
        <f>IF('ENCUESTA CONDUCTORES'!Q96="X",1,0)</f>
        <v>0</v>
      </c>
      <c r="P96" s="15">
        <f>IF('ENCUESTA CONDUCTORES'!R96="X",1,0)</f>
        <v>0</v>
      </c>
      <c r="Q96" s="15">
        <f>IF('ENCUESTA CONDUCTORES'!S96="X",1,0)</f>
        <v>0</v>
      </c>
      <c r="R96" s="15">
        <f>IF('ENCUESTA CONDUCTORES'!T96="X",1,0)</f>
        <v>0</v>
      </c>
      <c r="S96" s="15">
        <f>IF('ENCUESTA CONDUCTORES'!U96="X",1,0)</f>
        <v>1</v>
      </c>
      <c r="T96" s="15">
        <f>IF('ENCUESTA CONDUCTORES'!V96="X",1,0)</f>
        <v>0</v>
      </c>
      <c r="U96" s="15">
        <f>IF('ENCUESTA CONDUCTORES'!W96="X",1,0)</f>
        <v>0</v>
      </c>
      <c r="V96" s="15">
        <f>IF('ENCUESTA CONDUCTORES'!X96="X",1,0)</f>
        <v>0</v>
      </c>
      <c r="W96" s="15">
        <f>IF('ENCUESTA CONDUCTORES'!Y96="X",1,0)</f>
        <v>0</v>
      </c>
      <c r="X96" s="15">
        <f>IF('ENCUESTA CONDUCTORES'!Z96="X",1,0)</f>
        <v>0</v>
      </c>
      <c r="Y96" s="15">
        <f>+'ENCUESTA CONDUCTORES'!AG96</f>
        <v>0</v>
      </c>
      <c r="Z96" s="15">
        <f>+'ENCUESTA CONDUCTORES'!AH96</f>
        <v>2001</v>
      </c>
      <c r="AA96" s="1">
        <f>+'ENCUESTA CONDUCTORES'!AI96</f>
        <v>2800000</v>
      </c>
      <c r="AB96" s="15">
        <f>IF('ENCUESTA CONDUCTORES'!AJ96="X",1,0)</f>
        <v>0</v>
      </c>
      <c r="AC96" s="15">
        <f>IF('ENCUESTA CONDUCTORES'!AK96="X",1,0)</f>
        <v>0</v>
      </c>
      <c r="AD96" s="15">
        <f>IF('ENCUESTA CONDUCTORES'!AL96="X",1,0)</f>
        <v>1</v>
      </c>
      <c r="AE96" s="15">
        <f>IF('ENCUESTA CONDUCTORES'!AM96="X",1,0)</f>
        <v>0</v>
      </c>
      <c r="AF96" s="15">
        <f>IF('ENCUESTA CONDUCTORES'!AN96="X",1,0)</f>
        <v>0</v>
      </c>
      <c r="AG96" s="15">
        <f>IF('ENCUESTA CONDUCTORES'!AO96="X",1,0)</f>
        <v>0</v>
      </c>
      <c r="AH96" s="15">
        <f>IF('ENCUESTA CONDUCTORES'!AP96="X",1,0)</f>
        <v>1</v>
      </c>
      <c r="AI96" s="15">
        <f>IF('ENCUESTA CONDUCTORES'!AQ96="X",1,0)</f>
        <v>0</v>
      </c>
      <c r="AJ96" s="15">
        <f>IF('ENCUESTA CONDUCTORES'!AR96="X",1,0)</f>
        <v>0</v>
      </c>
      <c r="AK96" s="15">
        <f>+'ENCUESTA CONDUCTORES'!AS96</f>
        <v>0</v>
      </c>
      <c r="AL96" s="15" t="str">
        <f>+'ENCUESTA CONDUCTORES'!AT96</f>
        <v>DINA</v>
      </c>
      <c r="AM96" s="1">
        <f>+'ENCUESTA CONDUCTORES'!AU96</f>
        <v>20000</v>
      </c>
      <c r="AN96" s="48">
        <f>+'ENCUESTA CONDUCTORES'!AV96</f>
        <v>0.5</v>
      </c>
      <c r="AO96" s="15">
        <f>+'ENCUESTA CONDUCTORES'!AW96</f>
        <v>3.8</v>
      </c>
      <c r="AP96" s="15">
        <f>+'ENCUESTA CONDUCTORES'!AX96</f>
        <v>3</v>
      </c>
      <c r="AQ96" s="15">
        <f>+'ENCUESTA CONDUCTORES'!AY96</f>
        <v>1</v>
      </c>
      <c r="AR96" s="15">
        <f>+'ENCUESTA CONDUCTORES'!AZ96</f>
        <v>200</v>
      </c>
      <c r="AS96" s="15">
        <f>+'ENCUESTA CONDUCTORES'!BA96</f>
        <v>800</v>
      </c>
      <c r="AT96" s="15">
        <f>IF('ENCUESTA CONDUCTORES'!BB96="X",1,0)</f>
        <v>0</v>
      </c>
      <c r="AU96" s="15">
        <f>IF('ENCUESTA CONDUCTORES'!BC96="X",1,0)</f>
        <v>0</v>
      </c>
      <c r="AV96" s="15">
        <f>IF('ENCUESTA CONDUCTORES'!BD96="X",1,0)</f>
        <v>0</v>
      </c>
      <c r="AW96" s="1">
        <f>+'ENCUESTA CONDUCTORES'!BE96</f>
        <v>20000</v>
      </c>
      <c r="AX96" s="1">
        <f>+'ENCUESTA CONDUCTORES'!BF96</f>
        <v>120000</v>
      </c>
      <c r="AY96" s="1">
        <f>+'ENCUESTA CONDUCTORES'!BG96</f>
        <v>20000</v>
      </c>
      <c r="AZ96" s="1">
        <f>+'ENCUESTA CONDUCTORES'!BH96</f>
        <v>160000</v>
      </c>
      <c r="BA96" s="1">
        <f>+'ENCUESTA CONDUCTORES'!BI96</f>
        <v>20000</v>
      </c>
      <c r="BB96" s="15">
        <f>IF('ENCUESTA CONDUCTORES'!BJ96="X",1,0)</f>
        <v>1</v>
      </c>
      <c r="BC96" s="15">
        <f>IF('ENCUESTA CONDUCTORES'!BK96="X",1,0)</f>
        <v>0</v>
      </c>
      <c r="BD96" s="15">
        <f>IF('ENCUESTA CONDUCTORES'!BL96="X",1,0)</f>
        <v>0</v>
      </c>
      <c r="BE96" s="15">
        <f>IF('ENCUESTA CONDUCTORES'!BM96="X",1,0)</f>
        <v>0</v>
      </c>
      <c r="BF96" s="15">
        <f>IF('ENCUESTA CONDUCTORES'!BN96="X",1,0)</f>
        <v>0</v>
      </c>
      <c r="BG96" s="15">
        <f>IF('ENCUESTA CONDUCTORES'!BO96="X",1,0)</f>
        <v>0</v>
      </c>
      <c r="BH96" s="15">
        <f>IF('ENCUESTA CONDUCTORES'!BP96="X",1,0)</f>
        <v>0</v>
      </c>
      <c r="BI96" s="15">
        <f>IF('ENCUESTA CONDUCTORES'!BQ96="X",1,0)</f>
        <v>0</v>
      </c>
      <c r="BJ96" s="15">
        <f>IF('ENCUESTA CONDUCTORES'!BR96="X",1,0)</f>
        <v>0</v>
      </c>
      <c r="BK96" s="15">
        <f>+'ENCUESTA CONDUCTORES'!BS96</f>
        <v>0</v>
      </c>
      <c r="BL96" s="15">
        <f>IF('ENCUESTA CONDUCTORES'!BT96="X",1,0)</f>
        <v>0</v>
      </c>
      <c r="BM96" s="15">
        <f>IF('ENCUESTA CONDUCTORES'!BU96="X",1,0)</f>
        <v>0</v>
      </c>
      <c r="BN96" s="15">
        <f>IF('ENCUESTA CONDUCTORES'!BV96="X",1,0)</f>
        <v>1</v>
      </c>
      <c r="BO96" s="15">
        <f>IF('ENCUESTA CONDUCTORES'!BW96="X",1,0)</f>
        <v>0</v>
      </c>
      <c r="BP96" s="15">
        <f>+'ENCUESTA CONDUCTORES'!BX96</f>
        <v>3</v>
      </c>
      <c r="BQ96" s="15">
        <f>+'ENCUESTA CONDUCTORES'!BY96</f>
        <v>2</v>
      </c>
      <c r="BR96" s="15">
        <f>+'ENCUESTA CONDUCTORES'!BZ96</f>
        <v>1</v>
      </c>
      <c r="BS96" s="15">
        <f>+'ENCUESTA CONDUCTORES'!CA96</f>
        <v>0</v>
      </c>
      <c r="BT96" s="15">
        <f>IF('ENCUESTA CONDUCTORES'!CB96="X",1,0)</f>
        <v>0</v>
      </c>
      <c r="BU96" s="15">
        <f>IF('ENCUESTA CONDUCTORES'!CC96="X",1,0)</f>
        <v>1</v>
      </c>
      <c r="BV96" s="15">
        <f>IF('ENCUESTA CONDUCTORES'!CD96="X",1,0)</f>
        <v>0</v>
      </c>
      <c r="BW96" s="15">
        <f>IF('ENCUESTA CONDUCTORES'!CE96="X",1,0)</f>
        <v>0</v>
      </c>
      <c r="BX96" s="15">
        <f>IF('ENCUESTA CONDUCTORES'!CF96="X",1,0)</f>
        <v>0</v>
      </c>
      <c r="BY96" s="15">
        <f>IF('ENCUESTA CONDUCTORES'!CG96="X",1,0)</f>
        <v>0</v>
      </c>
      <c r="BZ96" s="15">
        <f>IF('ENCUESTA CONDUCTORES'!CH96="X",1,0)</f>
        <v>1</v>
      </c>
      <c r="CA96" s="15">
        <f>IF('ENCUESTA CONDUCTORES'!CI96="X",1,0)</f>
        <v>1</v>
      </c>
      <c r="CB96" s="15">
        <f>IF('ENCUESTA CONDUCTORES'!CJ96="X",1,0)</f>
        <v>0</v>
      </c>
      <c r="CC96" s="15">
        <f>IF('ENCUESTA CONDUCTORES'!CK96="X",1,0)</f>
        <v>1</v>
      </c>
      <c r="CD96" s="15">
        <f>IF('ENCUESTA CONDUCTORES'!CL96="X",1,0)</f>
        <v>0</v>
      </c>
      <c r="CE96" s="15">
        <f>IF('ENCUESTA CONDUCTORES'!CM96="X",1,0)</f>
        <v>0</v>
      </c>
      <c r="CF96" s="15">
        <f>+'ENCUESTA CONDUCTORES'!CN96</f>
        <v>0</v>
      </c>
      <c r="CG96" s="15">
        <f>IF('ENCUESTA CONDUCTORES'!CO96="X",1,0)</f>
        <v>0</v>
      </c>
      <c r="CH96" s="15" t="str">
        <f>+'ENCUESTA CONDUCTORES'!CP96</f>
        <v>NO SABE</v>
      </c>
      <c r="CI96" s="15" t="str">
        <f>+'ENCUESTA CONDUCTORES'!CQ96</f>
        <v>PUBLICIDAD</v>
      </c>
      <c r="CJ96" s="15">
        <f>IF('ENCUESTA CONDUCTORES'!CR96="X",1,0)</f>
        <v>0</v>
      </c>
      <c r="CK96" s="15">
        <f>IF('ENCUESTA CONDUCTORES'!CS96="X",1,0)</f>
        <v>1</v>
      </c>
      <c r="CL96" s="15">
        <f>IF('ENCUESTA CONDUCTORES'!CT96="X",1,0)</f>
        <v>1</v>
      </c>
      <c r="CM96" s="2" t="str">
        <f>+'ENCUESTA CONDUCTORES'!CU96</f>
        <v>MANEJO A LA DEFENSIVA</v>
      </c>
      <c r="CN96" s="15">
        <f>IF('ENCUESTA CONDUCTORES'!CV96="X",1,0)</f>
        <v>0</v>
      </c>
      <c r="CO96" s="15">
        <f>+'ENCUESTA CONDUCTORES'!CW96</f>
        <v>0</v>
      </c>
      <c r="CP96" s="15">
        <f>IF('ENCUESTA CONDUCTORES'!CX96="X",1,0)</f>
        <v>0</v>
      </c>
      <c r="CQ96" s="15">
        <f>IF('ENCUESTA CONDUCTORES'!CY96="X",1,0)</f>
        <v>1</v>
      </c>
      <c r="CR96" s="4" t="str">
        <f>+'ENCUESTA CONDUCTORES'!CZ96</f>
        <v>PROTECCION CIVIL</v>
      </c>
      <c r="CS96" s="49">
        <f>+'ENCUESTA CONDUCTORES'!DA96</f>
        <v>0</v>
      </c>
    </row>
    <row r="97" spans="2:97" x14ac:dyDescent="0.25">
      <c r="B97" s="14" t="str">
        <f>+'ENCUESTA CONDUCTORES'!D97</f>
        <v>C-103</v>
      </c>
      <c r="C97" s="15">
        <f>IF('ENCUESTA CONDUCTORES'!E97="X",1,0)</f>
        <v>0</v>
      </c>
      <c r="D97" s="15">
        <f>IF('ENCUESTA CONDUCTORES'!F97="X",1,0)</f>
        <v>0</v>
      </c>
      <c r="E97" s="15">
        <f>IF('ENCUESTA CONDUCTORES'!G97="X",1,0)</f>
        <v>1</v>
      </c>
      <c r="F97" s="15">
        <f>IF('ENCUESTA CONDUCTORES'!H97="X",1,0)</f>
        <v>0</v>
      </c>
      <c r="G97" s="15">
        <f>+'ENCUESTA CONDUCTORES'!I97</f>
        <v>20</v>
      </c>
      <c r="H97" s="15" t="str">
        <f>+'ENCUESTA CONDUCTORES'!J97</f>
        <v>M</v>
      </c>
      <c r="I97" s="15" t="str">
        <f>+'ENCUESTA CONDUCTORES'!K97</f>
        <v>SECUNDARIA</v>
      </c>
      <c r="J97" s="15" t="str">
        <f>+'ENCUESTA CONDUCTORES'!L97</f>
        <v>IXTAPALUCA, EDO. DE MEX.</v>
      </c>
      <c r="K97" s="15" t="str">
        <f>+'ENCUESTA CONDUCTORES'!M97</f>
        <v>IXTAPALUCA</v>
      </c>
      <c r="L97" s="15" t="str">
        <f>+'ENCUESTA CONDUCTORES'!N97</f>
        <v>EDO. MEX.</v>
      </c>
      <c r="M97" s="15">
        <f>+'ENCUESTA CONDUCTORES'!O97</f>
        <v>2</v>
      </c>
      <c r="N97" s="15">
        <f>IF('ENCUESTA CONDUCTORES'!P97="X",1,0)</f>
        <v>1</v>
      </c>
      <c r="O97" s="15">
        <f>IF('ENCUESTA CONDUCTORES'!Q97="X",1,0)</f>
        <v>0</v>
      </c>
      <c r="P97" s="15">
        <f>IF('ENCUESTA CONDUCTORES'!R97="X",1,0)</f>
        <v>0</v>
      </c>
      <c r="Q97" s="15">
        <f>IF('ENCUESTA CONDUCTORES'!S97="X",1,0)</f>
        <v>0</v>
      </c>
      <c r="R97" s="15">
        <f>IF('ENCUESTA CONDUCTORES'!T97="X",1,0)</f>
        <v>0</v>
      </c>
      <c r="S97" s="15">
        <f>IF('ENCUESTA CONDUCTORES'!U97="X",1,0)</f>
        <v>1</v>
      </c>
      <c r="T97" s="15">
        <f>IF('ENCUESTA CONDUCTORES'!V97="X",1,0)</f>
        <v>0</v>
      </c>
      <c r="U97" s="15">
        <f>IF('ENCUESTA CONDUCTORES'!W97="X",1,0)</f>
        <v>0</v>
      </c>
      <c r="V97" s="15">
        <f>IF('ENCUESTA CONDUCTORES'!X97="X",1,0)</f>
        <v>0</v>
      </c>
      <c r="W97" s="15">
        <f>IF('ENCUESTA CONDUCTORES'!Y97="X",1,0)</f>
        <v>0</v>
      </c>
      <c r="X97" s="15">
        <f>IF('ENCUESTA CONDUCTORES'!Z97="X",1,0)</f>
        <v>0</v>
      </c>
      <c r="Y97" s="15">
        <f>+'ENCUESTA CONDUCTORES'!AG97</f>
        <v>0</v>
      </c>
      <c r="Z97" s="15">
        <f>+'ENCUESTA CONDUCTORES'!AH97</f>
        <v>1980</v>
      </c>
      <c r="AA97" s="1">
        <f>+'ENCUESTA CONDUCTORES'!AI97</f>
        <v>3500000</v>
      </c>
      <c r="AB97" s="15">
        <f>IF('ENCUESTA CONDUCTORES'!AJ97="X",1,0)</f>
        <v>0</v>
      </c>
      <c r="AC97" s="15">
        <f>IF('ENCUESTA CONDUCTORES'!AK97="X",1,0)</f>
        <v>0</v>
      </c>
      <c r="AD97" s="15">
        <f>IF('ENCUESTA CONDUCTORES'!AL97="X",1,0)</f>
        <v>1</v>
      </c>
      <c r="AE97" s="15">
        <f>IF('ENCUESTA CONDUCTORES'!AM97="X",1,0)</f>
        <v>0</v>
      </c>
      <c r="AF97" s="15">
        <f>IF('ENCUESTA CONDUCTORES'!AN97="X",1,0)</f>
        <v>0</v>
      </c>
      <c r="AG97" s="15">
        <f>IF('ENCUESTA CONDUCTORES'!AO97="X",1,0)</f>
        <v>0</v>
      </c>
      <c r="AH97" s="15">
        <f>IF('ENCUESTA CONDUCTORES'!AP97="X",1,0)</f>
        <v>0</v>
      </c>
      <c r="AI97" s="15">
        <f>IF('ENCUESTA CONDUCTORES'!AQ97="X",1,0)</f>
        <v>1</v>
      </c>
      <c r="AJ97" s="15">
        <f>IF('ENCUESTA CONDUCTORES'!AR97="X",1,0)</f>
        <v>0</v>
      </c>
      <c r="AK97" s="15">
        <f>+'ENCUESTA CONDUCTORES'!AS97</f>
        <v>1990</v>
      </c>
      <c r="AL97" s="15" t="str">
        <f>+'ENCUESTA CONDUCTORES'!AT97</f>
        <v>DINA</v>
      </c>
      <c r="AM97" s="1">
        <f>+'ENCUESTA CONDUCTORES'!AU97</f>
        <v>10000</v>
      </c>
      <c r="AN97" s="48">
        <f>+'ENCUESTA CONDUCTORES'!AV97</f>
        <v>0.5</v>
      </c>
      <c r="AO97" s="15">
        <f>+'ENCUESTA CONDUCTORES'!AW97</f>
        <v>2</v>
      </c>
      <c r="AP97" s="15">
        <f>+'ENCUESTA CONDUCTORES'!AX97</f>
        <v>1.8</v>
      </c>
      <c r="AQ97" s="15">
        <f>+'ENCUESTA CONDUCTORES'!AY97</f>
        <v>1</v>
      </c>
      <c r="AR97" s="15">
        <f>+'ENCUESTA CONDUCTORES'!AZ97</f>
        <v>400</v>
      </c>
      <c r="AS97" s="15">
        <f>+'ENCUESTA CONDUCTORES'!BA97</f>
        <v>900</v>
      </c>
      <c r="AT97" s="15">
        <f>IF('ENCUESTA CONDUCTORES'!BB97="X",1,0)</f>
        <v>0</v>
      </c>
      <c r="AU97" s="15">
        <f>IF('ENCUESTA CONDUCTORES'!BC97="X",1,0)</f>
        <v>1</v>
      </c>
      <c r="AV97" s="15">
        <f>IF('ENCUESTA CONDUCTORES'!BD97="X",1,0)</f>
        <v>0</v>
      </c>
      <c r="AW97" s="1">
        <f>+'ENCUESTA CONDUCTORES'!BE97</f>
        <v>50000</v>
      </c>
      <c r="AX97" s="1">
        <f>+'ENCUESTA CONDUCTORES'!BF97</f>
        <v>60000</v>
      </c>
      <c r="AY97" s="1">
        <f>+'ENCUESTA CONDUCTORES'!BG97</f>
        <v>12000</v>
      </c>
      <c r="AZ97" s="1">
        <f>+'ENCUESTA CONDUCTORES'!BH97</f>
        <v>60000</v>
      </c>
      <c r="BA97" s="1">
        <f>+'ENCUESTA CONDUCTORES'!BI97</f>
        <v>30000</v>
      </c>
      <c r="BB97" s="15">
        <f>IF('ENCUESTA CONDUCTORES'!BJ97="X",1,0)</f>
        <v>0</v>
      </c>
      <c r="BC97" s="15">
        <f>IF('ENCUESTA CONDUCTORES'!BK97="X",1,0)</f>
        <v>0</v>
      </c>
      <c r="BD97" s="15">
        <f>IF('ENCUESTA CONDUCTORES'!BL97="X",1,0)</f>
        <v>0</v>
      </c>
      <c r="BE97" s="15">
        <f>IF('ENCUESTA CONDUCTORES'!BM97="X",1,0)</f>
        <v>0</v>
      </c>
      <c r="BF97" s="15">
        <f>IF('ENCUESTA CONDUCTORES'!BN97="X",1,0)</f>
        <v>0</v>
      </c>
      <c r="BG97" s="15">
        <f>IF('ENCUESTA CONDUCTORES'!BO97="X",1,0)</f>
        <v>0</v>
      </c>
      <c r="BH97" s="15">
        <f>IF('ENCUESTA CONDUCTORES'!BP97="X",1,0)</f>
        <v>0</v>
      </c>
      <c r="BI97" s="15">
        <f>IF('ENCUESTA CONDUCTORES'!BQ97="X",1,0)</f>
        <v>0</v>
      </c>
      <c r="BJ97" s="15">
        <f>IF('ENCUESTA CONDUCTORES'!BR97="X",1,0)</f>
        <v>0</v>
      </c>
      <c r="BK97" s="15" t="str">
        <f>+'ENCUESTA CONDUCTORES'!BS97</f>
        <v>JABON</v>
      </c>
      <c r="BL97" s="15">
        <f>IF('ENCUESTA CONDUCTORES'!BT97="X",1,0)</f>
        <v>0</v>
      </c>
      <c r="BM97" s="15">
        <f>IF('ENCUESTA CONDUCTORES'!BU97="X",1,0)</f>
        <v>0</v>
      </c>
      <c r="BN97" s="15">
        <f>IF('ENCUESTA CONDUCTORES'!BV97="X",1,0)</f>
        <v>1</v>
      </c>
      <c r="BO97" s="15">
        <f>IF('ENCUESTA CONDUCTORES'!BW97="X",1,0)</f>
        <v>0</v>
      </c>
      <c r="BP97" s="15">
        <f>+'ENCUESTA CONDUCTORES'!BX97</f>
        <v>2</v>
      </c>
      <c r="BQ97" s="15">
        <f>+'ENCUESTA CONDUCTORES'!BY97</f>
        <v>3</v>
      </c>
      <c r="BR97" s="15">
        <f>+'ENCUESTA CONDUCTORES'!BZ97</f>
        <v>1</v>
      </c>
      <c r="BS97" s="15">
        <f>+'ENCUESTA CONDUCTORES'!CA97</f>
        <v>0</v>
      </c>
      <c r="BT97" s="15">
        <f>IF('ENCUESTA CONDUCTORES'!CB97="X",1,0)</f>
        <v>0</v>
      </c>
      <c r="BU97" s="15">
        <f>IF('ENCUESTA CONDUCTORES'!CC97="X",1,0)</f>
        <v>1</v>
      </c>
      <c r="BV97" s="15">
        <f>IF('ENCUESTA CONDUCTORES'!CD97="X",1,0)</f>
        <v>0</v>
      </c>
      <c r="BW97" s="15">
        <f>IF('ENCUESTA CONDUCTORES'!CE97="X",1,0)</f>
        <v>0</v>
      </c>
      <c r="BX97" s="15">
        <f>IF('ENCUESTA CONDUCTORES'!CF97="X",1,0)</f>
        <v>0</v>
      </c>
      <c r="BY97" s="15">
        <f>IF('ENCUESTA CONDUCTORES'!CG97="X",1,0)</f>
        <v>1</v>
      </c>
      <c r="BZ97" s="15">
        <f>IF('ENCUESTA CONDUCTORES'!CH97="X",1,0)</f>
        <v>1</v>
      </c>
      <c r="CA97" s="15">
        <f>IF('ENCUESTA CONDUCTORES'!CI97="X",1,0)</f>
        <v>1</v>
      </c>
      <c r="CB97" s="15">
        <f>IF('ENCUESTA CONDUCTORES'!CJ97="X",1,0)</f>
        <v>0</v>
      </c>
      <c r="CC97" s="15">
        <f>IF('ENCUESTA CONDUCTORES'!CK97="X",1,0)</f>
        <v>1</v>
      </c>
      <c r="CD97" s="15">
        <f>IF('ENCUESTA CONDUCTORES'!CL97="X",1,0)</f>
        <v>0</v>
      </c>
      <c r="CE97" s="15">
        <f>IF('ENCUESTA CONDUCTORES'!CM97="X",1,0)</f>
        <v>0</v>
      </c>
      <c r="CF97" s="15">
        <f>+'ENCUESTA CONDUCTORES'!CN97</f>
        <v>0</v>
      </c>
      <c r="CG97" s="15">
        <f>IF('ENCUESTA CONDUCTORES'!CO97="X",1,0)</f>
        <v>0</v>
      </c>
      <c r="CH97" s="15" t="str">
        <f>+'ENCUESTA CONDUCTORES'!CP97</f>
        <v>NO SABE</v>
      </c>
      <c r="CI97" s="15" t="str">
        <f>+'ENCUESTA CONDUCTORES'!CQ97</f>
        <v>DARLO A CONOCER</v>
      </c>
      <c r="CJ97" s="15">
        <f>IF('ENCUESTA CONDUCTORES'!CR97="X",1,0)</f>
        <v>0</v>
      </c>
      <c r="CK97" s="15">
        <f>IF('ENCUESTA CONDUCTORES'!CS97="X",1,0)</f>
        <v>1</v>
      </c>
      <c r="CL97" s="15">
        <f>IF('ENCUESTA CONDUCTORES'!CT97="X",1,0)</f>
        <v>0</v>
      </c>
      <c r="CM97" s="15">
        <f>+'ENCUESTA CONDUCTORES'!CU97</f>
        <v>0</v>
      </c>
      <c r="CN97" s="15">
        <f>IF('ENCUESTA CONDUCTORES'!CV97="X",1,0)</f>
        <v>0</v>
      </c>
      <c r="CO97" s="15">
        <f>+'ENCUESTA CONDUCTORES'!CW97</f>
        <v>0</v>
      </c>
      <c r="CP97" s="15">
        <f>IF('ENCUESTA CONDUCTORES'!CX97="X",1,0)</f>
        <v>1</v>
      </c>
      <c r="CQ97" s="15">
        <f>IF('ENCUESTA CONDUCTORES'!CY97="X",1,0)</f>
        <v>1</v>
      </c>
      <c r="CR97" s="3">
        <f>+'ENCUESTA CONDUCTORES'!CZ97</f>
        <v>0</v>
      </c>
      <c r="CS97" s="49">
        <f>+'ENCUESTA CONDUCTORES'!DA97</f>
        <v>0</v>
      </c>
    </row>
    <row r="98" spans="2:97" x14ac:dyDescent="0.25">
      <c r="B98" s="14" t="str">
        <f>+'ENCUESTA CONDUCTORES'!D98</f>
        <v>C-104</v>
      </c>
      <c r="C98" s="15">
        <f>IF('ENCUESTA CONDUCTORES'!E98="X",1,0)</f>
        <v>0</v>
      </c>
      <c r="D98" s="15">
        <f>IF('ENCUESTA CONDUCTORES'!F98="X",1,0)</f>
        <v>0</v>
      </c>
      <c r="E98" s="15">
        <f>IF('ENCUESTA CONDUCTORES'!G98="X",1,0)</f>
        <v>0</v>
      </c>
      <c r="F98" s="15">
        <f>IF('ENCUESTA CONDUCTORES'!H98="X",1,0)</f>
        <v>1</v>
      </c>
      <c r="G98" s="15">
        <f>+'ENCUESTA CONDUCTORES'!I98</f>
        <v>45</v>
      </c>
      <c r="H98" s="15" t="str">
        <f>+'ENCUESTA CONDUCTORES'!J98</f>
        <v>M</v>
      </c>
      <c r="I98" s="15" t="str">
        <f>+'ENCUESTA CONDUCTORES'!K98</f>
        <v>SECUNDARIA</v>
      </c>
      <c r="J98" s="15" t="str">
        <f>+'ENCUESTA CONDUCTORES'!L98</f>
        <v>COYOACÁN, D.F.</v>
      </c>
      <c r="K98" s="15" t="str">
        <f>+'ENCUESTA CONDUCTORES'!M98</f>
        <v>COYOACÁN</v>
      </c>
      <c r="L98" s="15" t="str">
        <f>+'ENCUESTA CONDUCTORES'!N98</f>
        <v>D.F.</v>
      </c>
      <c r="M98" s="15">
        <f>+'ENCUESTA CONDUCTORES'!O98</f>
        <v>20</v>
      </c>
      <c r="N98" s="15">
        <f>IF('ENCUESTA CONDUCTORES'!P98="X",1,0)</f>
        <v>1</v>
      </c>
      <c r="O98" s="15">
        <f>IF('ENCUESTA CONDUCTORES'!Q98="X",1,0)</f>
        <v>0</v>
      </c>
      <c r="P98" s="15">
        <f>IF('ENCUESTA CONDUCTORES'!R98="X",1,0)</f>
        <v>0</v>
      </c>
      <c r="Q98" s="15">
        <f>IF('ENCUESTA CONDUCTORES'!S98="X",1,0)</f>
        <v>0</v>
      </c>
      <c r="R98" s="15">
        <f>IF('ENCUESTA CONDUCTORES'!T98="X",1,0)</f>
        <v>0</v>
      </c>
      <c r="S98" s="15">
        <f>IF('ENCUESTA CONDUCTORES'!U98="X",1,0)</f>
        <v>1</v>
      </c>
      <c r="T98" s="15">
        <f>IF('ENCUESTA CONDUCTORES'!V98="X",1,0)</f>
        <v>0</v>
      </c>
      <c r="U98" s="15">
        <f>IF('ENCUESTA CONDUCTORES'!W98="X",1,0)</f>
        <v>0</v>
      </c>
      <c r="V98" s="15">
        <f>IF('ENCUESTA CONDUCTORES'!X98="X",1,0)</f>
        <v>0</v>
      </c>
      <c r="W98" s="15">
        <f>IF('ENCUESTA CONDUCTORES'!Y98="X",1,0)</f>
        <v>0</v>
      </c>
      <c r="X98" s="15">
        <f>IF('ENCUESTA CONDUCTORES'!Z98="X",1,0)</f>
        <v>0</v>
      </c>
      <c r="Y98" s="15">
        <f>+'ENCUESTA CONDUCTORES'!AG98</f>
        <v>0</v>
      </c>
      <c r="Z98" s="15">
        <f>+'ENCUESTA CONDUCTORES'!AH98</f>
        <v>2011</v>
      </c>
      <c r="AA98" s="1">
        <f>+'ENCUESTA CONDUCTORES'!AI98</f>
        <v>70000</v>
      </c>
      <c r="AB98" s="15">
        <f>IF('ENCUESTA CONDUCTORES'!AJ98="X",1,0)</f>
        <v>0</v>
      </c>
      <c r="AC98" s="15">
        <f>IF('ENCUESTA CONDUCTORES'!AK98="X",1,0)</f>
        <v>0</v>
      </c>
      <c r="AD98" s="15">
        <f>IF('ENCUESTA CONDUCTORES'!AL98="X",1,0)</f>
        <v>1</v>
      </c>
      <c r="AE98" s="15">
        <f>IF('ENCUESTA CONDUCTORES'!AM98="X",1,0)</f>
        <v>0</v>
      </c>
      <c r="AF98" s="15">
        <f>IF('ENCUESTA CONDUCTORES'!AN98="X",1,0)</f>
        <v>0</v>
      </c>
      <c r="AG98" s="15">
        <f>IF('ENCUESTA CONDUCTORES'!AO98="X",1,0)</f>
        <v>0</v>
      </c>
      <c r="AH98" s="15">
        <f>IF('ENCUESTA CONDUCTORES'!AP98="X",1,0)</f>
        <v>1</v>
      </c>
      <c r="AI98" s="15">
        <f>IF('ENCUESTA CONDUCTORES'!AQ98="X",1,0)</f>
        <v>0</v>
      </c>
      <c r="AJ98" s="15">
        <f>IF('ENCUESTA CONDUCTORES'!AR98="X",1,0)</f>
        <v>0</v>
      </c>
      <c r="AK98" s="15">
        <f>+'ENCUESTA CONDUCTORES'!AS98</f>
        <v>0</v>
      </c>
      <c r="AL98" s="15" t="str">
        <f>+'ENCUESTA CONDUCTORES'!AT98</f>
        <v>KENWORTH</v>
      </c>
      <c r="AM98" s="1">
        <f>+'ENCUESTA CONDUCTORES'!AU98</f>
        <v>3000</v>
      </c>
      <c r="AN98" s="48">
        <f>+'ENCUESTA CONDUCTORES'!AV98</f>
        <v>0.5</v>
      </c>
      <c r="AO98" s="15">
        <f>+'ENCUESTA CONDUCTORES'!AW98</f>
        <v>3</v>
      </c>
      <c r="AP98" s="15">
        <f>+'ENCUESTA CONDUCTORES'!AX98</f>
        <v>2.7</v>
      </c>
      <c r="AQ98" s="15">
        <f>+'ENCUESTA CONDUCTORES'!AY98</f>
        <v>2</v>
      </c>
      <c r="AR98" s="15">
        <f>+'ENCUESTA CONDUCTORES'!AZ98</f>
        <v>960</v>
      </c>
      <c r="AS98" s="15">
        <f>+'ENCUESTA CONDUCTORES'!BA98</f>
        <v>2800</v>
      </c>
      <c r="AT98" s="15">
        <f>IF('ENCUESTA CONDUCTORES'!BB98="X",1,0)</f>
        <v>0</v>
      </c>
      <c r="AU98" s="15">
        <f>IF('ENCUESTA CONDUCTORES'!BC98="X",1,0)</f>
        <v>1</v>
      </c>
      <c r="AV98" s="15">
        <f>IF('ENCUESTA CONDUCTORES'!BD98="X",1,0)</f>
        <v>0</v>
      </c>
      <c r="AW98" s="1">
        <f>+'ENCUESTA CONDUCTORES'!BE98</f>
        <v>8000</v>
      </c>
      <c r="AX98" s="1">
        <f>+'ENCUESTA CONDUCTORES'!BF98</f>
        <v>18000</v>
      </c>
      <c r="AY98" s="1">
        <f>+'ENCUESTA CONDUCTORES'!BG98</f>
        <v>10000</v>
      </c>
      <c r="AZ98" s="1">
        <f>+'ENCUESTA CONDUCTORES'!BH98</f>
        <v>36000</v>
      </c>
      <c r="BA98" s="1">
        <f>+'ENCUESTA CONDUCTORES'!BI98</f>
        <v>8000</v>
      </c>
      <c r="BB98" s="15">
        <f>IF('ENCUESTA CONDUCTORES'!BJ98="X",1,0)</f>
        <v>0</v>
      </c>
      <c r="BC98" s="15">
        <f>IF('ENCUESTA CONDUCTORES'!BK98="X",1,0)</f>
        <v>0</v>
      </c>
      <c r="BD98" s="15">
        <f>IF('ENCUESTA CONDUCTORES'!BL98="X",1,0)</f>
        <v>0</v>
      </c>
      <c r="BE98" s="15">
        <f>IF('ENCUESTA CONDUCTORES'!BM98="X",1,0)</f>
        <v>0</v>
      </c>
      <c r="BF98" s="15">
        <f>IF('ENCUESTA CONDUCTORES'!BN98="X",1,0)</f>
        <v>0</v>
      </c>
      <c r="BG98" s="15">
        <f>IF('ENCUESTA CONDUCTORES'!BO98="X",1,0)</f>
        <v>0</v>
      </c>
      <c r="BH98" s="15">
        <f>IF('ENCUESTA CONDUCTORES'!BP98="X",1,0)</f>
        <v>0</v>
      </c>
      <c r="BI98" s="15">
        <f>IF('ENCUESTA CONDUCTORES'!BQ98="X",1,0)</f>
        <v>0</v>
      </c>
      <c r="BJ98" s="15">
        <f>IF('ENCUESTA CONDUCTORES'!BR98="X",1,0)</f>
        <v>0</v>
      </c>
      <c r="BK98" s="15" t="str">
        <f>+'ENCUESTA CONDUCTORES'!BS98</f>
        <v>GENERAL</v>
      </c>
      <c r="BL98" s="15">
        <f>IF('ENCUESTA CONDUCTORES'!BT98="X",1,0)</f>
        <v>0</v>
      </c>
      <c r="BM98" s="15">
        <f>IF('ENCUESTA CONDUCTORES'!BU98="X",1,0)</f>
        <v>0</v>
      </c>
      <c r="BN98" s="15">
        <f>IF('ENCUESTA CONDUCTORES'!BV98="X",1,0)</f>
        <v>1</v>
      </c>
      <c r="BO98" s="15">
        <f>IF('ENCUESTA CONDUCTORES'!BW98="X",1,0)</f>
        <v>0</v>
      </c>
      <c r="BP98" s="15">
        <f>+'ENCUESTA CONDUCTORES'!BX98</f>
        <v>3</v>
      </c>
      <c r="BQ98" s="15">
        <f>+'ENCUESTA CONDUCTORES'!BY98</f>
        <v>1</v>
      </c>
      <c r="BR98" s="15">
        <f>+'ENCUESTA CONDUCTORES'!BZ98</f>
        <v>2</v>
      </c>
      <c r="BS98" s="15">
        <f>+'ENCUESTA CONDUCTORES'!CA98</f>
        <v>0</v>
      </c>
      <c r="BT98" s="15">
        <f>IF('ENCUESTA CONDUCTORES'!CB98="X",1,0)</f>
        <v>1</v>
      </c>
      <c r="BU98" s="15">
        <f>IF('ENCUESTA CONDUCTORES'!CC98="X",1,0)</f>
        <v>0</v>
      </c>
      <c r="BV98" s="15">
        <f>IF('ENCUESTA CONDUCTORES'!CD98="X",1,0)</f>
        <v>0</v>
      </c>
      <c r="BW98" s="15">
        <f>IF('ENCUESTA CONDUCTORES'!CE98="X",1,0)</f>
        <v>0</v>
      </c>
      <c r="BX98" s="15">
        <f>IF('ENCUESTA CONDUCTORES'!CF98="X",1,0)</f>
        <v>0</v>
      </c>
      <c r="BY98" s="15">
        <f>IF('ENCUESTA CONDUCTORES'!CG98="X",1,0)</f>
        <v>0</v>
      </c>
      <c r="BZ98" s="15">
        <f>IF('ENCUESTA CONDUCTORES'!CH98="X",1,0)</f>
        <v>0</v>
      </c>
      <c r="CA98" s="15">
        <f>IF('ENCUESTA CONDUCTORES'!CI98="X",1,0)</f>
        <v>0</v>
      </c>
      <c r="CB98" s="15">
        <f>IF('ENCUESTA CONDUCTORES'!CJ98="X",1,0)</f>
        <v>0</v>
      </c>
      <c r="CC98" s="15">
        <f>IF('ENCUESTA CONDUCTORES'!CK98="X",1,0)</f>
        <v>1</v>
      </c>
      <c r="CD98" s="15">
        <f>IF('ENCUESTA CONDUCTORES'!CL98="X",1,0)</f>
        <v>0</v>
      </c>
      <c r="CE98" s="15">
        <f>IF('ENCUESTA CONDUCTORES'!CM98="X",1,0)</f>
        <v>0</v>
      </c>
      <c r="CF98" s="15">
        <f>+'ENCUESTA CONDUCTORES'!CN98</f>
        <v>0</v>
      </c>
      <c r="CG98" s="15">
        <f>IF('ENCUESTA CONDUCTORES'!CO98="X",1,0)</f>
        <v>0</v>
      </c>
      <c r="CH98" s="15" t="str">
        <f>+'ENCUESTA CONDUCTORES'!CP98</f>
        <v>NO SABE</v>
      </c>
      <c r="CI98" s="15" t="str">
        <f>+'ENCUESTA CONDUCTORES'!CQ98</f>
        <v>NO SABE</v>
      </c>
      <c r="CJ98" s="15">
        <f>IF('ENCUESTA CONDUCTORES'!CR98="X",1,0)</f>
        <v>0</v>
      </c>
      <c r="CK98" s="15">
        <f>IF('ENCUESTA CONDUCTORES'!CS98="X",1,0)</f>
        <v>0</v>
      </c>
      <c r="CL98" s="15">
        <f>IF('ENCUESTA CONDUCTORES'!CT98="X",1,0)</f>
        <v>1</v>
      </c>
      <c r="CM98" s="15">
        <f>+'ENCUESTA CONDUCTORES'!CU98</f>
        <v>0</v>
      </c>
      <c r="CN98" s="15">
        <f>IF('ENCUESTA CONDUCTORES'!CV98="X",1,0)</f>
        <v>1</v>
      </c>
      <c r="CO98" s="15" t="str">
        <f>+'ENCUESTA CONDUCTORES'!CW98</f>
        <v>NO TIENE TIEMPO</v>
      </c>
      <c r="CP98" s="15">
        <f>IF('ENCUESTA CONDUCTORES'!CX98="X",1,0)</f>
        <v>0</v>
      </c>
      <c r="CQ98" s="15">
        <f>IF('ENCUESTA CONDUCTORES'!CY98="X",1,0)</f>
        <v>0</v>
      </c>
      <c r="CR98" s="3">
        <f>+'ENCUESTA CONDUCTORES'!CZ98</f>
        <v>0</v>
      </c>
      <c r="CS98" s="49">
        <f>+'ENCUESTA CONDUCTORES'!DA98</f>
        <v>0</v>
      </c>
    </row>
    <row r="99" spans="2:97" x14ac:dyDescent="0.25">
      <c r="B99" s="14" t="str">
        <f>+'ENCUESTA CONDUCTORES'!D99</f>
        <v>C-105</v>
      </c>
      <c r="C99" s="15">
        <f>IF('ENCUESTA CONDUCTORES'!E99="X",1,0)</f>
        <v>0</v>
      </c>
      <c r="D99" s="15">
        <f>IF('ENCUESTA CONDUCTORES'!F99="X",1,0)</f>
        <v>1</v>
      </c>
      <c r="E99" s="15">
        <f>IF('ENCUESTA CONDUCTORES'!G99="X",1,0)</f>
        <v>0</v>
      </c>
      <c r="F99" s="15">
        <f>IF('ENCUESTA CONDUCTORES'!H99="X",1,0)</f>
        <v>0</v>
      </c>
      <c r="G99" s="15">
        <f>+'ENCUESTA CONDUCTORES'!I99</f>
        <v>24</v>
      </c>
      <c r="H99" s="15" t="str">
        <f>+'ENCUESTA CONDUCTORES'!J99</f>
        <v>M</v>
      </c>
      <c r="I99" s="15" t="str">
        <f>+'ENCUESTA CONDUCTORES'!K99</f>
        <v>SECUNDARIA</v>
      </c>
      <c r="J99" s="15" t="str">
        <f>+'ENCUESTA CONDUCTORES'!L99</f>
        <v>IZTAPALAPA, D.F.</v>
      </c>
      <c r="K99" s="15" t="str">
        <f>+'ENCUESTA CONDUCTORES'!M99</f>
        <v>IZTAPALAPA</v>
      </c>
      <c r="L99" s="15" t="str">
        <f>+'ENCUESTA CONDUCTORES'!N99</f>
        <v>D.F.</v>
      </c>
      <c r="M99" s="15">
        <f>+'ENCUESTA CONDUCTORES'!O99</f>
        <v>5</v>
      </c>
      <c r="N99" s="15">
        <f>IF('ENCUESTA CONDUCTORES'!P99="X",1,0)</f>
        <v>1</v>
      </c>
      <c r="O99" s="15">
        <f>IF('ENCUESTA CONDUCTORES'!Q99="X",1,0)</f>
        <v>0</v>
      </c>
      <c r="P99" s="15">
        <f>IF('ENCUESTA CONDUCTORES'!R99="X",1,0)</f>
        <v>0</v>
      </c>
      <c r="Q99" s="15">
        <f>IF('ENCUESTA CONDUCTORES'!S99="X",1,0)</f>
        <v>0</v>
      </c>
      <c r="R99" s="15">
        <f>IF('ENCUESTA CONDUCTORES'!T99="X",1,0)</f>
        <v>0</v>
      </c>
      <c r="S99" s="15">
        <f>IF('ENCUESTA CONDUCTORES'!U99="X",1,0)</f>
        <v>1</v>
      </c>
      <c r="T99" s="15">
        <f>IF('ENCUESTA CONDUCTORES'!V99="X",1,0)</f>
        <v>0</v>
      </c>
      <c r="U99" s="15">
        <f>IF('ENCUESTA CONDUCTORES'!W99="X",1,0)</f>
        <v>0</v>
      </c>
      <c r="V99" s="15">
        <f>IF('ENCUESTA CONDUCTORES'!X99="X",1,0)</f>
        <v>0</v>
      </c>
      <c r="W99" s="15">
        <f>IF('ENCUESTA CONDUCTORES'!Y99="X",1,0)</f>
        <v>0</v>
      </c>
      <c r="X99" s="15">
        <f>IF('ENCUESTA CONDUCTORES'!Z99="X",1,0)</f>
        <v>0</v>
      </c>
      <c r="Y99" s="15">
        <f>+'ENCUESTA CONDUCTORES'!AG99</f>
        <v>0</v>
      </c>
      <c r="Z99" s="15">
        <f>+'ENCUESTA CONDUCTORES'!AH99</f>
        <v>2004</v>
      </c>
      <c r="AA99" s="1">
        <f>+'ENCUESTA CONDUCTORES'!AI99</f>
        <v>300000</v>
      </c>
      <c r="AB99" s="15">
        <f>IF('ENCUESTA CONDUCTORES'!AJ99="X",1,0)</f>
        <v>0</v>
      </c>
      <c r="AC99" s="15">
        <f>IF('ENCUESTA CONDUCTORES'!AK99="X",1,0)</f>
        <v>0</v>
      </c>
      <c r="AD99" s="15">
        <f>IF('ENCUESTA CONDUCTORES'!AL99="X",1,0)</f>
        <v>1</v>
      </c>
      <c r="AE99" s="15">
        <f>IF('ENCUESTA CONDUCTORES'!AM99="X",1,0)</f>
        <v>0</v>
      </c>
      <c r="AF99" s="15">
        <f>IF('ENCUESTA CONDUCTORES'!AN99="X",1,0)</f>
        <v>0</v>
      </c>
      <c r="AG99" s="15">
        <f>IF('ENCUESTA CONDUCTORES'!AO99="X",1,0)</f>
        <v>0</v>
      </c>
      <c r="AH99" s="15">
        <f>IF('ENCUESTA CONDUCTORES'!AP99="X",1,0)</f>
        <v>1</v>
      </c>
      <c r="AI99" s="15">
        <f>IF('ENCUESTA CONDUCTORES'!AQ99="X",1,0)</f>
        <v>0</v>
      </c>
      <c r="AJ99" s="15">
        <f>IF('ENCUESTA CONDUCTORES'!AR99="X",1,0)</f>
        <v>0</v>
      </c>
      <c r="AK99" s="15">
        <f>+'ENCUESTA CONDUCTORES'!AS99</f>
        <v>0</v>
      </c>
      <c r="AL99" s="15" t="str">
        <f>+'ENCUESTA CONDUCTORES'!AT99</f>
        <v>KENWORTH</v>
      </c>
      <c r="AM99" s="1">
        <f>+'ENCUESTA CONDUCTORES'!AU99</f>
        <v>2000</v>
      </c>
      <c r="AN99" s="48">
        <f>+'ENCUESTA CONDUCTORES'!AV99</f>
        <v>0.5</v>
      </c>
      <c r="AO99" s="15">
        <f>+'ENCUESTA CONDUCTORES'!AW99</f>
        <v>3</v>
      </c>
      <c r="AP99" s="15">
        <f>+'ENCUESTA CONDUCTORES'!AX99</f>
        <v>2.5</v>
      </c>
      <c r="AQ99" s="15">
        <f>+'ENCUESTA CONDUCTORES'!AY99</f>
        <v>2</v>
      </c>
      <c r="AR99" s="15">
        <f>+'ENCUESTA CONDUCTORES'!AZ99</f>
        <v>280</v>
      </c>
      <c r="AS99" s="15">
        <f>+'ENCUESTA CONDUCTORES'!BA99</f>
        <v>800</v>
      </c>
      <c r="AT99" s="15">
        <f>IF('ENCUESTA CONDUCTORES'!BB99="X",1,0)</f>
        <v>0</v>
      </c>
      <c r="AU99" s="15">
        <f>IF('ENCUESTA CONDUCTORES'!BC99="X",1,0)</f>
        <v>1</v>
      </c>
      <c r="AV99" s="15">
        <f>IF('ENCUESTA CONDUCTORES'!BD99="X",1,0)</f>
        <v>0</v>
      </c>
      <c r="AW99" s="1">
        <f>+'ENCUESTA CONDUCTORES'!BE99</f>
        <v>10000</v>
      </c>
      <c r="AX99" s="1">
        <f>+'ENCUESTA CONDUCTORES'!BF99</f>
        <v>20000</v>
      </c>
      <c r="AY99" s="1">
        <f>+'ENCUESTA CONDUCTORES'!BG99</f>
        <v>20000</v>
      </c>
      <c r="AZ99" s="1">
        <f>+'ENCUESTA CONDUCTORES'!BH99</f>
        <v>120000</v>
      </c>
      <c r="BA99" s="1">
        <f>+'ENCUESTA CONDUCTORES'!BI99</f>
        <v>10000</v>
      </c>
      <c r="BB99" s="15">
        <f>IF('ENCUESTA CONDUCTORES'!BJ99="X",1,0)</f>
        <v>0</v>
      </c>
      <c r="BC99" s="15">
        <f>IF('ENCUESTA CONDUCTORES'!BK99="X",1,0)</f>
        <v>0</v>
      </c>
      <c r="BD99" s="15">
        <f>IF('ENCUESTA CONDUCTORES'!BL99="X",1,0)</f>
        <v>1</v>
      </c>
      <c r="BE99" s="15">
        <f>IF('ENCUESTA CONDUCTORES'!BM99="X",1,0)</f>
        <v>0</v>
      </c>
      <c r="BF99" s="15">
        <f>IF('ENCUESTA CONDUCTORES'!BN99="X",1,0)</f>
        <v>0</v>
      </c>
      <c r="BG99" s="15">
        <f>IF('ENCUESTA CONDUCTORES'!BO99="X",1,0)</f>
        <v>0</v>
      </c>
      <c r="BH99" s="15">
        <f>IF('ENCUESTA CONDUCTORES'!BP99="X",1,0)</f>
        <v>0</v>
      </c>
      <c r="BI99" s="15">
        <f>IF('ENCUESTA CONDUCTORES'!BQ99="X",1,0)</f>
        <v>0</v>
      </c>
      <c r="BJ99" s="15">
        <f>IF('ENCUESTA CONDUCTORES'!BR99="X",1,0)</f>
        <v>0</v>
      </c>
      <c r="BK99" s="15" t="str">
        <f>+'ENCUESTA CONDUCTORES'!BS99</f>
        <v>ACEITE</v>
      </c>
      <c r="BL99" s="15">
        <f>IF('ENCUESTA CONDUCTORES'!BT99="X",1,0)</f>
        <v>0</v>
      </c>
      <c r="BM99" s="15">
        <f>IF('ENCUESTA CONDUCTORES'!BU99="X",1,0)</f>
        <v>0</v>
      </c>
      <c r="BN99" s="15">
        <f>IF('ENCUESTA CONDUCTORES'!BV99="X",1,0)</f>
        <v>1</v>
      </c>
      <c r="BO99" s="15">
        <f>IF('ENCUESTA CONDUCTORES'!BW99="X",1,0)</f>
        <v>0</v>
      </c>
      <c r="BP99" s="15">
        <f>+'ENCUESTA CONDUCTORES'!BX99</f>
        <v>2</v>
      </c>
      <c r="BQ99" s="15">
        <f>+'ENCUESTA CONDUCTORES'!BY99</f>
        <v>3</v>
      </c>
      <c r="BR99" s="15">
        <f>+'ENCUESTA CONDUCTORES'!BZ99</f>
        <v>1</v>
      </c>
      <c r="BS99" s="15">
        <f>+'ENCUESTA CONDUCTORES'!CA99</f>
        <v>0</v>
      </c>
      <c r="BT99" s="15">
        <f>IF('ENCUESTA CONDUCTORES'!CB99="X",1,0)</f>
        <v>1</v>
      </c>
      <c r="BU99" s="15">
        <f>IF('ENCUESTA CONDUCTORES'!CC99="X",1,0)</f>
        <v>0</v>
      </c>
      <c r="BV99" s="15">
        <f>IF('ENCUESTA CONDUCTORES'!CD99="X",1,0)</f>
        <v>0</v>
      </c>
      <c r="BW99" s="15">
        <f>IF('ENCUESTA CONDUCTORES'!CE99="X",1,0)</f>
        <v>0</v>
      </c>
      <c r="BX99" s="15">
        <f>IF('ENCUESTA CONDUCTORES'!CF99="X",1,0)</f>
        <v>0</v>
      </c>
      <c r="BY99" s="15">
        <f>IF('ENCUESTA CONDUCTORES'!CG99="X",1,0)</f>
        <v>0</v>
      </c>
      <c r="BZ99" s="15">
        <f>IF('ENCUESTA CONDUCTORES'!CH99="X",1,0)</f>
        <v>0</v>
      </c>
      <c r="CA99" s="15">
        <f>IF('ENCUESTA CONDUCTORES'!CI99="X",1,0)</f>
        <v>0</v>
      </c>
      <c r="CB99" s="15">
        <f>IF('ENCUESTA CONDUCTORES'!CJ99="X",1,0)</f>
        <v>0</v>
      </c>
      <c r="CC99" s="15">
        <f>IF('ENCUESTA CONDUCTORES'!CK99="X",1,0)</f>
        <v>1</v>
      </c>
      <c r="CD99" s="15">
        <f>IF('ENCUESTA CONDUCTORES'!CL99="X",1,0)</f>
        <v>0</v>
      </c>
      <c r="CE99" s="15">
        <f>IF('ENCUESTA CONDUCTORES'!CM99="X",1,0)</f>
        <v>0</v>
      </c>
      <c r="CF99" s="15">
        <f>+'ENCUESTA CONDUCTORES'!CN99</f>
        <v>0</v>
      </c>
      <c r="CG99" s="15">
        <f>IF('ENCUESTA CONDUCTORES'!CO99="X",1,0)</f>
        <v>0</v>
      </c>
      <c r="CH99" s="15" t="str">
        <f>+'ENCUESTA CONDUCTORES'!CP99</f>
        <v>NO SABE</v>
      </c>
      <c r="CI99" s="15" t="str">
        <f>+'ENCUESTA CONDUCTORES'!CQ99</f>
        <v>DARLO A CONOCER</v>
      </c>
      <c r="CJ99" s="15">
        <f>IF('ENCUESTA CONDUCTORES'!CR99="X",1,0)</f>
        <v>1</v>
      </c>
      <c r="CK99" s="15">
        <f>IF('ENCUESTA CONDUCTORES'!CS99="X",1,0)</f>
        <v>0</v>
      </c>
      <c r="CL99" s="15">
        <f>IF('ENCUESTA CONDUCTORES'!CT99="X",1,0)</f>
        <v>0</v>
      </c>
      <c r="CM99" s="15">
        <f>+'ENCUESTA CONDUCTORES'!CU99</f>
        <v>0</v>
      </c>
      <c r="CN99" s="15">
        <f>IF('ENCUESTA CONDUCTORES'!CV99="X",1,0)</f>
        <v>1</v>
      </c>
      <c r="CO99" s="15" t="str">
        <f>+'ENCUESTA CONDUCTORES'!CW99</f>
        <v>NO TIENE TIEMPO</v>
      </c>
      <c r="CP99" s="15">
        <f>IF('ENCUESTA CONDUCTORES'!CX99="X",1,0)</f>
        <v>0</v>
      </c>
      <c r="CQ99" s="15">
        <f>IF('ENCUESTA CONDUCTORES'!CY99="X",1,0)</f>
        <v>0</v>
      </c>
      <c r="CR99" s="3">
        <f>+'ENCUESTA CONDUCTORES'!CZ99</f>
        <v>0</v>
      </c>
      <c r="CS99" s="49">
        <f>+'ENCUESTA CONDUCTORES'!DA99</f>
        <v>0</v>
      </c>
    </row>
    <row r="100" spans="2:97" x14ac:dyDescent="0.25">
      <c r="B100" s="14" t="str">
        <f>+'ENCUESTA CONDUCTORES'!D100</f>
        <v>C-106</v>
      </c>
      <c r="C100" s="15">
        <f>IF('ENCUESTA CONDUCTORES'!E100="X",1,0)</f>
        <v>0</v>
      </c>
      <c r="D100" s="15">
        <f>IF('ENCUESTA CONDUCTORES'!F100="X",1,0)</f>
        <v>1</v>
      </c>
      <c r="E100" s="15">
        <f>IF('ENCUESTA CONDUCTORES'!G100="X",1,0)</f>
        <v>0</v>
      </c>
      <c r="F100" s="15">
        <f>IF('ENCUESTA CONDUCTORES'!H100="X",1,0)</f>
        <v>0</v>
      </c>
      <c r="G100" s="15">
        <f>+'ENCUESTA CONDUCTORES'!I100</f>
        <v>38</v>
      </c>
      <c r="H100" s="15" t="str">
        <f>+'ENCUESTA CONDUCTORES'!J100</f>
        <v>M</v>
      </c>
      <c r="I100" s="15" t="str">
        <f>+'ENCUESTA CONDUCTORES'!K100</f>
        <v>PRIMARIA</v>
      </c>
      <c r="J100" s="15" t="str">
        <f>+'ENCUESTA CONDUCTORES'!L100</f>
        <v>CHALCO, EDO. MEX.</v>
      </c>
      <c r="K100" s="15" t="str">
        <f>+'ENCUESTA CONDUCTORES'!M100</f>
        <v>CHALCO</v>
      </c>
      <c r="L100" s="15" t="str">
        <f>+'ENCUESTA CONDUCTORES'!N100</f>
        <v>EDO. MEX.</v>
      </c>
      <c r="M100" s="15">
        <f>+'ENCUESTA CONDUCTORES'!O100</f>
        <v>18</v>
      </c>
      <c r="N100" s="15">
        <f>IF('ENCUESTA CONDUCTORES'!P100="X",1,0)</f>
        <v>1</v>
      </c>
      <c r="O100" s="15">
        <f>IF('ENCUESTA CONDUCTORES'!Q100="X",1,0)</f>
        <v>0</v>
      </c>
      <c r="P100" s="15">
        <f>IF('ENCUESTA CONDUCTORES'!R100="X",1,0)</f>
        <v>0</v>
      </c>
      <c r="Q100" s="15">
        <f>IF('ENCUESTA CONDUCTORES'!S100="X",1,0)</f>
        <v>0</v>
      </c>
      <c r="R100" s="15">
        <f>IF('ENCUESTA CONDUCTORES'!T100="X",1,0)</f>
        <v>0</v>
      </c>
      <c r="S100" s="15">
        <f>IF('ENCUESTA CONDUCTORES'!U100="X",1,0)</f>
        <v>1</v>
      </c>
      <c r="T100" s="15">
        <f>IF('ENCUESTA CONDUCTORES'!V100="X",1,0)</f>
        <v>0</v>
      </c>
      <c r="U100" s="15">
        <f>IF('ENCUESTA CONDUCTORES'!W100="X",1,0)</f>
        <v>0</v>
      </c>
      <c r="V100" s="15">
        <f>IF('ENCUESTA CONDUCTORES'!X100="X",1,0)</f>
        <v>0</v>
      </c>
      <c r="W100" s="15">
        <f>IF('ENCUESTA CONDUCTORES'!Y100="X",1,0)</f>
        <v>0</v>
      </c>
      <c r="X100" s="15">
        <f>IF('ENCUESTA CONDUCTORES'!Z100="X",1,0)</f>
        <v>0</v>
      </c>
      <c r="Y100" s="15">
        <f>+'ENCUESTA CONDUCTORES'!AG100</f>
        <v>0</v>
      </c>
      <c r="Z100" s="15">
        <f>+'ENCUESTA CONDUCTORES'!AH100</f>
        <v>2004</v>
      </c>
      <c r="AA100" s="1">
        <f>+'ENCUESTA CONDUCTORES'!AI100</f>
        <v>800000</v>
      </c>
      <c r="AB100" s="15">
        <f>IF('ENCUESTA CONDUCTORES'!AJ100="X",1,0)</f>
        <v>0</v>
      </c>
      <c r="AC100" s="15">
        <f>IF('ENCUESTA CONDUCTORES'!AK100="X",1,0)</f>
        <v>0</v>
      </c>
      <c r="AD100" s="15">
        <f>IF('ENCUESTA CONDUCTORES'!AL100="X",1,0)</f>
        <v>1</v>
      </c>
      <c r="AE100" s="15">
        <f>IF('ENCUESTA CONDUCTORES'!AM100="X",1,0)</f>
        <v>0</v>
      </c>
      <c r="AF100" s="15">
        <f>IF('ENCUESTA CONDUCTORES'!AN100="X",1,0)</f>
        <v>0</v>
      </c>
      <c r="AG100" s="15">
        <f>IF('ENCUESTA CONDUCTORES'!AO100="X",1,0)</f>
        <v>0</v>
      </c>
      <c r="AH100" s="15">
        <f>IF('ENCUESTA CONDUCTORES'!AP100="X",1,0)</f>
        <v>1</v>
      </c>
      <c r="AI100" s="15">
        <f>IF('ENCUESTA CONDUCTORES'!AQ100="X",1,0)</f>
        <v>0</v>
      </c>
      <c r="AJ100" s="15">
        <f>IF('ENCUESTA CONDUCTORES'!AR100="X",1,0)</f>
        <v>0</v>
      </c>
      <c r="AK100" s="15">
        <f>+'ENCUESTA CONDUCTORES'!AS100</f>
        <v>0</v>
      </c>
      <c r="AL100" s="15" t="str">
        <f>+'ENCUESTA CONDUCTORES'!AT100</f>
        <v>INTERNATIONAL</v>
      </c>
      <c r="AM100" s="1">
        <f>+'ENCUESTA CONDUCTORES'!AU100</f>
        <v>6500</v>
      </c>
      <c r="AN100" s="48">
        <f>+'ENCUESTA CONDUCTORES'!AV100</f>
        <v>0.5</v>
      </c>
      <c r="AO100" s="15">
        <f>+'ENCUESTA CONDUCTORES'!AW100</f>
        <v>1.8</v>
      </c>
      <c r="AP100" s="15">
        <f>+'ENCUESTA CONDUCTORES'!AX100</f>
        <v>1.5</v>
      </c>
      <c r="AQ100" s="15">
        <f>+'ENCUESTA CONDUCTORES'!AY100</f>
        <v>2</v>
      </c>
      <c r="AR100" s="15">
        <f>+'ENCUESTA CONDUCTORES'!AZ100</f>
        <v>930</v>
      </c>
      <c r="AS100" s="15">
        <f>+'ENCUESTA CONDUCTORES'!BA100</f>
        <v>1500</v>
      </c>
      <c r="AT100" s="15">
        <f>IF('ENCUESTA CONDUCTORES'!BB100="X",1,0)</f>
        <v>0</v>
      </c>
      <c r="AU100" s="15">
        <f>IF('ENCUESTA CONDUCTORES'!BC100="X",1,0)</f>
        <v>0</v>
      </c>
      <c r="AV100" s="15">
        <f>IF('ENCUESTA CONDUCTORES'!BD100="X",1,0)</f>
        <v>0</v>
      </c>
      <c r="AW100" s="1">
        <f>+'ENCUESTA CONDUCTORES'!BE100</f>
        <v>15000</v>
      </c>
      <c r="AX100" s="1">
        <f>+'ENCUESTA CONDUCTORES'!BF100</f>
        <v>10000</v>
      </c>
      <c r="AY100" s="1">
        <f>+'ENCUESTA CONDUCTORES'!BG100</f>
        <v>15000</v>
      </c>
      <c r="AZ100" s="1">
        <f>+'ENCUESTA CONDUCTORES'!BH100</f>
        <v>100000</v>
      </c>
      <c r="BA100" s="1">
        <f>+'ENCUESTA CONDUCTORES'!BI100</f>
        <v>15000</v>
      </c>
      <c r="BB100" s="15">
        <f>IF('ENCUESTA CONDUCTORES'!BJ100="X",1,0)</f>
        <v>0</v>
      </c>
      <c r="BC100" s="15">
        <f>IF('ENCUESTA CONDUCTORES'!BK100="X",1,0)</f>
        <v>0</v>
      </c>
      <c r="BD100" s="15">
        <f>IF('ENCUESTA CONDUCTORES'!BL100="X",1,0)</f>
        <v>0</v>
      </c>
      <c r="BE100" s="15">
        <f>IF('ENCUESTA CONDUCTORES'!BM100="X",1,0)</f>
        <v>0</v>
      </c>
      <c r="BF100" s="15">
        <f>IF('ENCUESTA CONDUCTORES'!BN100="X",1,0)</f>
        <v>0</v>
      </c>
      <c r="BG100" s="15">
        <f>IF('ENCUESTA CONDUCTORES'!BO100="X",1,0)</f>
        <v>0</v>
      </c>
      <c r="BH100" s="15">
        <f>IF('ENCUESTA CONDUCTORES'!BP100="X",1,0)</f>
        <v>0</v>
      </c>
      <c r="BI100" s="15">
        <f>IF('ENCUESTA CONDUCTORES'!BQ100="X",1,0)</f>
        <v>0</v>
      </c>
      <c r="BJ100" s="15">
        <f>IF('ENCUESTA CONDUCTORES'!BR100="X",1,0)</f>
        <v>1</v>
      </c>
      <c r="BK100" s="15">
        <f>+'ENCUESTA CONDUCTORES'!BS100</f>
        <v>0</v>
      </c>
      <c r="BL100" s="15">
        <f>IF('ENCUESTA CONDUCTORES'!BT100="X",1,0)</f>
        <v>0</v>
      </c>
      <c r="BM100" s="15">
        <f>IF('ENCUESTA CONDUCTORES'!BU100="X",1,0)</f>
        <v>0</v>
      </c>
      <c r="BN100" s="15">
        <f>IF('ENCUESTA CONDUCTORES'!BV100="X",1,0)</f>
        <v>1</v>
      </c>
      <c r="BO100" s="15">
        <f>IF('ENCUESTA CONDUCTORES'!BW100="X",1,0)</f>
        <v>0</v>
      </c>
      <c r="BP100" s="15">
        <f>+'ENCUESTA CONDUCTORES'!BX100</f>
        <v>1</v>
      </c>
      <c r="BQ100" s="15">
        <f>+'ENCUESTA CONDUCTORES'!BY100</f>
        <v>3</v>
      </c>
      <c r="BR100" s="15">
        <f>+'ENCUESTA CONDUCTORES'!BZ100</f>
        <v>2</v>
      </c>
      <c r="BS100" s="15">
        <f>+'ENCUESTA CONDUCTORES'!CA100</f>
        <v>0</v>
      </c>
      <c r="BT100" s="15">
        <f>IF('ENCUESTA CONDUCTORES'!CB100="X",1,0)</f>
        <v>1</v>
      </c>
      <c r="BU100" s="15">
        <f>IF('ENCUESTA CONDUCTORES'!CC100="X",1,0)</f>
        <v>0</v>
      </c>
      <c r="BV100" s="15">
        <f>IF('ENCUESTA CONDUCTORES'!CD100="X",1,0)</f>
        <v>0</v>
      </c>
      <c r="BW100" s="15">
        <f>IF('ENCUESTA CONDUCTORES'!CE100="X",1,0)</f>
        <v>0</v>
      </c>
      <c r="BX100" s="15">
        <f>IF('ENCUESTA CONDUCTORES'!CF100="X",1,0)</f>
        <v>0</v>
      </c>
      <c r="BY100" s="15">
        <f>IF('ENCUESTA CONDUCTORES'!CG100="X",1,0)</f>
        <v>0</v>
      </c>
      <c r="BZ100" s="15">
        <f>IF('ENCUESTA CONDUCTORES'!CH100="X",1,0)</f>
        <v>0</v>
      </c>
      <c r="CA100" s="15">
        <f>IF('ENCUESTA CONDUCTORES'!CI100="X",1,0)</f>
        <v>0</v>
      </c>
      <c r="CB100" s="15">
        <f>IF('ENCUESTA CONDUCTORES'!CJ100="X",1,0)</f>
        <v>0</v>
      </c>
      <c r="CC100" s="15">
        <f>IF('ENCUESTA CONDUCTORES'!CK100="X",1,0)</f>
        <v>1</v>
      </c>
      <c r="CD100" s="15">
        <f>IF('ENCUESTA CONDUCTORES'!CL100="X",1,0)</f>
        <v>0</v>
      </c>
      <c r="CE100" s="15">
        <f>IF('ENCUESTA CONDUCTORES'!CM100="X",1,0)</f>
        <v>0</v>
      </c>
      <c r="CF100" s="15">
        <f>+'ENCUESTA CONDUCTORES'!CN100</f>
        <v>0</v>
      </c>
      <c r="CG100" s="15">
        <f>IF('ENCUESTA CONDUCTORES'!CO100="X",1,0)</f>
        <v>0</v>
      </c>
      <c r="CH100" s="15" t="str">
        <f>+'ENCUESTA CONDUCTORES'!CP100</f>
        <v>NO SABE</v>
      </c>
      <c r="CI100" s="15" t="str">
        <f>+'ENCUESTA CONDUCTORES'!CQ100</f>
        <v>PUBLICIDAD</v>
      </c>
      <c r="CJ100" s="15">
        <f>IF('ENCUESTA CONDUCTORES'!CR100="X",1,0)</f>
        <v>0</v>
      </c>
      <c r="CK100" s="15">
        <f>IF('ENCUESTA CONDUCTORES'!CS100="X",1,0)</f>
        <v>1</v>
      </c>
      <c r="CL100" s="15">
        <f>IF('ENCUESTA CONDUCTORES'!CT100="X",1,0)</f>
        <v>1</v>
      </c>
      <c r="CM100" s="15">
        <f>+'ENCUESTA CONDUCTORES'!CU100</f>
        <v>0</v>
      </c>
      <c r="CN100" s="15">
        <f>IF('ENCUESTA CONDUCTORES'!CV100="X",1,0)</f>
        <v>0</v>
      </c>
      <c r="CO100" s="15">
        <f>+'ENCUESTA CONDUCTORES'!CW100</f>
        <v>0</v>
      </c>
      <c r="CP100" s="15">
        <f>IF('ENCUESTA CONDUCTORES'!CX100="X",1,0)</f>
        <v>1</v>
      </c>
      <c r="CQ100" s="15">
        <f>IF('ENCUESTA CONDUCTORES'!CY100="X",1,0)</f>
        <v>1</v>
      </c>
      <c r="CR100" s="3">
        <f>+'ENCUESTA CONDUCTORES'!CZ100</f>
        <v>0</v>
      </c>
      <c r="CS100" s="49">
        <f>+'ENCUESTA CONDUCTORES'!DA100</f>
        <v>0</v>
      </c>
    </row>
    <row r="101" spans="2:97" x14ac:dyDescent="0.25">
      <c r="B101" s="14" t="str">
        <f>+'ENCUESTA CONDUCTORES'!D101</f>
        <v>C-107</v>
      </c>
      <c r="C101" s="15">
        <f>IF('ENCUESTA CONDUCTORES'!E101="X",1,0)</f>
        <v>0</v>
      </c>
      <c r="D101" s="15">
        <f>IF('ENCUESTA CONDUCTORES'!F101="X",1,0)</f>
        <v>1</v>
      </c>
      <c r="E101" s="15">
        <f>IF('ENCUESTA CONDUCTORES'!G101="X",1,0)</f>
        <v>0</v>
      </c>
      <c r="F101" s="15">
        <f>IF('ENCUESTA CONDUCTORES'!H101="X",1,0)</f>
        <v>0</v>
      </c>
      <c r="G101" s="15">
        <f>+'ENCUESTA CONDUCTORES'!I101</f>
        <v>40</v>
      </c>
      <c r="H101" s="15" t="str">
        <f>+'ENCUESTA CONDUCTORES'!J101</f>
        <v>M</v>
      </c>
      <c r="I101" s="15" t="str">
        <f>+'ENCUESTA CONDUCTORES'!K101</f>
        <v>PRIMARIA</v>
      </c>
      <c r="J101" s="15" t="str">
        <f>+'ENCUESTA CONDUCTORES'!L101</f>
        <v>COACALCO, EDO. MEX</v>
      </c>
      <c r="K101" s="15" t="str">
        <f>+'ENCUESTA CONDUCTORES'!M101</f>
        <v>COACALCO</v>
      </c>
      <c r="L101" s="15" t="str">
        <f>+'ENCUESTA CONDUCTORES'!N101</f>
        <v>EDO. MEX.</v>
      </c>
      <c r="M101" s="15">
        <f>+'ENCUESTA CONDUCTORES'!O101</f>
        <v>22</v>
      </c>
      <c r="N101" s="15">
        <f>IF('ENCUESTA CONDUCTORES'!P101="X",1,0)</f>
        <v>0</v>
      </c>
      <c r="O101" s="15">
        <f>IF('ENCUESTA CONDUCTORES'!Q101="X",1,0)</f>
        <v>0</v>
      </c>
      <c r="P101" s="15">
        <f>IF('ENCUESTA CONDUCTORES'!R101="X",1,0)</f>
        <v>0</v>
      </c>
      <c r="Q101" s="15">
        <f>IF('ENCUESTA CONDUCTORES'!S101="X",1,0)</f>
        <v>1</v>
      </c>
      <c r="R101" s="15">
        <f>IF('ENCUESTA CONDUCTORES'!T101="X",1,0)</f>
        <v>0</v>
      </c>
      <c r="S101" s="15">
        <f>IF('ENCUESTA CONDUCTORES'!U101="X",1,0)</f>
        <v>0</v>
      </c>
      <c r="T101" s="15">
        <f>IF('ENCUESTA CONDUCTORES'!V101="X",1,0)</f>
        <v>0</v>
      </c>
      <c r="U101" s="15">
        <f>IF('ENCUESTA CONDUCTORES'!W101="X",1,0)</f>
        <v>0</v>
      </c>
      <c r="V101" s="15">
        <f>IF('ENCUESTA CONDUCTORES'!X101="X",1,0)</f>
        <v>1</v>
      </c>
      <c r="W101" s="15">
        <f>IF('ENCUESTA CONDUCTORES'!Y101="X",1,0)</f>
        <v>0</v>
      </c>
      <c r="X101" s="15">
        <f>IF('ENCUESTA CONDUCTORES'!Z101="X",1,0)</f>
        <v>0</v>
      </c>
      <c r="Y101" s="15">
        <f>+'ENCUESTA CONDUCTORES'!AG101</f>
        <v>0</v>
      </c>
      <c r="Z101" s="15">
        <f>+'ENCUESTA CONDUCTORES'!AH101</f>
        <v>2010</v>
      </c>
      <c r="AA101" s="1">
        <f>+'ENCUESTA CONDUCTORES'!AI101</f>
        <v>750000</v>
      </c>
      <c r="AB101" s="15">
        <f>IF('ENCUESTA CONDUCTORES'!AJ101="X",1,0)</f>
        <v>0</v>
      </c>
      <c r="AC101" s="15">
        <f>IF('ENCUESTA CONDUCTORES'!AK101="X",1,0)</f>
        <v>0</v>
      </c>
      <c r="AD101" s="15">
        <f>IF('ENCUESTA CONDUCTORES'!AL101="X",1,0)</f>
        <v>1</v>
      </c>
      <c r="AE101" s="15">
        <f>IF('ENCUESTA CONDUCTORES'!AM101="X",1,0)</f>
        <v>0</v>
      </c>
      <c r="AF101" s="15">
        <f>IF('ENCUESTA CONDUCTORES'!AN101="X",1,0)</f>
        <v>0</v>
      </c>
      <c r="AG101" s="15">
        <f>IF('ENCUESTA CONDUCTORES'!AO101="X",1,0)</f>
        <v>0</v>
      </c>
      <c r="AH101" s="15">
        <f>IF('ENCUESTA CONDUCTORES'!AP101="X",1,0)</f>
        <v>1</v>
      </c>
      <c r="AI101" s="15">
        <f>IF('ENCUESTA CONDUCTORES'!AQ101="X",1,0)</f>
        <v>0</v>
      </c>
      <c r="AJ101" s="15">
        <f>IF('ENCUESTA CONDUCTORES'!AR101="X",1,0)</f>
        <v>0</v>
      </c>
      <c r="AK101" s="15">
        <f>+'ENCUESTA CONDUCTORES'!AS101</f>
        <v>0</v>
      </c>
      <c r="AL101" s="15" t="str">
        <f>+'ENCUESTA CONDUCTORES'!AT101</f>
        <v>KENWORTH</v>
      </c>
      <c r="AM101" s="1">
        <f>+'ENCUESTA CONDUCTORES'!AU101</f>
        <v>16000</v>
      </c>
      <c r="AN101" s="48">
        <f>+'ENCUESTA CONDUCTORES'!AV101</f>
        <v>0.5</v>
      </c>
      <c r="AO101" s="15">
        <f>+'ENCUESTA CONDUCTORES'!AW101</f>
        <v>2.2000000000000002</v>
      </c>
      <c r="AP101" s="15">
        <f>+'ENCUESTA CONDUCTORES'!AX101</f>
        <v>1.7</v>
      </c>
      <c r="AQ101" s="15">
        <f>+'ENCUESTA CONDUCTORES'!AY101</f>
        <v>2</v>
      </c>
      <c r="AR101" s="15">
        <f>+'ENCUESTA CONDUCTORES'!AZ101</f>
        <v>800</v>
      </c>
      <c r="AS101" s="15">
        <f>+'ENCUESTA CONDUCTORES'!BA101</f>
        <v>1600</v>
      </c>
      <c r="AT101" s="15">
        <f>IF('ENCUESTA CONDUCTORES'!BB101="X",1,0)</f>
        <v>1</v>
      </c>
      <c r="AU101" s="15">
        <f>IF('ENCUESTA CONDUCTORES'!BC101="X",1,0)</f>
        <v>1</v>
      </c>
      <c r="AV101" s="15">
        <f>IF('ENCUESTA CONDUCTORES'!BD101="X",1,0)</f>
        <v>0</v>
      </c>
      <c r="AW101" s="1">
        <f>+'ENCUESTA CONDUCTORES'!BE101</f>
        <v>10000</v>
      </c>
      <c r="AX101" s="1">
        <f>+'ENCUESTA CONDUCTORES'!BF101</f>
        <v>12000</v>
      </c>
      <c r="AY101" s="1">
        <f>+'ENCUESTA CONDUCTORES'!BG101</f>
        <v>10000</v>
      </c>
      <c r="AZ101" s="1">
        <f>+'ENCUESTA CONDUCTORES'!BH101</f>
        <v>76000</v>
      </c>
      <c r="BA101" s="1">
        <f>+'ENCUESTA CONDUCTORES'!BI101</f>
        <v>10000</v>
      </c>
      <c r="BB101" s="15">
        <f>IF('ENCUESTA CONDUCTORES'!BJ101="X",1,0)</f>
        <v>1</v>
      </c>
      <c r="BC101" s="15">
        <f>IF('ENCUESTA CONDUCTORES'!BK101="X",1,0)</f>
        <v>0</v>
      </c>
      <c r="BD101" s="15">
        <f>IF('ENCUESTA CONDUCTORES'!BL101="X",1,0)</f>
        <v>0</v>
      </c>
      <c r="BE101" s="15">
        <f>IF('ENCUESTA CONDUCTORES'!BM101="X",1,0)</f>
        <v>0</v>
      </c>
      <c r="BF101" s="15">
        <f>IF('ENCUESTA CONDUCTORES'!BN101="X",1,0)</f>
        <v>0</v>
      </c>
      <c r="BG101" s="15">
        <f>IF('ENCUESTA CONDUCTORES'!BO101="X",1,0)</f>
        <v>0</v>
      </c>
      <c r="BH101" s="15">
        <f>IF('ENCUESTA CONDUCTORES'!BP101="X",1,0)</f>
        <v>0</v>
      </c>
      <c r="BI101" s="15">
        <f>IF('ENCUESTA CONDUCTORES'!BQ101="X",1,0)</f>
        <v>0</v>
      </c>
      <c r="BJ101" s="15">
        <f>IF('ENCUESTA CONDUCTORES'!BR101="X",1,0)</f>
        <v>0</v>
      </c>
      <c r="BK101" s="15">
        <f>+'ENCUESTA CONDUCTORES'!BS101</f>
        <v>0</v>
      </c>
      <c r="BL101" s="15">
        <f>IF('ENCUESTA CONDUCTORES'!BT101="X",1,0)</f>
        <v>0</v>
      </c>
      <c r="BM101" s="15">
        <f>IF('ENCUESTA CONDUCTORES'!BU101="X",1,0)</f>
        <v>1</v>
      </c>
      <c r="BN101" s="15">
        <f>IF('ENCUESTA CONDUCTORES'!BV101="X",1,0)</f>
        <v>0</v>
      </c>
      <c r="BO101" s="15">
        <f>IF('ENCUESTA CONDUCTORES'!BW101="X",1,0)</f>
        <v>0</v>
      </c>
      <c r="BP101" s="15">
        <f>+'ENCUESTA CONDUCTORES'!BX101</f>
        <v>1</v>
      </c>
      <c r="BQ101" s="15">
        <f>+'ENCUESTA CONDUCTORES'!BY101</f>
        <v>2</v>
      </c>
      <c r="BR101" s="15">
        <f>+'ENCUESTA CONDUCTORES'!BZ101</f>
        <v>3</v>
      </c>
      <c r="BS101" s="15">
        <f>+'ENCUESTA CONDUCTORES'!CA101</f>
        <v>0</v>
      </c>
      <c r="BT101" s="15">
        <f>IF('ENCUESTA CONDUCTORES'!CB101="X",1,0)</f>
        <v>0</v>
      </c>
      <c r="BU101" s="15">
        <f>IF('ENCUESTA CONDUCTORES'!CC101="X",1,0)</f>
        <v>1</v>
      </c>
      <c r="BV101" s="15">
        <f>IF('ENCUESTA CONDUCTORES'!CD101="X",1,0)</f>
        <v>1</v>
      </c>
      <c r="BW101" s="15">
        <f>IF('ENCUESTA CONDUCTORES'!CE101="X",1,0)</f>
        <v>0</v>
      </c>
      <c r="BX101" s="15">
        <f>IF('ENCUESTA CONDUCTORES'!CF101="X",1,0)</f>
        <v>0</v>
      </c>
      <c r="BY101" s="15">
        <f>IF('ENCUESTA CONDUCTORES'!CG101="X",1,0)</f>
        <v>0</v>
      </c>
      <c r="BZ101" s="15">
        <f>IF('ENCUESTA CONDUCTORES'!CH101="X",1,0)</f>
        <v>1</v>
      </c>
      <c r="CA101" s="15">
        <f>IF('ENCUESTA CONDUCTORES'!CI101="X",1,0)</f>
        <v>1</v>
      </c>
      <c r="CB101" s="15">
        <f>IF('ENCUESTA CONDUCTORES'!CJ101="X",1,0)</f>
        <v>0</v>
      </c>
      <c r="CC101" s="15">
        <f>IF('ENCUESTA CONDUCTORES'!CK101="X",1,0)</f>
        <v>1</v>
      </c>
      <c r="CD101" s="15">
        <f>IF('ENCUESTA CONDUCTORES'!CL101="X",1,0)</f>
        <v>0</v>
      </c>
      <c r="CE101" s="15">
        <f>IF('ENCUESTA CONDUCTORES'!CM101="X",1,0)</f>
        <v>0</v>
      </c>
      <c r="CF101" s="15">
        <f>+'ENCUESTA CONDUCTORES'!CN101</f>
        <v>0</v>
      </c>
      <c r="CG101" s="15">
        <f>IF('ENCUESTA CONDUCTORES'!CO101="X",1,0)</f>
        <v>0</v>
      </c>
      <c r="CH101" s="15" t="str">
        <f>+'ENCUESTA CONDUCTORES'!CP101</f>
        <v>NO SABE</v>
      </c>
      <c r="CI101" s="15" t="str">
        <f>+'ENCUESTA CONDUCTORES'!CQ101</f>
        <v>NO LE INTERESA</v>
      </c>
      <c r="CJ101" s="15">
        <f>IF('ENCUESTA CONDUCTORES'!CR101="X",1,0)</f>
        <v>1</v>
      </c>
      <c r="CK101" s="15">
        <f>IF('ENCUESTA CONDUCTORES'!CS101="X",1,0)</f>
        <v>0</v>
      </c>
      <c r="CL101" s="15">
        <f>IF('ENCUESTA CONDUCTORES'!CT101="X",1,0)</f>
        <v>0</v>
      </c>
      <c r="CM101" s="15">
        <f>+'ENCUESTA CONDUCTORES'!CU101</f>
        <v>0</v>
      </c>
      <c r="CN101" s="15">
        <f>IF('ENCUESTA CONDUCTORES'!CV101="X",1,0)</f>
        <v>0</v>
      </c>
      <c r="CO101" s="15">
        <f>+'ENCUESTA CONDUCTORES'!CW101</f>
        <v>0</v>
      </c>
      <c r="CP101" s="15">
        <f>IF('ENCUESTA CONDUCTORES'!CX101="X",1,0)</f>
        <v>1</v>
      </c>
      <c r="CQ101" s="15">
        <f>IF('ENCUESTA CONDUCTORES'!CY101="X",1,0)</f>
        <v>1</v>
      </c>
      <c r="CR101" s="3">
        <f>+'ENCUESTA CONDUCTORES'!CZ101</f>
        <v>0</v>
      </c>
      <c r="CS101" s="49">
        <f>+'ENCUESTA CONDUCTORES'!DA101</f>
        <v>0</v>
      </c>
    </row>
    <row r="102" spans="2:97" x14ac:dyDescent="0.25">
      <c r="B102" s="14" t="str">
        <f>+'ENCUESTA CONDUCTORES'!D102</f>
        <v>C-108</v>
      </c>
      <c r="C102" s="15">
        <f>IF('ENCUESTA CONDUCTORES'!E102="X",1,0)</f>
        <v>0</v>
      </c>
      <c r="D102" s="15">
        <f>IF('ENCUESTA CONDUCTORES'!F102="X",1,0)</f>
        <v>0</v>
      </c>
      <c r="E102" s="15">
        <f>IF('ENCUESTA CONDUCTORES'!G102="X",1,0)</f>
        <v>1</v>
      </c>
      <c r="F102" s="15">
        <f>IF('ENCUESTA CONDUCTORES'!H102="X",1,0)</f>
        <v>0</v>
      </c>
      <c r="G102" s="15">
        <f>+'ENCUESTA CONDUCTORES'!I102</f>
        <v>38</v>
      </c>
      <c r="H102" s="15" t="str">
        <f>+'ENCUESTA CONDUCTORES'!J102</f>
        <v>M</v>
      </c>
      <c r="I102" s="15" t="str">
        <f>+'ENCUESTA CONDUCTORES'!K102</f>
        <v>PREPARATORIA</v>
      </c>
      <c r="J102" s="15" t="str">
        <f>+'ENCUESTA CONDUCTORES'!L102</f>
        <v>CUAUHTÉMOC, D.F.</v>
      </c>
      <c r="K102" s="50" t="str">
        <f>+'ENCUESTA CONDUCTORES'!M102</f>
        <v>CUAUHTÉMOC</v>
      </c>
      <c r="L102" s="15" t="str">
        <f>+'ENCUESTA CONDUCTORES'!N102</f>
        <v>D.F.</v>
      </c>
      <c r="M102" s="15">
        <f>+'ENCUESTA CONDUCTORES'!O102</f>
        <v>5</v>
      </c>
      <c r="N102" s="15">
        <f>IF('ENCUESTA CONDUCTORES'!P102="X",1,0)</f>
        <v>1</v>
      </c>
      <c r="O102" s="15">
        <f>IF('ENCUESTA CONDUCTORES'!Q102="X",1,0)</f>
        <v>0</v>
      </c>
      <c r="P102" s="15">
        <f>IF('ENCUESTA CONDUCTORES'!R102="X",1,0)</f>
        <v>0</v>
      </c>
      <c r="Q102" s="15">
        <f>IF('ENCUESTA CONDUCTORES'!S102="X",1,0)</f>
        <v>0</v>
      </c>
      <c r="R102" s="15">
        <f>IF('ENCUESTA CONDUCTORES'!T102="X",1,0)</f>
        <v>0</v>
      </c>
      <c r="S102" s="15">
        <f>IF('ENCUESTA CONDUCTORES'!U102="X",1,0)</f>
        <v>0</v>
      </c>
      <c r="T102" s="15">
        <f>IF('ENCUESTA CONDUCTORES'!V102="X",1,0)</f>
        <v>1</v>
      </c>
      <c r="U102" s="15">
        <f>IF('ENCUESTA CONDUCTORES'!W102="X",1,0)</f>
        <v>0</v>
      </c>
      <c r="V102" s="15">
        <f>IF('ENCUESTA CONDUCTORES'!X102="X",1,0)</f>
        <v>0</v>
      </c>
      <c r="W102" s="15">
        <f>IF('ENCUESTA CONDUCTORES'!Y102="X",1,0)</f>
        <v>0</v>
      </c>
      <c r="X102" s="15">
        <f>IF('ENCUESTA CONDUCTORES'!Z102="X",1,0)</f>
        <v>0</v>
      </c>
      <c r="Y102" s="15">
        <f>+'ENCUESTA CONDUCTORES'!AG102</f>
        <v>0</v>
      </c>
      <c r="Z102" s="15">
        <f>+'ENCUESTA CONDUCTORES'!AH102</f>
        <v>2005</v>
      </c>
      <c r="AA102" s="1">
        <f>+'ENCUESTA CONDUCTORES'!AI102</f>
        <v>1100000</v>
      </c>
      <c r="AB102" s="15">
        <f>IF('ENCUESTA CONDUCTORES'!AJ102="X",1,0)</f>
        <v>0</v>
      </c>
      <c r="AC102" s="15">
        <f>IF('ENCUESTA CONDUCTORES'!AK102="X",1,0)</f>
        <v>0</v>
      </c>
      <c r="AD102" s="15">
        <f>IF('ENCUESTA CONDUCTORES'!AL102="X",1,0)</f>
        <v>1</v>
      </c>
      <c r="AE102" s="15">
        <f>IF('ENCUESTA CONDUCTORES'!AM102="X",1,0)</f>
        <v>0</v>
      </c>
      <c r="AF102" s="15">
        <f>IF('ENCUESTA CONDUCTORES'!AN102="X",1,0)</f>
        <v>0</v>
      </c>
      <c r="AG102" s="15">
        <f>IF('ENCUESTA CONDUCTORES'!AO102="X",1,0)</f>
        <v>0</v>
      </c>
      <c r="AH102" s="15">
        <f>IF('ENCUESTA CONDUCTORES'!AP102="X",1,0)</f>
        <v>1</v>
      </c>
      <c r="AI102" s="15">
        <f>IF('ENCUESTA CONDUCTORES'!AQ102="X",1,0)</f>
        <v>0</v>
      </c>
      <c r="AJ102" s="15">
        <f>IF('ENCUESTA CONDUCTORES'!AR102="X",1,0)</f>
        <v>0</v>
      </c>
      <c r="AK102" s="15">
        <f>+'ENCUESTA CONDUCTORES'!AS102</f>
        <v>0</v>
      </c>
      <c r="AL102" s="15" t="str">
        <f>+'ENCUESTA CONDUCTORES'!AT102</f>
        <v>INTERNATIONAL</v>
      </c>
      <c r="AM102" s="1">
        <f>+'ENCUESTA CONDUCTORES'!AU102</f>
        <v>10000</v>
      </c>
      <c r="AN102" s="48">
        <f>+'ENCUESTA CONDUCTORES'!AV102</f>
        <v>0.5</v>
      </c>
      <c r="AO102" s="15">
        <f>+'ENCUESTA CONDUCTORES'!AW102</f>
        <v>2.5</v>
      </c>
      <c r="AP102" s="15">
        <f>+'ENCUESTA CONDUCTORES'!AX102</f>
        <v>2</v>
      </c>
      <c r="AQ102" s="15">
        <f>+'ENCUESTA CONDUCTORES'!AY102</f>
        <v>1</v>
      </c>
      <c r="AR102" s="15">
        <f>+'ENCUESTA CONDUCTORES'!AZ102</f>
        <v>520</v>
      </c>
      <c r="AS102" s="15">
        <f>+'ENCUESTA CONDUCTORES'!BA102</f>
        <v>1200</v>
      </c>
      <c r="AT102" s="15">
        <f>IF('ENCUESTA CONDUCTORES'!BB102="X",1,0)</f>
        <v>0</v>
      </c>
      <c r="AU102" s="15">
        <f>IF('ENCUESTA CONDUCTORES'!BC102="X",1,0)</f>
        <v>1</v>
      </c>
      <c r="AV102" s="15">
        <f>IF('ENCUESTA CONDUCTORES'!BD102="X",1,0)</f>
        <v>0</v>
      </c>
      <c r="AW102" s="1">
        <f>+'ENCUESTA CONDUCTORES'!BE102</f>
        <v>30000</v>
      </c>
      <c r="AX102" s="1">
        <f>+'ENCUESTA CONDUCTORES'!BF102</f>
        <v>30000</v>
      </c>
      <c r="AY102" s="1">
        <f>+'ENCUESTA CONDUCTORES'!BG102</f>
        <v>30000</v>
      </c>
      <c r="AZ102" s="1">
        <f>+'ENCUESTA CONDUCTORES'!BH102</f>
        <v>60000</v>
      </c>
      <c r="BA102" s="1">
        <f>+'ENCUESTA CONDUCTORES'!BI102</f>
        <v>30000</v>
      </c>
      <c r="BB102" s="15">
        <f>IF('ENCUESTA CONDUCTORES'!BJ102="X",1,0)</f>
        <v>1</v>
      </c>
      <c r="BC102" s="15">
        <f>IF('ENCUESTA CONDUCTORES'!BK102="X",1,0)</f>
        <v>0</v>
      </c>
      <c r="BD102" s="15">
        <f>IF('ENCUESTA CONDUCTORES'!BL102="X",1,0)</f>
        <v>0</v>
      </c>
      <c r="BE102" s="15">
        <f>IF('ENCUESTA CONDUCTORES'!BM102="X",1,0)</f>
        <v>0</v>
      </c>
      <c r="BF102" s="15">
        <f>IF('ENCUESTA CONDUCTORES'!BN102="X",1,0)</f>
        <v>0</v>
      </c>
      <c r="BG102" s="15">
        <f>IF('ENCUESTA CONDUCTORES'!BO102="X",1,0)</f>
        <v>0</v>
      </c>
      <c r="BH102" s="15">
        <f>IF('ENCUESTA CONDUCTORES'!BP102="X",1,0)</f>
        <v>0</v>
      </c>
      <c r="BI102" s="15">
        <f>IF('ENCUESTA CONDUCTORES'!BQ102="X",1,0)</f>
        <v>0</v>
      </c>
      <c r="BJ102" s="15">
        <f>IF('ENCUESTA CONDUCTORES'!BR102="X",1,0)</f>
        <v>0</v>
      </c>
      <c r="BK102" s="15">
        <f>+'ENCUESTA CONDUCTORES'!BS102</f>
        <v>0</v>
      </c>
      <c r="BL102" s="15">
        <f>IF('ENCUESTA CONDUCTORES'!BT102="X",1,0)</f>
        <v>0</v>
      </c>
      <c r="BM102" s="15">
        <f>IF('ENCUESTA CONDUCTORES'!BU102="X",1,0)</f>
        <v>0</v>
      </c>
      <c r="BN102" s="15">
        <f>IF('ENCUESTA CONDUCTORES'!BV102="X",1,0)</f>
        <v>0</v>
      </c>
      <c r="BO102" s="15">
        <f>IF('ENCUESTA CONDUCTORES'!BW102="X",1,0)</f>
        <v>1</v>
      </c>
      <c r="BP102" s="15">
        <f>+'ENCUESTA CONDUCTORES'!BX102</f>
        <v>1</v>
      </c>
      <c r="BQ102" s="15">
        <f>+'ENCUESTA CONDUCTORES'!BY102</f>
        <v>3</v>
      </c>
      <c r="BR102" s="15">
        <f>+'ENCUESTA CONDUCTORES'!BZ102</f>
        <v>2</v>
      </c>
      <c r="BS102" s="15">
        <f>+'ENCUESTA CONDUCTORES'!CA102</f>
        <v>0</v>
      </c>
      <c r="BT102" s="15">
        <f>IF('ENCUESTA CONDUCTORES'!CB102="X",1,0)</f>
        <v>0</v>
      </c>
      <c r="BU102" s="15">
        <f>IF('ENCUESTA CONDUCTORES'!CC102="X",1,0)</f>
        <v>1</v>
      </c>
      <c r="BV102" s="15">
        <f>IF('ENCUESTA CONDUCTORES'!CD102="X",1,0)</f>
        <v>0</v>
      </c>
      <c r="BW102" s="15">
        <f>IF('ENCUESTA CONDUCTORES'!CE102="X",1,0)</f>
        <v>0</v>
      </c>
      <c r="BX102" s="15">
        <f>IF('ENCUESTA CONDUCTORES'!CF102="X",1,0)</f>
        <v>0</v>
      </c>
      <c r="BY102" s="15">
        <f>IF('ENCUESTA CONDUCTORES'!CG102="X",1,0)</f>
        <v>0</v>
      </c>
      <c r="BZ102" s="15">
        <f>IF('ENCUESTA CONDUCTORES'!CH102="X",1,0)</f>
        <v>1</v>
      </c>
      <c r="CA102" s="15">
        <f>IF('ENCUESTA CONDUCTORES'!CI102="X",1,0)</f>
        <v>1</v>
      </c>
      <c r="CB102" s="15">
        <f>IF('ENCUESTA CONDUCTORES'!CJ102="X",1,0)</f>
        <v>0</v>
      </c>
      <c r="CC102" s="15">
        <f>IF('ENCUESTA CONDUCTORES'!CK102="X",1,0)</f>
        <v>1</v>
      </c>
      <c r="CD102" s="15">
        <f>IF('ENCUESTA CONDUCTORES'!CL102="X",1,0)</f>
        <v>0</v>
      </c>
      <c r="CE102" s="15">
        <f>IF('ENCUESTA CONDUCTORES'!CM102="X",1,0)</f>
        <v>0</v>
      </c>
      <c r="CF102" s="15">
        <f>+'ENCUESTA CONDUCTORES'!CN102</f>
        <v>0</v>
      </c>
      <c r="CG102" s="15">
        <f>IF('ENCUESTA CONDUCTORES'!CO102="X",1,0)</f>
        <v>0</v>
      </c>
      <c r="CH102" s="15" t="str">
        <f>+'ENCUESTA CONDUCTORES'!CP102</f>
        <v>NO SABE</v>
      </c>
      <c r="CI102" s="15" t="str">
        <f>+'ENCUESTA CONDUCTORES'!CQ102</f>
        <v>DARLO A CONOCER</v>
      </c>
      <c r="CJ102" s="15">
        <f>IF('ENCUESTA CONDUCTORES'!CR102="X",1,0)</f>
        <v>0</v>
      </c>
      <c r="CK102" s="15">
        <f>IF('ENCUESTA CONDUCTORES'!CS102="X",1,0)</f>
        <v>1</v>
      </c>
      <c r="CL102" s="15">
        <f>IF('ENCUESTA CONDUCTORES'!CT102="X",1,0)</f>
        <v>1</v>
      </c>
      <c r="CM102" s="15">
        <f>+'ENCUESTA CONDUCTORES'!CU102</f>
        <v>0</v>
      </c>
      <c r="CN102" s="15">
        <f>IF('ENCUESTA CONDUCTORES'!CV102="X",1,0)</f>
        <v>1</v>
      </c>
      <c r="CO102" s="15" t="str">
        <f>+'ENCUESTA CONDUCTORES'!CW102</f>
        <v>NO TIENE TIEMPO</v>
      </c>
      <c r="CP102" s="15">
        <f>IF('ENCUESTA CONDUCTORES'!CX102="X",1,0)</f>
        <v>0</v>
      </c>
      <c r="CQ102" s="15">
        <f>IF('ENCUESTA CONDUCTORES'!CY102="X",1,0)</f>
        <v>0</v>
      </c>
      <c r="CR102" s="3">
        <f>+'ENCUESTA CONDUCTORES'!CZ102</f>
        <v>0</v>
      </c>
      <c r="CS102" s="49">
        <f>+'ENCUESTA CONDUCTORES'!DA102</f>
        <v>0</v>
      </c>
    </row>
    <row r="103" spans="2:97" x14ac:dyDescent="0.25">
      <c r="B103" s="14" t="str">
        <f>+'ENCUESTA CONDUCTORES'!D103</f>
        <v>C-109</v>
      </c>
      <c r="C103" s="15">
        <f>IF('ENCUESTA CONDUCTORES'!E103="X",1,0)</f>
        <v>0</v>
      </c>
      <c r="D103" s="15">
        <f>IF('ENCUESTA CONDUCTORES'!F103="X",1,0)</f>
        <v>1</v>
      </c>
      <c r="E103" s="15">
        <f>IF('ENCUESTA CONDUCTORES'!G103="X",1,0)</f>
        <v>0</v>
      </c>
      <c r="F103" s="15">
        <f>IF('ENCUESTA CONDUCTORES'!H103="X",1,0)</f>
        <v>0</v>
      </c>
      <c r="G103" s="15">
        <f>+'ENCUESTA CONDUCTORES'!I103</f>
        <v>28</v>
      </c>
      <c r="H103" s="15" t="str">
        <f>+'ENCUESTA CONDUCTORES'!J103</f>
        <v>M</v>
      </c>
      <c r="I103" s="15" t="str">
        <f>+'ENCUESTA CONDUCTORES'!K103</f>
        <v>SECUNDARIA</v>
      </c>
      <c r="J103" s="15" t="str">
        <f>+'ENCUESTA CONDUCTORES'!L103</f>
        <v>TLALNEPANTLA, EDO. MEX.</v>
      </c>
      <c r="K103" s="15" t="str">
        <f>+'ENCUESTA CONDUCTORES'!M103</f>
        <v>TLALNEPANTLA</v>
      </c>
      <c r="L103" s="15" t="str">
        <f>+'ENCUESTA CONDUCTORES'!N103</f>
        <v>EDO. MEX.</v>
      </c>
      <c r="M103" s="15">
        <f>+'ENCUESTA CONDUCTORES'!O103</f>
        <v>5</v>
      </c>
      <c r="N103" s="15">
        <f>IF('ENCUESTA CONDUCTORES'!P103="X",1,0)</f>
        <v>0</v>
      </c>
      <c r="O103" s="15">
        <f>IF('ENCUESTA CONDUCTORES'!Q103="X",1,0)</f>
        <v>0</v>
      </c>
      <c r="P103" s="15">
        <f>IF('ENCUESTA CONDUCTORES'!R103="X",1,0)</f>
        <v>0</v>
      </c>
      <c r="Q103" s="15">
        <f>IF('ENCUESTA CONDUCTORES'!S103="X",1,0)</f>
        <v>1</v>
      </c>
      <c r="R103" s="15">
        <f>IF('ENCUESTA CONDUCTORES'!T103="X",1,0)</f>
        <v>0</v>
      </c>
      <c r="S103" s="15">
        <f>IF('ENCUESTA CONDUCTORES'!U103="X",1,0)</f>
        <v>1</v>
      </c>
      <c r="T103" s="15">
        <f>IF('ENCUESTA CONDUCTORES'!V103="X",1,0)</f>
        <v>0</v>
      </c>
      <c r="U103" s="15">
        <f>IF('ENCUESTA CONDUCTORES'!W103="X",1,0)</f>
        <v>0</v>
      </c>
      <c r="V103" s="15">
        <f>IF('ENCUESTA CONDUCTORES'!X103="X",1,0)</f>
        <v>0</v>
      </c>
      <c r="W103" s="15">
        <f>IF('ENCUESTA CONDUCTORES'!Y103="X",1,0)</f>
        <v>0</v>
      </c>
      <c r="X103" s="15">
        <f>IF('ENCUESTA CONDUCTORES'!Z103="X",1,0)</f>
        <v>0</v>
      </c>
      <c r="Y103" s="15">
        <f>+'ENCUESTA CONDUCTORES'!AG103</f>
        <v>0</v>
      </c>
      <c r="Z103" s="15">
        <f>+'ENCUESTA CONDUCTORES'!AH103</f>
        <v>2000</v>
      </c>
      <c r="AA103" s="1">
        <f>+'ENCUESTA CONDUCTORES'!AI103</f>
        <v>1000000</v>
      </c>
      <c r="AB103" s="15">
        <f>IF('ENCUESTA CONDUCTORES'!AJ103="X",1,0)</f>
        <v>0</v>
      </c>
      <c r="AC103" s="15">
        <f>IF('ENCUESTA CONDUCTORES'!AK103="X",1,0)</f>
        <v>0</v>
      </c>
      <c r="AD103" s="15">
        <f>IF('ENCUESTA CONDUCTORES'!AL103="X",1,0)</f>
        <v>1</v>
      </c>
      <c r="AE103" s="15">
        <f>IF('ENCUESTA CONDUCTORES'!AM103="X",1,0)</f>
        <v>0</v>
      </c>
      <c r="AF103" s="15">
        <f>IF('ENCUESTA CONDUCTORES'!AN103="X",1,0)</f>
        <v>0</v>
      </c>
      <c r="AG103" s="15">
        <f>IF('ENCUESTA CONDUCTORES'!AO103="X",1,0)</f>
        <v>0</v>
      </c>
      <c r="AH103" s="15">
        <f>IF('ENCUESTA CONDUCTORES'!AP103="X",1,0)</f>
        <v>1</v>
      </c>
      <c r="AI103" s="15">
        <f>IF('ENCUESTA CONDUCTORES'!AQ103="X",1,0)</f>
        <v>0</v>
      </c>
      <c r="AJ103" s="15">
        <f>IF('ENCUESTA CONDUCTORES'!AR103="X",1,0)</f>
        <v>0</v>
      </c>
      <c r="AK103" s="15">
        <f>+'ENCUESTA CONDUCTORES'!AS103</f>
        <v>0</v>
      </c>
      <c r="AL103" s="15" t="str">
        <f>+'ENCUESTA CONDUCTORES'!AT103</f>
        <v>KENWORTH</v>
      </c>
      <c r="AM103" s="1">
        <f>+'ENCUESTA CONDUCTORES'!AU103</f>
        <v>6500</v>
      </c>
      <c r="AN103" s="48">
        <f>+'ENCUESTA CONDUCTORES'!AV103</f>
        <v>0.5</v>
      </c>
      <c r="AO103" s="15">
        <f>+'ENCUESTA CONDUCTORES'!AW103</f>
        <v>2</v>
      </c>
      <c r="AP103" s="15">
        <f>+'ENCUESTA CONDUCTORES'!AX103</f>
        <v>1.8</v>
      </c>
      <c r="AQ103" s="15">
        <f>+'ENCUESTA CONDUCTORES'!AY103</f>
        <v>2</v>
      </c>
      <c r="AR103" s="15">
        <f>+'ENCUESTA CONDUCTORES'!AZ103</f>
        <v>680</v>
      </c>
      <c r="AS103" s="15">
        <f>+'ENCUESTA CONDUCTORES'!BA103</f>
        <v>1300</v>
      </c>
      <c r="AT103" s="15">
        <f>IF('ENCUESTA CONDUCTORES'!BB103="X",1,0)</f>
        <v>1</v>
      </c>
      <c r="AU103" s="15">
        <f>IF('ENCUESTA CONDUCTORES'!BC103="X",1,0)</f>
        <v>1</v>
      </c>
      <c r="AV103" s="15">
        <f>IF('ENCUESTA CONDUCTORES'!BD103="X",1,0)</f>
        <v>1</v>
      </c>
      <c r="AW103" s="1">
        <f>+'ENCUESTA CONDUCTORES'!BE103</f>
        <v>18000</v>
      </c>
      <c r="AX103" s="1">
        <f>+'ENCUESTA CONDUCTORES'!BF103</f>
        <v>10000</v>
      </c>
      <c r="AY103" s="1">
        <f>+'ENCUESTA CONDUCTORES'!BG103</f>
        <v>18000</v>
      </c>
      <c r="AZ103" s="1">
        <f>+'ENCUESTA CONDUCTORES'!BH103</f>
        <v>120000</v>
      </c>
      <c r="BA103" s="1">
        <f>+'ENCUESTA CONDUCTORES'!BI103</f>
        <v>18000</v>
      </c>
      <c r="BB103" s="15">
        <f>IF('ENCUESTA CONDUCTORES'!BJ103="X",1,0)</f>
        <v>0</v>
      </c>
      <c r="BC103" s="15">
        <f>IF('ENCUESTA CONDUCTORES'!BK103="X",1,0)</f>
        <v>0</v>
      </c>
      <c r="BD103" s="15">
        <f>IF('ENCUESTA CONDUCTORES'!BL103="X",1,0)</f>
        <v>0</v>
      </c>
      <c r="BE103" s="15">
        <f>IF('ENCUESTA CONDUCTORES'!BM103="X",1,0)</f>
        <v>1</v>
      </c>
      <c r="BF103" s="15">
        <f>IF('ENCUESTA CONDUCTORES'!BN103="X",1,0)</f>
        <v>0</v>
      </c>
      <c r="BG103" s="15">
        <f>IF('ENCUESTA CONDUCTORES'!BO103="X",1,0)</f>
        <v>0</v>
      </c>
      <c r="BH103" s="15">
        <f>IF('ENCUESTA CONDUCTORES'!BP103="X",1,0)</f>
        <v>0</v>
      </c>
      <c r="BI103" s="15">
        <f>IF('ENCUESTA CONDUCTORES'!BQ103="X",1,0)</f>
        <v>0</v>
      </c>
      <c r="BJ103" s="15">
        <f>IF('ENCUESTA CONDUCTORES'!BR103="X",1,0)</f>
        <v>0</v>
      </c>
      <c r="BK103" s="15">
        <f>+'ENCUESTA CONDUCTORES'!BS103</f>
        <v>0</v>
      </c>
      <c r="BL103" s="15">
        <f>IF('ENCUESTA CONDUCTORES'!BT103="X",1,0)</f>
        <v>0</v>
      </c>
      <c r="BM103" s="15">
        <f>IF('ENCUESTA CONDUCTORES'!BU103="X",1,0)</f>
        <v>1</v>
      </c>
      <c r="BN103" s="15">
        <f>IF('ENCUESTA CONDUCTORES'!BV103="X",1,0)</f>
        <v>0</v>
      </c>
      <c r="BO103" s="15">
        <f>IF('ENCUESTA CONDUCTORES'!BW103="X",1,0)</f>
        <v>0</v>
      </c>
      <c r="BP103" s="15">
        <f>+'ENCUESTA CONDUCTORES'!BX103</f>
        <v>1</v>
      </c>
      <c r="BQ103" s="15">
        <f>+'ENCUESTA CONDUCTORES'!BY103</f>
        <v>3</v>
      </c>
      <c r="BR103" s="15">
        <f>+'ENCUESTA CONDUCTORES'!BZ103</f>
        <v>2</v>
      </c>
      <c r="BS103" s="15">
        <f>+'ENCUESTA CONDUCTORES'!CA103</f>
        <v>0</v>
      </c>
      <c r="BT103" s="15">
        <f>IF('ENCUESTA CONDUCTORES'!CB103="X",1,0)</f>
        <v>1</v>
      </c>
      <c r="BU103" s="15">
        <f>IF('ENCUESTA CONDUCTORES'!CC103="X",1,0)</f>
        <v>0</v>
      </c>
      <c r="BV103" s="15">
        <f>IF('ENCUESTA CONDUCTORES'!CD103="X",1,0)</f>
        <v>0</v>
      </c>
      <c r="BW103" s="15">
        <f>IF('ENCUESTA CONDUCTORES'!CE103="X",1,0)</f>
        <v>0</v>
      </c>
      <c r="BX103" s="15">
        <f>IF('ENCUESTA CONDUCTORES'!CF103="X",1,0)</f>
        <v>0</v>
      </c>
      <c r="BY103" s="15">
        <f>IF('ENCUESTA CONDUCTORES'!CG103="X",1,0)</f>
        <v>0</v>
      </c>
      <c r="BZ103" s="15">
        <f>IF('ENCUESTA CONDUCTORES'!CH103="X",1,0)</f>
        <v>0</v>
      </c>
      <c r="CA103" s="15">
        <f>IF('ENCUESTA CONDUCTORES'!CI103="X",1,0)</f>
        <v>0</v>
      </c>
      <c r="CB103" s="15">
        <f>IF('ENCUESTA CONDUCTORES'!CJ103="X",1,0)</f>
        <v>0</v>
      </c>
      <c r="CC103" s="15">
        <f>IF('ENCUESTA CONDUCTORES'!CK103="X",1,0)</f>
        <v>1</v>
      </c>
      <c r="CD103" s="15">
        <f>IF('ENCUESTA CONDUCTORES'!CL103="X",1,0)</f>
        <v>0</v>
      </c>
      <c r="CE103" s="15">
        <f>IF('ENCUESTA CONDUCTORES'!CM103="X",1,0)</f>
        <v>0</v>
      </c>
      <c r="CF103" s="15">
        <f>+'ENCUESTA CONDUCTORES'!CN103</f>
        <v>0</v>
      </c>
      <c r="CG103" s="15">
        <f>IF('ENCUESTA CONDUCTORES'!CO103="X",1,0)</f>
        <v>0</v>
      </c>
      <c r="CH103" s="15" t="str">
        <f>+'ENCUESTA CONDUCTORES'!CP103</f>
        <v>NO SABE</v>
      </c>
      <c r="CI103" s="15" t="str">
        <f>+'ENCUESTA CONDUCTORES'!CQ103</f>
        <v>DARLO A CONOCER</v>
      </c>
      <c r="CJ103" s="15">
        <f>IF('ENCUESTA CONDUCTORES'!CR103="X",1,0)</f>
        <v>0</v>
      </c>
      <c r="CK103" s="15">
        <f>IF('ENCUESTA CONDUCTORES'!CS103="X",1,0)</f>
        <v>0</v>
      </c>
      <c r="CL103" s="15">
        <f>IF('ENCUESTA CONDUCTORES'!CT103="X",1,0)</f>
        <v>1</v>
      </c>
      <c r="CM103" s="15">
        <f>+'ENCUESTA CONDUCTORES'!CU103</f>
        <v>0</v>
      </c>
      <c r="CN103" s="15">
        <f>IF('ENCUESTA CONDUCTORES'!CV103="X",1,0)</f>
        <v>0</v>
      </c>
      <c r="CO103" s="15">
        <f>+'ENCUESTA CONDUCTORES'!CW103</f>
        <v>0</v>
      </c>
      <c r="CP103" s="15">
        <f>IF('ENCUESTA CONDUCTORES'!CX103="X",1,0)</f>
        <v>1</v>
      </c>
      <c r="CQ103" s="15">
        <f>IF('ENCUESTA CONDUCTORES'!CY103="X",1,0)</f>
        <v>1</v>
      </c>
      <c r="CR103" s="3">
        <f>+'ENCUESTA CONDUCTORES'!CZ103</f>
        <v>0</v>
      </c>
      <c r="CS103" s="49">
        <f>+'ENCUESTA CONDUCTORES'!DA103</f>
        <v>0</v>
      </c>
    </row>
    <row r="104" spans="2:97" x14ac:dyDescent="0.25">
      <c r="B104" s="14" t="str">
        <f>+'ENCUESTA CONDUCTORES'!D104</f>
        <v>C-110</v>
      </c>
      <c r="C104" s="15">
        <f>IF('ENCUESTA CONDUCTORES'!E104="X",1,0)</f>
        <v>0</v>
      </c>
      <c r="D104" s="15">
        <f>IF('ENCUESTA CONDUCTORES'!F104="X",1,0)</f>
        <v>0</v>
      </c>
      <c r="E104" s="15">
        <f>IF('ENCUESTA CONDUCTORES'!G104="X",1,0)</f>
        <v>1</v>
      </c>
      <c r="F104" s="15">
        <f>IF('ENCUESTA CONDUCTORES'!H104="X",1,0)</f>
        <v>0</v>
      </c>
      <c r="G104" s="15">
        <f>+'ENCUESTA CONDUCTORES'!I104</f>
        <v>23</v>
      </c>
      <c r="H104" s="15" t="str">
        <f>+'ENCUESTA CONDUCTORES'!J104</f>
        <v>M</v>
      </c>
      <c r="I104" s="15" t="str">
        <f>+'ENCUESTA CONDUCTORES'!K104</f>
        <v>SECUNDARIA</v>
      </c>
      <c r="J104" s="15" t="str">
        <f>+'ENCUESTA CONDUCTORES'!L104</f>
        <v>IXTAPAN, EDO. MEX</v>
      </c>
      <c r="K104" s="15" t="str">
        <f>+'ENCUESTA CONDUCTORES'!M104</f>
        <v>IXTAPAN</v>
      </c>
      <c r="L104" s="15" t="str">
        <f>+'ENCUESTA CONDUCTORES'!N104</f>
        <v>EDO. MEX.</v>
      </c>
      <c r="M104" s="15">
        <f>+'ENCUESTA CONDUCTORES'!O104</f>
        <v>6</v>
      </c>
      <c r="N104" s="15">
        <f>IF('ENCUESTA CONDUCTORES'!P104="X",1,0)</f>
        <v>1</v>
      </c>
      <c r="O104" s="15">
        <f>IF('ENCUESTA CONDUCTORES'!Q104="X",1,0)</f>
        <v>0</v>
      </c>
      <c r="P104" s="15">
        <f>IF('ENCUESTA CONDUCTORES'!R104="X",1,0)</f>
        <v>0</v>
      </c>
      <c r="Q104" s="15">
        <f>IF('ENCUESTA CONDUCTORES'!S104="X",1,0)</f>
        <v>0</v>
      </c>
      <c r="R104" s="15">
        <f>IF('ENCUESTA CONDUCTORES'!T104="X",1,0)</f>
        <v>0</v>
      </c>
      <c r="S104" s="15">
        <f>IF('ENCUESTA CONDUCTORES'!U104="X",1,0)</f>
        <v>1</v>
      </c>
      <c r="T104" s="15">
        <f>IF('ENCUESTA CONDUCTORES'!V104="X",1,0)</f>
        <v>0</v>
      </c>
      <c r="U104" s="15">
        <f>IF('ENCUESTA CONDUCTORES'!W104="X",1,0)</f>
        <v>0</v>
      </c>
      <c r="V104" s="15">
        <f>IF('ENCUESTA CONDUCTORES'!X104="X",1,0)</f>
        <v>0</v>
      </c>
      <c r="W104" s="15">
        <f>IF('ENCUESTA CONDUCTORES'!Y104="X",1,0)</f>
        <v>0</v>
      </c>
      <c r="X104" s="15">
        <f>IF('ENCUESTA CONDUCTORES'!Z104="X",1,0)</f>
        <v>0</v>
      </c>
      <c r="Y104" s="15">
        <f>+'ENCUESTA CONDUCTORES'!AG104</f>
        <v>0</v>
      </c>
      <c r="Z104" s="15">
        <f>+'ENCUESTA CONDUCTORES'!AH104</f>
        <v>2012</v>
      </c>
      <c r="AA104" s="1">
        <f>+'ENCUESTA CONDUCTORES'!AI104</f>
        <v>250000</v>
      </c>
      <c r="AB104" s="15">
        <f>IF('ENCUESTA CONDUCTORES'!AJ104="X",1,0)</f>
        <v>0</v>
      </c>
      <c r="AC104" s="15">
        <f>IF('ENCUESTA CONDUCTORES'!AK104="X",1,0)</f>
        <v>0</v>
      </c>
      <c r="AD104" s="15">
        <f>IF('ENCUESTA CONDUCTORES'!AL104="X",1,0)</f>
        <v>1</v>
      </c>
      <c r="AE104" s="15">
        <f>IF('ENCUESTA CONDUCTORES'!AM104="X",1,0)</f>
        <v>0</v>
      </c>
      <c r="AF104" s="15">
        <f>IF('ENCUESTA CONDUCTORES'!AN104="X",1,0)</f>
        <v>0</v>
      </c>
      <c r="AG104" s="15">
        <f>IF('ENCUESTA CONDUCTORES'!AO104="X",1,0)</f>
        <v>1</v>
      </c>
      <c r="AH104" s="15">
        <f>IF('ENCUESTA CONDUCTORES'!AP104="X",1,0)</f>
        <v>0</v>
      </c>
      <c r="AI104" s="15">
        <f>IF('ENCUESTA CONDUCTORES'!AQ104="X",1,0)</f>
        <v>0</v>
      </c>
      <c r="AJ104" s="15">
        <f>IF('ENCUESTA CONDUCTORES'!AR104="X",1,0)</f>
        <v>0</v>
      </c>
      <c r="AK104" s="15">
        <f>+'ENCUESTA CONDUCTORES'!AS104</f>
        <v>0</v>
      </c>
      <c r="AL104" s="15" t="str">
        <f>+'ENCUESTA CONDUCTORES'!AT104</f>
        <v>INTERNATIONAL</v>
      </c>
      <c r="AM104" s="1">
        <f>+'ENCUESTA CONDUCTORES'!AU104</f>
        <v>10000</v>
      </c>
      <c r="AN104" s="48">
        <f>+'ENCUESTA CONDUCTORES'!AV104</f>
        <v>0.5</v>
      </c>
      <c r="AO104" s="15">
        <f>+'ENCUESTA CONDUCTORES'!AW104</f>
        <v>2.2000000000000002</v>
      </c>
      <c r="AP104" s="15">
        <f>+'ENCUESTA CONDUCTORES'!AX104</f>
        <v>1.9</v>
      </c>
      <c r="AQ104" s="15">
        <f>+'ENCUESTA CONDUCTORES'!AY104</f>
        <v>2</v>
      </c>
      <c r="AR104" s="15">
        <f>+'ENCUESTA CONDUCTORES'!AZ104</f>
        <v>950</v>
      </c>
      <c r="AS104" s="15">
        <f>+'ENCUESTA CONDUCTORES'!BA104</f>
        <v>2000</v>
      </c>
      <c r="AT104" s="15">
        <f>IF('ENCUESTA CONDUCTORES'!BB104="X",1,0)</f>
        <v>0</v>
      </c>
      <c r="AU104" s="15">
        <f>IF('ENCUESTA CONDUCTORES'!BC104="X",1,0)</f>
        <v>1</v>
      </c>
      <c r="AV104" s="15">
        <f>IF('ENCUESTA CONDUCTORES'!BD104="X",1,0)</f>
        <v>1</v>
      </c>
      <c r="AW104" s="1">
        <f>+'ENCUESTA CONDUCTORES'!BE104</f>
        <v>17000</v>
      </c>
      <c r="AX104" s="1">
        <f>+'ENCUESTA CONDUCTORES'!BF104</f>
        <v>30000</v>
      </c>
      <c r="AY104" s="1">
        <f>+'ENCUESTA CONDUCTORES'!BG104</f>
        <v>17000</v>
      </c>
      <c r="AZ104" s="1">
        <f>+'ENCUESTA CONDUCTORES'!BH104</f>
        <v>120000</v>
      </c>
      <c r="BA104" s="1">
        <f>+'ENCUESTA CONDUCTORES'!BI104</f>
        <v>17000</v>
      </c>
      <c r="BB104" s="15">
        <f>IF('ENCUESTA CONDUCTORES'!BJ104="X",1,0)</f>
        <v>0</v>
      </c>
      <c r="BC104" s="15">
        <f>IF('ENCUESTA CONDUCTORES'!BK104="X",1,0)</f>
        <v>0</v>
      </c>
      <c r="BD104" s="15">
        <f>IF('ENCUESTA CONDUCTORES'!BL104="X",1,0)</f>
        <v>0</v>
      </c>
      <c r="BE104" s="15">
        <f>IF('ENCUESTA CONDUCTORES'!BM104="X",1,0)</f>
        <v>1</v>
      </c>
      <c r="BF104" s="15">
        <f>IF('ENCUESTA CONDUCTORES'!BN104="X",1,0)</f>
        <v>0</v>
      </c>
      <c r="BG104" s="15">
        <f>IF('ENCUESTA CONDUCTORES'!BO104="X",1,0)</f>
        <v>0</v>
      </c>
      <c r="BH104" s="15">
        <f>IF('ENCUESTA CONDUCTORES'!BP104="X",1,0)</f>
        <v>0</v>
      </c>
      <c r="BI104" s="15">
        <f>IF('ENCUESTA CONDUCTORES'!BQ104="X",1,0)</f>
        <v>0</v>
      </c>
      <c r="BJ104" s="15">
        <f>IF('ENCUESTA CONDUCTORES'!BR104="X",1,0)</f>
        <v>0</v>
      </c>
      <c r="BK104" s="15">
        <f>+'ENCUESTA CONDUCTORES'!BS104</f>
        <v>0</v>
      </c>
      <c r="BL104" s="15">
        <f>IF('ENCUESTA CONDUCTORES'!BT104="X",1,0)</f>
        <v>0</v>
      </c>
      <c r="BM104" s="15">
        <f>IF('ENCUESTA CONDUCTORES'!BU104="X",1,0)</f>
        <v>0</v>
      </c>
      <c r="BN104" s="15">
        <f>IF('ENCUESTA CONDUCTORES'!BV104="X",1,0)</f>
        <v>1</v>
      </c>
      <c r="BO104" s="15">
        <f>IF('ENCUESTA CONDUCTORES'!BW104="X",1,0)</f>
        <v>0</v>
      </c>
      <c r="BP104" s="15">
        <f>+'ENCUESTA CONDUCTORES'!BX104</f>
        <v>2</v>
      </c>
      <c r="BQ104" s="15">
        <f>+'ENCUESTA CONDUCTORES'!BY104</f>
        <v>3</v>
      </c>
      <c r="BR104" s="15">
        <f>+'ENCUESTA CONDUCTORES'!BZ104</f>
        <v>1</v>
      </c>
      <c r="BS104" s="15">
        <f>+'ENCUESTA CONDUCTORES'!CA104</f>
        <v>0</v>
      </c>
      <c r="BT104" s="15">
        <f>IF('ENCUESTA CONDUCTORES'!CB104="X",1,0)</f>
        <v>0</v>
      </c>
      <c r="BU104" s="15">
        <f>IF('ENCUESTA CONDUCTORES'!CC104="X",1,0)</f>
        <v>1</v>
      </c>
      <c r="BV104" s="15">
        <f>IF('ENCUESTA CONDUCTORES'!CD104="X",1,0)</f>
        <v>0</v>
      </c>
      <c r="BW104" s="15">
        <f>IF('ENCUESTA CONDUCTORES'!CE104="X",1,0)</f>
        <v>0</v>
      </c>
      <c r="BX104" s="15">
        <f>IF('ENCUESTA CONDUCTORES'!CF104="X",1,0)</f>
        <v>0</v>
      </c>
      <c r="BY104" s="15">
        <f>IF('ENCUESTA CONDUCTORES'!CG104="X",1,0)</f>
        <v>0</v>
      </c>
      <c r="BZ104" s="15">
        <f>IF('ENCUESTA CONDUCTORES'!CH104="X",1,0)</f>
        <v>0</v>
      </c>
      <c r="CA104" s="15">
        <f>IF('ENCUESTA CONDUCTORES'!CI104="X",1,0)</f>
        <v>1</v>
      </c>
      <c r="CB104" s="15">
        <f>IF('ENCUESTA CONDUCTORES'!CJ104="X",1,0)</f>
        <v>0</v>
      </c>
      <c r="CC104" s="15">
        <f>IF('ENCUESTA CONDUCTORES'!CK104="X",1,0)</f>
        <v>1</v>
      </c>
      <c r="CD104" s="15">
        <f>IF('ENCUESTA CONDUCTORES'!CL104="X",1,0)</f>
        <v>0</v>
      </c>
      <c r="CE104" s="15">
        <f>IF('ENCUESTA CONDUCTORES'!CM104="X",1,0)</f>
        <v>0</v>
      </c>
      <c r="CF104" s="15">
        <f>+'ENCUESTA CONDUCTORES'!CN104</f>
        <v>0</v>
      </c>
      <c r="CG104" s="15">
        <f>IF('ENCUESTA CONDUCTORES'!CO104="X",1,0)</f>
        <v>0</v>
      </c>
      <c r="CH104" s="15" t="str">
        <f>+'ENCUESTA CONDUCTORES'!CP104</f>
        <v>NO SABE</v>
      </c>
      <c r="CI104" s="15" t="str">
        <f>+'ENCUESTA CONDUCTORES'!CQ104</f>
        <v>NO LE INTERESA</v>
      </c>
      <c r="CJ104" s="15">
        <f>IF('ENCUESTA CONDUCTORES'!CR104="X",1,0)</f>
        <v>0</v>
      </c>
      <c r="CK104" s="15">
        <f>IF('ENCUESTA CONDUCTORES'!CS104="X",1,0)</f>
        <v>0</v>
      </c>
      <c r="CL104" s="15">
        <f>IF('ENCUESTA CONDUCTORES'!CT104="X",1,0)</f>
        <v>1</v>
      </c>
      <c r="CM104" s="15">
        <f>+'ENCUESTA CONDUCTORES'!CU104</f>
        <v>0</v>
      </c>
      <c r="CN104" s="15">
        <f>IF('ENCUESTA CONDUCTORES'!CV104="X",1,0)</f>
        <v>0</v>
      </c>
      <c r="CO104" s="15">
        <f>+'ENCUESTA CONDUCTORES'!CW104</f>
        <v>0</v>
      </c>
      <c r="CP104" s="15">
        <f>IF('ENCUESTA CONDUCTORES'!CX104="X",1,0)</f>
        <v>1</v>
      </c>
      <c r="CQ104" s="15">
        <f>IF('ENCUESTA CONDUCTORES'!CY104="X",1,0)</f>
        <v>0</v>
      </c>
      <c r="CR104" s="3">
        <f>+'ENCUESTA CONDUCTORES'!CZ104</f>
        <v>0</v>
      </c>
      <c r="CS104" s="49">
        <f>+'ENCUESTA CONDUCTORES'!DA104</f>
        <v>0</v>
      </c>
    </row>
    <row r="105" spans="2:97" x14ac:dyDescent="0.25">
      <c r="B105" s="14" t="str">
        <f>+'ENCUESTA CONDUCTORES'!D105</f>
        <v>C-111</v>
      </c>
      <c r="C105" s="15">
        <f>IF('ENCUESTA CONDUCTORES'!E105="X",1,0)</f>
        <v>0</v>
      </c>
      <c r="D105" s="15">
        <f>IF('ENCUESTA CONDUCTORES'!F105="X",1,0)</f>
        <v>0</v>
      </c>
      <c r="E105" s="15">
        <f>IF('ENCUESTA CONDUCTORES'!G105="X",1,0)</f>
        <v>1</v>
      </c>
      <c r="F105" s="15">
        <f>IF('ENCUESTA CONDUCTORES'!H105="X",1,0)</f>
        <v>0</v>
      </c>
      <c r="G105" s="15">
        <f>+'ENCUESTA CONDUCTORES'!I105</f>
        <v>38</v>
      </c>
      <c r="H105" s="15" t="str">
        <f>+'ENCUESTA CONDUCTORES'!J105</f>
        <v>M</v>
      </c>
      <c r="I105" s="15" t="str">
        <f>+'ENCUESTA CONDUCTORES'!K105</f>
        <v>PRIMARIA</v>
      </c>
      <c r="J105" s="15" t="str">
        <f>+'ENCUESTA CONDUCTORES'!L105</f>
        <v>CUAJIMALPA, D.F.</v>
      </c>
      <c r="K105" s="15" t="str">
        <f>+'ENCUESTA CONDUCTORES'!M105</f>
        <v>CUAJIMALPA</v>
      </c>
      <c r="L105" s="15" t="str">
        <f>+'ENCUESTA CONDUCTORES'!N105</f>
        <v>D.F.</v>
      </c>
      <c r="M105" s="15">
        <f>+'ENCUESTA CONDUCTORES'!O105</f>
        <v>12</v>
      </c>
      <c r="N105" s="15">
        <f>IF('ENCUESTA CONDUCTORES'!P105="X",1,0)</f>
        <v>0</v>
      </c>
      <c r="O105" s="15">
        <f>IF('ENCUESTA CONDUCTORES'!Q105="X",1,0)</f>
        <v>0</v>
      </c>
      <c r="P105" s="15">
        <f>IF('ENCUESTA CONDUCTORES'!R105="X",1,0)</f>
        <v>0</v>
      </c>
      <c r="Q105" s="15">
        <f>IF('ENCUESTA CONDUCTORES'!S105="X",1,0)</f>
        <v>1</v>
      </c>
      <c r="R105" s="15">
        <f>IF('ENCUESTA CONDUCTORES'!T105="X",1,0)</f>
        <v>0</v>
      </c>
      <c r="S105" s="15">
        <f>IF('ENCUESTA CONDUCTORES'!U105="X",1,0)</f>
        <v>1</v>
      </c>
      <c r="T105" s="15">
        <f>IF('ENCUESTA CONDUCTORES'!V105="X",1,0)</f>
        <v>0</v>
      </c>
      <c r="U105" s="15">
        <f>IF('ENCUESTA CONDUCTORES'!W105="X",1,0)</f>
        <v>0</v>
      </c>
      <c r="V105" s="15">
        <f>IF('ENCUESTA CONDUCTORES'!X105="X",1,0)</f>
        <v>0</v>
      </c>
      <c r="W105" s="15">
        <f>IF('ENCUESTA CONDUCTORES'!Y105="X",1,0)</f>
        <v>0</v>
      </c>
      <c r="X105" s="15">
        <f>IF('ENCUESTA CONDUCTORES'!Z105="X",1,0)</f>
        <v>0</v>
      </c>
      <c r="Y105" s="15">
        <f>+'ENCUESTA CONDUCTORES'!AG105</f>
        <v>0</v>
      </c>
      <c r="Z105" s="15">
        <f>+'ENCUESTA CONDUCTORES'!AH105</f>
        <v>2000</v>
      </c>
      <c r="AA105" s="1">
        <f>+'ENCUESTA CONDUCTORES'!AI105</f>
        <v>1100000</v>
      </c>
      <c r="AB105" s="15">
        <f>IF('ENCUESTA CONDUCTORES'!AJ105="X",1,0)</f>
        <v>0</v>
      </c>
      <c r="AC105" s="15">
        <f>IF('ENCUESTA CONDUCTORES'!AK105="X",1,0)</f>
        <v>0</v>
      </c>
      <c r="AD105" s="15">
        <f>IF('ENCUESTA CONDUCTORES'!AL105="X",1,0)</f>
        <v>1</v>
      </c>
      <c r="AE105" s="15">
        <f>IF('ENCUESTA CONDUCTORES'!AM105="X",1,0)</f>
        <v>0</v>
      </c>
      <c r="AF105" s="15">
        <f>IF('ENCUESTA CONDUCTORES'!AN105="X",1,0)</f>
        <v>0</v>
      </c>
      <c r="AG105" s="15">
        <f>IF('ENCUESTA CONDUCTORES'!AO105="X",1,0)</f>
        <v>0</v>
      </c>
      <c r="AH105" s="15">
        <f>IF('ENCUESTA CONDUCTORES'!AP105="X",1,0)</f>
        <v>1</v>
      </c>
      <c r="AI105" s="15">
        <f>IF('ENCUESTA CONDUCTORES'!AQ105="X",1,0)</f>
        <v>0</v>
      </c>
      <c r="AJ105" s="15">
        <f>IF('ENCUESTA CONDUCTORES'!AR105="X",1,0)</f>
        <v>0</v>
      </c>
      <c r="AK105" s="15">
        <f>+'ENCUESTA CONDUCTORES'!AS105</f>
        <v>0</v>
      </c>
      <c r="AL105" s="15" t="str">
        <f>+'ENCUESTA CONDUCTORES'!AT105</f>
        <v>KENWORTH</v>
      </c>
      <c r="AM105" s="1">
        <f>+'ENCUESTA CONDUCTORES'!AU105</f>
        <v>8000</v>
      </c>
      <c r="AN105" s="48">
        <f>+'ENCUESTA CONDUCTORES'!AV105</f>
        <v>0.5</v>
      </c>
      <c r="AO105" s="15">
        <f>+'ENCUESTA CONDUCTORES'!AW105</f>
        <v>1.8</v>
      </c>
      <c r="AP105" s="15">
        <f>+'ENCUESTA CONDUCTORES'!AX105</f>
        <v>1.3</v>
      </c>
      <c r="AQ105" s="15">
        <f>+'ENCUESTA CONDUCTORES'!AY105</f>
        <v>2</v>
      </c>
      <c r="AR105" s="15">
        <f>+'ENCUESTA CONDUCTORES'!AZ105</f>
        <v>560</v>
      </c>
      <c r="AS105" s="15">
        <f>+'ENCUESTA CONDUCTORES'!BA105</f>
        <v>900</v>
      </c>
      <c r="AT105" s="15">
        <f>IF('ENCUESTA CONDUCTORES'!BB105="X",1,0)</f>
        <v>1</v>
      </c>
      <c r="AU105" s="15">
        <f>IF('ENCUESTA CONDUCTORES'!BC105="X",1,0)</f>
        <v>1</v>
      </c>
      <c r="AV105" s="15">
        <f>IF('ENCUESTA CONDUCTORES'!BD105="X",1,0)</f>
        <v>0</v>
      </c>
      <c r="AW105" s="1">
        <f>+'ENCUESTA CONDUCTORES'!BE105</f>
        <v>15000</v>
      </c>
      <c r="AX105" s="1">
        <f>+'ENCUESTA CONDUCTORES'!BF105</f>
        <v>15000</v>
      </c>
      <c r="AY105" s="1">
        <f>+'ENCUESTA CONDUCTORES'!BG105</f>
        <v>15000</v>
      </c>
      <c r="AZ105" s="1">
        <f>+'ENCUESTA CONDUCTORES'!BH105</f>
        <v>70000</v>
      </c>
      <c r="BA105" s="1">
        <f>+'ENCUESTA CONDUCTORES'!BI105</f>
        <v>15000</v>
      </c>
      <c r="BB105" s="15">
        <f>IF('ENCUESTA CONDUCTORES'!BJ105="X",1,0)</f>
        <v>0</v>
      </c>
      <c r="BC105" s="15">
        <f>IF('ENCUESTA CONDUCTORES'!BK105="X",1,0)</f>
        <v>1</v>
      </c>
      <c r="BD105" s="15">
        <f>IF('ENCUESTA CONDUCTORES'!BL105="X",1,0)</f>
        <v>0</v>
      </c>
      <c r="BE105" s="15">
        <f>IF('ENCUESTA CONDUCTORES'!BM105="X",1,0)</f>
        <v>0</v>
      </c>
      <c r="BF105" s="15">
        <f>IF('ENCUESTA CONDUCTORES'!BN105="X",1,0)</f>
        <v>0</v>
      </c>
      <c r="BG105" s="15">
        <f>IF('ENCUESTA CONDUCTORES'!BO105="X",1,0)</f>
        <v>0</v>
      </c>
      <c r="BH105" s="15">
        <f>IF('ENCUESTA CONDUCTORES'!BP105="X",1,0)</f>
        <v>0</v>
      </c>
      <c r="BI105" s="15">
        <f>IF('ENCUESTA CONDUCTORES'!BQ105="X",1,0)</f>
        <v>0</v>
      </c>
      <c r="BJ105" s="15">
        <f>IF('ENCUESTA CONDUCTORES'!BR105="X",1,0)</f>
        <v>0</v>
      </c>
      <c r="BK105" s="15">
        <f>+'ENCUESTA CONDUCTORES'!BS105</f>
        <v>0</v>
      </c>
      <c r="BL105" s="15">
        <f>IF('ENCUESTA CONDUCTORES'!BT105="X",1,0)</f>
        <v>0</v>
      </c>
      <c r="BM105" s="15">
        <f>IF('ENCUESTA CONDUCTORES'!BU105="X",1,0)</f>
        <v>0</v>
      </c>
      <c r="BN105" s="15">
        <f>IF('ENCUESTA CONDUCTORES'!BV105="X",1,0)</f>
        <v>1</v>
      </c>
      <c r="BO105" s="15">
        <f>IF('ENCUESTA CONDUCTORES'!BW105="X",1,0)</f>
        <v>0</v>
      </c>
      <c r="BP105" s="15">
        <f>+'ENCUESTA CONDUCTORES'!BX105</f>
        <v>2</v>
      </c>
      <c r="BQ105" s="15">
        <f>+'ENCUESTA CONDUCTORES'!BY105</f>
        <v>4</v>
      </c>
      <c r="BR105" s="15">
        <f>+'ENCUESTA CONDUCTORES'!BZ105</f>
        <v>3</v>
      </c>
      <c r="BS105" s="15" t="str">
        <f>+'ENCUESTA CONDUCTORES'!CA105</f>
        <v>SEGURIDAD</v>
      </c>
      <c r="BT105" s="15">
        <f>IF('ENCUESTA CONDUCTORES'!CB105="X",1,0)</f>
        <v>1</v>
      </c>
      <c r="BU105" s="15">
        <f>IF('ENCUESTA CONDUCTORES'!CC105="X",1,0)</f>
        <v>0</v>
      </c>
      <c r="BV105" s="15">
        <f>IF('ENCUESTA CONDUCTORES'!CD105="X",1,0)</f>
        <v>0</v>
      </c>
      <c r="BW105" s="15">
        <f>IF('ENCUESTA CONDUCTORES'!CE105="X",1,0)</f>
        <v>0</v>
      </c>
      <c r="BX105" s="15">
        <f>IF('ENCUESTA CONDUCTORES'!CF105="X",1,0)</f>
        <v>0</v>
      </c>
      <c r="BY105" s="15">
        <f>IF('ENCUESTA CONDUCTORES'!CG105="X",1,0)</f>
        <v>0</v>
      </c>
      <c r="BZ105" s="15">
        <f>IF('ENCUESTA CONDUCTORES'!CH105="X",1,0)</f>
        <v>0</v>
      </c>
      <c r="CA105" s="15">
        <f>IF('ENCUESTA CONDUCTORES'!CI105="X",1,0)</f>
        <v>0</v>
      </c>
      <c r="CB105" s="15">
        <f>IF('ENCUESTA CONDUCTORES'!CJ105="X",1,0)</f>
        <v>0</v>
      </c>
      <c r="CC105" s="15">
        <f>IF('ENCUESTA CONDUCTORES'!CK105="X",1,0)</f>
        <v>1</v>
      </c>
      <c r="CD105" s="15">
        <f>IF('ENCUESTA CONDUCTORES'!CL105="X",1,0)</f>
        <v>0</v>
      </c>
      <c r="CE105" s="15">
        <f>IF('ENCUESTA CONDUCTORES'!CM105="X",1,0)</f>
        <v>0</v>
      </c>
      <c r="CF105" s="15">
        <f>+'ENCUESTA CONDUCTORES'!CN105</f>
        <v>0</v>
      </c>
      <c r="CG105" s="15">
        <f>IF('ENCUESTA CONDUCTORES'!CO105="X",1,0)</f>
        <v>0</v>
      </c>
      <c r="CH105" s="15" t="str">
        <f>+'ENCUESTA CONDUCTORES'!CP105</f>
        <v>NO SABE</v>
      </c>
      <c r="CI105" s="15" t="str">
        <f>+'ENCUESTA CONDUCTORES'!CQ105</f>
        <v>DARLO A CONOCER</v>
      </c>
      <c r="CJ105" s="15">
        <f>IF('ENCUESTA CONDUCTORES'!CR105="X",1,0)</f>
        <v>0</v>
      </c>
      <c r="CK105" s="15">
        <f>IF('ENCUESTA CONDUCTORES'!CS105="X",1,0)</f>
        <v>1</v>
      </c>
      <c r="CL105" s="15">
        <f>IF('ENCUESTA CONDUCTORES'!CT105="X",1,0)</f>
        <v>1</v>
      </c>
      <c r="CM105" s="15">
        <f>+'ENCUESTA CONDUCTORES'!CU105</f>
        <v>0</v>
      </c>
      <c r="CN105" s="15">
        <f>IF('ENCUESTA CONDUCTORES'!CV105="X",1,0)</f>
        <v>0</v>
      </c>
      <c r="CO105" s="15">
        <f>+'ENCUESTA CONDUCTORES'!CW105</f>
        <v>0</v>
      </c>
      <c r="CP105" s="15">
        <f>IF('ENCUESTA CONDUCTORES'!CX105="X",1,0)</f>
        <v>1</v>
      </c>
      <c r="CQ105" s="2">
        <f>IF('ENCUESTA CONDUCTORES'!CY105="X",1,0)</f>
        <v>0</v>
      </c>
      <c r="CR105" s="4" t="str">
        <f>+'ENCUESTA CONDUCTORES'!CZ105</f>
        <v>PRIMEROS AUXILIOS</v>
      </c>
      <c r="CS105" s="49">
        <f>+'ENCUESTA CONDUCTORES'!DA105</f>
        <v>0</v>
      </c>
    </row>
    <row r="106" spans="2:97" x14ac:dyDescent="0.25">
      <c r="B106" s="14" t="str">
        <f>+'ENCUESTA CONDUCTORES'!D106</f>
        <v>C-112</v>
      </c>
      <c r="C106" s="15">
        <f>IF('ENCUESTA CONDUCTORES'!E106="X",1,0)</f>
        <v>0</v>
      </c>
      <c r="D106" s="15">
        <f>IF('ENCUESTA CONDUCTORES'!F106="X",1,0)</f>
        <v>1</v>
      </c>
      <c r="E106" s="15">
        <f>IF('ENCUESTA CONDUCTORES'!G106="X",1,0)</f>
        <v>0</v>
      </c>
      <c r="F106" s="15">
        <f>IF('ENCUESTA CONDUCTORES'!H106="X",1,0)</f>
        <v>0</v>
      </c>
      <c r="G106" s="15">
        <f>+'ENCUESTA CONDUCTORES'!I106</f>
        <v>40</v>
      </c>
      <c r="H106" s="15" t="str">
        <f>+'ENCUESTA CONDUCTORES'!J106</f>
        <v>M</v>
      </c>
      <c r="I106" s="15" t="str">
        <f>+'ENCUESTA CONDUCTORES'!K106</f>
        <v>LICENCIATURA</v>
      </c>
      <c r="J106" s="15" t="str">
        <f>+'ENCUESTA CONDUCTORES'!L106</f>
        <v>TLALPAN, D.F.</v>
      </c>
      <c r="K106" s="15" t="str">
        <f>+'ENCUESTA CONDUCTORES'!M106</f>
        <v>TLALPAN</v>
      </c>
      <c r="L106" s="15" t="str">
        <f>+'ENCUESTA CONDUCTORES'!N106</f>
        <v>D.F.</v>
      </c>
      <c r="M106" s="15">
        <f>+'ENCUESTA CONDUCTORES'!O106</f>
        <v>11</v>
      </c>
      <c r="N106" s="15">
        <f>IF('ENCUESTA CONDUCTORES'!P106="X",1,0)</f>
        <v>1</v>
      </c>
      <c r="O106" s="15">
        <f>IF('ENCUESTA CONDUCTORES'!Q106="X",1,0)</f>
        <v>0</v>
      </c>
      <c r="P106" s="15">
        <f>IF('ENCUESTA CONDUCTORES'!R106="X",1,0)</f>
        <v>0</v>
      </c>
      <c r="Q106" s="15">
        <f>IF('ENCUESTA CONDUCTORES'!S106="X",1,0)</f>
        <v>0</v>
      </c>
      <c r="R106" s="15">
        <f>IF('ENCUESTA CONDUCTORES'!T106="X",1,0)</f>
        <v>0</v>
      </c>
      <c r="S106" s="15">
        <f>IF('ENCUESTA CONDUCTORES'!U106="X",1,0)</f>
        <v>0</v>
      </c>
      <c r="T106" s="15">
        <f>IF('ENCUESTA CONDUCTORES'!V106="X",1,0)</f>
        <v>0</v>
      </c>
      <c r="U106" s="15">
        <f>IF('ENCUESTA CONDUCTORES'!W106="X",1,0)</f>
        <v>0</v>
      </c>
      <c r="V106" s="15">
        <f>IF('ENCUESTA CONDUCTORES'!X106="X",1,0)</f>
        <v>1</v>
      </c>
      <c r="W106" s="15">
        <f>IF('ENCUESTA CONDUCTORES'!Y106="X",1,0)</f>
        <v>0</v>
      </c>
      <c r="X106" s="15">
        <f>IF('ENCUESTA CONDUCTORES'!Z106="X",1,0)</f>
        <v>0</v>
      </c>
      <c r="Y106" s="15">
        <f>+'ENCUESTA CONDUCTORES'!AG106</f>
        <v>0</v>
      </c>
      <c r="Z106" s="15">
        <f>+'ENCUESTA CONDUCTORES'!AH106</f>
        <v>2009</v>
      </c>
      <c r="AA106" s="1">
        <f>+'ENCUESTA CONDUCTORES'!AI106</f>
        <v>540000</v>
      </c>
      <c r="AB106" s="15">
        <f>IF('ENCUESTA CONDUCTORES'!AJ106="X",1,0)</f>
        <v>0</v>
      </c>
      <c r="AC106" s="15">
        <f>IF('ENCUESTA CONDUCTORES'!AK106="X",1,0)</f>
        <v>0</v>
      </c>
      <c r="AD106" s="15">
        <f>IF('ENCUESTA CONDUCTORES'!AL106="X",1,0)</f>
        <v>1</v>
      </c>
      <c r="AE106" s="15">
        <f>IF('ENCUESTA CONDUCTORES'!AM106="X",1,0)</f>
        <v>0</v>
      </c>
      <c r="AF106" s="15">
        <f>IF('ENCUESTA CONDUCTORES'!AN106="X",1,0)</f>
        <v>0</v>
      </c>
      <c r="AG106" s="15">
        <f>IF('ENCUESTA CONDUCTORES'!AO106="X",1,0)</f>
        <v>0</v>
      </c>
      <c r="AH106" s="15">
        <f>IF('ENCUESTA CONDUCTORES'!AP106="X",1,0)</f>
        <v>1</v>
      </c>
      <c r="AI106" s="15">
        <f>IF('ENCUESTA CONDUCTORES'!AQ106="X",1,0)</f>
        <v>0</v>
      </c>
      <c r="AJ106" s="15">
        <f>IF('ENCUESTA CONDUCTORES'!AR106="X",1,0)</f>
        <v>0</v>
      </c>
      <c r="AK106" s="15">
        <f>+'ENCUESTA CONDUCTORES'!AS106</f>
        <v>0</v>
      </c>
      <c r="AL106" s="15" t="str">
        <f>+'ENCUESTA CONDUCTORES'!AT106</f>
        <v>VOLVO</v>
      </c>
      <c r="AM106" s="1">
        <f>+'ENCUESTA CONDUCTORES'!AU106</f>
        <v>15000</v>
      </c>
      <c r="AN106" s="48">
        <f>+'ENCUESTA CONDUCTORES'!AV106</f>
        <v>0.5</v>
      </c>
      <c r="AO106" s="15">
        <f>+'ENCUESTA CONDUCTORES'!AW106</f>
        <v>3</v>
      </c>
      <c r="AP106" s="15">
        <f>+'ENCUESTA CONDUCTORES'!AX106</f>
        <v>2.5</v>
      </c>
      <c r="AQ106" s="15">
        <f>+'ENCUESTA CONDUCTORES'!AY106</f>
        <v>1</v>
      </c>
      <c r="AR106" s="15">
        <f>+'ENCUESTA CONDUCTORES'!AZ106</f>
        <v>300</v>
      </c>
      <c r="AS106" s="15">
        <f>+'ENCUESTA CONDUCTORES'!BA106</f>
        <v>750</v>
      </c>
      <c r="AT106" s="15">
        <f>IF('ENCUESTA CONDUCTORES'!BB106="X",1,0)</f>
        <v>1</v>
      </c>
      <c r="AU106" s="15">
        <f>IF('ENCUESTA CONDUCTORES'!BC106="X",1,0)</f>
        <v>1</v>
      </c>
      <c r="AV106" s="15">
        <f>IF('ENCUESTA CONDUCTORES'!BD106="X",1,0)</f>
        <v>0</v>
      </c>
      <c r="AW106" s="1">
        <f>+'ENCUESTA CONDUCTORES'!BE106</f>
        <v>10000</v>
      </c>
      <c r="AX106" s="1">
        <f>+'ENCUESTA CONDUCTORES'!BF106</f>
        <v>40000</v>
      </c>
      <c r="AY106" s="1">
        <f>+'ENCUESTA CONDUCTORES'!BG106</f>
        <v>40000</v>
      </c>
      <c r="AZ106" s="1">
        <f>+'ENCUESTA CONDUCTORES'!BH106</f>
        <v>100000</v>
      </c>
      <c r="BA106" s="1">
        <f>+'ENCUESTA CONDUCTORES'!BI106</f>
        <v>40000</v>
      </c>
      <c r="BB106" s="15">
        <f>IF('ENCUESTA CONDUCTORES'!BJ106="X",1,0)</f>
        <v>1</v>
      </c>
      <c r="BC106" s="15">
        <f>IF('ENCUESTA CONDUCTORES'!BK106="X",1,0)</f>
        <v>0</v>
      </c>
      <c r="BD106" s="15">
        <f>IF('ENCUESTA CONDUCTORES'!BL106="X",1,0)</f>
        <v>0</v>
      </c>
      <c r="BE106" s="15">
        <f>IF('ENCUESTA CONDUCTORES'!BM106="X",1,0)</f>
        <v>0</v>
      </c>
      <c r="BF106" s="15">
        <f>IF('ENCUESTA CONDUCTORES'!BN106="X",1,0)</f>
        <v>0</v>
      </c>
      <c r="BG106" s="15">
        <f>IF('ENCUESTA CONDUCTORES'!BO106="X",1,0)</f>
        <v>0</v>
      </c>
      <c r="BH106" s="15">
        <f>IF('ENCUESTA CONDUCTORES'!BP106="X",1,0)</f>
        <v>0</v>
      </c>
      <c r="BI106" s="15">
        <f>IF('ENCUESTA CONDUCTORES'!BQ106="X",1,0)</f>
        <v>0</v>
      </c>
      <c r="BJ106" s="15">
        <f>IF('ENCUESTA CONDUCTORES'!BR106="X",1,0)</f>
        <v>0</v>
      </c>
      <c r="BK106" s="15">
        <f>+'ENCUESTA CONDUCTORES'!BS106</f>
        <v>0</v>
      </c>
      <c r="BL106" s="15">
        <f>IF('ENCUESTA CONDUCTORES'!BT106="X",1,0)</f>
        <v>0</v>
      </c>
      <c r="BM106" s="15">
        <f>IF('ENCUESTA CONDUCTORES'!BU106="X",1,0)</f>
        <v>1</v>
      </c>
      <c r="BN106" s="15">
        <f>IF('ENCUESTA CONDUCTORES'!BV106="X",1,0)</f>
        <v>0</v>
      </c>
      <c r="BO106" s="15">
        <f>IF('ENCUESTA CONDUCTORES'!BW106="X",1,0)</f>
        <v>0</v>
      </c>
      <c r="BP106" s="15">
        <f>+'ENCUESTA CONDUCTORES'!BX106</f>
        <v>1</v>
      </c>
      <c r="BQ106" s="15">
        <f>+'ENCUESTA CONDUCTORES'!BY106</f>
        <v>3</v>
      </c>
      <c r="BR106" s="15">
        <f>+'ENCUESTA CONDUCTORES'!BZ106</f>
        <v>2</v>
      </c>
      <c r="BS106" s="15">
        <f>+'ENCUESTA CONDUCTORES'!CA106</f>
        <v>0</v>
      </c>
      <c r="BT106" s="15">
        <f>IF('ENCUESTA CONDUCTORES'!CB106="X",1,0)</f>
        <v>0</v>
      </c>
      <c r="BU106" s="15">
        <f>IF('ENCUESTA CONDUCTORES'!CC106="X",1,0)</f>
        <v>1</v>
      </c>
      <c r="BV106" s="15">
        <f>IF('ENCUESTA CONDUCTORES'!CD106="X",1,0)</f>
        <v>0</v>
      </c>
      <c r="BW106" s="15">
        <f>IF('ENCUESTA CONDUCTORES'!CE106="X",1,0)</f>
        <v>0</v>
      </c>
      <c r="BX106" s="15">
        <f>IF('ENCUESTA CONDUCTORES'!CF106="X",1,0)</f>
        <v>1</v>
      </c>
      <c r="BY106" s="15">
        <f>IF('ENCUESTA CONDUCTORES'!CG106="X",1,0)</f>
        <v>1</v>
      </c>
      <c r="BZ106" s="15">
        <f>IF('ENCUESTA CONDUCTORES'!CH106="X",1,0)</f>
        <v>1</v>
      </c>
      <c r="CA106" s="15">
        <f>IF('ENCUESTA CONDUCTORES'!CI106="X",1,0)</f>
        <v>1</v>
      </c>
      <c r="CB106" s="15">
        <f>IF('ENCUESTA CONDUCTORES'!CJ106="X",1,0)</f>
        <v>0</v>
      </c>
      <c r="CC106" s="15">
        <f>IF('ENCUESTA CONDUCTORES'!CK106="X",1,0)</f>
        <v>1</v>
      </c>
      <c r="CD106" s="15">
        <f>IF('ENCUESTA CONDUCTORES'!CL106="X",1,0)</f>
        <v>0</v>
      </c>
      <c r="CE106" s="15">
        <f>IF('ENCUESTA CONDUCTORES'!CM106="X",1,0)</f>
        <v>0</v>
      </c>
      <c r="CF106" s="15">
        <f>+'ENCUESTA CONDUCTORES'!CN106</f>
        <v>0</v>
      </c>
      <c r="CG106" s="15">
        <f>IF('ENCUESTA CONDUCTORES'!CO106="X",1,0)</f>
        <v>0</v>
      </c>
      <c r="CH106" s="15" t="str">
        <f>+'ENCUESTA CONDUCTORES'!CP106</f>
        <v>NO SABE</v>
      </c>
      <c r="CI106" s="15" t="str">
        <f>+'ENCUESTA CONDUCTORES'!CQ106</f>
        <v>PUBLICIDAD</v>
      </c>
      <c r="CJ106" s="15">
        <f>IF('ENCUESTA CONDUCTORES'!CR106="X",1,0)</f>
        <v>0</v>
      </c>
      <c r="CK106" s="15">
        <f>IF('ENCUESTA CONDUCTORES'!CS106="X",1,0)</f>
        <v>1</v>
      </c>
      <c r="CL106" s="15">
        <f>IF('ENCUESTA CONDUCTORES'!CT106="X",1,0)</f>
        <v>1</v>
      </c>
      <c r="CM106" s="15">
        <f>+'ENCUESTA CONDUCTORES'!CU106</f>
        <v>0</v>
      </c>
      <c r="CN106" s="15">
        <f>IF('ENCUESTA CONDUCTORES'!CV106="X",1,0)</f>
        <v>0</v>
      </c>
      <c r="CO106" s="15">
        <f>+'ENCUESTA CONDUCTORES'!CW106</f>
        <v>0</v>
      </c>
      <c r="CP106" s="15">
        <f>IF('ENCUESTA CONDUCTORES'!CX106="X",1,0)</f>
        <v>1</v>
      </c>
      <c r="CQ106" s="15">
        <f>IF('ENCUESTA CONDUCTORES'!CY106="X",1,0)</f>
        <v>1</v>
      </c>
      <c r="CR106" s="3">
        <f>+'ENCUESTA CONDUCTORES'!CZ106</f>
        <v>0</v>
      </c>
      <c r="CS106" s="49">
        <f>+'ENCUESTA CONDUCTORES'!DA106</f>
        <v>0</v>
      </c>
    </row>
    <row r="107" spans="2:97" x14ac:dyDescent="0.25">
      <c r="B107" s="14" t="str">
        <f>+'ENCUESTA CONDUCTORES'!D107</f>
        <v>C-113</v>
      </c>
      <c r="C107" s="15">
        <f>IF('ENCUESTA CONDUCTORES'!E107="X",1,0)</f>
        <v>0</v>
      </c>
      <c r="D107" s="15">
        <f>IF('ENCUESTA CONDUCTORES'!F107="X",1,0)</f>
        <v>0</v>
      </c>
      <c r="E107" s="15">
        <f>IF('ENCUESTA CONDUCTORES'!G107="X",1,0)</f>
        <v>1</v>
      </c>
      <c r="F107" s="15">
        <f>IF('ENCUESTA CONDUCTORES'!H107="X",1,0)</f>
        <v>0</v>
      </c>
      <c r="G107" s="15">
        <f>+'ENCUESTA CONDUCTORES'!I107</f>
        <v>39</v>
      </c>
      <c r="H107" s="15" t="str">
        <f>+'ENCUESTA CONDUCTORES'!J107</f>
        <v>M</v>
      </c>
      <c r="I107" s="15" t="str">
        <f>+'ENCUESTA CONDUCTORES'!K107</f>
        <v>PRIMARIA</v>
      </c>
      <c r="J107" s="15" t="str">
        <f>+'ENCUESTA CONDUCTORES'!L107</f>
        <v>ECATEPEC, EDO. MEX.</v>
      </c>
      <c r="K107" s="15" t="str">
        <f>+'ENCUESTA CONDUCTORES'!M107</f>
        <v>ECATEPEC</v>
      </c>
      <c r="L107" s="15" t="str">
        <f>+'ENCUESTA CONDUCTORES'!N107</f>
        <v>EDO. MEX.</v>
      </c>
      <c r="M107" s="15">
        <f>+'ENCUESTA CONDUCTORES'!O107</f>
        <v>15</v>
      </c>
      <c r="N107" s="15">
        <f>IF('ENCUESTA CONDUCTORES'!P107="X",1,0)</f>
        <v>1</v>
      </c>
      <c r="O107" s="15">
        <f>IF('ENCUESTA CONDUCTORES'!Q107="X",1,0)</f>
        <v>0</v>
      </c>
      <c r="P107" s="15">
        <f>IF('ENCUESTA CONDUCTORES'!R107="X",1,0)</f>
        <v>0</v>
      </c>
      <c r="Q107" s="15">
        <f>IF('ENCUESTA CONDUCTORES'!S107="X",1,0)</f>
        <v>0</v>
      </c>
      <c r="R107" s="15">
        <f>IF('ENCUESTA CONDUCTORES'!T107="X",1,0)</f>
        <v>0</v>
      </c>
      <c r="S107" s="15">
        <f>IF('ENCUESTA CONDUCTORES'!U107="X",1,0)</f>
        <v>1</v>
      </c>
      <c r="T107" s="15">
        <f>IF('ENCUESTA CONDUCTORES'!V107="X",1,0)</f>
        <v>0</v>
      </c>
      <c r="U107" s="15">
        <f>IF('ENCUESTA CONDUCTORES'!W107="X",1,0)</f>
        <v>0</v>
      </c>
      <c r="V107" s="15">
        <f>IF('ENCUESTA CONDUCTORES'!X107="X",1,0)</f>
        <v>0</v>
      </c>
      <c r="W107" s="15">
        <f>IF('ENCUESTA CONDUCTORES'!Y107="X",1,0)</f>
        <v>0</v>
      </c>
      <c r="X107" s="15">
        <f>IF('ENCUESTA CONDUCTORES'!Z107="X",1,0)</f>
        <v>0</v>
      </c>
      <c r="Y107" s="15">
        <f>+'ENCUESTA CONDUCTORES'!AG107</f>
        <v>0</v>
      </c>
      <c r="Z107" s="15">
        <f>+'ENCUESTA CONDUCTORES'!AH107</f>
        <v>2003</v>
      </c>
      <c r="AA107" s="1">
        <f>+'ENCUESTA CONDUCTORES'!AI107</f>
        <v>900000</v>
      </c>
      <c r="AB107" s="15">
        <f>IF('ENCUESTA CONDUCTORES'!AJ107="X",1,0)</f>
        <v>0</v>
      </c>
      <c r="AC107" s="15">
        <f>IF('ENCUESTA CONDUCTORES'!AK107="X",1,0)</f>
        <v>0</v>
      </c>
      <c r="AD107" s="15">
        <f>IF('ENCUESTA CONDUCTORES'!AL107="X",1,0)</f>
        <v>1</v>
      </c>
      <c r="AE107" s="15">
        <f>IF('ENCUESTA CONDUCTORES'!AM107="X",1,0)</f>
        <v>0</v>
      </c>
      <c r="AF107" s="15">
        <f>IF('ENCUESTA CONDUCTORES'!AN107="X",1,0)</f>
        <v>0</v>
      </c>
      <c r="AG107" s="15">
        <f>IF('ENCUESTA CONDUCTORES'!AO107="X",1,0)</f>
        <v>0</v>
      </c>
      <c r="AH107" s="15">
        <f>IF('ENCUESTA CONDUCTORES'!AP107="X",1,0)</f>
        <v>1</v>
      </c>
      <c r="AI107" s="15">
        <f>IF('ENCUESTA CONDUCTORES'!AQ107="X",1,0)</f>
        <v>0</v>
      </c>
      <c r="AJ107" s="15">
        <f>IF('ENCUESTA CONDUCTORES'!AR107="X",1,0)</f>
        <v>0</v>
      </c>
      <c r="AK107" s="15">
        <f>+'ENCUESTA CONDUCTORES'!AS107</f>
        <v>0</v>
      </c>
      <c r="AL107" s="15" t="str">
        <f>+'ENCUESTA CONDUCTORES'!AT107</f>
        <v>CUMMINS</v>
      </c>
      <c r="AM107" s="1">
        <f>+'ENCUESTA CONDUCTORES'!AU107</f>
        <v>8000</v>
      </c>
      <c r="AN107" s="48">
        <f>+'ENCUESTA CONDUCTORES'!AV107</f>
        <v>0.5</v>
      </c>
      <c r="AO107" s="15">
        <f>+'ENCUESTA CONDUCTORES'!AW107</f>
        <v>2.8</v>
      </c>
      <c r="AP107" s="15">
        <f>+'ENCUESTA CONDUCTORES'!AX107</f>
        <v>1.5</v>
      </c>
      <c r="AQ107" s="15">
        <f>+'ENCUESTA CONDUCTORES'!AY107</f>
        <v>2</v>
      </c>
      <c r="AR107" s="15">
        <f>+'ENCUESTA CONDUCTORES'!AZ107</f>
        <v>600</v>
      </c>
      <c r="AS107" s="15" t="str">
        <f>+'ENCUESTA CONDUCTORES'!BA107</f>
        <v>NO SABE</v>
      </c>
      <c r="AT107" s="15">
        <f>IF('ENCUESTA CONDUCTORES'!BB107="X",1,0)</f>
        <v>0</v>
      </c>
      <c r="AU107" s="15">
        <f>IF('ENCUESTA CONDUCTORES'!BC107="X",1,0)</f>
        <v>1</v>
      </c>
      <c r="AV107" s="15">
        <f>IF('ENCUESTA CONDUCTORES'!BD107="X",1,0)</f>
        <v>0</v>
      </c>
      <c r="AW107" s="1">
        <f>+'ENCUESTA CONDUCTORES'!BE107</f>
        <v>10000</v>
      </c>
      <c r="AX107" s="1">
        <f>+'ENCUESTA CONDUCTORES'!BF107</f>
        <v>60000</v>
      </c>
      <c r="AY107" s="1">
        <f>+'ENCUESTA CONDUCTORES'!BG107</f>
        <v>10000</v>
      </c>
      <c r="AZ107" s="1">
        <f>+'ENCUESTA CONDUCTORES'!BH107</f>
        <v>200000</v>
      </c>
      <c r="BA107" s="1">
        <f>+'ENCUESTA CONDUCTORES'!BI107</f>
        <v>10000</v>
      </c>
      <c r="BB107" s="15">
        <f>IF('ENCUESTA CONDUCTORES'!BJ107="X",1,0)</f>
        <v>0</v>
      </c>
      <c r="BC107" s="15">
        <f>IF('ENCUESTA CONDUCTORES'!BK107="X",1,0)</f>
        <v>0</v>
      </c>
      <c r="BD107" s="15">
        <f>IF('ENCUESTA CONDUCTORES'!BL107="X",1,0)</f>
        <v>0</v>
      </c>
      <c r="BE107" s="15">
        <f>IF('ENCUESTA CONDUCTORES'!BM107="X",1,0)</f>
        <v>0</v>
      </c>
      <c r="BF107" s="15">
        <f>IF('ENCUESTA CONDUCTORES'!BN107="X",1,0)</f>
        <v>0</v>
      </c>
      <c r="BG107" s="15">
        <f>IF('ENCUESTA CONDUCTORES'!BO107="X",1,0)</f>
        <v>0</v>
      </c>
      <c r="BH107" s="15">
        <f>IF('ENCUESTA CONDUCTORES'!BP107="X",1,0)</f>
        <v>0</v>
      </c>
      <c r="BI107" s="15">
        <f>IF('ENCUESTA CONDUCTORES'!BQ107="X",1,0)</f>
        <v>0</v>
      </c>
      <c r="BJ107" s="15">
        <f>IF('ENCUESTA CONDUCTORES'!BR107="X",1,0)</f>
        <v>1</v>
      </c>
      <c r="BK107" s="15">
        <f>+'ENCUESTA CONDUCTORES'!BS107</f>
        <v>0</v>
      </c>
      <c r="BL107" s="15">
        <f>IF('ENCUESTA CONDUCTORES'!BT107="X",1,0)</f>
        <v>0</v>
      </c>
      <c r="BM107" s="15">
        <f>IF('ENCUESTA CONDUCTORES'!BU107="X",1,0)</f>
        <v>1</v>
      </c>
      <c r="BN107" s="15">
        <f>IF('ENCUESTA CONDUCTORES'!BV107="X",1,0)</f>
        <v>0</v>
      </c>
      <c r="BO107" s="15">
        <f>IF('ENCUESTA CONDUCTORES'!BW107="X",1,0)</f>
        <v>0</v>
      </c>
      <c r="BP107" s="15">
        <f>+'ENCUESTA CONDUCTORES'!BX107</f>
        <v>1</v>
      </c>
      <c r="BQ107" s="15">
        <f>+'ENCUESTA CONDUCTORES'!BY107</f>
        <v>3</v>
      </c>
      <c r="BR107" s="15">
        <f>+'ENCUESTA CONDUCTORES'!BZ107</f>
        <v>2</v>
      </c>
      <c r="BS107" s="15">
        <f>+'ENCUESTA CONDUCTORES'!CA107</f>
        <v>0</v>
      </c>
      <c r="BT107" s="15">
        <f>IF('ENCUESTA CONDUCTORES'!CB107="X",1,0)</f>
        <v>0</v>
      </c>
      <c r="BU107" s="15">
        <f>IF('ENCUESTA CONDUCTORES'!CC107="X",1,0)</f>
        <v>0</v>
      </c>
      <c r="BV107" s="15">
        <f>IF('ENCUESTA CONDUCTORES'!CD107="X",1,0)</f>
        <v>0</v>
      </c>
      <c r="BW107" s="15">
        <f>IF('ENCUESTA CONDUCTORES'!CE107="X",1,0)</f>
        <v>1</v>
      </c>
      <c r="BX107" s="15">
        <f>IF('ENCUESTA CONDUCTORES'!CF107="X",1,0)</f>
        <v>0</v>
      </c>
      <c r="BY107" s="15">
        <f>IF('ENCUESTA CONDUCTORES'!CG107="X",1,0)</f>
        <v>0</v>
      </c>
      <c r="BZ107" s="15">
        <f>IF('ENCUESTA CONDUCTORES'!CH107="X",1,0)</f>
        <v>0</v>
      </c>
      <c r="CA107" s="15">
        <f>IF('ENCUESTA CONDUCTORES'!CI107="X",1,0)</f>
        <v>1</v>
      </c>
      <c r="CB107" s="15">
        <f>IF('ENCUESTA CONDUCTORES'!CJ107="X",1,0)</f>
        <v>0</v>
      </c>
      <c r="CC107" s="15">
        <f>IF('ENCUESTA CONDUCTORES'!CK107="X",1,0)</f>
        <v>0</v>
      </c>
      <c r="CD107" s="15">
        <f>IF('ENCUESTA CONDUCTORES'!CL107="X",1,0)</f>
        <v>1</v>
      </c>
      <c r="CE107" s="15">
        <f>IF('ENCUESTA CONDUCTORES'!CM107="X",1,0)</f>
        <v>1</v>
      </c>
      <c r="CF107" s="15" t="str">
        <f>+'ENCUESTA CONDUCTORES'!CN107</f>
        <v>FALTA DE TIEMPO</v>
      </c>
      <c r="CG107" s="15">
        <f>IF('ENCUESTA CONDUCTORES'!CO107="X",1,0)</f>
        <v>0</v>
      </c>
      <c r="CH107" s="15" t="str">
        <f>+'ENCUESTA CONDUCTORES'!CP107</f>
        <v>MEJORA AL MEDIO AMBIENTE</v>
      </c>
      <c r="CI107" s="2" t="str">
        <f>+'ENCUESTA CONDUCTORES'!CQ107</f>
        <v>DAR INCENTIVOS</v>
      </c>
      <c r="CJ107" s="15">
        <f>IF('ENCUESTA CONDUCTORES'!CR107="X",1,0)</f>
        <v>0</v>
      </c>
      <c r="CK107" s="15">
        <f>IF('ENCUESTA CONDUCTORES'!CS107="X",1,0)</f>
        <v>1</v>
      </c>
      <c r="CL107" s="15">
        <f>IF('ENCUESTA CONDUCTORES'!CT107="X",1,0)</f>
        <v>1</v>
      </c>
      <c r="CM107" s="15">
        <f>+'ENCUESTA CONDUCTORES'!CU107</f>
        <v>0</v>
      </c>
      <c r="CN107" s="15">
        <f>IF('ENCUESTA CONDUCTORES'!CV107="X",1,0)</f>
        <v>1</v>
      </c>
      <c r="CO107" s="15" t="str">
        <f>+'ENCUESTA CONDUCTORES'!CW107</f>
        <v>YA LOS CURSÓ</v>
      </c>
      <c r="CP107" s="15">
        <f>IF('ENCUESTA CONDUCTORES'!CX107="X",1,0)</f>
        <v>0</v>
      </c>
      <c r="CQ107" s="15">
        <f>IF('ENCUESTA CONDUCTORES'!CY107="X",1,0)</f>
        <v>0</v>
      </c>
      <c r="CR107" s="4">
        <f>+'ENCUESTA CONDUCTORES'!CZ107</f>
        <v>0</v>
      </c>
      <c r="CS107" s="49">
        <f>+'ENCUESTA CONDUCTORES'!DA107</f>
        <v>0</v>
      </c>
    </row>
    <row r="108" spans="2:97" x14ac:dyDescent="0.25">
      <c r="B108" s="14" t="str">
        <f>+'ENCUESTA CONDUCTORES'!D108</f>
        <v>C-114</v>
      </c>
      <c r="C108" s="15">
        <f>IF('ENCUESTA CONDUCTORES'!E108="X",1,0)</f>
        <v>1</v>
      </c>
      <c r="D108" s="15">
        <f>IF('ENCUESTA CONDUCTORES'!F108="X",1,0)</f>
        <v>0</v>
      </c>
      <c r="E108" s="15">
        <f>IF('ENCUESTA CONDUCTORES'!G108="X",1,0)</f>
        <v>0</v>
      </c>
      <c r="F108" s="15">
        <f>IF('ENCUESTA CONDUCTORES'!H108="X",1,0)</f>
        <v>0</v>
      </c>
      <c r="G108" s="15">
        <f>+'ENCUESTA CONDUCTORES'!I108</f>
        <v>45</v>
      </c>
      <c r="H108" s="15" t="str">
        <f>+'ENCUESTA CONDUCTORES'!J108</f>
        <v>M</v>
      </c>
      <c r="I108" s="15" t="str">
        <f>+'ENCUESTA CONDUCTORES'!K108</f>
        <v>PRIMARIA</v>
      </c>
      <c r="J108" s="15" t="str">
        <f>+'ENCUESTA CONDUCTORES'!L108</f>
        <v>NAUCALPAN, EDO. MEX.</v>
      </c>
      <c r="K108" s="15" t="str">
        <f>+'ENCUESTA CONDUCTORES'!M108</f>
        <v>NAUCALPAN</v>
      </c>
      <c r="L108" s="15" t="str">
        <f>+'ENCUESTA CONDUCTORES'!N108</f>
        <v>EDO. MEX.</v>
      </c>
      <c r="M108" s="15">
        <f>+'ENCUESTA CONDUCTORES'!O108</f>
        <v>18</v>
      </c>
      <c r="N108" s="15">
        <f>IF('ENCUESTA CONDUCTORES'!P108="X",1,0)</f>
        <v>0</v>
      </c>
      <c r="O108" s="15">
        <f>IF('ENCUESTA CONDUCTORES'!Q108="X",1,0)</f>
        <v>0</v>
      </c>
      <c r="P108" s="15">
        <f>IF('ENCUESTA CONDUCTORES'!R108="X",1,0)</f>
        <v>0</v>
      </c>
      <c r="Q108" s="15">
        <f>IF('ENCUESTA CONDUCTORES'!S108="X",1,0)</f>
        <v>1</v>
      </c>
      <c r="R108" s="15">
        <f>IF('ENCUESTA CONDUCTORES'!T108="X",1,0)</f>
        <v>0</v>
      </c>
      <c r="S108" s="15">
        <f>IF('ENCUESTA CONDUCTORES'!U108="X",1,0)</f>
        <v>1</v>
      </c>
      <c r="T108" s="15">
        <f>IF('ENCUESTA CONDUCTORES'!V108="X",1,0)</f>
        <v>0</v>
      </c>
      <c r="U108" s="15">
        <f>IF('ENCUESTA CONDUCTORES'!W108="X",1,0)</f>
        <v>0</v>
      </c>
      <c r="V108" s="15">
        <f>IF('ENCUESTA CONDUCTORES'!X108="X",1,0)</f>
        <v>0</v>
      </c>
      <c r="W108" s="15">
        <f>IF('ENCUESTA CONDUCTORES'!Y108="X",1,0)</f>
        <v>0</v>
      </c>
      <c r="X108" s="15">
        <f>IF('ENCUESTA CONDUCTORES'!Z108="X",1,0)</f>
        <v>0</v>
      </c>
      <c r="Y108" s="15">
        <f>+'ENCUESTA CONDUCTORES'!AG108</f>
        <v>0</v>
      </c>
      <c r="Z108" s="15">
        <f>+'ENCUESTA CONDUCTORES'!AH108</f>
        <v>2009</v>
      </c>
      <c r="AA108" s="1">
        <f>+'ENCUESTA CONDUCTORES'!AI108</f>
        <v>320000</v>
      </c>
      <c r="AB108" s="15">
        <f>IF('ENCUESTA CONDUCTORES'!AJ108="X",1,0)</f>
        <v>0</v>
      </c>
      <c r="AC108" s="15">
        <f>IF('ENCUESTA CONDUCTORES'!AK108="X",1,0)</f>
        <v>0</v>
      </c>
      <c r="AD108" s="15">
        <f>IF('ENCUESTA CONDUCTORES'!AL108="X",1,0)</f>
        <v>1</v>
      </c>
      <c r="AE108" s="15">
        <f>IF('ENCUESTA CONDUCTORES'!AM108="X",1,0)</f>
        <v>0</v>
      </c>
      <c r="AF108" s="15">
        <f>IF('ENCUESTA CONDUCTORES'!AN108="X",1,0)</f>
        <v>0</v>
      </c>
      <c r="AG108" s="15">
        <f>IF('ENCUESTA CONDUCTORES'!AO108="X",1,0)</f>
        <v>0</v>
      </c>
      <c r="AH108" s="15">
        <f>IF('ENCUESTA CONDUCTORES'!AP108="X",1,0)</f>
        <v>1</v>
      </c>
      <c r="AI108" s="15">
        <f>IF('ENCUESTA CONDUCTORES'!AQ108="X",1,0)</f>
        <v>0</v>
      </c>
      <c r="AJ108" s="15">
        <f>IF('ENCUESTA CONDUCTORES'!AR108="X",1,0)</f>
        <v>0</v>
      </c>
      <c r="AK108" s="15">
        <f>+'ENCUESTA CONDUCTORES'!AS108</f>
        <v>0</v>
      </c>
      <c r="AL108" s="15" t="str">
        <f>+'ENCUESTA CONDUCTORES'!AT108</f>
        <v>CUMMINS</v>
      </c>
      <c r="AM108" s="1">
        <f>+'ENCUESTA CONDUCTORES'!AU108</f>
        <v>6000</v>
      </c>
      <c r="AN108" s="48">
        <f>+'ENCUESTA CONDUCTORES'!AV108</f>
        <v>0.5</v>
      </c>
      <c r="AO108" s="15">
        <f>+'ENCUESTA CONDUCTORES'!AW108</f>
        <v>2.2000000000000002</v>
      </c>
      <c r="AP108" s="15">
        <f>+'ENCUESTA CONDUCTORES'!AX108</f>
        <v>2</v>
      </c>
      <c r="AQ108" s="15">
        <f>+'ENCUESTA CONDUCTORES'!AY108</f>
        <v>2</v>
      </c>
      <c r="AR108" s="15">
        <f>+'ENCUESTA CONDUCTORES'!AZ108</f>
        <v>430</v>
      </c>
      <c r="AS108" s="15">
        <f>+'ENCUESTA CONDUCTORES'!BA108</f>
        <v>900</v>
      </c>
      <c r="AT108" s="15">
        <f>IF('ENCUESTA CONDUCTORES'!BB108="X",1,0)</f>
        <v>1</v>
      </c>
      <c r="AU108" s="15">
        <f>IF('ENCUESTA CONDUCTORES'!BC108="X",1,0)</f>
        <v>1</v>
      </c>
      <c r="AV108" s="15">
        <f>IF('ENCUESTA CONDUCTORES'!BD108="X",1,0)</f>
        <v>0</v>
      </c>
      <c r="AW108" s="1">
        <f>+'ENCUESTA CONDUCTORES'!BE108</f>
        <v>10000</v>
      </c>
      <c r="AX108" s="1">
        <f>+'ENCUESTA CONDUCTORES'!BF108</f>
        <v>15000</v>
      </c>
      <c r="AY108" s="1">
        <f>+'ENCUESTA CONDUCTORES'!BG108</f>
        <v>10000</v>
      </c>
      <c r="AZ108" s="1">
        <f>+'ENCUESTA CONDUCTORES'!BH108</f>
        <v>72000</v>
      </c>
      <c r="BA108" s="1">
        <f>+'ENCUESTA CONDUCTORES'!BI108</f>
        <v>10000</v>
      </c>
      <c r="BB108" s="15">
        <f>IF('ENCUESTA CONDUCTORES'!BJ108="X",1,0)</f>
        <v>0</v>
      </c>
      <c r="BC108" s="15">
        <f>IF('ENCUESTA CONDUCTORES'!BK108="X",1,0)</f>
        <v>1</v>
      </c>
      <c r="BD108" s="15">
        <f>IF('ENCUESTA CONDUCTORES'!BL108="X",1,0)</f>
        <v>0</v>
      </c>
      <c r="BE108" s="15">
        <f>IF('ENCUESTA CONDUCTORES'!BM108="X",1,0)</f>
        <v>0</v>
      </c>
      <c r="BF108" s="15">
        <f>IF('ENCUESTA CONDUCTORES'!BN108="X",1,0)</f>
        <v>0</v>
      </c>
      <c r="BG108" s="15">
        <f>IF('ENCUESTA CONDUCTORES'!BO108="X",1,0)</f>
        <v>0</v>
      </c>
      <c r="BH108" s="15">
        <f>IF('ENCUESTA CONDUCTORES'!BP108="X",1,0)</f>
        <v>0</v>
      </c>
      <c r="BI108" s="15">
        <f>IF('ENCUESTA CONDUCTORES'!BQ108="X",1,0)</f>
        <v>0</v>
      </c>
      <c r="BJ108" s="15">
        <f>IF('ENCUESTA CONDUCTORES'!BR108="X",1,0)</f>
        <v>0</v>
      </c>
      <c r="BK108" s="15">
        <f>+'ENCUESTA CONDUCTORES'!BS108</f>
        <v>0</v>
      </c>
      <c r="BL108" s="15">
        <f>IF('ENCUESTA CONDUCTORES'!BT108="X",1,0)</f>
        <v>0</v>
      </c>
      <c r="BM108" s="15">
        <f>IF('ENCUESTA CONDUCTORES'!BU108="X",1,0)</f>
        <v>1</v>
      </c>
      <c r="BN108" s="15">
        <f>IF('ENCUESTA CONDUCTORES'!BV108="X",1,0)</f>
        <v>0</v>
      </c>
      <c r="BO108" s="15">
        <f>IF('ENCUESTA CONDUCTORES'!BW108="X",1,0)</f>
        <v>0</v>
      </c>
      <c r="BP108" s="15">
        <f>+'ENCUESTA CONDUCTORES'!BX108</f>
        <v>2</v>
      </c>
      <c r="BQ108" s="15">
        <f>+'ENCUESTA CONDUCTORES'!BY108</f>
        <v>3</v>
      </c>
      <c r="BR108" s="15">
        <f>+'ENCUESTA CONDUCTORES'!BZ108</f>
        <v>1</v>
      </c>
      <c r="BS108" s="15">
        <f>+'ENCUESTA CONDUCTORES'!CA108</f>
        <v>0</v>
      </c>
      <c r="BT108" s="15">
        <f>IF('ENCUESTA CONDUCTORES'!CB108="X",1,0)</f>
        <v>1</v>
      </c>
      <c r="BU108" s="15">
        <f>IF('ENCUESTA CONDUCTORES'!CC108="X",1,0)</f>
        <v>0</v>
      </c>
      <c r="BV108" s="15">
        <f>IF('ENCUESTA CONDUCTORES'!CD108="X",1,0)</f>
        <v>0</v>
      </c>
      <c r="BW108" s="15">
        <f>IF('ENCUESTA CONDUCTORES'!CE108="X",1,0)</f>
        <v>0</v>
      </c>
      <c r="BX108" s="15">
        <f>IF('ENCUESTA CONDUCTORES'!CF108="X",1,0)</f>
        <v>0</v>
      </c>
      <c r="BY108" s="15">
        <f>IF('ENCUESTA CONDUCTORES'!CG108="X",1,0)</f>
        <v>0</v>
      </c>
      <c r="BZ108" s="15">
        <f>IF('ENCUESTA CONDUCTORES'!CH108="X",1,0)</f>
        <v>0</v>
      </c>
      <c r="CA108" s="15">
        <f>IF('ENCUESTA CONDUCTORES'!CI108="X",1,0)</f>
        <v>0</v>
      </c>
      <c r="CB108" s="15">
        <f>IF('ENCUESTA CONDUCTORES'!CJ108="X",1,0)</f>
        <v>0</v>
      </c>
      <c r="CC108" s="15">
        <f>IF('ENCUESTA CONDUCTORES'!CK108="X",1,0)</f>
        <v>1</v>
      </c>
      <c r="CD108" s="15">
        <f>IF('ENCUESTA CONDUCTORES'!CL108="X",1,0)</f>
        <v>0</v>
      </c>
      <c r="CE108" s="15">
        <f>IF('ENCUESTA CONDUCTORES'!CM108="X",1,0)</f>
        <v>0</v>
      </c>
      <c r="CF108" s="15">
        <f>+'ENCUESTA CONDUCTORES'!CN108</f>
        <v>0</v>
      </c>
      <c r="CG108" s="15">
        <f>IF('ENCUESTA CONDUCTORES'!CO108="X",1,0)</f>
        <v>0</v>
      </c>
      <c r="CH108" s="15" t="str">
        <f>+'ENCUESTA CONDUCTORES'!CP108</f>
        <v>NO SABE</v>
      </c>
      <c r="CI108" s="15" t="str">
        <f>+'ENCUESTA CONDUCTORES'!CQ108</f>
        <v>PUBLICIDAD</v>
      </c>
      <c r="CJ108" s="15">
        <f>IF('ENCUESTA CONDUCTORES'!CR108="X",1,0)</f>
        <v>0</v>
      </c>
      <c r="CK108" s="15">
        <f>IF('ENCUESTA CONDUCTORES'!CS108="X",1,0)</f>
        <v>1</v>
      </c>
      <c r="CL108" s="15">
        <f>IF('ENCUESTA CONDUCTORES'!CT108="X",1,0)</f>
        <v>1</v>
      </c>
      <c r="CM108" s="15">
        <f>+'ENCUESTA CONDUCTORES'!CU108</f>
        <v>0</v>
      </c>
      <c r="CN108" s="15">
        <f>IF('ENCUESTA CONDUCTORES'!CV108="X",1,0)</f>
        <v>0</v>
      </c>
      <c r="CO108" s="15">
        <f>+'ENCUESTA CONDUCTORES'!CW108</f>
        <v>0</v>
      </c>
      <c r="CP108" s="15">
        <f>IF('ENCUESTA CONDUCTORES'!CX108="X",1,0)</f>
        <v>0</v>
      </c>
      <c r="CQ108" s="15">
        <f>IF('ENCUESTA CONDUCTORES'!CY108="X",1,0)</f>
        <v>0</v>
      </c>
      <c r="CR108" s="4" t="str">
        <f>+'ENCUESTA CONDUCTORES'!CZ108</f>
        <v>MANEJO  LA DEFENSIVA</v>
      </c>
      <c r="CS108" s="49">
        <f>+'ENCUESTA CONDUCTORES'!DA108</f>
        <v>0</v>
      </c>
    </row>
    <row r="109" spans="2:97" x14ac:dyDescent="0.25">
      <c r="B109" s="14" t="str">
        <f>+'ENCUESTA CONDUCTORES'!D109</f>
        <v>C-115</v>
      </c>
      <c r="C109" s="15">
        <f>IF('ENCUESTA CONDUCTORES'!E109="X",1,0)</f>
        <v>0</v>
      </c>
      <c r="D109" s="15">
        <f>IF('ENCUESTA CONDUCTORES'!F109="X",1,0)</f>
        <v>0</v>
      </c>
      <c r="E109" s="15">
        <f>IF('ENCUESTA CONDUCTORES'!G109="X",1,0)</f>
        <v>0</v>
      </c>
      <c r="F109" s="15">
        <f>IF('ENCUESTA CONDUCTORES'!H109="X",1,0)</f>
        <v>1</v>
      </c>
      <c r="G109" s="15">
        <f>+'ENCUESTA CONDUCTORES'!I109</f>
        <v>39</v>
      </c>
      <c r="H109" s="15" t="str">
        <f>+'ENCUESTA CONDUCTORES'!J109</f>
        <v>M</v>
      </c>
      <c r="I109" s="15" t="str">
        <f>+'ENCUESTA CONDUCTORES'!K109</f>
        <v>PRIMARIA</v>
      </c>
      <c r="J109" s="15" t="str">
        <f>+'ENCUESTA CONDUCTORES'!L109</f>
        <v>ZUMPANGO, EDO. MEX</v>
      </c>
      <c r="K109" s="15" t="str">
        <f>+'ENCUESTA CONDUCTORES'!M109</f>
        <v>ZUMPANGO</v>
      </c>
      <c r="L109" s="15" t="str">
        <f>+'ENCUESTA CONDUCTORES'!N109</f>
        <v>EDO. MEX.</v>
      </c>
      <c r="M109" s="15">
        <f>+'ENCUESTA CONDUCTORES'!O109</f>
        <v>22</v>
      </c>
      <c r="N109" s="15">
        <f>IF('ENCUESTA CONDUCTORES'!P109="X",1,0)</f>
        <v>1</v>
      </c>
      <c r="O109" s="15">
        <f>IF('ENCUESTA CONDUCTORES'!Q109="X",1,0)</f>
        <v>0</v>
      </c>
      <c r="P109" s="15">
        <f>IF('ENCUESTA CONDUCTORES'!R109="X",1,0)</f>
        <v>0</v>
      </c>
      <c r="Q109" s="15">
        <f>IF('ENCUESTA CONDUCTORES'!S109="X",1,0)</f>
        <v>0</v>
      </c>
      <c r="R109" s="15">
        <f>IF('ENCUESTA CONDUCTORES'!T109="X",1,0)</f>
        <v>0</v>
      </c>
      <c r="S109" s="15">
        <f>IF('ENCUESTA CONDUCTORES'!U109="X",1,0)</f>
        <v>0</v>
      </c>
      <c r="T109" s="15">
        <f>IF('ENCUESTA CONDUCTORES'!V109="X",1,0)</f>
        <v>0</v>
      </c>
      <c r="U109" s="15">
        <f>IF('ENCUESTA CONDUCTORES'!W109="X",1,0)</f>
        <v>0</v>
      </c>
      <c r="V109" s="15">
        <f>IF('ENCUESTA CONDUCTORES'!X109="X",1,0)</f>
        <v>0</v>
      </c>
      <c r="W109" s="15">
        <f>IF('ENCUESTA CONDUCTORES'!Y109="X",1,0)</f>
        <v>1</v>
      </c>
      <c r="X109" s="15">
        <f>IF('ENCUESTA CONDUCTORES'!Z109="X",1,0)</f>
        <v>0</v>
      </c>
      <c r="Y109" s="15">
        <f>+'ENCUESTA CONDUCTORES'!AG109</f>
        <v>0</v>
      </c>
      <c r="Z109" s="15">
        <f>+'ENCUESTA CONDUCTORES'!AH109</f>
        <v>2014</v>
      </c>
      <c r="AA109" s="1">
        <f>+'ENCUESTA CONDUCTORES'!AI109</f>
        <v>16000</v>
      </c>
      <c r="AB109" s="15">
        <f>IF('ENCUESTA CONDUCTORES'!AJ109="X",1,0)</f>
        <v>0</v>
      </c>
      <c r="AC109" s="15">
        <f>IF('ENCUESTA CONDUCTORES'!AK109="X",1,0)</f>
        <v>0</v>
      </c>
      <c r="AD109" s="15">
        <f>IF('ENCUESTA CONDUCTORES'!AL109="X",1,0)</f>
        <v>1</v>
      </c>
      <c r="AE109" s="15">
        <f>IF('ENCUESTA CONDUCTORES'!AM109="X",1,0)</f>
        <v>0</v>
      </c>
      <c r="AF109" s="15">
        <f>IF('ENCUESTA CONDUCTORES'!AN109="X",1,0)</f>
        <v>0</v>
      </c>
      <c r="AG109" s="15">
        <f>IF('ENCUESTA CONDUCTORES'!AO109="X",1,0)</f>
        <v>0</v>
      </c>
      <c r="AH109" s="15">
        <f>IF('ENCUESTA CONDUCTORES'!AP109="X",1,0)</f>
        <v>1</v>
      </c>
      <c r="AI109" s="15">
        <f>IF('ENCUESTA CONDUCTORES'!AQ109="X",1,0)</f>
        <v>0</v>
      </c>
      <c r="AJ109" s="15">
        <f>IF('ENCUESTA CONDUCTORES'!AR109="X",1,0)</f>
        <v>0</v>
      </c>
      <c r="AK109" s="15">
        <f>+'ENCUESTA CONDUCTORES'!AS109</f>
        <v>0</v>
      </c>
      <c r="AL109" s="15" t="str">
        <f>+'ENCUESTA CONDUCTORES'!AT109</f>
        <v>PACCAR</v>
      </c>
      <c r="AM109" s="1">
        <f>+'ENCUESTA CONDUCTORES'!AU109</f>
        <v>15000</v>
      </c>
      <c r="AN109" s="48">
        <f>+'ENCUESTA CONDUCTORES'!AV109</f>
        <v>0.3</v>
      </c>
      <c r="AO109" s="15">
        <f>+'ENCUESTA CONDUCTORES'!AW109</f>
        <v>4</v>
      </c>
      <c r="AP109" s="15">
        <f>+'ENCUESTA CONDUCTORES'!AX109</f>
        <v>3</v>
      </c>
      <c r="AQ109" s="15">
        <f>+'ENCUESTA CONDUCTORES'!AY109</f>
        <v>1</v>
      </c>
      <c r="AR109" s="15">
        <f>+'ENCUESTA CONDUCTORES'!AZ109</f>
        <v>390</v>
      </c>
      <c r="AS109" s="15">
        <f>+'ENCUESTA CONDUCTORES'!BA109</f>
        <v>1100</v>
      </c>
      <c r="AT109" s="15">
        <f>IF('ENCUESTA CONDUCTORES'!BB109="X",1,0)</f>
        <v>0</v>
      </c>
      <c r="AU109" s="15">
        <f>IF('ENCUESTA CONDUCTORES'!BC109="X",1,0)</f>
        <v>0</v>
      </c>
      <c r="AV109" s="15">
        <f>IF('ENCUESTA CONDUCTORES'!BD109="X",1,0)</f>
        <v>0</v>
      </c>
      <c r="AW109" s="1">
        <f>+'ENCUESTA CONDUCTORES'!BE109</f>
        <v>24000</v>
      </c>
      <c r="AX109" s="1">
        <f>+'ENCUESTA CONDUCTORES'!BF109</f>
        <v>120000</v>
      </c>
      <c r="AY109" s="1">
        <f>+'ENCUESTA CONDUCTORES'!BG109</f>
        <v>24000</v>
      </c>
      <c r="AZ109" s="1">
        <f>+'ENCUESTA CONDUCTORES'!BH109</f>
        <v>120000</v>
      </c>
      <c r="BA109" s="1">
        <f>+'ENCUESTA CONDUCTORES'!BI109</f>
        <v>24000</v>
      </c>
      <c r="BB109" s="15">
        <f>IF('ENCUESTA CONDUCTORES'!BJ109="X",1,0)</f>
        <v>0</v>
      </c>
      <c r="BC109" s="15">
        <f>IF('ENCUESTA CONDUCTORES'!BK109="X",1,0)</f>
        <v>0</v>
      </c>
      <c r="BD109" s="15">
        <f>IF('ENCUESTA CONDUCTORES'!BL109="X",1,0)</f>
        <v>0</v>
      </c>
      <c r="BE109" s="15">
        <f>IF('ENCUESTA CONDUCTORES'!BM109="X",1,0)</f>
        <v>0</v>
      </c>
      <c r="BF109" s="15">
        <f>IF('ENCUESTA CONDUCTORES'!BN109="X",1,0)</f>
        <v>0</v>
      </c>
      <c r="BG109" s="15">
        <f>IF('ENCUESTA CONDUCTORES'!BO109="X",1,0)</f>
        <v>0</v>
      </c>
      <c r="BH109" s="15">
        <f>IF('ENCUESTA CONDUCTORES'!BP109="X",1,0)</f>
        <v>0</v>
      </c>
      <c r="BI109" s="15">
        <f>IF('ENCUESTA CONDUCTORES'!BQ109="X",1,0)</f>
        <v>0</v>
      </c>
      <c r="BJ109" s="15">
        <f>IF('ENCUESTA CONDUCTORES'!BR109="X",1,0)</f>
        <v>1</v>
      </c>
      <c r="BK109" s="15">
        <f>+'ENCUESTA CONDUCTORES'!BS109</f>
        <v>0</v>
      </c>
      <c r="BL109" s="15">
        <f>IF('ENCUESTA CONDUCTORES'!BT109="X",1,0)</f>
        <v>0</v>
      </c>
      <c r="BM109" s="15">
        <f>IF('ENCUESTA CONDUCTORES'!BU109="X",1,0)</f>
        <v>1</v>
      </c>
      <c r="BN109" s="15">
        <f>IF('ENCUESTA CONDUCTORES'!BV109="X",1,0)</f>
        <v>0</v>
      </c>
      <c r="BO109" s="15">
        <f>IF('ENCUESTA CONDUCTORES'!BW109="X",1,0)</f>
        <v>0</v>
      </c>
      <c r="BP109" s="15">
        <f>+'ENCUESTA CONDUCTORES'!BX109</f>
        <v>2</v>
      </c>
      <c r="BQ109" s="15">
        <f>+'ENCUESTA CONDUCTORES'!BY109</f>
        <v>4</v>
      </c>
      <c r="BR109" s="15">
        <f>+'ENCUESTA CONDUCTORES'!BZ109</f>
        <v>3</v>
      </c>
      <c r="BS109" s="15" t="str">
        <f>+'ENCUESTA CONDUCTORES'!CA109</f>
        <v>SEGURIDAD</v>
      </c>
      <c r="BT109" s="15">
        <f>IF('ENCUESTA CONDUCTORES'!CB109="X",1,0)</f>
        <v>1</v>
      </c>
      <c r="BU109" s="15">
        <f>IF('ENCUESTA CONDUCTORES'!CC109="X",1,0)</f>
        <v>0</v>
      </c>
      <c r="BV109" s="15">
        <f>IF('ENCUESTA CONDUCTORES'!CD109="X",1,0)</f>
        <v>0</v>
      </c>
      <c r="BW109" s="15">
        <f>IF('ENCUESTA CONDUCTORES'!CE109="X",1,0)</f>
        <v>0</v>
      </c>
      <c r="BX109" s="15">
        <f>IF('ENCUESTA CONDUCTORES'!CF109="X",1,0)</f>
        <v>0</v>
      </c>
      <c r="BY109" s="15">
        <f>IF('ENCUESTA CONDUCTORES'!CG109="X",1,0)</f>
        <v>0</v>
      </c>
      <c r="BZ109" s="15">
        <f>IF('ENCUESTA CONDUCTORES'!CH109="X",1,0)</f>
        <v>0</v>
      </c>
      <c r="CA109" s="15">
        <f>IF('ENCUESTA CONDUCTORES'!CI109="X",1,0)</f>
        <v>0</v>
      </c>
      <c r="CB109" s="15">
        <f>IF('ENCUESTA CONDUCTORES'!CJ109="X",1,0)</f>
        <v>0</v>
      </c>
      <c r="CC109" s="15">
        <f>IF('ENCUESTA CONDUCTORES'!CK109="X",1,0)</f>
        <v>1</v>
      </c>
      <c r="CD109" s="15">
        <f>IF('ENCUESTA CONDUCTORES'!CL109="X",1,0)</f>
        <v>0</v>
      </c>
      <c r="CE109" s="15">
        <f>IF('ENCUESTA CONDUCTORES'!CM109="X",1,0)</f>
        <v>0</v>
      </c>
      <c r="CF109" s="15">
        <f>+'ENCUESTA CONDUCTORES'!CN109</f>
        <v>0</v>
      </c>
      <c r="CG109" s="15">
        <f>IF('ENCUESTA CONDUCTORES'!CO109="X",1,0)</f>
        <v>0</v>
      </c>
      <c r="CH109" s="15" t="str">
        <f>+'ENCUESTA CONDUCTORES'!CP109</f>
        <v>NO SABE</v>
      </c>
      <c r="CI109" s="15" t="str">
        <f>+'ENCUESTA CONDUCTORES'!CQ109</f>
        <v>DARLO A CONOCER</v>
      </c>
      <c r="CJ109" s="15">
        <f>IF('ENCUESTA CONDUCTORES'!CR109="X",1,0)</f>
        <v>0</v>
      </c>
      <c r="CK109" s="15">
        <f>IF('ENCUESTA CONDUCTORES'!CS109="X",1,0)</f>
        <v>1</v>
      </c>
      <c r="CL109" s="15">
        <f>IF('ENCUESTA CONDUCTORES'!CT109="X",1,0)</f>
        <v>1</v>
      </c>
      <c r="CM109" s="15">
        <f>+'ENCUESTA CONDUCTORES'!CU109</f>
        <v>0</v>
      </c>
      <c r="CN109" s="15">
        <f>IF('ENCUESTA CONDUCTORES'!CV109="X",1,0)</f>
        <v>0</v>
      </c>
      <c r="CO109" s="15">
        <f>+'ENCUESTA CONDUCTORES'!CW109</f>
        <v>0</v>
      </c>
      <c r="CP109" s="15">
        <f>IF('ENCUESTA CONDUCTORES'!CX109="X",1,0)</f>
        <v>1</v>
      </c>
      <c r="CQ109" s="15">
        <f>IF('ENCUESTA CONDUCTORES'!CY109="X",1,0)</f>
        <v>0</v>
      </c>
      <c r="CR109" s="3">
        <f>+'ENCUESTA CONDUCTORES'!CZ109</f>
        <v>0</v>
      </c>
      <c r="CS109" s="49">
        <f>+'ENCUESTA CONDUCTORES'!DA109</f>
        <v>0</v>
      </c>
    </row>
    <row r="110" spans="2:97" x14ac:dyDescent="0.25">
      <c r="B110" s="14" t="str">
        <f>+'ENCUESTA CONDUCTORES'!D110</f>
        <v>C-116</v>
      </c>
      <c r="C110" s="15">
        <f>IF('ENCUESTA CONDUCTORES'!E110="X",1,0)</f>
        <v>0</v>
      </c>
      <c r="D110" s="15">
        <f>IF('ENCUESTA CONDUCTORES'!F110="X",1,0)</f>
        <v>0</v>
      </c>
      <c r="E110" s="15">
        <f>IF('ENCUESTA CONDUCTORES'!G110="X",1,0)</f>
        <v>1</v>
      </c>
      <c r="F110" s="15">
        <f>IF('ENCUESTA CONDUCTORES'!H110="X",1,0)</f>
        <v>0</v>
      </c>
      <c r="G110" s="15">
        <f>+'ENCUESTA CONDUCTORES'!I110</f>
        <v>52</v>
      </c>
      <c r="H110" s="15" t="str">
        <f>+'ENCUESTA CONDUCTORES'!J110</f>
        <v>M</v>
      </c>
      <c r="I110" s="15" t="str">
        <f>+'ENCUESTA CONDUCTORES'!K110</f>
        <v>PRIMARIA</v>
      </c>
      <c r="J110" s="15" t="str">
        <f>+'ENCUESTA CONDUCTORES'!L110</f>
        <v>TOLUCA, EDO. MEX.</v>
      </c>
      <c r="K110" s="15" t="str">
        <f>+'ENCUESTA CONDUCTORES'!M110</f>
        <v>TOLUCA</v>
      </c>
      <c r="L110" s="15" t="str">
        <f>+'ENCUESTA CONDUCTORES'!N110</f>
        <v>EDO. MEX.</v>
      </c>
      <c r="M110" s="15">
        <f>+'ENCUESTA CONDUCTORES'!O110</f>
        <v>20</v>
      </c>
      <c r="N110" s="15">
        <f>IF('ENCUESTA CONDUCTORES'!P110="X",1,0)</f>
        <v>0</v>
      </c>
      <c r="O110" s="15">
        <f>IF('ENCUESTA CONDUCTORES'!Q110="X",1,0)</f>
        <v>0</v>
      </c>
      <c r="P110" s="15">
        <f>IF('ENCUESTA CONDUCTORES'!R110="X",1,0)</f>
        <v>0</v>
      </c>
      <c r="Q110" s="15">
        <f>IF('ENCUESTA CONDUCTORES'!S110="X",1,0)</f>
        <v>1</v>
      </c>
      <c r="R110" s="15">
        <f>IF('ENCUESTA CONDUCTORES'!T110="X",1,0)</f>
        <v>0</v>
      </c>
      <c r="S110" s="15">
        <f>IF('ENCUESTA CONDUCTORES'!U110="X",1,0)</f>
        <v>1</v>
      </c>
      <c r="T110" s="15">
        <f>IF('ENCUESTA CONDUCTORES'!V110="X",1,0)</f>
        <v>0</v>
      </c>
      <c r="U110" s="15">
        <f>IF('ENCUESTA CONDUCTORES'!W110="X",1,0)</f>
        <v>0</v>
      </c>
      <c r="V110" s="15">
        <f>IF('ENCUESTA CONDUCTORES'!X110="X",1,0)</f>
        <v>0</v>
      </c>
      <c r="W110" s="15">
        <f>IF('ENCUESTA CONDUCTORES'!Y110="X",1,0)</f>
        <v>0</v>
      </c>
      <c r="X110" s="15">
        <f>IF('ENCUESTA CONDUCTORES'!Z110="X",1,0)</f>
        <v>0</v>
      </c>
      <c r="Y110" s="15">
        <f>+'ENCUESTA CONDUCTORES'!AG110</f>
        <v>0</v>
      </c>
      <c r="Z110" s="15">
        <f>+'ENCUESTA CONDUCTORES'!AH110</f>
        <v>2007</v>
      </c>
      <c r="AA110" s="1">
        <f>+'ENCUESTA CONDUCTORES'!AI110</f>
        <v>1500000</v>
      </c>
      <c r="AB110" s="15">
        <f>IF('ENCUESTA CONDUCTORES'!AJ110="X",1,0)</f>
        <v>0</v>
      </c>
      <c r="AC110" s="15">
        <f>IF('ENCUESTA CONDUCTORES'!AK110="X",1,0)</f>
        <v>0</v>
      </c>
      <c r="AD110" s="15">
        <f>IF('ENCUESTA CONDUCTORES'!AL110="X",1,0)</f>
        <v>1</v>
      </c>
      <c r="AE110" s="15">
        <f>IF('ENCUESTA CONDUCTORES'!AM110="X",1,0)</f>
        <v>0</v>
      </c>
      <c r="AF110" s="15">
        <f>IF('ENCUESTA CONDUCTORES'!AN110="X",1,0)</f>
        <v>0</v>
      </c>
      <c r="AG110" s="15">
        <f>IF('ENCUESTA CONDUCTORES'!AO110="X",1,0)</f>
        <v>0</v>
      </c>
      <c r="AH110" s="15">
        <f>IF('ENCUESTA CONDUCTORES'!AP110="X",1,0)</f>
        <v>1</v>
      </c>
      <c r="AI110" s="15">
        <f>IF('ENCUESTA CONDUCTORES'!AQ110="X",1,0)</f>
        <v>0</v>
      </c>
      <c r="AJ110" s="15">
        <f>IF('ENCUESTA CONDUCTORES'!AR110="X",1,0)</f>
        <v>0</v>
      </c>
      <c r="AK110" s="15">
        <f>+'ENCUESTA CONDUCTORES'!AS110</f>
        <v>0</v>
      </c>
      <c r="AL110" s="15" t="str">
        <f>+'ENCUESTA CONDUCTORES'!AT110</f>
        <v>CATERPILLAR</v>
      </c>
      <c r="AM110" s="1">
        <f>+'ENCUESTA CONDUCTORES'!AU110</f>
        <v>20000</v>
      </c>
      <c r="AN110" s="48">
        <f>+'ENCUESTA CONDUCTORES'!AV110</f>
        <v>0.5</v>
      </c>
      <c r="AO110" s="15">
        <f>+'ENCUESTA CONDUCTORES'!AW110</f>
        <v>2.1</v>
      </c>
      <c r="AP110" s="15">
        <f>+'ENCUESTA CONDUCTORES'!AX110</f>
        <v>2</v>
      </c>
      <c r="AQ110" s="15">
        <f>+'ENCUESTA CONDUCTORES'!AY110</f>
        <v>2</v>
      </c>
      <c r="AR110" s="15">
        <f>+'ENCUESTA CONDUCTORES'!AZ110</f>
        <v>1200</v>
      </c>
      <c r="AS110" s="15">
        <f>+'ENCUESTA CONDUCTORES'!BA110</f>
        <v>2500</v>
      </c>
      <c r="AT110" s="15">
        <f>IF('ENCUESTA CONDUCTORES'!BB110="X",1,0)</f>
        <v>1</v>
      </c>
      <c r="AU110" s="15">
        <f>IF('ENCUESTA CONDUCTORES'!BC110="X",1,0)</f>
        <v>1</v>
      </c>
      <c r="AV110" s="15">
        <f>IF('ENCUESTA CONDUCTORES'!BD110="X",1,0)</f>
        <v>0</v>
      </c>
      <c r="AW110" s="1">
        <f>+'ENCUESTA CONDUCTORES'!BE110</f>
        <v>25000</v>
      </c>
      <c r="AX110" s="1">
        <f>+'ENCUESTA CONDUCTORES'!BF110</f>
        <v>25000</v>
      </c>
      <c r="AY110" s="1">
        <f>+'ENCUESTA CONDUCTORES'!BG110</f>
        <v>48000</v>
      </c>
      <c r="AZ110" s="1">
        <f>+'ENCUESTA CONDUCTORES'!BH110</f>
        <v>250000</v>
      </c>
      <c r="BA110" s="1">
        <f>+'ENCUESTA CONDUCTORES'!BI110</f>
        <v>25000</v>
      </c>
      <c r="BB110" s="15">
        <f>IF('ENCUESTA CONDUCTORES'!BJ110="X",1,0)</f>
        <v>1</v>
      </c>
      <c r="BC110" s="15">
        <f>IF('ENCUESTA CONDUCTORES'!BK110="X",1,0)</f>
        <v>0</v>
      </c>
      <c r="BD110" s="15">
        <f>IF('ENCUESTA CONDUCTORES'!BL110="X",1,0)</f>
        <v>0</v>
      </c>
      <c r="BE110" s="15">
        <f>IF('ENCUESTA CONDUCTORES'!BM110="X",1,0)</f>
        <v>0</v>
      </c>
      <c r="BF110" s="15">
        <f>IF('ENCUESTA CONDUCTORES'!BN110="X",1,0)</f>
        <v>0</v>
      </c>
      <c r="BG110" s="15">
        <f>IF('ENCUESTA CONDUCTORES'!BO110="X",1,0)</f>
        <v>0</v>
      </c>
      <c r="BH110" s="15">
        <f>IF('ENCUESTA CONDUCTORES'!BP110="X",1,0)</f>
        <v>0</v>
      </c>
      <c r="BI110" s="15">
        <f>IF('ENCUESTA CONDUCTORES'!BQ110="X",1,0)</f>
        <v>0</v>
      </c>
      <c r="BJ110" s="15">
        <f>IF('ENCUESTA CONDUCTORES'!BR110="X",1,0)</f>
        <v>0</v>
      </c>
      <c r="BK110" s="15">
        <f>+'ENCUESTA CONDUCTORES'!BS110</f>
        <v>0</v>
      </c>
      <c r="BL110" s="15">
        <f>IF('ENCUESTA CONDUCTORES'!BT110="X",1,0)</f>
        <v>0</v>
      </c>
      <c r="BM110" s="15">
        <f>IF('ENCUESTA CONDUCTORES'!BU110="X",1,0)</f>
        <v>1</v>
      </c>
      <c r="BN110" s="15">
        <f>IF('ENCUESTA CONDUCTORES'!BV110="X",1,0)</f>
        <v>0</v>
      </c>
      <c r="BO110" s="15">
        <f>IF('ENCUESTA CONDUCTORES'!BW110="X",1,0)</f>
        <v>0</v>
      </c>
      <c r="BP110" s="15">
        <f>+'ENCUESTA CONDUCTORES'!BX110</f>
        <v>1</v>
      </c>
      <c r="BQ110" s="15">
        <f>+'ENCUESTA CONDUCTORES'!BY110</f>
        <v>2</v>
      </c>
      <c r="BR110" s="15">
        <f>+'ENCUESTA CONDUCTORES'!BZ110</f>
        <v>3</v>
      </c>
      <c r="BS110" s="15">
        <f>+'ENCUESTA CONDUCTORES'!CA110</f>
        <v>0</v>
      </c>
      <c r="BT110" s="15">
        <f>IF('ENCUESTA CONDUCTORES'!CB110="X",1,0)</f>
        <v>0</v>
      </c>
      <c r="BU110" s="15">
        <f>IF('ENCUESTA CONDUCTORES'!CC110="X",1,0)</f>
        <v>1</v>
      </c>
      <c r="BV110" s="15">
        <f>IF('ENCUESTA CONDUCTORES'!CD110="X",1,0)</f>
        <v>0</v>
      </c>
      <c r="BW110" s="15">
        <f>IF('ENCUESTA CONDUCTORES'!CE110="X",1,0)</f>
        <v>1</v>
      </c>
      <c r="BX110" s="15">
        <f>IF('ENCUESTA CONDUCTORES'!CF110="X",1,0)</f>
        <v>0</v>
      </c>
      <c r="BY110" s="15">
        <f>IF('ENCUESTA CONDUCTORES'!CG110="X",1,0)</f>
        <v>1</v>
      </c>
      <c r="BZ110" s="15">
        <f>IF('ENCUESTA CONDUCTORES'!CH110="X",1,0)</f>
        <v>0</v>
      </c>
      <c r="CA110" s="15">
        <f>IF('ENCUESTA CONDUCTORES'!CI110="X",1,0)</f>
        <v>1</v>
      </c>
      <c r="CB110" s="15">
        <f>IF('ENCUESTA CONDUCTORES'!CJ110="X",1,0)</f>
        <v>0</v>
      </c>
      <c r="CC110" s="15">
        <f>IF('ENCUESTA CONDUCTORES'!CK110="X",1,0)</f>
        <v>1</v>
      </c>
      <c r="CD110" s="15">
        <f>IF('ENCUESTA CONDUCTORES'!CL110="X",1,0)</f>
        <v>0</v>
      </c>
      <c r="CE110" s="15">
        <f>IF('ENCUESTA CONDUCTORES'!CM110="X",1,0)</f>
        <v>0</v>
      </c>
      <c r="CF110" s="15">
        <f>+'ENCUESTA CONDUCTORES'!CN110</f>
        <v>0</v>
      </c>
      <c r="CG110" s="15">
        <f>IF('ENCUESTA CONDUCTORES'!CO110="X",1,0)</f>
        <v>0</v>
      </c>
      <c r="CH110" s="15" t="str">
        <f>+'ENCUESTA CONDUCTORES'!CP110</f>
        <v>NO SABE</v>
      </c>
      <c r="CI110" s="15" t="str">
        <f>+'ENCUESTA CONDUCTORES'!CQ110</f>
        <v>DARLO A CONOCER</v>
      </c>
      <c r="CJ110" s="15">
        <f>IF('ENCUESTA CONDUCTORES'!CR110="X",1,0)</f>
        <v>0</v>
      </c>
      <c r="CK110" s="15">
        <f>IF('ENCUESTA CONDUCTORES'!CS110="X",1,0)</f>
        <v>1</v>
      </c>
      <c r="CL110" s="15">
        <f>IF('ENCUESTA CONDUCTORES'!CT110="X",1,0)</f>
        <v>0</v>
      </c>
      <c r="CM110" s="2" t="str">
        <f>+'ENCUESTA CONDUCTORES'!CU110</f>
        <v>MANEJO A LA DEFENSIVA</v>
      </c>
      <c r="CN110" s="15">
        <f>IF('ENCUESTA CONDUCTORES'!CV110="X",1,0)</f>
        <v>0</v>
      </c>
      <c r="CO110" s="15">
        <f>+'ENCUESTA CONDUCTORES'!CW110</f>
        <v>0</v>
      </c>
      <c r="CP110" s="15">
        <f>IF('ENCUESTA CONDUCTORES'!CX110="X",1,0)</f>
        <v>1</v>
      </c>
      <c r="CQ110" s="15">
        <f>IF('ENCUESTA CONDUCTORES'!CY110="X",1,0)</f>
        <v>1</v>
      </c>
      <c r="CR110" s="4" t="str">
        <f>+'ENCUESTA CONDUCTORES'!CZ110</f>
        <v>PRIMEROS AUXILIOS</v>
      </c>
      <c r="CS110" s="49">
        <f>+'ENCUESTA CONDUCTORES'!DA110</f>
        <v>0</v>
      </c>
    </row>
    <row r="111" spans="2:97" x14ac:dyDescent="0.25">
      <c r="B111" s="14" t="str">
        <f>+'ENCUESTA CONDUCTORES'!D111</f>
        <v>C-117</v>
      </c>
      <c r="C111" s="15">
        <f>IF('ENCUESTA CONDUCTORES'!E111="X",1,0)</f>
        <v>0</v>
      </c>
      <c r="D111" s="15">
        <f>IF('ENCUESTA CONDUCTORES'!F111="X",1,0)</f>
        <v>1</v>
      </c>
      <c r="E111" s="15">
        <f>IF('ENCUESTA CONDUCTORES'!G111="X",1,0)</f>
        <v>0</v>
      </c>
      <c r="F111" s="15">
        <f>IF('ENCUESTA CONDUCTORES'!H111="X",1,0)</f>
        <v>0</v>
      </c>
      <c r="G111" s="15">
        <f>+'ENCUESTA CONDUCTORES'!I111</f>
        <v>25</v>
      </c>
      <c r="H111" s="15" t="str">
        <f>+'ENCUESTA CONDUCTORES'!J111</f>
        <v>M</v>
      </c>
      <c r="I111" s="15" t="str">
        <f>+'ENCUESTA CONDUCTORES'!K111</f>
        <v>SECUNDARIA</v>
      </c>
      <c r="J111" s="15" t="str">
        <f>+'ENCUESTA CONDUCTORES'!L111</f>
        <v>IZTAPALAPA, D.F.</v>
      </c>
      <c r="K111" s="15" t="str">
        <f>+'ENCUESTA CONDUCTORES'!M111</f>
        <v>IZTAPALAPA</v>
      </c>
      <c r="L111" s="15" t="str">
        <f>+'ENCUESTA CONDUCTORES'!N111</f>
        <v>D.F.</v>
      </c>
      <c r="M111" s="15">
        <f>+'ENCUESTA CONDUCTORES'!O111</f>
        <v>5</v>
      </c>
      <c r="N111" s="15">
        <f>IF('ENCUESTA CONDUCTORES'!P111="X",1,0)</f>
        <v>0</v>
      </c>
      <c r="O111" s="15">
        <f>IF('ENCUESTA CONDUCTORES'!Q111="X",1,0)</f>
        <v>0</v>
      </c>
      <c r="P111" s="15">
        <f>IF('ENCUESTA CONDUCTORES'!R111="X",1,0)</f>
        <v>0</v>
      </c>
      <c r="Q111" s="15">
        <f>IF('ENCUESTA CONDUCTORES'!S111="X",1,0)</f>
        <v>1</v>
      </c>
      <c r="R111" s="15">
        <f>IF('ENCUESTA CONDUCTORES'!T111="X",1,0)</f>
        <v>0</v>
      </c>
      <c r="S111" s="15">
        <f>IF('ENCUESTA CONDUCTORES'!U111="X",1,0)</f>
        <v>1</v>
      </c>
      <c r="T111" s="15">
        <f>IF('ENCUESTA CONDUCTORES'!V111="X",1,0)</f>
        <v>0</v>
      </c>
      <c r="U111" s="15">
        <f>IF('ENCUESTA CONDUCTORES'!W111="X",1,0)</f>
        <v>0</v>
      </c>
      <c r="V111" s="15">
        <f>IF('ENCUESTA CONDUCTORES'!X111="X",1,0)</f>
        <v>0</v>
      </c>
      <c r="W111" s="15">
        <f>IF('ENCUESTA CONDUCTORES'!Y111="X",1,0)</f>
        <v>0</v>
      </c>
      <c r="X111" s="15">
        <f>IF('ENCUESTA CONDUCTORES'!Z111="X",1,0)</f>
        <v>0</v>
      </c>
      <c r="Y111" s="15">
        <f>+'ENCUESTA CONDUCTORES'!AG111</f>
        <v>0</v>
      </c>
      <c r="Z111" s="15">
        <f>+'ENCUESTA CONDUCTORES'!AH111</f>
        <v>2008</v>
      </c>
      <c r="AA111" s="1" t="str">
        <f>+'ENCUESTA CONDUCTORES'!AI111</f>
        <v>NO SABE</v>
      </c>
      <c r="AB111" s="15">
        <f>IF('ENCUESTA CONDUCTORES'!AJ111="X",1,0)</f>
        <v>0</v>
      </c>
      <c r="AC111" s="15">
        <f>IF('ENCUESTA CONDUCTORES'!AK111="X",1,0)</f>
        <v>0</v>
      </c>
      <c r="AD111" s="15">
        <f>IF('ENCUESTA CONDUCTORES'!AL111="X",1,0)</f>
        <v>1</v>
      </c>
      <c r="AE111" s="15">
        <f>IF('ENCUESTA CONDUCTORES'!AM111="X",1,0)</f>
        <v>0</v>
      </c>
      <c r="AF111" s="15">
        <f>IF('ENCUESTA CONDUCTORES'!AN111="X",1,0)</f>
        <v>0</v>
      </c>
      <c r="AG111" s="15">
        <f>IF('ENCUESTA CONDUCTORES'!AO111="X",1,0)</f>
        <v>0</v>
      </c>
      <c r="AH111" s="15">
        <f>IF('ENCUESTA CONDUCTORES'!AP111="X",1,0)</f>
        <v>1</v>
      </c>
      <c r="AI111" s="15">
        <f>IF('ENCUESTA CONDUCTORES'!AQ111="X",1,0)</f>
        <v>0</v>
      </c>
      <c r="AJ111" s="15">
        <f>IF('ENCUESTA CONDUCTORES'!AR111="X",1,0)</f>
        <v>0</v>
      </c>
      <c r="AK111" s="15">
        <f>+'ENCUESTA CONDUCTORES'!AS111</f>
        <v>0</v>
      </c>
      <c r="AL111" s="15" t="str">
        <f>+'ENCUESTA CONDUCTORES'!AT111</f>
        <v>DETROIT</v>
      </c>
      <c r="AM111" s="1">
        <f>+'ENCUESTA CONDUCTORES'!AU111</f>
        <v>10000</v>
      </c>
      <c r="AN111" s="48">
        <f>+'ENCUESTA CONDUCTORES'!AV111</f>
        <v>0.5</v>
      </c>
      <c r="AO111" s="15">
        <f>+'ENCUESTA CONDUCTORES'!AW111</f>
        <v>2.5</v>
      </c>
      <c r="AP111" s="15">
        <f>+'ENCUESTA CONDUCTORES'!AX111</f>
        <v>2.2999999999999998</v>
      </c>
      <c r="AQ111" s="15">
        <f>+'ENCUESTA CONDUCTORES'!AY111</f>
        <v>2</v>
      </c>
      <c r="AR111" s="15">
        <f>+'ENCUESTA CONDUCTORES'!AZ111</f>
        <v>1000</v>
      </c>
      <c r="AS111" s="15">
        <f>+'ENCUESTA CONDUCTORES'!BA111</f>
        <v>2400</v>
      </c>
      <c r="AT111" s="15">
        <f>IF('ENCUESTA CONDUCTORES'!BB111="X",1,0)</f>
        <v>1</v>
      </c>
      <c r="AU111" s="15">
        <f>IF('ENCUESTA CONDUCTORES'!BC111="X",1,0)</f>
        <v>1</v>
      </c>
      <c r="AV111" s="15">
        <f>IF('ENCUESTA CONDUCTORES'!BD111="X",1,0)</f>
        <v>0</v>
      </c>
      <c r="AW111" s="1">
        <f>+'ENCUESTA CONDUCTORES'!BE111</f>
        <v>50000</v>
      </c>
      <c r="AX111" s="1">
        <f>+'ENCUESTA CONDUCTORES'!BF111</f>
        <v>100000</v>
      </c>
      <c r="AY111" s="1">
        <f>+'ENCUESTA CONDUCTORES'!BG111</f>
        <v>100000</v>
      </c>
      <c r="AZ111" s="1">
        <f>+'ENCUESTA CONDUCTORES'!BH111</f>
        <v>100000</v>
      </c>
      <c r="BA111" s="1">
        <f>+'ENCUESTA CONDUCTORES'!BI111</f>
        <v>100000</v>
      </c>
      <c r="BB111" s="15">
        <f>IF('ENCUESTA CONDUCTORES'!BJ111="X",1,0)</f>
        <v>1</v>
      </c>
      <c r="BC111" s="15">
        <f>IF('ENCUESTA CONDUCTORES'!BK111="X",1,0)</f>
        <v>0</v>
      </c>
      <c r="BD111" s="15">
        <f>IF('ENCUESTA CONDUCTORES'!BL111="X",1,0)</f>
        <v>0</v>
      </c>
      <c r="BE111" s="15">
        <f>IF('ENCUESTA CONDUCTORES'!BM111="X",1,0)</f>
        <v>0</v>
      </c>
      <c r="BF111" s="15">
        <f>IF('ENCUESTA CONDUCTORES'!BN111="X",1,0)</f>
        <v>0</v>
      </c>
      <c r="BG111" s="15">
        <f>IF('ENCUESTA CONDUCTORES'!BO111="X",1,0)</f>
        <v>0</v>
      </c>
      <c r="BH111" s="15">
        <f>IF('ENCUESTA CONDUCTORES'!BP111="X",1,0)</f>
        <v>0</v>
      </c>
      <c r="BI111" s="15">
        <f>IF('ENCUESTA CONDUCTORES'!BQ111="X",1,0)</f>
        <v>0</v>
      </c>
      <c r="BJ111" s="15">
        <f>IF('ENCUESTA CONDUCTORES'!BR111="X",1,0)</f>
        <v>0</v>
      </c>
      <c r="BK111" s="15">
        <f>+'ENCUESTA CONDUCTORES'!BS111</f>
        <v>0</v>
      </c>
      <c r="BL111" s="15">
        <f>IF('ENCUESTA CONDUCTORES'!BT111="X",1,0)</f>
        <v>0</v>
      </c>
      <c r="BM111" s="15">
        <f>IF('ENCUESTA CONDUCTORES'!BU111="X",1,0)</f>
        <v>0</v>
      </c>
      <c r="BN111" s="15">
        <f>IF('ENCUESTA CONDUCTORES'!BV111="X",1,0)</f>
        <v>1</v>
      </c>
      <c r="BO111" s="15">
        <f>IF('ENCUESTA CONDUCTORES'!BW111="X",1,0)</f>
        <v>0</v>
      </c>
      <c r="BP111" s="15">
        <f>+'ENCUESTA CONDUCTORES'!BX111</f>
        <v>1</v>
      </c>
      <c r="BQ111" s="15">
        <f>+'ENCUESTA CONDUCTORES'!BY111</f>
        <v>3</v>
      </c>
      <c r="BR111" s="15">
        <f>+'ENCUESTA CONDUCTORES'!BZ111</f>
        <v>2</v>
      </c>
      <c r="BS111" s="15">
        <f>+'ENCUESTA CONDUCTORES'!CA111</f>
        <v>0</v>
      </c>
      <c r="BT111" s="15">
        <f>IF('ENCUESTA CONDUCTORES'!CB111="X",1,0)</f>
        <v>1</v>
      </c>
      <c r="BU111" s="15">
        <f>IF('ENCUESTA CONDUCTORES'!CC111="X",1,0)</f>
        <v>0</v>
      </c>
      <c r="BV111" s="15">
        <f>IF('ENCUESTA CONDUCTORES'!CD111="X",1,0)</f>
        <v>0</v>
      </c>
      <c r="BW111" s="15">
        <f>IF('ENCUESTA CONDUCTORES'!CE111="X",1,0)</f>
        <v>0</v>
      </c>
      <c r="BX111" s="15">
        <f>IF('ENCUESTA CONDUCTORES'!CF111="X",1,0)</f>
        <v>0</v>
      </c>
      <c r="BY111" s="15">
        <f>IF('ENCUESTA CONDUCTORES'!CG111="X",1,0)</f>
        <v>0</v>
      </c>
      <c r="BZ111" s="15">
        <f>IF('ENCUESTA CONDUCTORES'!CH111="X",1,0)</f>
        <v>0</v>
      </c>
      <c r="CA111" s="15">
        <f>IF('ENCUESTA CONDUCTORES'!CI111="X",1,0)</f>
        <v>0</v>
      </c>
      <c r="CB111" s="15">
        <f>IF('ENCUESTA CONDUCTORES'!CJ111="X",1,0)</f>
        <v>0</v>
      </c>
      <c r="CC111" s="15">
        <f>IF('ENCUESTA CONDUCTORES'!CK111="X",1,0)</f>
        <v>1</v>
      </c>
      <c r="CD111" s="15">
        <f>IF('ENCUESTA CONDUCTORES'!CL111="X",1,0)</f>
        <v>0</v>
      </c>
      <c r="CE111" s="15">
        <f>IF('ENCUESTA CONDUCTORES'!CM111="X",1,0)</f>
        <v>0</v>
      </c>
      <c r="CF111" s="15">
        <f>+'ENCUESTA CONDUCTORES'!CN111</f>
        <v>0</v>
      </c>
      <c r="CG111" s="15">
        <f>IF('ENCUESTA CONDUCTORES'!CO111="X",1,0)</f>
        <v>0</v>
      </c>
      <c r="CH111" s="15" t="str">
        <f>+'ENCUESTA CONDUCTORES'!CP111</f>
        <v>NO SABE</v>
      </c>
      <c r="CI111" s="15" t="str">
        <f>+'ENCUESTA CONDUCTORES'!CQ111</f>
        <v>PUBLICIDAD</v>
      </c>
      <c r="CJ111" s="15">
        <f>IF('ENCUESTA CONDUCTORES'!CR111="X",1,0)</f>
        <v>0</v>
      </c>
      <c r="CK111" s="15">
        <f>IF('ENCUESTA CONDUCTORES'!CS111="X",1,0)</f>
        <v>1</v>
      </c>
      <c r="CL111" s="15">
        <f>IF('ENCUESTA CONDUCTORES'!CT111="X",1,0)</f>
        <v>0</v>
      </c>
      <c r="CM111" s="15">
        <f>+'ENCUESTA CONDUCTORES'!CU111</f>
        <v>0</v>
      </c>
      <c r="CN111" s="15">
        <f>IF('ENCUESTA CONDUCTORES'!CV111="X",1,0)</f>
        <v>0</v>
      </c>
      <c r="CO111" s="15">
        <f>+'ENCUESTA CONDUCTORES'!CW111</f>
        <v>0</v>
      </c>
      <c r="CP111" s="15">
        <f>IF('ENCUESTA CONDUCTORES'!CX111="X",1,0)</f>
        <v>1</v>
      </c>
      <c r="CQ111" s="15">
        <f>IF('ENCUESTA CONDUCTORES'!CY111="X",1,0)</f>
        <v>1</v>
      </c>
      <c r="CR111" s="4" t="str">
        <f>+'ENCUESTA CONDUCTORES'!CZ111</f>
        <v>TECNOLOGIA EN EL TRANSPORTE</v>
      </c>
      <c r="CS111" s="49">
        <f>+'ENCUESTA CONDUCTORES'!DA111</f>
        <v>0</v>
      </c>
    </row>
    <row r="112" spans="2:97" x14ac:dyDescent="0.25">
      <c r="B112" s="14" t="str">
        <f>+'ENCUESTA CONDUCTORES'!D112</f>
        <v>C-118</v>
      </c>
      <c r="C112" s="15">
        <f>IF('ENCUESTA CONDUCTORES'!E112="X",1,0)</f>
        <v>0</v>
      </c>
      <c r="D112" s="15">
        <f>IF('ENCUESTA CONDUCTORES'!F112="X",1,0)</f>
        <v>0</v>
      </c>
      <c r="E112" s="15">
        <f>IF('ENCUESTA CONDUCTORES'!G112="X",1,0)</f>
        <v>0</v>
      </c>
      <c r="F112" s="15">
        <f>IF('ENCUESTA CONDUCTORES'!H112="X",1,0)</f>
        <v>1</v>
      </c>
      <c r="G112" s="15">
        <f>+'ENCUESTA CONDUCTORES'!I112</f>
        <v>39</v>
      </c>
      <c r="H112" s="15" t="str">
        <f>+'ENCUESTA CONDUCTORES'!J112</f>
        <v>M</v>
      </c>
      <c r="I112" s="15" t="str">
        <f>+'ENCUESTA CONDUCTORES'!K112</f>
        <v>PRIMARIA</v>
      </c>
      <c r="J112" s="15" t="str">
        <f>+'ENCUESTA CONDUCTORES'!L112</f>
        <v>HUEHUETOCA, EDO. MEX.</v>
      </c>
      <c r="K112" s="50" t="str">
        <f>+'ENCUESTA CONDUCTORES'!M112</f>
        <v>HUEHUETOCA</v>
      </c>
      <c r="L112" s="15" t="str">
        <f>+'ENCUESTA CONDUCTORES'!N112</f>
        <v>EDO. MEX.</v>
      </c>
      <c r="M112" s="15">
        <f>+'ENCUESTA CONDUCTORES'!O112</f>
        <v>16</v>
      </c>
      <c r="N112" s="15">
        <f>IF('ENCUESTA CONDUCTORES'!P112="X",1,0)</f>
        <v>0</v>
      </c>
      <c r="O112" s="15">
        <f>IF('ENCUESTA CONDUCTORES'!Q112="X",1,0)</f>
        <v>0</v>
      </c>
      <c r="P112" s="15">
        <f>IF('ENCUESTA CONDUCTORES'!R112="X",1,0)</f>
        <v>0</v>
      </c>
      <c r="Q112" s="15">
        <f>IF('ENCUESTA CONDUCTORES'!S112="X",1,0)</f>
        <v>1</v>
      </c>
      <c r="R112" s="15">
        <f>IF('ENCUESTA CONDUCTORES'!T112="X",1,0)</f>
        <v>0</v>
      </c>
      <c r="S112" s="15">
        <f>IF('ENCUESTA CONDUCTORES'!U112="X",1,0)</f>
        <v>0</v>
      </c>
      <c r="T112" s="15">
        <f>IF('ENCUESTA CONDUCTORES'!V112="X",1,0)</f>
        <v>0</v>
      </c>
      <c r="U112" s="15">
        <f>IF('ENCUESTA CONDUCTORES'!W112="X",1,0)</f>
        <v>1</v>
      </c>
      <c r="V112" s="15">
        <f>IF('ENCUESTA CONDUCTORES'!X112="X",1,0)</f>
        <v>0</v>
      </c>
      <c r="W112" s="15">
        <f>IF('ENCUESTA CONDUCTORES'!Y112="X",1,0)</f>
        <v>0</v>
      </c>
      <c r="X112" s="15">
        <f>IF('ENCUESTA CONDUCTORES'!Z112="X",1,0)</f>
        <v>0</v>
      </c>
      <c r="Y112" s="15">
        <f>+'ENCUESTA CONDUCTORES'!AG112</f>
        <v>0</v>
      </c>
      <c r="Z112" s="15">
        <f>+'ENCUESTA CONDUCTORES'!AH112</f>
        <v>2009</v>
      </c>
      <c r="AA112" s="1">
        <f>+'ENCUESTA CONDUCTORES'!AI112</f>
        <v>600000</v>
      </c>
      <c r="AB112" s="15">
        <f>IF('ENCUESTA CONDUCTORES'!AJ112="X",1,0)</f>
        <v>0</v>
      </c>
      <c r="AC112" s="15">
        <f>IF('ENCUESTA CONDUCTORES'!AK112="X",1,0)</f>
        <v>0</v>
      </c>
      <c r="AD112" s="15">
        <f>IF('ENCUESTA CONDUCTORES'!AL112="X",1,0)</f>
        <v>1</v>
      </c>
      <c r="AE112" s="15">
        <f>IF('ENCUESTA CONDUCTORES'!AM112="X",1,0)</f>
        <v>0</v>
      </c>
      <c r="AF112" s="15">
        <f>IF('ENCUESTA CONDUCTORES'!AN112="X",1,0)</f>
        <v>0</v>
      </c>
      <c r="AG112" s="15">
        <f>IF('ENCUESTA CONDUCTORES'!AO112="X",1,0)</f>
        <v>0</v>
      </c>
      <c r="AH112" s="15">
        <f>IF('ENCUESTA CONDUCTORES'!AP112="X",1,0)</f>
        <v>1</v>
      </c>
      <c r="AI112" s="15">
        <f>IF('ENCUESTA CONDUCTORES'!AQ112="X",1,0)</f>
        <v>0</v>
      </c>
      <c r="AJ112" s="15">
        <f>IF('ENCUESTA CONDUCTORES'!AR112="X",1,0)</f>
        <v>0</v>
      </c>
      <c r="AK112" s="15">
        <f>+'ENCUESTA CONDUCTORES'!AS112</f>
        <v>0</v>
      </c>
      <c r="AL112" s="15" t="str">
        <f>+'ENCUESTA CONDUCTORES'!AT112</f>
        <v>CATERPILLAR</v>
      </c>
      <c r="AM112" s="1">
        <f>+'ENCUESTA CONDUCTORES'!AU112</f>
        <v>15000</v>
      </c>
      <c r="AN112" s="48">
        <f>+'ENCUESTA CONDUCTORES'!AV112</f>
        <v>0.5</v>
      </c>
      <c r="AO112" s="15">
        <f>+'ENCUESTA CONDUCTORES'!AW112</f>
        <v>2</v>
      </c>
      <c r="AP112" s="15">
        <f>+'ENCUESTA CONDUCTORES'!AX112</f>
        <v>1.5</v>
      </c>
      <c r="AQ112" s="15">
        <f>+'ENCUESTA CONDUCTORES'!AY112</f>
        <v>2</v>
      </c>
      <c r="AR112" s="15">
        <f>+'ENCUESTA CONDUCTORES'!AZ112</f>
        <v>830</v>
      </c>
      <c r="AS112" s="15">
        <f>+'ENCUESTA CONDUCTORES'!BA112</f>
        <v>1500</v>
      </c>
      <c r="AT112" s="15">
        <f>IF('ENCUESTA CONDUCTORES'!BB112="X",1,0)</f>
        <v>1</v>
      </c>
      <c r="AU112" s="15">
        <f>IF('ENCUESTA CONDUCTORES'!BC112="X",1,0)</f>
        <v>1</v>
      </c>
      <c r="AV112" s="15">
        <f>IF('ENCUESTA CONDUCTORES'!BD112="X",1,0)</f>
        <v>0</v>
      </c>
      <c r="AW112" s="1">
        <f>+'ENCUESTA CONDUCTORES'!BE112</f>
        <v>15000</v>
      </c>
      <c r="AX112" s="1">
        <f>+'ENCUESTA CONDUCTORES'!BF112</f>
        <v>15000</v>
      </c>
      <c r="AY112" s="1">
        <f>+'ENCUESTA CONDUCTORES'!BG112</f>
        <v>15000</v>
      </c>
      <c r="AZ112" s="1">
        <f>+'ENCUESTA CONDUCTORES'!BH112</f>
        <v>180000</v>
      </c>
      <c r="BA112" s="1">
        <f>+'ENCUESTA CONDUCTORES'!BI112</f>
        <v>15000</v>
      </c>
      <c r="BB112" s="15">
        <f>IF('ENCUESTA CONDUCTORES'!BJ112="X",1,0)</f>
        <v>0</v>
      </c>
      <c r="BC112" s="15">
        <f>IF('ENCUESTA CONDUCTORES'!BK112="X",1,0)</f>
        <v>0</v>
      </c>
      <c r="BD112" s="15">
        <f>IF('ENCUESTA CONDUCTORES'!BL112="X",1,0)</f>
        <v>0</v>
      </c>
      <c r="BE112" s="15">
        <f>IF('ENCUESTA CONDUCTORES'!BM112="X",1,0)</f>
        <v>0</v>
      </c>
      <c r="BF112" s="15">
        <f>IF('ENCUESTA CONDUCTORES'!BN112="X",1,0)</f>
        <v>0</v>
      </c>
      <c r="BG112" s="15">
        <f>IF('ENCUESTA CONDUCTORES'!BO112="X",1,0)</f>
        <v>0</v>
      </c>
      <c r="BH112" s="15">
        <f>IF('ENCUESTA CONDUCTORES'!BP112="X",1,0)</f>
        <v>0</v>
      </c>
      <c r="BI112" s="15">
        <f>IF('ENCUESTA CONDUCTORES'!BQ112="X",1,0)</f>
        <v>0</v>
      </c>
      <c r="BJ112" s="15">
        <f>IF('ENCUESTA CONDUCTORES'!BR112="X",1,0)</f>
        <v>0</v>
      </c>
      <c r="BK112" s="15" t="str">
        <f>+'ENCUESTA CONDUCTORES'!BS112</f>
        <v>POLIETILENO</v>
      </c>
      <c r="BL112" s="15">
        <f>IF('ENCUESTA CONDUCTORES'!BT112="X",1,0)</f>
        <v>0</v>
      </c>
      <c r="BM112" s="15">
        <f>IF('ENCUESTA CONDUCTORES'!BU112="X",1,0)</f>
        <v>0</v>
      </c>
      <c r="BN112" s="15">
        <f>IF('ENCUESTA CONDUCTORES'!BV112="X",1,0)</f>
        <v>1</v>
      </c>
      <c r="BO112" s="15">
        <f>IF('ENCUESTA CONDUCTORES'!BW112="X",1,0)</f>
        <v>0</v>
      </c>
      <c r="BP112" s="15">
        <f>+'ENCUESTA CONDUCTORES'!BX112</f>
        <v>2</v>
      </c>
      <c r="BQ112" s="15">
        <f>+'ENCUESTA CONDUCTORES'!BY112</f>
        <v>3</v>
      </c>
      <c r="BR112" s="15">
        <f>+'ENCUESTA CONDUCTORES'!BZ112</f>
        <v>1</v>
      </c>
      <c r="BS112" s="15">
        <f>+'ENCUESTA CONDUCTORES'!CA112</f>
        <v>0</v>
      </c>
      <c r="BT112" s="15">
        <f>IF('ENCUESTA CONDUCTORES'!CB112="X",1,0)</f>
        <v>1</v>
      </c>
      <c r="BU112" s="15">
        <f>IF('ENCUESTA CONDUCTORES'!CC112="X",1,0)</f>
        <v>0</v>
      </c>
      <c r="BV112" s="15">
        <f>IF('ENCUESTA CONDUCTORES'!CD112="X",1,0)</f>
        <v>0</v>
      </c>
      <c r="BW112" s="15">
        <f>IF('ENCUESTA CONDUCTORES'!CE112="X",1,0)</f>
        <v>0</v>
      </c>
      <c r="BX112" s="15">
        <f>IF('ENCUESTA CONDUCTORES'!CF112="X",1,0)</f>
        <v>0</v>
      </c>
      <c r="BY112" s="15">
        <f>IF('ENCUESTA CONDUCTORES'!CG112="X",1,0)</f>
        <v>0</v>
      </c>
      <c r="BZ112" s="15">
        <f>IF('ENCUESTA CONDUCTORES'!CH112="X",1,0)</f>
        <v>0</v>
      </c>
      <c r="CA112" s="15">
        <f>IF('ENCUESTA CONDUCTORES'!CI112="X",1,0)</f>
        <v>0</v>
      </c>
      <c r="CB112" s="15">
        <f>IF('ENCUESTA CONDUCTORES'!CJ112="X",1,0)</f>
        <v>0</v>
      </c>
      <c r="CC112" s="15">
        <f>IF('ENCUESTA CONDUCTORES'!CK112="X",1,0)</f>
        <v>0</v>
      </c>
      <c r="CD112" s="15">
        <f>IF('ENCUESTA CONDUCTORES'!CL112="X",1,0)</f>
        <v>1</v>
      </c>
      <c r="CE112" s="15">
        <f>IF('ENCUESTA CONDUCTORES'!CM112="X",1,0)</f>
        <v>1</v>
      </c>
      <c r="CF112" s="15" t="str">
        <f>+'ENCUESTA CONDUCTORES'!CN112</f>
        <v>FALTA DE TIEMPO</v>
      </c>
      <c r="CG112" s="15">
        <f>IF('ENCUESTA CONDUCTORES'!CO112="X",1,0)</f>
        <v>0</v>
      </c>
      <c r="CH112" s="15" t="str">
        <f>+'ENCUESTA CONDUCTORES'!CP112</f>
        <v>MEJORA AL MEDIO AMBIENTE</v>
      </c>
      <c r="CI112" s="15" t="str">
        <f>+'ENCUESTA CONDUCTORES'!CQ112</f>
        <v>DAR INCENTIVOS</v>
      </c>
      <c r="CJ112" s="15">
        <f>IF('ENCUESTA CONDUCTORES'!CR112="X",1,0)</f>
        <v>0</v>
      </c>
      <c r="CK112" s="15">
        <f>IF('ENCUESTA CONDUCTORES'!CS112="X",1,0)</f>
        <v>1</v>
      </c>
      <c r="CL112" s="15">
        <f>IF('ENCUESTA CONDUCTORES'!CT112="X",1,0)</f>
        <v>0</v>
      </c>
      <c r="CM112" s="15">
        <f>+'ENCUESTA CONDUCTORES'!CU112</f>
        <v>0</v>
      </c>
      <c r="CN112" s="15">
        <f>IF('ENCUESTA CONDUCTORES'!CV112="X",1,0)</f>
        <v>1</v>
      </c>
      <c r="CO112" s="15" t="str">
        <f>+'ENCUESTA CONDUCTORES'!CW112</f>
        <v>NO TIENE TIEMPO</v>
      </c>
      <c r="CP112" s="15">
        <f>IF('ENCUESTA CONDUCTORES'!CX112="X",1,0)</f>
        <v>0</v>
      </c>
      <c r="CQ112" s="15">
        <f>IF('ENCUESTA CONDUCTORES'!CY112="X",1,0)</f>
        <v>0</v>
      </c>
      <c r="CR112" s="3">
        <f>+'ENCUESTA CONDUCTORES'!CZ112</f>
        <v>0</v>
      </c>
      <c r="CS112" s="49">
        <f>+'ENCUESTA CONDUCTORES'!DA112</f>
        <v>0</v>
      </c>
    </row>
    <row r="113" spans="2:97" x14ac:dyDescent="0.25">
      <c r="B113" s="14" t="str">
        <f>+'ENCUESTA CONDUCTORES'!D113</f>
        <v>C-119</v>
      </c>
      <c r="C113" s="15">
        <f>IF('ENCUESTA CONDUCTORES'!E113="X",1,0)</f>
        <v>0</v>
      </c>
      <c r="D113" s="15">
        <f>IF('ENCUESTA CONDUCTORES'!F113="X",1,0)</f>
        <v>1</v>
      </c>
      <c r="E113" s="15">
        <f>IF('ENCUESTA CONDUCTORES'!G113="X",1,0)</f>
        <v>0</v>
      </c>
      <c r="F113" s="15">
        <f>IF('ENCUESTA CONDUCTORES'!H113="X",1,0)</f>
        <v>0</v>
      </c>
      <c r="G113" s="15">
        <f>+'ENCUESTA CONDUCTORES'!I113</f>
        <v>24</v>
      </c>
      <c r="H113" s="15" t="str">
        <f>+'ENCUESTA CONDUCTORES'!J113</f>
        <v>M</v>
      </c>
      <c r="I113" s="15" t="str">
        <f>+'ENCUESTA CONDUCTORES'!K113</f>
        <v>SECUNDARIA</v>
      </c>
      <c r="J113" s="15" t="str">
        <f>+'ENCUESTA CONDUCTORES'!L113</f>
        <v>MILPA ALTA, D.F.</v>
      </c>
      <c r="K113" s="15" t="str">
        <f>+'ENCUESTA CONDUCTORES'!M113</f>
        <v>MILPA ALTA</v>
      </c>
      <c r="L113" s="15" t="str">
        <f>+'ENCUESTA CONDUCTORES'!N113</f>
        <v>D.F.</v>
      </c>
      <c r="M113" s="15">
        <f>+'ENCUESTA CONDUCTORES'!O113</f>
        <v>1</v>
      </c>
      <c r="N113" s="15">
        <f>IF('ENCUESTA CONDUCTORES'!P113="X",1,0)</f>
        <v>1</v>
      </c>
      <c r="O113" s="15">
        <f>IF('ENCUESTA CONDUCTORES'!Q113="X",1,0)</f>
        <v>0</v>
      </c>
      <c r="P113" s="15">
        <f>IF('ENCUESTA CONDUCTORES'!R113="X",1,0)</f>
        <v>0</v>
      </c>
      <c r="Q113" s="15">
        <f>IF('ENCUESTA CONDUCTORES'!S113="X",1,0)</f>
        <v>0</v>
      </c>
      <c r="R113" s="15">
        <f>IF('ENCUESTA CONDUCTORES'!T113="X",1,0)</f>
        <v>0</v>
      </c>
      <c r="S113" s="15">
        <f>IF('ENCUESTA CONDUCTORES'!U113="X",1,0)</f>
        <v>1</v>
      </c>
      <c r="T113" s="15">
        <f>IF('ENCUESTA CONDUCTORES'!V113="X",1,0)</f>
        <v>0</v>
      </c>
      <c r="U113" s="15">
        <f>IF('ENCUESTA CONDUCTORES'!W113="X",1,0)</f>
        <v>0</v>
      </c>
      <c r="V113" s="15">
        <f>IF('ENCUESTA CONDUCTORES'!X113="X",1,0)</f>
        <v>0</v>
      </c>
      <c r="W113" s="15">
        <f>IF('ENCUESTA CONDUCTORES'!Y113="X",1,0)</f>
        <v>0</v>
      </c>
      <c r="X113" s="15">
        <f>IF('ENCUESTA CONDUCTORES'!Z113="X",1,0)</f>
        <v>0</v>
      </c>
      <c r="Y113" s="15">
        <f>+'ENCUESTA CONDUCTORES'!AG113</f>
        <v>0</v>
      </c>
      <c r="Z113" s="15">
        <f>+'ENCUESTA CONDUCTORES'!AH113</f>
        <v>2014</v>
      </c>
      <c r="AA113" s="1">
        <f>+'ENCUESTA CONDUCTORES'!AI113</f>
        <v>1500</v>
      </c>
      <c r="AB113" s="15">
        <f>IF('ENCUESTA CONDUCTORES'!AJ113="X",1,0)</f>
        <v>0</v>
      </c>
      <c r="AC113" s="15">
        <f>IF('ENCUESTA CONDUCTORES'!AK113="X",1,0)</f>
        <v>0</v>
      </c>
      <c r="AD113" s="15">
        <f>IF('ENCUESTA CONDUCTORES'!AL113="X",1,0)</f>
        <v>1</v>
      </c>
      <c r="AE113" s="15">
        <f>IF('ENCUESTA CONDUCTORES'!AM113="X",1,0)</f>
        <v>0</v>
      </c>
      <c r="AF113" s="15">
        <f>IF('ENCUESTA CONDUCTORES'!AN113="X",1,0)</f>
        <v>0</v>
      </c>
      <c r="AG113" s="15">
        <f>IF('ENCUESTA CONDUCTORES'!AO113="X",1,0)</f>
        <v>0</v>
      </c>
      <c r="AH113" s="15">
        <f>IF('ENCUESTA CONDUCTORES'!AP113="X",1,0)</f>
        <v>1</v>
      </c>
      <c r="AI113" s="15">
        <f>IF('ENCUESTA CONDUCTORES'!AQ113="X",1,0)</f>
        <v>0</v>
      </c>
      <c r="AJ113" s="15">
        <f>IF('ENCUESTA CONDUCTORES'!AR113="X",1,0)</f>
        <v>0</v>
      </c>
      <c r="AK113" s="15">
        <f>+'ENCUESTA CONDUCTORES'!AS113</f>
        <v>0</v>
      </c>
      <c r="AL113" s="15" t="str">
        <f>+'ENCUESTA CONDUCTORES'!AT113</f>
        <v>INTERNATIONAL</v>
      </c>
      <c r="AM113" s="1">
        <f>+'ENCUESTA CONDUCTORES'!AU113</f>
        <v>250</v>
      </c>
      <c r="AN113" s="48">
        <f>+'ENCUESTA CONDUCTORES'!AV113</f>
        <v>0.2</v>
      </c>
      <c r="AO113" s="15">
        <f>+'ENCUESTA CONDUCTORES'!AW113</f>
        <v>3.2</v>
      </c>
      <c r="AP113" s="15">
        <f>+'ENCUESTA CONDUCTORES'!AX113</f>
        <v>3</v>
      </c>
      <c r="AQ113" s="15">
        <f>+'ENCUESTA CONDUCTORES'!AY113</f>
        <v>1</v>
      </c>
      <c r="AR113" s="15">
        <f>+'ENCUESTA CONDUCTORES'!AZ113</f>
        <v>200</v>
      </c>
      <c r="AS113" s="15">
        <f>+'ENCUESTA CONDUCTORES'!BA113</f>
        <v>600</v>
      </c>
      <c r="AT113" s="15">
        <f>IF('ENCUESTA CONDUCTORES'!BB113="X",1,0)</f>
        <v>0</v>
      </c>
      <c r="AU113" s="15">
        <f>IF('ENCUESTA CONDUCTORES'!BC113="X",1,0)</f>
        <v>0</v>
      </c>
      <c r="AV113" s="15">
        <f>IF('ENCUESTA CONDUCTORES'!BD113="X",1,0)</f>
        <v>0</v>
      </c>
      <c r="AW113" s="1" t="str">
        <f>+'ENCUESTA CONDUCTORES'!BE113</f>
        <v>NO SABE</v>
      </c>
      <c r="AX113" s="1" t="str">
        <f>+'ENCUESTA CONDUCTORES'!BF113</f>
        <v>NO SABE</v>
      </c>
      <c r="AY113" s="1" t="str">
        <f>+'ENCUESTA CONDUCTORES'!BG113</f>
        <v>NO SABE</v>
      </c>
      <c r="AZ113" s="1" t="str">
        <f>+'ENCUESTA CONDUCTORES'!BH113</f>
        <v>NO SABE</v>
      </c>
      <c r="BA113" s="1" t="str">
        <f>+'ENCUESTA CONDUCTORES'!BI113</f>
        <v>NO SABE</v>
      </c>
      <c r="BB113" s="15">
        <f>IF('ENCUESTA CONDUCTORES'!BJ113="X",1,0)</f>
        <v>0</v>
      </c>
      <c r="BC113" s="15">
        <f>IF('ENCUESTA CONDUCTORES'!BK113="X",1,0)</f>
        <v>0</v>
      </c>
      <c r="BD113" s="15">
        <f>IF('ENCUESTA CONDUCTORES'!BL113="X",1,0)</f>
        <v>0</v>
      </c>
      <c r="BE113" s="15">
        <f>IF('ENCUESTA CONDUCTORES'!BM113="X",1,0)</f>
        <v>0</v>
      </c>
      <c r="BF113" s="15">
        <f>IF('ENCUESTA CONDUCTORES'!BN113="X",1,0)</f>
        <v>1</v>
      </c>
      <c r="BG113" s="15">
        <f>IF('ENCUESTA CONDUCTORES'!BO113="X",1,0)</f>
        <v>0</v>
      </c>
      <c r="BH113" s="15">
        <f>IF('ENCUESTA CONDUCTORES'!BP113="X",1,0)</f>
        <v>0</v>
      </c>
      <c r="BI113" s="15">
        <f>IF('ENCUESTA CONDUCTORES'!BQ113="X",1,0)</f>
        <v>0</v>
      </c>
      <c r="BJ113" s="15">
        <f>IF('ENCUESTA CONDUCTORES'!BR113="X",1,0)</f>
        <v>0</v>
      </c>
      <c r="BK113" s="15">
        <f>+'ENCUESTA CONDUCTORES'!BS113</f>
        <v>0</v>
      </c>
      <c r="BL113" s="15">
        <f>IF('ENCUESTA CONDUCTORES'!BT113="X",1,0)</f>
        <v>0</v>
      </c>
      <c r="BM113" s="15">
        <f>IF('ENCUESTA CONDUCTORES'!BU113="X",1,0)</f>
        <v>0</v>
      </c>
      <c r="BN113" s="15">
        <f>IF('ENCUESTA CONDUCTORES'!BV113="X",1,0)</f>
        <v>1</v>
      </c>
      <c r="BO113" s="15">
        <f>IF('ENCUESTA CONDUCTORES'!BW113="X",1,0)</f>
        <v>0</v>
      </c>
      <c r="BP113" s="15">
        <f>+'ENCUESTA CONDUCTORES'!BX113</f>
        <v>1</v>
      </c>
      <c r="BQ113" s="15">
        <f>+'ENCUESTA CONDUCTORES'!BY113</f>
        <v>3</v>
      </c>
      <c r="BR113" s="15">
        <f>+'ENCUESTA CONDUCTORES'!BZ113</f>
        <v>2</v>
      </c>
      <c r="BS113" s="15">
        <f>+'ENCUESTA CONDUCTORES'!CA113</f>
        <v>0</v>
      </c>
      <c r="BT113" s="15">
        <f>IF('ENCUESTA CONDUCTORES'!CB113="X",1,0)</f>
        <v>1</v>
      </c>
      <c r="BU113" s="15">
        <f>IF('ENCUESTA CONDUCTORES'!CC113="X",1,0)</f>
        <v>0</v>
      </c>
      <c r="BV113" s="15">
        <f>IF('ENCUESTA CONDUCTORES'!CD113="X",1,0)</f>
        <v>0</v>
      </c>
      <c r="BW113" s="15">
        <f>IF('ENCUESTA CONDUCTORES'!CE113="X",1,0)</f>
        <v>0</v>
      </c>
      <c r="BX113" s="15">
        <f>IF('ENCUESTA CONDUCTORES'!CF113="X",1,0)</f>
        <v>0</v>
      </c>
      <c r="BY113" s="15">
        <f>IF('ENCUESTA CONDUCTORES'!CG113="X",1,0)</f>
        <v>0</v>
      </c>
      <c r="BZ113" s="15">
        <f>IF('ENCUESTA CONDUCTORES'!CH113="X",1,0)</f>
        <v>0</v>
      </c>
      <c r="CA113" s="15">
        <f>IF('ENCUESTA CONDUCTORES'!CI113="X",1,0)</f>
        <v>0</v>
      </c>
      <c r="CB113" s="15">
        <f>IF('ENCUESTA CONDUCTORES'!CJ113="X",1,0)</f>
        <v>0</v>
      </c>
      <c r="CC113" s="15">
        <f>IF('ENCUESTA CONDUCTORES'!CK113="X",1,0)</f>
        <v>1</v>
      </c>
      <c r="CD113" s="15">
        <f>IF('ENCUESTA CONDUCTORES'!CL113="X",1,0)</f>
        <v>0</v>
      </c>
      <c r="CE113" s="15">
        <f>IF('ENCUESTA CONDUCTORES'!CM113="X",1,0)</f>
        <v>0</v>
      </c>
      <c r="CF113" s="15">
        <f>+'ENCUESTA CONDUCTORES'!CN113</f>
        <v>0</v>
      </c>
      <c r="CG113" s="15">
        <f>IF('ENCUESTA CONDUCTORES'!CO113="X",1,0)</f>
        <v>0</v>
      </c>
      <c r="CH113" s="15" t="str">
        <f>+'ENCUESTA CONDUCTORES'!CP113</f>
        <v>NO SABE</v>
      </c>
      <c r="CI113" s="15" t="str">
        <f>+'ENCUESTA CONDUCTORES'!CQ113</f>
        <v>DARLO A CONOCER</v>
      </c>
      <c r="CJ113" s="15">
        <f>IF('ENCUESTA CONDUCTORES'!CR113="X",1,0)</f>
        <v>0</v>
      </c>
      <c r="CK113" s="15">
        <f>IF('ENCUESTA CONDUCTORES'!CS113="X",1,0)</f>
        <v>1</v>
      </c>
      <c r="CL113" s="15">
        <f>IF('ENCUESTA CONDUCTORES'!CT113="X",1,0)</f>
        <v>1</v>
      </c>
      <c r="CM113" s="15">
        <f>+'ENCUESTA CONDUCTORES'!CU113</f>
        <v>0</v>
      </c>
      <c r="CN113" s="15">
        <f>IF('ENCUESTA CONDUCTORES'!CV113="X",1,0)</f>
        <v>0</v>
      </c>
      <c r="CO113" s="15">
        <f>+'ENCUESTA CONDUCTORES'!CW113</f>
        <v>0</v>
      </c>
      <c r="CP113" s="15">
        <f>IF('ENCUESTA CONDUCTORES'!CX113="X",1,0)</f>
        <v>1</v>
      </c>
      <c r="CQ113" s="15">
        <f>IF('ENCUESTA CONDUCTORES'!CY113="X",1,0)</f>
        <v>1</v>
      </c>
      <c r="CR113" s="3">
        <f>+'ENCUESTA CONDUCTORES'!CZ113</f>
        <v>0</v>
      </c>
      <c r="CS113" s="49">
        <f>+'ENCUESTA CONDUCTORES'!DA113</f>
        <v>0</v>
      </c>
    </row>
    <row r="114" spans="2:97" x14ac:dyDescent="0.25">
      <c r="B114" s="14" t="str">
        <f>+'ENCUESTA CONDUCTORES'!D114</f>
        <v>C-120</v>
      </c>
      <c r="C114" s="15">
        <f>IF('ENCUESTA CONDUCTORES'!E114="X",1,0)</f>
        <v>0</v>
      </c>
      <c r="D114" s="15">
        <f>IF('ENCUESTA CONDUCTORES'!F114="X",1,0)</f>
        <v>0</v>
      </c>
      <c r="E114" s="15">
        <f>IF('ENCUESTA CONDUCTORES'!G114="X",1,0)</f>
        <v>1</v>
      </c>
      <c r="F114" s="15">
        <f>IF('ENCUESTA CONDUCTORES'!H114="X",1,0)</f>
        <v>0</v>
      </c>
      <c r="G114" s="15">
        <f>+'ENCUESTA CONDUCTORES'!I114</f>
        <v>41</v>
      </c>
      <c r="H114" s="15" t="str">
        <f>+'ENCUESTA CONDUCTORES'!J114</f>
        <v>M</v>
      </c>
      <c r="I114" s="15" t="str">
        <f>+'ENCUESTA CONDUCTORES'!K114</f>
        <v>SECUNDARIA</v>
      </c>
      <c r="J114" s="15" t="str">
        <f>+'ENCUESTA CONDUCTORES'!L114</f>
        <v>PACHUCA, HGO.</v>
      </c>
      <c r="K114" s="15" t="str">
        <f>+'ENCUESTA CONDUCTORES'!M114</f>
        <v>PACHUCA</v>
      </c>
      <c r="L114" s="15" t="str">
        <f>+'ENCUESTA CONDUCTORES'!N114</f>
        <v>HIDALGO</v>
      </c>
      <c r="M114" s="15">
        <f>+'ENCUESTA CONDUCTORES'!O114</f>
        <v>20</v>
      </c>
      <c r="N114" s="15">
        <f>IF('ENCUESTA CONDUCTORES'!P114="X",1,0)</f>
        <v>1</v>
      </c>
      <c r="O114" s="15">
        <f>IF('ENCUESTA CONDUCTORES'!Q114="X",1,0)</f>
        <v>0</v>
      </c>
      <c r="P114" s="15">
        <f>IF('ENCUESTA CONDUCTORES'!R114="X",1,0)</f>
        <v>0</v>
      </c>
      <c r="Q114" s="15">
        <f>IF('ENCUESTA CONDUCTORES'!S114="X",1,0)</f>
        <v>0</v>
      </c>
      <c r="R114" s="15">
        <f>IF('ENCUESTA CONDUCTORES'!T114="X",1,0)</f>
        <v>0</v>
      </c>
      <c r="S114" s="15">
        <f>IF('ENCUESTA CONDUCTORES'!U114="X",1,0)</f>
        <v>1</v>
      </c>
      <c r="T114" s="15">
        <f>IF('ENCUESTA CONDUCTORES'!V114="X",1,0)</f>
        <v>0</v>
      </c>
      <c r="U114" s="15">
        <f>IF('ENCUESTA CONDUCTORES'!W114="X",1,0)</f>
        <v>0</v>
      </c>
      <c r="V114" s="15">
        <f>IF('ENCUESTA CONDUCTORES'!X114="X",1,0)</f>
        <v>0</v>
      </c>
      <c r="W114" s="15">
        <f>IF('ENCUESTA CONDUCTORES'!Y114="X",1,0)</f>
        <v>0</v>
      </c>
      <c r="X114" s="15">
        <f>IF('ENCUESTA CONDUCTORES'!Z114="X",1,0)</f>
        <v>0</v>
      </c>
      <c r="Y114" s="15">
        <f>+'ENCUESTA CONDUCTORES'!AG114</f>
        <v>0</v>
      </c>
      <c r="Z114" s="15">
        <f>+'ENCUESTA CONDUCTORES'!AH114</f>
        <v>2014</v>
      </c>
      <c r="AA114" s="1">
        <f>+'ENCUESTA CONDUCTORES'!AI114</f>
        <v>41000</v>
      </c>
      <c r="AB114" s="15">
        <f>IF('ENCUESTA CONDUCTORES'!AJ114="X",1,0)</f>
        <v>0</v>
      </c>
      <c r="AC114" s="15">
        <f>IF('ENCUESTA CONDUCTORES'!AK114="X",1,0)</f>
        <v>0</v>
      </c>
      <c r="AD114" s="15">
        <f>IF('ENCUESTA CONDUCTORES'!AL114="X",1,0)</f>
        <v>1</v>
      </c>
      <c r="AE114" s="15">
        <f>IF('ENCUESTA CONDUCTORES'!AM114="X",1,0)</f>
        <v>0</v>
      </c>
      <c r="AF114" s="15">
        <f>IF('ENCUESTA CONDUCTORES'!AN114="X",1,0)</f>
        <v>0</v>
      </c>
      <c r="AG114" s="15">
        <f>IF('ENCUESTA CONDUCTORES'!AO114="X",1,0)</f>
        <v>0</v>
      </c>
      <c r="AH114" s="15">
        <f>IF('ENCUESTA CONDUCTORES'!AP114="X",1,0)</f>
        <v>1</v>
      </c>
      <c r="AI114" s="15">
        <f>IF('ENCUESTA CONDUCTORES'!AQ114="X",1,0)</f>
        <v>0</v>
      </c>
      <c r="AJ114" s="15">
        <f>IF('ENCUESTA CONDUCTORES'!AR114="X",1,0)</f>
        <v>0</v>
      </c>
      <c r="AK114" s="15">
        <f>+'ENCUESTA CONDUCTORES'!AS114</f>
        <v>0</v>
      </c>
      <c r="AL114" s="15" t="str">
        <f>+'ENCUESTA CONDUCTORES'!AT114</f>
        <v>CUMMINS</v>
      </c>
      <c r="AM114" s="1">
        <f>+'ENCUESTA CONDUCTORES'!AU114</f>
        <v>10000</v>
      </c>
      <c r="AN114" s="48">
        <f>+'ENCUESTA CONDUCTORES'!AV114</f>
        <v>0.3</v>
      </c>
      <c r="AO114" s="15">
        <f>+'ENCUESTA CONDUCTORES'!AW114</f>
        <v>2.2000000000000002</v>
      </c>
      <c r="AP114" s="15">
        <f>+'ENCUESTA CONDUCTORES'!AX114</f>
        <v>1.3</v>
      </c>
      <c r="AQ114" s="15">
        <f>+'ENCUESTA CONDUCTORES'!AY114</f>
        <v>2</v>
      </c>
      <c r="AR114" s="15">
        <f>+'ENCUESTA CONDUCTORES'!AZ114</f>
        <v>720</v>
      </c>
      <c r="AS114" s="15">
        <f>+'ENCUESTA CONDUCTORES'!BA114</f>
        <v>1300</v>
      </c>
      <c r="AT114" s="15">
        <f>IF('ENCUESTA CONDUCTORES'!BB114="X",1,0)</f>
        <v>1</v>
      </c>
      <c r="AU114" s="15">
        <f>IF('ENCUESTA CONDUCTORES'!BC114="X",1,0)</f>
        <v>1</v>
      </c>
      <c r="AV114" s="15">
        <f>IF('ENCUESTA CONDUCTORES'!BD114="X",1,0)</f>
        <v>0</v>
      </c>
      <c r="AW114" s="1">
        <f>+'ENCUESTA CONDUCTORES'!BE114</f>
        <v>26000</v>
      </c>
      <c r="AX114" s="1">
        <f>+'ENCUESTA CONDUCTORES'!BF114</f>
        <v>26000</v>
      </c>
      <c r="AY114" s="1">
        <f>+'ENCUESTA CONDUCTORES'!BG114</f>
        <v>26000</v>
      </c>
      <c r="AZ114" s="1" t="str">
        <f>+'ENCUESTA CONDUCTORES'!BH114</f>
        <v>NO SABE</v>
      </c>
      <c r="BA114" s="1">
        <f>+'ENCUESTA CONDUCTORES'!BI114</f>
        <v>26000</v>
      </c>
      <c r="BB114" s="15">
        <f>IF('ENCUESTA CONDUCTORES'!BJ114="X",1,0)</f>
        <v>1</v>
      </c>
      <c r="BC114" s="15">
        <f>IF('ENCUESTA CONDUCTORES'!BK114="X",1,0)</f>
        <v>0</v>
      </c>
      <c r="BD114" s="15">
        <f>IF('ENCUESTA CONDUCTORES'!BL114="X",1,0)</f>
        <v>0</v>
      </c>
      <c r="BE114" s="15">
        <f>IF('ENCUESTA CONDUCTORES'!BM114="X",1,0)</f>
        <v>0</v>
      </c>
      <c r="BF114" s="15">
        <f>IF('ENCUESTA CONDUCTORES'!BN114="X",1,0)</f>
        <v>0</v>
      </c>
      <c r="BG114" s="15">
        <f>IF('ENCUESTA CONDUCTORES'!BO114="X",1,0)</f>
        <v>0</v>
      </c>
      <c r="BH114" s="15">
        <f>IF('ENCUESTA CONDUCTORES'!BP114="X",1,0)</f>
        <v>0</v>
      </c>
      <c r="BI114" s="15">
        <f>IF('ENCUESTA CONDUCTORES'!BQ114="X",1,0)</f>
        <v>0</v>
      </c>
      <c r="BJ114" s="15">
        <f>IF('ENCUESTA CONDUCTORES'!BR114="X",1,0)</f>
        <v>0</v>
      </c>
      <c r="BK114" s="15">
        <f>+'ENCUESTA CONDUCTORES'!BS114</f>
        <v>0</v>
      </c>
      <c r="BL114" s="15">
        <f>IF('ENCUESTA CONDUCTORES'!BT114="X",1,0)</f>
        <v>0</v>
      </c>
      <c r="BM114" s="15">
        <f>IF('ENCUESTA CONDUCTORES'!BU114="X",1,0)</f>
        <v>0</v>
      </c>
      <c r="BN114" s="15">
        <f>IF('ENCUESTA CONDUCTORES'!BV114="X",1,0)</f>
        <v>0</v>
      </c>
      <c r="BO114" s="15">
        <f>IF('ENCUESTA CONDUCTORES'!BW114="X",1,0)</f>
        <v>1</v>
      </c>
      <c r="BP114" s="15">
        <f>+'ENCUESTA CONDUCTORES'!BX114</f>
        <v>2</v>
      </c>
      <c r="BQ114" s="15">
        <f>+'ENCUESTA CONDUCTORES'!BY114</f>
        <v>3</v>
      </c>
      <c r="BR114" s="15">
        <f>+'ENCUESTA CONDUCTORES'!BZ114</f>
        <v>1</v>
      </c>
      <c r="BS114" s="15">
        <f>+'ENCUESTA CONDUCTORES'!CA114</f>
        <v>0</v>
      </c>
      <c r="BT114" s="15">
        <f>IF('ENCUESTA CONDUCTORES'!CB114="X",1,0)</f>
        <v>0</v>
      </c>
      <c r="BU114" s="15">
        <f>IF('ENCUESTA CONDUCTORES'!CC114="X",1,0)</f>
        <v>1</v>
      </c>
      <c r="BV114" s="15">
        <f>IF('ENCUESTA CONDUCTORES'!CD114="X",1,0)</f>
        <v>1</v>
      </c>
      <c r="BW114" s="15">
        <f>IF('ENCUESTA CONDUCTORES'!CE114="X",1,0)</f>
        <v>1</v>
      </c>
      <c r="BX114" s="15">
        <f>IF('ENCUESTA CONDUCTORES'!CF114="X",1,0)</f>
        <v>1</v>
      </c>
      <c r="BY114" s="15">
        <f>IF('ENCUESTA CONDUCTORES'!CG114="X",1,0)</f>
        <v>1</v>
      </c>
      <c r="BZ114" s="15">
        <f>IF('ENCUESTA CONDUCTORES'!CH114="X",1,0)</f>
        <v>1</v>
      </c>
      <c r="CA114" s="15">
        <f>IF('ENCUESTA CONDUCTORES'!CI114="X",1,0)</f>
        <v>1</v>
      </c>
      <c r="CB114" s="15">
        <f>IF('ENCUESTA CONDUCTORES'!CJ114="X",1,0)</f>
        <v>0</v>
      </c>
      <c r="CC114" s="15">
        <f>IF('ENCUESTA CONDUCTORES'!CK114="X",1,0)</f>
        <v>0</v>
      </c>
      <c r="CD114" s="15">
        <f>IF('ENCUESTA CONDUCTORES'!CL114="X",1,0)</f>
        <v>1</v>
      </c>
      <c r="CE114" s="15">
        <f>IF('ENCUESTA CONDUCTORES'!CM114="X",1,0)</f>
        <v>1</v>
      </c>
      <c r="CF114" s="15" t="str">
        <f>+'ENCUESTA CONDUCTORES'!CN114</f>
        <v>FALTA DE TIEMPO</v>
      </c>
      <c r="CG114" s="15">
        <f>IF('ENCUESTA CONDUCTORES'!CO114="X",1,0)</f>
        <v>0</v>
      </c>
      <c r="CH114" s="15" t="str">
        <f>+'ENCUESTA CONDUCTORES'!CP114</f>
        <v>ES BUENO, AHORRA COMBUSTIBLE</v>
      </c>
      <c r="CI114" s="15" t="str">
        <f>+'ENCUESTA CONDUCTORES'!CQ114</f>
        <v>NO SABE</v>
      </c>
      <c r="CJ114" s="15">
        <f>IF('ENCUESTA CONDUCTORES'!CR114="X",1,0)</f>
        <v>0</v>
      </c>
      <c r="CK114" s="15">
        <f>IF('ENCUESTA CONDUCTORES'!CS114="X",1,0)</f>
        <v>1</v>
      </c>
      <c r="CL114" s="15">
        <f>IF('ENCUESTA CONDUCTORES'!CT114="X",1,0)</f>
        <v>1</v>
      </c>
      <c r="CM114" s="15">
        <f>+'ENCUESTA CONDUCTORES'!CU114</f>
        <v>0</v>
      </c>
      <c r="CN114" s="15">
        <f>IF('ENCUESTA CONDUCTORES'!CV114="X",1,0)</f>
        <v>0</v>
      </c>
      <c r="CO114" s="15">
        <f>+'ENCUESTA CONDUCTORES'!CW114</f>
        <v>0</v>
      </c>
      <c r="CP114" s="15">
        <f>IF('ENCUESTA CONDUCTORES'!CX114="X",1,0)</f>
        <v>1</v>
      </c>
      <c r="CQ114" s="15">
        <f>IF('ENCUESTA CONDUCTORES'!CY114="X",1,0)</f>
        <v>1</v>
      </c>
      <c r="CR114" s="3">
        <f>+'ENCUESTA CONDUCTORES'!CZ114</f>
        <v>0</v>
      </c>
      <c r="CS114" s="49">
        <f>+'ENCUESTA CONDUCTORES'!DA114</f>
        <v>0</v>
      </c>
    </row>
    <row r="115" spans="2:97" x14ac:dyDescent="0.25">
      <c r="B115" s="14" t="str">
        <f>+'ENCUESTA CONDUCTORES'!D115</f>
        <v>C-121</v>
      </c>
      <c r="C115" s="15">
        <f>IF('ENCUESTA CONDUCTORES'!E115="X",1,0)</f>
        <v>0</v>
      </c>
      <c r="D115" s="15">
        <f>IF('ENCUESTA CONDUCTORES'!F115="X",1,0)</f>
        <v>0</v>
      </c>
      <c r="E115" s="15">
        <f>IF('ENCUESTA CONDUCTORES'!G115="X",1,0)</f>
        <v>1</v>
      </c>
      <c r="F115" s="15">
        <f>IF('ENCUESTA CONDUCTORES'!H115="X",1,0)</f>
        <v>0</v>
      </c>
      <c r="G115" s="15">
        <f>+'ENCUESTA CONDUCTORES'!I115</f>
        <v>25</v>
      </c>
      <c r="H115" s="15" t="str">
        <f>+'ENCUESTA CONDUCTORES'!J115</f>
        <v>M</v>
      </c>
      <c r="I115" s="15" t="str">
        <f>+'ENCUESTA CONDUCTORES'!K115</f>
        <v>PRIMARIA</v>
      </c>
      <c r="J115" s="15" t="str">
        <f>+'ENCUESTA CONDUCTORES'!L115</f>
        <v>ZACATLÁN, PUE.</v>
      </c>
      <c r="K115" s="50" t="str">
        <f>+'ENCUESTA CONDUCTORES'!M115</f>
        <v>ZACATLÁN</v>
      </c>
      <c r="L115" s="15" t="str">
        <f>+'ENCUESTA CONDUCTORES'!N115</f>
        <v>PUEBLA</v>
      </c>
      <c r="M115" s="15">
        <f>+'ENCUESTA CONDUCTORES'!O115</f>
        <v>3</v>
      </c>
      <c r="N115" s="15">
        <f>IF('ENCUESTA CONDUCTORES'!P115="X",1,0)</f>
        <v>1</v>
      </c>
      <c r="O115" s="15">
        <f>IF('ENCUESTA CONDUCTORES'!Q115="X",1,0)</f>
        <v>0</v>
      </c>
      <c r="P115" s="15">
        <f>IF('ENCUESTA CONDUCTORES'!R115="X",1,0)</f>
        <v>0</v>
      </c>
      <c r="Q115" s="15">
        <f>IF('ENCUESTA CONDUCTORES'!S115="X",1,0)</f>
        <v>0</v>
      </c>
      <c r="R115" s="15">
        <f>IF('ENCUESTA CONDUCTORES'!T115="X",1,0)</f>
        <v>0</v>
      </c>
      <c r="S115" s="15">
        <f>IF('ENCUESTA CONDUCTORES'!U115="X",1,0)</f>
        <v>0</v>
      </c>
      <c r="T115" s="15">
        <f>IF('ENCUESTA CONDUCTORES'!V115="X",1,0)</f>
        <v>0</v>
      </c>
      <c r="U115" s="15">
        <f>IF('ENCUESTA CONDUCTORES'!W115="X",1,0)</f>
        <v>0</v>
      </c>
      <c r="V115" s="15">
        <f>IF('ENCUESTA CONDUCTORES'!X115="X",1,0)</f>
        <v>0</v>
      </c>
      <c r="W115" s="15">
        <f>IF('ENCUESTA CONDUCTORES'!Y115="X",1,0)</f>
        <v>0</v>
      </c>
      <c r="X115" s="15">
        <f>IF('ENCUESTA CONDUCTORES'!Z115="X",1,0)</f>
        <v>0</v>
      </c>
      <c r="Y115" s="15">
        <f>+'ENCUESTA CONDUCTORES'!AG115</f>
        <v>0</v>
      </c>
      <c r="Z115" s="15">
        <f>+'ENCUESTA CONDUCTORES'!AH115</f>
        <v>1998</v>
      </c>
      <c r="AA115" s="1" t="str">
        <f>+'ENCUESTA CONDUCTORES'!AI115</f>
        <v>NO SABE</v>
      </c>
      <c r="AB115" s="15">
        <f>IF('ENCUESTA CONDUCTORES'!AJ115="X",1,0)</f>
        <v>0</v>
      </c>
      <c r="AC115" s="15">
        <f>IF('ENCUESTA CONDUCTORES'!AK115="X",1,0)</f>
        <v>0</v>
      </c>
      <c r="AD115" s="15">
        <f>IF('ENCUESTA CONDUCTORES'!AL115="X",1,0)</f>
        <v>1</v>
      </c>
      <c r="AE115" s="15">
        <f>IF('ENCUESTA CONDUCTORES'!AM115="X",1,0)</f>
        <v>0</v>
      </c>
      <c r="AF115" s="15">
        <f>IF('ENCUESTA CONDUCTORES'!AN115="X",1,0)</f>
        <v>0</v>
      </c>
      <c r="AG115" s="15">
        <f>IF('ENCUESTA CONDUCTORES'!AO115="X",1,0)</f>
        <v>0</v>
      </c>
      <c r="AH115" s="15">
        <f>IF('ENCUESTA CONDUCTORES'!AP115="X",1,0)</f>
        <v>1</v>
      </c>
      <c r="AI115" s="15">
        <f>IF('ENCUESTA CONDUCTORES'!AQ115="X",1,0)</f>
        <v>0</v>
      </c>
      <c r="AJ115" s="15">
        <f>IF('ENCUESTA CONDUCTORES'!AR115="X",1,0)</f>
        <v>0</v>
      </c>
      <c r="AK115" s="15">
        <f>+'ENCUESTA CONDUCTORES'!AS115</f>
        <v>0</v>
      </c>
      <c r="AL115" s="15" t="str">
        <f>+'ENCUESTA CONDUCTORES'!AT115</f>
        <v>DINA</v>
      </c>
      <c r="AM115" s="1">
        <f>+'ENCUESTA CONDUCTORES'!AU115</f>
        <v>11000</v>
      </c>
      <c r="AN115" s="48">
        <f>+'ENCUESTA CONDUCTORES'!AV115</f>
        <v>0.2</v>
      </c>
      <c r="AO115" s="15">
        <f>+'ENCUESTA CONDUCTORES'!AW115</f>
        <v>2.2999999999999998</v>
      </c>
      <c r="AP115" s="15">
        <f>+'ENCUESTA CONDUCTORES'!AX115</f>
        <v>2</v>
      </c>
      <c r="AQ115" s="15">
        <f>+'ENCUESTA CONDUCTORES'!AY115</f>
        <v>1</v>
      </c>
      <c r="AR115" s="15">
        <f>+'ENCUESTA CONDUCTORES'!AZ115</f>
        <v>150</v>
      </c>
      <c r="AS115" s="15">
        <f>+'ENCUESTA CONDUCTORES'!BA115</f>
        <v>350</v>
      </c>
      <c r="AT115" s="15">
        <f>IF('ENCUESTA CONDUCTORES'!BB115="X",1,0)</f>
        <v>0</v>
      </c>
      <c r="AU115" s="15">
        <f>IF('ENCUESTA CONDUCTORES'!BC115="X",1,0)</f>
        <v>0</v>
      </c>
      <c r="AV115" s="15">
        <f>IF('ENCUESTA CONDUCTORES'!BD115="X",1,0)</f>
        <v>0</v>
      </c>
      <c r="AW115" s="1">
        <f>+'ENCUESTA CONDUCTORES'!BE115</f>
        <v>22000</v>
      </c>
      <c r="AX115" s="1">
        <f>+'ENCUESTA CONDUCTORES'!BF115</f>
        <v>22000</v>
      </c>
      <c r="AY115" s="1">
        <f>+'ENCUESTA CONDUCTORES'!BG115</f>
        <v>22000</v>
      </c>
      <c r="AZ115" s="1" t="str">
        <f>+'ENCUESTA CONDUCTORES'!BH115</f>
        <v>NO SABE</v>
      </c>
      <c r="BA115" s="1">
        <f>+'ENCUESTA CONDUCTORES'!BI115</f>
        <v>22000</v>
      </c>
      <c r="BB115" s="15">
        <f>IF('ENCUESTA CONDUCTORES'!BJ115="X",1,0)</f>
        <v>0</v>
      </c>
      <c r="BC115" s="15">
        <f>IF('ENCUESTA CONDUCTORES'!BK115="X",1,0)</f>
        <v>0</v>
      </c>
      <c r="BD115" s="15">
        <f>IF('ENCUESTA CONDUCTORES'!BL115="X",1,0)</f>
        <v>0</v>
      </c>
      <c r="BE115" s="15">
        <f>IF('ENCUESTA CONDUCTORES'!BM115="X",1,0)</f>
        <v>0</v>
      </c>
      <c r="BF115" s="15">
        <f>IF('ENCUESTA CONDUCTORES'!BN115="X",1,0)</f>
        <v>0</v>
      </c>
      <c r="BG115" s="15">
        <f>IF('ENCUESTA CONDUCTORES'!BO115="X",1,0)</f>
        <v>1</v>
      </c>
      <c r="BH115" s="15">
        <f>IF('ENCUESTA CONDUCTORES'!BP115="X",1,0)</f>
        <v>0</v>
      </c>
      <c r="BI115" s="15">
        <f>IF('ENCUESTA CONDUCTORES'!BQ115="X",1,0)</f>
        <v>0</v>
      </c>
      <c r="BJ115" s="15">
        <f>IF('ENCUESTA CONDUCTORES'!BR115="X",1,0)</f>
        <v>0</v>
      </c>
      <c r="BK115" s="15">
        <f>+'ENCUESTA CONDUCTORES'!BS115</f>
        <v>0</v>
      </c>
      <c r="BL115" s="15">
        <f>IF('ENCUESTA CONDUCTORES'!BT115="X",1,0)</f>
        <v>0</v>
      </c>
      <c r="BM115" s="15">
        <f>IF('ENCUESTA CONDUCTORES'!BU115="X",1,0)</f>
        <v>0</v>
      </c>
      <c r="BN115" s="15">
        <f>IF('ENCUESTA CONDUCTORES'!BV115="X",1,0)</f>
        <v>1</v>
      </c>
      <c r="BO115" s="15">
        <f>IF('ENCUESTA CONDUCTORES'!BW115="X",1,0)</f>
        <v>0</v>
      </c>
      <c r="BP115" s="15">
        <f>+'ENCUESTA CONDUCTORES'!BX115</f>
        <v>2</v>
      </c>
      <c r="BQ115" s="15">
        <f>+'ENCUESTA CONDUCTORES'!BY115</f>
        <v>3</v>
      </c>
      <c r="BR115" s="15">
        <f>+'ENCUESTA CONDUCTORES'!BZ115</f>
        <v>1</v>
      </c>
      <c r="BS115" s="15">
        <f>+'ENCUESTA CONDUCTORES'!CA115</f>
        <v>0</v>
      </c>
      <c r="BT115" s="15">
        <f>IF('ENCUESTA CONDUCTORES'!CB115="X",1,0)</f>
        <v>1</v>
      </c>
      <c r="BU115" s="15">
        <f>IF('ENCUESTA CONDUCTORES'!CC115="X",1,0)</f>
        <v>0</v>
      </c>
      <c r="BV115" s="15">
        <f>IF('ENCUESTA CONDUCTORES'!CD115="X",1,0)</f>
        <v>0</v>
      </c>
      <c r="BW115" s="15">
        <f>IF('ENCUESTA CONDUCTORES'!CE115="X",1,0)</f>
        <v>0</v>
      </c>
      <c r="BX115" s="15">
        <f>IF('ENCUESTA CONDUCTORES'!CF115="X",1,0)</f>
        <v>0</v>
      </c>
      <c r="BY115" s="15">
        <f>IF('ENCUESTA CONDUCTORES'!CG115="X",1,0)</f>
        <v>0</v>
      </c>
      <c r="BZ115" s="15">
        <f>IF('ENCUESTA CONDUCTORES'!CH115="X",1,0)</f>
        <v>0</v>
      </c>
      <c r="CA115" s="15">
        <f>IF('ENCUESTA CONDUCTORES'!CI115="X",1,0)</f>
        <v>0</v>
      </c>
      <c r="CB115" s="15">
        <f>IF('ENCUESTA CONDUCTORES'!CJ115="X",1,0)</f>
        <v>0</v>
      </c>
      <c r="CC115" s="15">
        <f>IF('ENCUESTA CONDUCTORES'!CK115="X",1,0)</f>
        <v>1</v>
      </c>
      <c r="CD115" s="15">
        <f>IF('ENCUESTA CONDUCTORES'!CL115="X",1,0)</f>
        <v>0</v>
      </c>
      <c r="CE115" s="15">
        <f>IF('ENCUESTA CONDUCTORES'!CM115="X",1,0)</f>
        <v>0</v>
      </c>
      <c r="CF115" s="15">
        <f>+'ENCUESTA CONDUCTORES'!CN115</f>
        <v>0</v>
      </c>
      <c r="CG115" s="15">
        <f>IF('ENCUESTA CONDUCTORES'!CO115="X",1,0)</f>
        <v>0</v>
      </c>
      <c r="CH115" s="15" t="str">
        <f>+'ENCUESTA CONDUCTORES'!CP115</f>
        <v>NO SABE</v>
      </c>
      <c r="CI115" s="15" t="str">
        <f>+'ENCUESTA CONDUCTORES'!CQ115</f>
        <v>PUBLICIDAD</v>
      </c>
      <c r="CJ115" s="15">
        <f>IF('ENCUESTA CONDUCTORES'!CR115="X",1,0)</f>
        <v>0</v>
      </c>
      <c r="CK115" s="15">
        <f>IF('ENCUESTA CONDUCTORES'!CS115="X",1,0)</f>
        <v>1</v>
      </c>
      <c r="CL115" s="15">
        <f>IF('ENCUESTA CONDUCTORES'!CT115="X",1,0)</f>
        <v>0</v>
      </c>
      <c r="CM115" s="15">
        <f>+'ENCUESTA CONDUCTORES'!CU115</f>
        <v>0</v>
      </c>
      <c r="CN115" s="15">
        <f>IF('ENCUESTA CONDUCTORES'!CV115="X",1,0)</f>
        <v>0</v>
      </c>
      <c r="CO115" s="15">
        <f>+'ENCUESTA CONDUCTORES'!CW115</f>
        <v>0</v>
      </c>
      <c r="CP115" s="15">
        <f>IF('ENCUESTA CONDUCTORES'!CX115="X",1,0)</f>
        <v>0</v>
      </c>
      <c r="CQ115" s="15">
        <f>IF('ENCUESTA CONDUCTORES'!CY115="X",1,0)</f>
        <v>1</v>
      </c>
      <c r="CR115" s="3" t="str">
        <f>+'ENCUESTA CONDUCTORES'!CZ115</f>
        <v>ELECTROMECANICA</v>
      </c>
      <c r="CS115" s="49">
        <f>+'ENCUESTA CONDUCTORES'!DA115</f>
        <v>0</v>
      </c>
    </row>
    <row r="116" spans="2:97" x14ac:dyDescent="0.25">
      <c r="B116" s="14" t="str">
        <f>+'ENCUESTA CONDUCTORES'!D116</f>
        <v>C-122</v>
      </c>
      <c r="C116" s="15">
        <f>IF('ENCUESTA CONDUCTORES'!E116="X",1,0)</f>
        <v>1</v>
      </c>
      <c r="D116" s="15">
        <f>IF('ENCUESTA CONDUCTORES'!F116="X",1,0)</f>
        <v>0</v>
      </c>
      <c r="E116" s="15">
        <f>IF('ENCUESTA CONDUCTORES'!G116="X",1,0)</f>
        <v>0</v>
      </c>
      <c r="F116" s="15">
        <f>IF('ENCUESTA CONDUCTORES'!H116="X",1,0)</f>
        <v>0</v>
      </c>
      <c r="G116" s="15">
        <f>+'ENCUESTA CONDUCTORES'!I116</f>
        <v>59</v>
      </c>
      <c r="H116" s="15" t="str">
        <f>+'ENCUESTA CONDUCTORES'!J116</f>
        <v>M</v>
      </c>
      <c r="I116" s="15" t="str">
        <f>+'ENCUESTA CONDUCTORES'!K116</f>
        <v>PRIMARIA</v>
      </c>
      <c r="J116" s="15" t="str">
        <f>+'ENCUESTA CONDUCTORES'!L116</f>
        <v>CUERNAVACA, MOR.</v>
      </c>
      <c r="K116" s="15" t="str">
        <f>+'ENCUESTA CONDUCTORES'!M116</f>
        <v>CUERNAVACA</v>
      </c>
      <c r="L116" s="15" t="str">
        <f>+'ENCUESTA CONDUCTORES'!N116</f>
        <v>MORELOS</v>
      </c>
      <c r="M116" s="15">
        <f>+'ENCUESTA CONDUCTORES'!O116</f>
        <v>30</v>
      </c>
      <c r="N116" s="15">
        <f>IF('ENCUESTA CONDUCTORES'!P116="X",1,0)</f>
        <v>0</v>
      </c>
      <c r="O116" s="15">
        <f>IF('ENCUESTA CONDUCTORES'!Q116="X",1,0)</f>
        <v>0</v>
      </c>
      <c r="P116" s="15">
        <f>IF('ENCUESTA CONDUCTORES'!R116="X",1,0)</f>
        <v>0</v>
      </c>
      <c r="Q116" s="15">
        <f>IF('ENCUESTA CONDUCTORES'!S116="X",1,0)</f>
        <v>1</v>
      </c>
      <c r="R116" s="15">
        <f>IF('ENCUESTA CONDUCTORES'!T116="X",1,0)</f>
        <v>0</v>
      </c>
      <c r="S116" s="15">
        <f>IF('ENCUESTA CONDUCTORES'!U116="X",1,0)</f>
        <v>0</v>
      </c>
      <c r="T116" s="15">
        <f>IF('ENCUESTA CONDUCTORES'!V116="X",1,0)</f>
        <v>0</v>
      </c>
      <c r="U116" s="15">
        <f>IF('ENCUESTA CONDUCTORES'!W116="X",1,0)</f>
        <v>0</v>
      </c>
      <c r="V116" s="15">
        <f>IF('ENCUESTA CONDUCTORES'!X116="X",1,0)</f>
        <v>0</v>
      </c>
      <c r="W116" s="15">
        <f>IF('ENCUESTA CONDUCTORES'!Y116="X",1,0)</f>
        <v>1</v>
      </c>
      <c r="X116" s="15">
        <f>IF('ENCUESTA CONDUCTORES'!Z116="X",1,0)</f>
        <v>0</v>
      </c>
      <c r="Y116" s="15">
        <f>+'ENCUESTA CONDUCTORES'!AG116</f>
        <v>0</v>
      </c>
      <c r="Z116" s="15">
        <f>+'ENCUESTA CONDUCTORES'!AH116</f>
        <v>2001</v>
      </c>
      <c r="AA116" s="1">
        <f>+'ENCUESTA CONDUCTORES'!AI116</f>
        <v>4000000</v>
      </c>
      <c r="AB116" s="15">
        <f>IF('ENCUESTA CONDUCTORES'!AJ116="X",1,0)</f>
        <v>0</v>
      </c>
      <c r="AC116" s="15">
        <f>IF('ENCUESTA CONDUCTORES'!AK116="X",1,0)</f>
        <v>0</v>
      </c>
      <c r="AD116" s="15">
        <f>IF('ENCUESTA CONDUCTORES'!AL116="X",1,0)</f>
        <v>1</v>
      </c>
      <c r="AE116" s="15">
        <f>IF('ENCUESTA CONDUCTORES'!AM116="X",1,0)</f>
        <v>0</v>
      </c>
      <c r="AF116" s="15">
        <f>IF('ENCUESTA CONDUCTORES'!AN116="X",1,0)</f>
        <v>0</v>
      </c>
      <c r="AG116" s="15">
        <f>IF('ENCUESTA CONDUCTORES'!AO116="X",1,0)</f>
        <v>0</v>
      </c>
      <c r="AH116" s="15">
        <f>IF('ENCUESTA CONDUCTORES'!AP116="X",1,0)</f>
        <v>1</v>
      </c>
      <c r="AI116" s="15">
        <f>IF('ENCUESTA CONDUCTORES'!AQ116="X",1,0)</f>
        <v>0</v>
      </c>
      <c r="AJ116" s="15">
        <f>IF('ENCUESTA CONDUCTORES'!AR116="X",1,0)</f>
        <v>0</v>
      </c>
      <c r="AK116" s="15">
        <f>+'ENCUESTA CONDUCTORES'!AS116</f>
        <v>0</v>
      </c>
      <c r="AL116" s="15" t="str">
        <f>+'ENCUESTA CONDUCTORES'!AT116</f>
        <v>CUMMINS</v>
      </c>
      <c r="AM116" s="1">
        <f>+'ENCUESTA CONDUCTORES'!AU116</f>
        <v>30000</v>
      </c>
      <c r="AN116" s="48">
        <f>+'ENCUESTA CONDUCTORES'!AV116</f>
        <v>0.5</v>
      </c>
      <c r="AO116" s="15">
        <f>+'ENCUESTA CONDUCTORES'!AW116</f>
        <v>2.1</v>
      </c>
      <c r="AP116" s="15">
        <f>+'ENCUESTA CONDUCTORES'!AX116</f>
        <v>1.5</v>
      </c>
      <c r="AQ116" s="15">
        <f>+'ENCUESTA CONDUCTORES'!AY116</f>
        <v>3</v>
      </c>
      <c r="AR116" s="15">
        <f>+'ENCUESTA CONDUCTORES'!AZ116</f>
        <v>550</v>
      </c>
      <c r="AS116" s="15">
        <f>+'ENCUESTA CONDUCTORES'!BA116</f>
        <v>1000</v>
      </c>
      <c r="AT116" s="15">
        <f>IF('ENCUESTA CONDUCTORES'!BB116="X",1,0)</f>
        <v>1</v>
      </c>
      <c r="AU116" s="15">
        <f>IF('ENCUESTA CONDUCTORES'!BC116="X",1,0)</f>
        <v>1</v>
      </c>
      <c r="AV116" s="15">
        <f>IF('ENCUESTA CONDUCTORES'!BD116="X",1,0)</f>
        <v>0</v>
      </c>
      <c r="AW116" s="1">
        <f>+'ENCUESTA CONDUCTORES'!BE116</f>
        <v>30000</v>
      </c>
      <c r="AX116" s="1">
        <f>+'ENCUESTA CONDUCTORES'!BF116</f>
        <v>90000</v>
      </c>
      <c r="AY116" s="1">
        <f>+'ENCUESTA CONDUCTORES'!BG116</f>
        <v>30000</v>
      </c>
      <c r="AZ116" s="1">
        <f>+'ENCUESTA CONDUCTORES'!BH116</f>
        <v>250000</v>
      </c>
      <c r="BA116" s="1">
        <f>+'ENCUESTA CONDUCTORES'!BI116</f>
        <v>30000</v>
      </c>
      <c r="BB116" s="15">
        <f>IF('ENCUESTA CONDUCTORES'!BJ116="X",1,0)</f>
        <v>0</v>
      </c>
      <c r="BC116" s="15">
        <f>IF('ENCUESTA CONDUCTORES'!BK116="X",1,0)</f>
        <v>0</v>
      </c>
      <c r="BD116" s="15">
        <f>IF('ENCUESTA CONDUCTORES'!BL116="X",1,0)</f>
        <v>0</v>
      </c>
      <c r="BE116" s="15">
        <f>IF('ENCUESTA CONDUCTORES'!BM116="X",1,0)</f>
        <v>0</v>
      </c>
      <c r="BF116" s="15">
        <f>IF('ENCUESTA CONDUCTORES'!BN116="X",1,0)</f>
        <v>0</v>
      </c>
      <c r="BG116" s="15">
        <f>IF('ENCUESTA CONDUCTORES'!BO116="X",1,0)</f>
        <v>0</v>
      </c>
      <c r="BH116" s="15">
        <f>IF('ENCUESTA CONDUCTORES'!BP116="X",1,0)</f>
        <v>0</v>
      </c>
      <c r="BI116" s="15">
        <f>IF('ENCUESTA CONDUCTORES'!BQ116="X",1,0)</f>
        <v>0</v>
      </c>
      <c r="BJ116" s="15">
        <f>IF('ENCUESTA CONDUCTORES'!BR116="X",1,0)</f>
        <v>1</v>
      </c>
      <c r="BK116" s="15">
        <f>+'ENCUESTA CONDUCTORES'!BS116</f>
        <v>0</v>
      </c>
      <c r="BL116" s="15">
        <f>IF('ENCUESTA CONDUCTORES'!BT116="X",1,0)</f>
        <v>0</v>
      </c>
      <c r="BM116" s="15">
        <f>IF('ENCUESTA CONDUCTORES'!BU116="X",1,0)</f>
        <v>1</v>
      </c>
      <c r="BN116" s="15">
        <f>IF('ENCUESTA CONDUCTORES'!BV116="X",1,0)</f>
        <v>0</v>
      </c>
      <c r="BO116" s="15">
        <f>IF('ENCUESTA CONDUCTORES'!BW116="X",1,0)</f>
        <v>0</v>
      </c>
      <c r="BP116" s="15">
        <f>+'ENCUESTA CONDUCTORES'!BX116</f>
        <v>1</v>
      </c>
      <c r="BQ116" s="15">
        <f>+'ENCUESTA CONDUCTORES'!BY116</f>
        <v>3</v>
      </c>
      <c r="BR116" s="15">
        <f>+'ENCUESTA CONDUCTORES'!BZ116</f>
        <v>2</v>
      </c>
      <c r="BS116" s="15">
        <f>+'ENCUESTA CONDUCTORES'!CA116</f>
        <v>0</v>
      </c>
      <c r="BT116" s="15">
        <f>IF('ENCUESTA CONDUCTORES'!CB116="X",1,0)</f>
        <v>1</v>
      </c>
      <c r="BU116" s="15">
        <f>IF('ENCUESTA CONDUCTORES'!CC116="X",1,0)</f>
        <v>0</v>
      </c>
      <c r="BV116" s="15">
        <f>IF('ENCUESTA CONDUCTORES'!CD116="X",1,0)</f>
        <v>0</v>
      </c>
      <c r="BW116" s="15">
        <f>IF('ENCUESTA CONDUCTORES'!CE116="X",1,0)</f>
        <v>0</v>
      </c>
      <c r="BX116" s="15">
        <f>IF('ENCUESTA CONDUCTORES'!CF116="X",1,0)</f>
        <v>0</v>
      </c>
      <c r="BY116" s="15">
        <f>IF('ENCUESTA CONDUCTORES'!CG116="X",1,0)</f>
        <v>0</v>
      </c>
      <c r="BZ116" s="15">
        <f>IF('ENCUESTA CONDUCTORES'!CH116="X",1,0)</f>
        <v>0</v>
      </c>
      <c r="CA116" s="15">
        <f>IF('ENCUESTA CONDUCTORES'!CI116="X",1,0)</f>
        <v>0</v>
      </c>
      <c r="CB116" s="15">
        <f>IF('ENCUESTA CONDUCTORES'!CJ116="X",1,0)</f>
        <v>0</v>
      </c>
      <c r="CC116" s="15">
        <f>IF('ENCUESTA CONDUCTORES'!CK116="X",1,0)</f>
        <v>1</v>
      </c>
      <c r="CD116" s="15">
        <f>IF('ENCUESTA CONDUCTORES'!CL116="X",1,0)</f>
        <v>0</v>
      </c>
      <c r="CE116" s="15">
        <f>IF('ENCUESTA CONDUCTORES'!CM116="X",1,0)</f>
        <v>0</v>
      </c>
      <c r="CF116" s="15">
        <f>+'ENCUESTA CONDUCTORES'!CN116</f>
        <v>0</v>
      </c>
      <c r="CG116" s="15">
        <f>IF('ENCUESTA CONDUCTORES'!CO116="X",1,0)</f>
        <v>0</v>
      </c>
      <c r="CH116" s="15" t="str">
        <f>+'ENCUESTA CONDUCTORES'!CP116</f>
        <v>NO SABE</v>
      </c>
      <c r="CI116" s="15" t="str">
        <f>+'ENCUESTA CONDUCTORES'!CQ116</f>
        <v>DARLO A CONOCER</v>
      </c>
      <c r="CJ116" s="15">
        <f>IF('ENCUESTA CONDUCTORES'!CR116="X",1,0)</f>
        <v>0</v>
      </c>
      <c r="CK116" s="15">
        <f>IF('ENCUESTA CONDUCTORES'!CS116="X",1,0)</f>
        <v>0</v>
      </c>
      <c r="CL116" s="15">
        <f>IF('ENCUESTA CONDUCTORES'!CT116="X",1,0)</f>
        <v>1</v>
      </c>
      <c r="CM116" s="15">
        <f>+'ENCUESTA CONDUCTORES'!CU116</f>
        <v>0</v>
      </c>
      <c r="CN116" s="15">
        <f>IF('ENCUESTA CONDUCTORES'!CV116="X",1,0)</f>
        <v>0</v>
      </c>
      <c r="CO116" s="15">
        <f>+'ENCUESTA CONDUCTORES'!CW116</f>
        <v>0</v>
      </c>
      <c r="CP116" s="15">
        <f>IF('ENCUESTA CONDUCTORES'!CX116="X",1,0)</f>
        <v>1</v>
      </c>
      <c r="CQ116" s="15">
        <f>IF('ENCUESTA CONDUCTORES'!CY116="X",1,0)</f>
        <v>0</v>
      </c>
      <c r="CR116" s="3">
        <f>+'ENCUESTA CONDUCTORES'!CZ116</f>
        <v>0</v>
      </c>
      <c r="CS116" s="49">
        <f>+'ENCUESTA CONDUCTORES'!DA116</f>
        <v>0</v>
      </c>
    </row>
    <row r="117" spans="2:97" x14ac:dyDescent="0.25">
      <c r="B117" s="14" t="str">
        <f>+'ENCUESTA CONDUCTORES'!D117</f>
        <v>C-123</v>
      </c>
      <c r="C117" s="15">
        <f>IF('ENCUESTA CONDUCTORES'!E117="X",1,0)</f>
        <v>0</v>
      </c>
      <c r="D117" s="15">
        <f>IF('ENCUESTA CONDUCTORES'!F117="X",1,0)</f>
        <v>1</v>
      </c>
      <c r="E117" s="15">
        <f>IF('ENCUESTA CONDUCTORES'!G117="X",1,0)</f>
        <v>0</v>
      </c>
      <c r="F117" s="15">
        <f>IF('ENCUESTA CONDUCTORES'!H117="X",1,0)</f>
        <v>0</v>
      </c>
      <c r="G117" s="15">
        <f>+'ENCUESTA CONDUCTORES'!I117</f>
        <v>26</v>
      </c>
      <c r="H117" s="15" t="str">
        <f>+'ENCUESTA CONDUCTORES'!J117</f>
        <v>M</v>
      </c>
      <c r="I117" s="15" t="str">
        <f>+'ENCUESTA CONDUCTORES'!K117</f>
        <v>SECUNDARIA</v>
      </c>
      <c r="J117" s="15" t="str">
        <f>+'ENCUESTA CONDUCTORES'!L117</f>
        <v>MAGDALENA CONTRERAS, D.F.</v>
      </c>
      <c r="K117" s="15" t="str">
        <f>+'ENCUESTA CONDUCTORES'!M117</f>
        <v>MAGDALENA CONTRERAS</v>
      </c>
      <c r="L117" s="15" t="str">
        <f>+'ENCUESTA CONDUCTORES'!N117</f>
        <v>D.F.</v>
      </c>
      <c r="M117" s="15">
        <f>+'ENCUESTA CONDUCTORES'!O117</f>
        <v>6</v>
      </c>
      <c r="N117" s="15">
        <f>IF('ENCUESTA CONDUCTORES'!P117="X",1,0)</f>
        <v>0</v>
      </c>
      <c r="O117" s="15">
        <f>IF('ENCUESTA CONDUCTORES'!Q117="X",1,0)</f>
        <v>0</v>
      </c>
      <c r="P117" s="15">
        <f>IF('ENCUESTA CONDUCTORES'!R117="X",1,0)</f>
        <v>0</v>
      </c>
      <c r="Q117" s="15">
        <f>IF('ENCUESTA CONDUCTORES'!S117="X",1,0)</f>
        <v>1</v>
      </c>
      <c r="R117" s="15">
        <f>IF('ENCUESTA CONDUCTORES'!T117="X",1,0)</f>
        <v>0</v>
      </c>
      <c r="S117" s="15">
        <f>IF('ENCUESTA CONDUCTORES'!U117="X",1,0)</f>
        <v>1</v>
      </c>
      <c r="T117" s="15">
        <f>IF('ENCUESTA CONDUCTORES'!V117="X",1,0)</f>
        <v>0</v>
      </c>
      <c r="U117" s="15">
        <f>IF('ENCUESTA CONDUCTORES'!W117="X",1,0)</f>
        <v>0</v>
      </c>
      <c r="V117" s="15">
        <f>IF('ENCUESTA CONDUCTORES'!X117="X",1,0)</f>
        <v>0</v>
      </c>
      <c r="W117" s="15">
        <f>IF('ENCUESTA CONDUCTORES'!Y117="X",1,0)</f>
        <v>0</v>
      </c>
      <c r="X117" s="15">
        <f>IF('ENCUESTA CONDUCTORES'!Z117="X",1,0)</f>
        <v>0</v>
      </c>
      <c r="Y117" s="15">
        <f>+'ENCUESTA CONDUCTORES'!AG117</f>
        <v>0</v>
      </c>
      <c r="Z117" s="15">
        <f>+'ENCUESTA CONDUCTORES'!AH117</f>
        <v>2011</v>
      </c>
      <c r="AA117" s="1">
        <f>+'ENCUESTA CONDUCTORES'!AI117</f>
        <v>50000</v>
      </c>
      <c r="AB117" s="15">
        <f>IF('ENCUESTA CONDUCTORES'!AJ117="X",1,0)</f>
        <v>0</v>
      </c>
      <c r="AC117" s="15">
        <f>IF('ENCUESTA CONDUCTORES'!AK117="X",1,0)</f>
        <v>0</v>
      </c>
      <c r="AD117" s="15">
        <f>IF('ENCUESTA CONDUCTORES'!AL117="X",1,0)</f>
        <v>1</v>
      </c>
      <c r="AE117" s="15">
        <f>IF('ENCUESTA CONDUCTORES'!AM117="X",1,0)</f>
        <v>0</v>
      </c>
      <c r="AF117" s="15">
        <f>IF('ENCUESTA CONDUCTORES'!AN117="X",1,0)</f>
        <v>0</v>
      </c>
      <c r="AG117" s="15">
        <f>IF('ENCUESTA CONDUCTORES'!AO117="X",1,0)</f>
        <v>0</v>
      </c>
      <c r="AH117" s="15">
        <f>IF('ENCUESTA CONDUCTORES'!AP117="X",1,0)</f>
        <v>1</v>
      </c>
      <c r="AI117" s="15">
        <f>IF('ENCUESTA CONDUCTORES'!AQ117="X",1,0)</f>
        <v>0</v>
      </c>
      <c r="AJ117" s="15">
        <f>IF('ENCUESTA CONDUCTORES'!AR117="X",1,0)</f>
        <v>0</v>
      </c>
      <c r="AK117" s="15">
        <f>+'ENCUESTA CONDUCTORES'!AS117</f>
        <v>0</v>
      </c>
      <c r="AL117" s="15" t="str">
        <f>+'ENCUESTA CONDUCTORES'!AT117</f>
        <v>CUMMINS</v>
      </c>
      <c r="AM117" s="1">
        <f>+'ENCUESTA CONDUCTORES'!AU117</f>
        <v>1800</v>
      </c>
      <c r="AN117" s="48">
        <f>+'ENCUESTA CONDUCTORES'!AV117</f>
        <v>0.1</v>
      </c>
      <c r="AO117" s="15">
        <f>+'ENCUESTA CONDUCTORES'!AW117</f>
        <v>2.1</v>
      </c>
      <c r="AP117" s="15">
        <f>+'ENCUESTA CONDUCTORES'!AX117</f>
        <v>1.8</v>
      </c>
      <c r="AQ117" s="15">
        <f>+'ENCUESTA CONDUCTORES'!AY117</f>
        <v>1</v>
      </c>
      <c r="AR117" s="15">
        <f>+'ENCUESTA CONDUCTORES'!AZ117</f>
        <v>240</v>
      </c>
      <c r="AS117" s="15">
        <f>+'ENCUESTA CONDUCTORES'!BA117</f>
        <v>400</v>
      </c>
      <c r="AT117" s="15">
        <f>IF('ENCUESTA CONDUCTORES'!BB117="X",1,0)</f>
        <v>1</v>
      </c>
      <c r="AU117" s="15">
        <f>IF('ENCUESTA CONDUCTORES'!BC117="X",1,0)</f>
        <v>1</v>
      </c>
      <c r="AV117" s="15">
        <f>IF('ENCUESTA CONDUCTORES'!BD117="X",1,0)</f>
        <v>1</v>
      </c>
      <c r="AW117" s="1">
        <f>+'ENCUESTA CONDUCTORES'!BE117</f>
        <v>10800</v>
      </c>
      <c r="AX117" s="1">
        <f>+'ENCUESTA CONDUCTORES'!BF117</f>
        <v>5400</v>
      </c>
      <c r="AY117" s="1">
        <f>+'ENCUESTA CONDUCTORES'!BG117</f>
        <v>10800</v>
      </c>
      <c r="AZ117" s="1" t="str">
        <f>+'ENCUESTA CONDUCTORES'!BH117</f>
        <v>NO SABE</v>
      </c>
      <c r="BA117" s="1">
        <f>+'ENCUESTA CONDUCTORES'!BI117</f>
        <v>10800</v>
      </c>
      <c r="BB117" s="15">
        <f>IF('ENCUESTA CONDUCTORES'!BJ117="X",1,0)</f>
        <v>0</v>
      </c>
      <c r="BC117" s="15">
        <f>IF('ENCUESTA CONDUCTORES'!BK117="X",1,0)</f>
        <v>0</v>
      </c>
      <c r="BD117" s="15">
        <f>IF('ENCUESTA CONDUCTORES'!BL117="X",1,0)</f>
        <v>0</v>
      </c>
      <c r="BE117" s="15">
        <f>IF('ENCUESTA CONDUCTORES'!BM117="X",1,0)</f>
        <v>0</v>
      </c>
      <c r="BF117" s="15">
        <f>IF('ENCUESTA CONDUCTORES'!BN117="X",1,0)</f>
        <v>0</v>
      </c>
      <c r="BG117" s="15">
        <f>IF('ENCUESTA CONDUCTORES'!BO117="X",1,0)</f>
        <v>0</v>
      </c>
      <c r="BH117" s="15">
        <f>IF('ENCUESTA CONDUCTORES'!BP117="X",1,0)</f>
        <v>0</v>
      </c>
      <c r="BI117" s="15">
        <f>IF('ENCUESTA CONDUCTORES'!BQ117="X",1,0)</f>
        <v>0</v>
      </c>
      <c r="BJ117" s="15">
        <f>IF('ENCUESTA CONDUCTORES'!BR117="X",1,0)</f>
        <v>0</v>
      </c>
      <c r="BK117" s="2" t="str">
        <f>+'ENCUESTA CONDUCTORES'!BS117</f>
        <v>ELECTRODOMÉSTICOS</v>
      </c>
      <c r="BL117" s="15">
        <f>IF('ENCUESTA CONDUCTORES'!BT117="X",1,0)</f>
        <v>0</v>
      </c>
      <c r="BM117" s="15">
        <f>IF('ENCUESTA CONDUCTORES'!BU117="X",1,0)</f>
        <v>1</v>
      </c>
      <c r="BN117" s="15">
        <f>IF('ENCUESTA CONDUCTORES'!BV117="X",1,0)</f>
        <v>0</v>
      </c>
      <c r="BO117" s="15">
        <f>IF('ENCUESTA CONDUCTORES'!BW117="X",1,0)</f>
        <v>0</v>
      </c>
      <c r="BP117" s="15">
        <f>+'ENCUESTA CONDUCTORES'!BX117</f>
        <v>2</v>
      </c>
      <c r="BQ117" s="15">
        <f>+'ENCUESTA CONDUCTORES'!BY117</f>
        <v>3</v>
      </c>
      <c r="BR117" s="15">
        <f>+'ENCUESTA CONDUCTORES'!BZ117</f>
        <v>1</v>
      </c>
      <c r="BS117" s="15">
        <f>+'ENCUESTA CONDUCTORES'!CA117</f>
        <v>0</v>
      </c>
      <c r="BT117" s="15">
        <f>IF('ENCUESTA CONDUCTORES'!CB117="X",1,0)</f>
        <v>1</v>
      </c>
      <c r="BU117" s="15">
        <f>IF('ENCUESTA CONDUCTORES'!CC117="X",1,0)</f>
        <v>0</v>
      </c>
      <c r="BV117" s="15">
        <f>IF('ENCUESTA CONDUCTORES'!CD117="X",1,0)</f>
        <v>0</v>
      </c>
      <c r="BW117" s="15">
        <f>IF('ENCUESTA CONDUCTORES'!CE117="X",1,0)</f>
        <v>0</v>
      </c>
      <c r="BX117" s="15">
        <f>IF('ENCUESTA CONDUCTORES'!CF117="X",1,0)</f>
        <v>0</v>
      </c>
      <c r="BY117" s="15">
        <f>IF('ENCUESTA CONDUCTORES'!CG117="X",1,0)</f>
        <v>0</v>
      </c>
      <c r="BZ117" s="15">
        <f>IF('ENCUESTA CONDUCTORES'!CH117="X",1,0)</f>
        <v>0</v>
      </c>
      <c r="CA117" s="15">
        <f>IF('ENCUESTA CONDUCTORES'!CI117="X",1,0)</f>
        <v>0</v>
      </c>
      <c r="CB117" s="15">
        <f>IF('ENCUESTA CONDUCTORES'!CJ117="X",1,0)</f>
        <v>0</v>
      </c>
      <c r="CC117" s="15">
        <f>IF('ENCUESTA CONDUCTORES'!CK117="X",1,0)</f>
        <v>1</v>
      </c>
      <c r="CD117" s="15">
        <f>IF('ENCUESTA CONDUCTORES'!CL117="X",1,0)</f>
        <v>0</v>
      </c>
      <c r="CE117" s="15">
        <f>IF('ENCUESTA CONDUCTORES'!CM117="X",1,0)</f>
        <v>0</v>
      </c>
      <c r="CF117" s="15">
        <f>+'ENCUESTA CONDUCTORES'!CN117</f>
        <v>0</v>
      </c>
      <c r="CG117" s="15">
        <f>IF('ENCUESTA CONDUCTORES'!CO117="X",1,0)</f>
        <v>0</v>
      </c>
      <c r="CH117" s="15" t="str">
        <f>+'ENCUESTA CONDUCTORES'!CP117</f>
        <v>NO SABE</v>
      </c>
      <c r="CI117" s="15" t="str">
        <f>+'ENCUESTA CONDUCTORES'!CQ117</f>
        <v>NO SABE</v>
      </c>
      <c r="CJ117" s="15">
        <f>IF('ENCUESTA CONDUCTORES'!CR117="X",1,0)</f>
        <v>0</v>
      </c>
      <c r="CK117" s="15">
        <f>IF('ENCUESTA CONDUCTORES'!CS117="X",1,0)</f>
        <v>1</v>
      </c>
      <c r="CL117" s="15">
        <f>IF('ENCUESTA CONDUCTORES'!CT117="X",1,0)</f>
        <v>0</v>
      </c>
      <c r="CM117" s="15">
        <f>+'ENCUESTA CONDUCTORES'!CU117</f>
        <v>0</v>
      </c>
      <c r="CN117" s="15">
        <f>IF('ENCUESTA CONDUCTORES'!CV117="X",1,0)</f>
        <v>0</v>
      </c>
      <c r="CO117" s="15">
        <f>+'ENCUESTA CONDUCTORES'!CW117</f>
        <v>0</v>
      </c>
      <c r="CP117" s="15">
        <f>IF('ENCUESTA CONDUCTORES'!CX117="X",1,0)</f>
        <v>0</v>
      </c>
      <c r="CQ117" s="15">
        <f>IF('ENCUESTA CONDUCTORES'!CY117="X",1,0)</f>
        <v>1</v>
      </c>
      <c r="CR117" s="3">
        <f>+'ENCUESTA CONDUCTORES'!CZ117</f>
        <v>0</v>
      </c>
      <c r="CS117" s="49">
        <f>+'ENCUESTA CONDUCTORES'!DA117</f>
        <v>0</v>
      </c>
    </row>
    <row r="118" spans="2:97" x14ac:dyDescent="0.25">
      <c r="B118" s="14" t="str">
        <f>+'ENCUESTA CONDUCTORES'!D118</f>
        <v>C-124</v>
      </c>
      <c r="C118" s="15">
        <f>IF('ENCUESTA CONDUCTORES'!E118="X",1,0)</f>
        <v>0</v>
      </c>
      <c r="D118" s="15">
        <f>IF('ENCUESTA CONDUCTORES'!F118="X",1,0)</f>
        <v>0</v>
      </c>
      <c r="E118" s="15">
        <f>IF('ENCUESTA CONDUCTORES'!G118="X",1,0)</f>
        <v>1</v>
      </c>
      <c r="F118" s="15">
        <f>IF('ENCUESTA CONDUCTORES'!H118="X",1,0)</f>
        <v>0</v>
      </c>
      <c r="G118" s="15">
        <f>+'ENCUESTA CONDUCTORES'!I118</f>
        <v>41</v>
      </c>
      <c r="H118" s="15" t="str">
        <f>+'ENCUESTA CONDUCTORES'!J118</f>
        <v>M</v>
      </c>
      <c r="I118" s="15" t="str">
        <f>+'ENCUESTA CONDUCTORES'!K118</f>
        <v>SECUNDARIA</v>
      </c>
      <c r="J118" s="15" t="str">
        <f>+'ENCUESTA CONDUCTORES'!L118</f>
        <v>EL MOLINITO, EDO. MEX.</v>
      </c>
      <c r="K118" s="50" t="str">
        <f>+'ENCUESTA CONDUCTORES'!M118</f>
        <v>EL MOLINITO</v>
      </c>
      <c r="L118" s="15" t="str">
        <f>+'ENCUESTA CONDUCTORES'!N118</f>
        <v>EDO. MEX.</v>
      </c>
      <c r="M118" s="15">
        <f>+'ENCUESTA CONDUCTORES'!O118</f>
        <v>20</v>
      </c>
      <c r="N118" s="15">
        <f>IF('ENCUESTA CONDUCTORES'!P118="X",1,0)</f>
        <v>1</v>
      </c>
      <c r="O118" s="15">
        <f>IF('ENCUESTA CONDUCTORES'!Q118="X",1,0)</f>
        <v>0</v>
      </c>
      <c r="P118" s="15">
        <f>IF('ENCUESTA CONDUCTORES'!R118="X",1,0)</f>
        <v>0</v>
      </c>
      <c r="Q118" s="15">
        <f>IF('ENCUESTA CONDUCTORES'!S118="X",1,0)</f>
        <v>0</v>
      </c>
      <c r="R118" s="15">
        <f>IF('ENCUESTA CONDUCTORES'!T118="X",1,0)</f>
        <v>0</v>
      </c>
      <c r="S118" s="15">
        <f>IF('ENCUESTA CONDUCTORES'!U118="X",1,0)</f>
        <v>0</v>
      </c>
      <c r="T118" s="15">
        <f>IF('ENCUESTA CONDUCTORES'!V118="X",1,0)</f>
        <v>0</v>
      </c>
      <c r="U118" s="15">
        <f>IF('ENCUESTA CONDUCTORES'!W118="X",1,0)</f>
        <v>0</v>
      </c>
      <c r="V118" s="15">
        <f>IF('ENCUESTA CONDUCTORES'!X118="X",1,0)</f>
        <v>0</v>
      </c>
      <c r="W118" s="15">
        <f>IF('ENCUESTA CONDUCTORES'!Y118="X",1,0)</f>
        <v>1</v>
      </c>
      <c r="X118" s="15">
        <f>IF('ENCUESTA CONDUCTORES'!Z118="X",1,0)</f>
        <v>0</v>
      </c>
      <c r="Y118" s="15">
        <f>+'ENCUESTA CONDUCTORES'!AG118</f>
        <v>0</v>
      </c>
      <c r="Z118" s="15">
        <f>+'ENCUESTA CONDUCTORES'!AH118</f>
        <v>2008</v>
      </c>
      <c r="AA118" s="1">
        <f>+'ENCUESTA CONDUCTORES'!AI118</f>
        <v>200000</v>
      </c>
      <c r="AB118" s="15">
        <f>IF('ENCUESTA CONDUCTORES'!AJ118="X",1,0)</f>
        <v>0</v>
      </c>
      <c r="AC118" s="15">
        <f>IF('ENCUESTA CONDUCTORES'!AK118="X",1,0)</f>
        <v>0</v>
      </c>
      <c r="AD118" s="15">
        <f>IF('ENCUESTA CONDUCTORES'!AL118="X",1,0)</f>
        <v>1</v>
      </c>
      <c r="AE118" s="15">
        <f>IF('ENCUESTA CONDUCTORES'!AM118="X",1,0)</f>
        <v>0</v>
      </c>
      <c r="AF118" s="15">
        <f>IF('ENCUESTA CONDUCTORES'!AN118="X",1,0)</f>
        <v>0</v>
      </c>
      <c r="AG118" s="15">
        <f>IF('ENCUESTA CONDUCTORES'!AO118="X",1,0)</f>
        <v>0</v>
      </c>
      <c r="AH118" s="15">
        <f>IF('ENCUESTA CONDUCTORES'!AP118="X",1,0)</f>
        <v>1</v>
      </c>
      <c r="AI118" s="15">
        <f>IF('ENCUESTA CONDUCTORES'!AQ118="X",1,0)</f>
        <v>0</v>
      </c>
      <c r="AJ118" s="15">
        <f>IF('ENCUESTA CONDUCTORES'!AR118="X",1,0)</f>
        <v>0</v>
      </c>
      <c r="AK118" s="15">
        <f>+'ENCUESTA CONDUCTORES'!AS118</f>
        <v>0</v>
      </c>
      <c r="AL118" s="15" t="str">
        <f>+'ENCUESTA CONDUCTORES'!AT118</f>
        <v>MERCEDES BENZ</v>
      </c>
      <c r="AM118" s="1">
        <f>+'ENCUESTA CONDUCTORES'!AU118</f>
        <v>2000</v>
      </c>
      <c r="AN118" s="48">
        <f>+'ENCUESTA CONDUCTORES'!AV118</f>
        <v>0.3</v>
      </c>
      <c r="AO118" s="15">
        <f>+'ENCUESTA CONDUCTORES'!AW118</f>
        <v>4</v>
      </c>
      <c r="AP118" s="15">
        <f>+'ENCUESTA CONDUCTORES'!AX118</f>
        <v>3.5</v>
      </c>
      <c r="AQ118" s="15">
        <f>+'ENCUESTA CONDUCTORES'!AY118</f>
        <v>2</v>
      </c>
      <c r="AR118" s="15">
        <f>+'ENCUESTA CONDUCTORES'!AZ118</f>
        <v>310</v>
      </c>
      <c r="AS118" s="15">
        <f>+'ENCUESTA CONDUCTORES'!BA118</f>
        <v>1200</v>
      </c>
      <c r="AT118" s="15">
        <f>IF('ENCUESTA CONDUCTORES'!BB118="X",1,0)</f>
        <v>1</v>
      </c>
      <c r="AU118" s="15">
        <f>IF('ENCUESTA CONDUCTORES'!BC118="X",1,0)</f>
        <v>1</v>
      </c>
      <c r="AV118" s="15">
        <f>IF('ENCUESTA CONDUCTORES'!BD118="X",1,0)</f>
        <v>0</v>
      </c>
      <c r="AW118" s="1" t="str">
        <f>+'ENCUESTA CONDUCTORES'!BE118</f>
        <v>NO SABE</v>
      </c>
      <c r="AX118" s="1" t="str">
        <f>+'ENCUESTA CONDUCTORES'!BF118</f>
        <v>NO SABE</v>
      </c>
      <c r="AY118" s="1" t="str">
        <f>+'ENCUESTA CONDUCTORES'!BG118</f>
        <v>NO SABE</v>
      </c>
      <c r="AZ118" s="1" t="str">
        <f>+'ENCUESTA CONDUCTORES'!BH118</f>
        <v>NO SABE</v>
      </c>
      <c r="BA118" s="1" t="str">
        <f>+'ENCUESTA CONDUCTORES'!BI118</f>
        <v>NO SABE</v>
      </c>
      <c r="BB118" s="15">
        <f>IF('ENCUESTA CONDUCTORES'!BJ118="X",1,0)</f>
        <v>0</v>
      </c>
      <c r="BC118" s="15">
        <f>IF('ENCUESTA CONDUCTORES'!BK118="X",1,0)</f>
        <v>0</v>
      </c>
      <c r="BD118" s="15">
        <f>IF('ENCUESTA CONDUCTORES'!BL118="X",1,0)</f>
        <v>0</v>
      </c>
      <c r="BE118" s="15">
        <f>IF('ENCUESTA CONDUCTORES'!BM118="X",1,0)</f>
        <v>0</v>
      </c>
      <c r="BF118" s="15">
        <f>IF('ENCUESTA CONDUCTORES'!BN118="X",1,0)</f>
        <v>0</v>
      </c>
      <c r="BG118" s="15">
        <f>IF('ENCUESTA CONDUCTORES'!BO118="X",1,0)</f>
        <v>0</v>
      </c>
      <c r="BH118" s="15">
        <f>IF('ENCUESTA CONDUCTORES'!BP118="X",1,0)</f>
        <v>0</v>
      </c>
      <c r="BI118" s="15">
        <f>IF('ENCUESTA CONDUCTORES'!BQ118="X",1,0)</f>
        <v>0</v>
      </c>
      <c r="BJ118" s="15">
        <f>IF('ENCUESTA CONDUCTORES'!BR118="X",1,0)</f>
        <v>1</v>
      </c>
      <c r="BK118" s="15">
        <f>+'ENCUESTA CONDUCTORES'!BS118</f>
        <v>0</v>
      </c>
      <c r="BL118" s="15">
        <f>IF('ENCUESTA CONDUCTORES'!BT118="X",1,0)</f>
        <v>0</v>
      </c>
      <c r="BM118" s="15">
        <f>IF('ENCUESTA CONDUCTORES'!BU118="X",1,0)</f>
        <v>0</v>
      </c>
      <c r="BN118" s="15">
        <f>IF('ENCUESTA CONDUCTORES'!BV118="X",1,0)</f>
        <v>1</v>
      </c>
      <c r="BO118" s="15">
        <f>IF('ENCUESTA CONDUCTORES'!BW118="X",1,0)</f>
        <v>0</v>
      </c>
      <c r="BP118" s="15">
        <f>+'ENCUESTA CONDUCTORES'!BX118</f>
        <v>1</v>
      </c>
      <c r="BQ118" s="15">
        <f>+'ENCUESTA CONDUCTORES'!BY118</f>
        <v>2</v>
      </c>
      <c r="BR118" s="15">
        <f>+'ENCUESTA CONDUCTORES'!BZ118</f>
        <v>3</v>
      </c>
      <c r="BS118" s="15">
        <f>+'ENCUESTA CONDUCTORES'!CA118</f>
        <v>0</v>
      </c>
      <c r="BT118" s="15">
        <f>IF('ENCUESTA CONDUCTORES'!CB118="X",1,0)</f>
        <v>0</v>
      </c>
      <c r="BU118" s="15">
        <f>IF('ENCUESTA CONDUCTORES'!CC118="X",1,0)</f>
        <v>1</v>
      </c>
      <c r="BV118" s="15">
        <f>IF('ENCUESTA CONDUCTORES'!CD118="X",1,0)</f>
        <v>0</v>
      </c>
      <c r="BW118" s="15">
        <f>IF('ENCUESTA CONDUCTORES'!CE118="X",1,0)</f>
        <v>1</v>
      </c>
      <c r="BX118" s="15">
        <f>IF('ENCUESTA CONDUCTORES'!CF118="X",1,0)</f>
        <v>0</v>
      </c>
      <c r="BY118" s="15">
        <f>IF('ENCUESTA CONDUCTORES'!CG118="X",1,0)</f>
        <v>1</v>
      </c>
      <c r="BZ118" s="15">
        <f>IF('ENCUESTA CONDUCTORES'!CH118="X",1,0)</f>
        <v>1</v>
      </c>
      <c r="CA118" s="15">
        <f>IF('ENCUESTA CONDUCTORES'!CI118="X",1,0)</f>
        <v>1</v>
      </c>
      <c r="CB118" s="15">
        <f>IF('ENCUESTA CONDUCTORES'!CJ118="X",1,0)</f>
        <v>0</v>
      </c>
      <c r="CC118" s="15">
        <f>IF('ENCUESTA CONDUCTORES'!CK118="X",1,0)</f>
        <v>0</v>
      </c>
      <c r="CD118" s="15">
        <f>IF('ENCUESTA CONDUCTORES'!CL118="X",1,0)</f>
        <v>1</v>
      </c>
      <c r="CE118" s="15">
        <f>IF('ENCUESTA CONDUCTORES'!CM118="X",1,0)</f>
        <v>1</v>
      </c>
      <c r="CF118" s="15" t="str">
        <f>+'ENCUESTA CONDUCTORES'!CN118</f>
        <v>FALTA DE TIEMPO</v>
      </c>
      <c r="CG118" s="15">
        <f>IF('ENCUESTA CONDUCTORES'!CO118="X",1,0)</f>
        <v>0</v>
      </c>
      <c r="CH118" s="15" t="str">
        <f>+'ENCUESTA CONDUCTORES'!CP118</f>
        <v>ES BUENO, AHORRA COMBUSTIBLE</v>
      </c>
      <c r="CI118" s="15" t="str">
        <f>+'ENCUESTA CONDUCTORES'!CQ118</f>
        <v>NO SABE</v>
      </c>
      <c r="CJ118" s="15">
        <f>IF('ENCUESTA CONDUCTORES'!CR118="X",1,0)</f>
        <v>0</v>
      </c>
      <c r="CK118" s="15">
        <f>IF('ENCUESTA CONDUCTORES'!CS118="X",1,0)</f>
        <v>0</v>
      </c>
      <c r="CL118" s="15">
        <f>IF('ENCUESTA CONDUCTORES'!CT118="X",1,0)</f>
        <v>0</v>
      </c>
      <c r="CM118" s="2" t="str">
        <f>+'ENCUESTA CONDUCTORES'!CU118</f>
        <v>MANEJO A LA DEFENSIVA</v>
      </c>
      <c r="CN118" s="15">
        <f>IF('ENCUESTA CONDUCTORES'!CV118="X",1,0)</f>
        <v>0</v>
      </c>
      <c r="CO118" s="15">
        <f>+'ENCUESTA CONDUCTORES'!CW118</f>
        <v>0</v>
      </c>
      <c r="CP118" s="15">
        <f>IF('ENCUESTA CONDUCTORES'!CX118="X",1,0)</f>
        <v>1</v>
      </c>
      <c r="CQ118" s="15">
        <f>IF('ENCUESTA CONDUCTORES'!CY118="X",1,0)</f>
        <v>1</v>
      </c>
      <c r="CR118" s="3">
        <f>+'ENCUESTA CONDUCTORES'!CZ118</f>
        <v>0</v>
      </c>
      <c r="CS118" s="49">
        <f>+'ENCUESTA CONDUCTORES'!DA118</f>
        <v>0</v>
      </c>
    </row>
    <row r="119" spans="2:97" x14ac:dyDescent="0.25">
      <c r="B119" s="14" t="str">
        <f>+'ENCUESTA CONDUCTORES'!D119</f>
        <v>C-125</v>
      </c>
      <c r="C119" s="15">
        <f>IF('ENCUESTA CONDUCTORES'!E119="X",1,0)</f>
        <v>0</v>
      </c>
      <c r="D119" s="15">
        <f>IF('ENCUESTA CONDUCTORES'!F119="X",1,0)</f>
        <v>0</v>
      </c>
      <c r="E119" s="15">
        <f>IF('ENCUESTA CONDUCTORES'!G119="X",1,0)</f>
        <v>1</v>
      </c>
      <c r="F119" s="15">
        <f>IF('ENCUESTA CONDUCTORES'!H119="X",1,0)</f>
        <v>0</v>
      </c>
      <c r="G119" s="15">
        <f>+'ENCUESTA CONDUCTORES'!I119</f>
        <v>23</v>
      </c>
      <c r="H119" s="15" t="str">
        <f>+'ENCUESTA CONDUCTORES'!J119</f>
        <v>M</v>
      </c>
      <c r="I119" s="15" t="str">
        <f>+'ENCUESTA CONDUCTORES'!K119</f>
        <v>PREPARATORIA</v>
      </c>
      <c r="J119" s="15" t="str">
        <f>+'ENCUESTA CONDUCTORES'!L119</f>
        <v>CD ZAHAGUN, HGO</v>
      </c>
      <c r="K119" s="50" t="str">
        <f>+'ENCUESTA CONDUCTORES'!M119</f>
        <v>CD ZAHAGUN</v>
      </c>
      <c r="L119" s="15" t="str">
        <f>+'ENCUESTA CONDUCTORES'!N119</f>
        <v>HIDALGO</v>
      </c>
      <c r="M119" s="15">
        <f>+'ENCUESTA CONDUCTORES'!O119</f>
        <v>4</v>
      </c>
      <c r="N119" s="15">
        <f>IF('ENCUESTA CONDUCTORES'!P119="X",1,0)</f>
        <v>1</v>
      </c>
      <c r="O119" s="15">
        <f>IF('ENCUESTA CONDUCTORES'!Q119="X",1,0)</f>
        <v>0</v>
      </c>
      <c r="P119" s="15">
        <f>IF('ENCUESTA CONDUCTORES'!R119="X",1,0)</f>
        <v>0</v>
      </c>
      <c r="Q119" s="15">
        <f>IF('ENCUESTA CONDUCTORES'!S119="X",1,0)</f>
        <v>0</v>
      </c>
      <c r="R119" s="15">
        <f>IF('ENCUESTA CONDUCTORES'!T119="X",1,0)</f>
        <v>0</v>
      </c>
      <c r="S119" s="15">
        <f>IF('ENCUESTA CONDUCTORES'!U119="X",1,0)</f>
        <v>0</v>
      </c>
      <c r="T119" s="15">
        <f>IF('ENCUESTA CONDUCTORES'!V119="X",1,0)</f>
        <v>0</v>
      </c>
      <c r="U119" s="15">
        <f>IF('ENCUESTA CONDUCTORES'!W119="X",1,0)</f>
        <v>0</v>
      </c>
      <c r="V119" s="15">
        <f>IF('ENCUESTA CONDUCTORES'!X119="X",1,0)</f>
        <v>1</v>
      </c>
      <c r="W119" s="15">
        <f>IF('ENCUESTA CONDUCTORES'!Y119="X",1,0)</f>
        <v>0</v>
      </c>
      <c r="X119" s="15">
        <f>IF('ENCUESTA CONDUCTORES'!Z119="X",1,0)</f>
        <v>0</v>
      </c>
      <c r="Y119" s="15">
        <f>+'ENCUESTA CONDUCTORES'!AG119</f>
        <v>0</v>
      </c>
      <c r="Z119" s="15">
        <f>+'ENCUESTA CONDUCTORES'!AH119</f>
        <v>2012</v>
      </c>
      <c r="AA119" s="1">
        <f>+'ENCUESTA CONDUCTORES'!AI119</f>
        <v>300000</v>
      </c>
      <c r="AB119" s="15">
        <f>IF('ENCUESTA CONDUCTORES'!AJ119="X",1,0)</f>
        <v>0</v>
      </c>
      <c r="AC119" s="15">
        <f>IF('ENCUESTA CONDUCTORES'!AK119="X",1,0)</f>
        <v>0</v>
      </c>
      <c r="AD119" s="15">
        <f>IF('ENCUESTA CONDUCTORES'!AL119="X",1,0)</f>
        <v>1</v>
      </c>
      <c r="AE119" s="15">
        <f>IF('ENCUESTA CONDUCTORES'!AM119="X",1,0)</f>
        <v>0</v>
      </c>
      <c r="AF119" s="15">
        <f>IF('ENCUESTA CONDUCTORES'!AN119="X",1,0)</f>
        <v>0</v>
      </c>
      <c r="AG119" s="15">
        <f>IF('ENCUESTA CONDUCTORES'!AO119="X",1,0)</f>
        <v>0</v>
      </c>
      <c r="AH119" s="15">
        <f>IF('ENCUESTA CONDUCTORES'!AP119="X",1,0)</f>
        <v>1</v>
      </c>
      <c r="AI119" s="15">
        <f>IF('ENCUESTA CONDUCTORES'!AQ119="X",1,0)</f>
        <v>0</v>
      </c>
      <c r="AJ119" s="15">
        <f>IF('ENCUESTA CONDUCTORES'!AR119="X",1,0)</f>
        <v>0</v>
      </c>
      <c r="AK119" s="15">
        <f>+'ENCUESTA CONDUCTORES'!AS119</f>
        <v>0</v>
      </c>
      <c r="AL119" s="15" t="str">
        <f>+'ENCUESTA CONDUCTORES'!AT119</f>
        <v>CUMMINS</v>
      </c>
      <c r="AM119" s="1">
        <f>+'ENCUESTA CONDUCTORES'!AU119</f>
        <v>7000</v>
      </c>
      <c r="AN119" s="48">
        <f>+'ENCUESTA CONDUCTORES'!AV119</f>
        <v>0.5</v>
      </c>
      <c r="AO119" s="15">
        <f>+'ENCUESTA CONDUCTORES'!AW119</f>
        <v>2.5</v>
      </c>
      <c r="AP119" s="15">
        <f>+'ENCUESTA CONDUCTORES'!AX119</f>
        <v>2.2999999999999998</v>
      </c>
      <c r="AQ119" s="15">
        <f>+'ENCUESTA CONDUCTORES'!AY119</f>
        <v>2</v>
      </c>
      <c r="AR119" s="15">
        <f>+'ENCUESTA CONDUCTORES'!AZ119</f>
        <v>420</v>
      </c>
      <c r="AS119" s="15">
        <f>+'ENCUESTA CONDUCTORES'!BA119</f>
        <v>1000</v>
      </c>
      <c r="AT119" s="15">
        <f>IF('ENCUESTA CONDUCTORES'!BB119="X",1,0)</f>
        <v>0</v>
      </c>
      <c r="AU119" s="15">
        <f>IF('ENCUESTA CONDUCTORES'!BC119="X",1,0)</f>
        <v>1</v>
      </c>
      <c r="AV119" s="15">
        <f>IF('ENCUESTA CONDUCTORES'!BD119="X",1,0)</f>
        <v>0</v>
      </c>
      <c r="AW119" s="1">
        <f>+'ENCUESTA CONDUCTORES'!BE119</f>
        <v>40000</v>
      </c>
      <c r="AX119" s="1">
        <f>+'ENCUESTA CONDUCTORES'!BF119</f>
        <v>20000</v>
      </c>
      <c r="AY119" s="1">
        <f>+'ENCUESTA CONDUCTORES'!BG119</f>
        <v>40000</v>
      </c>
      <c r="AZ119" s="1">
        <f>+'ENCUESTA CONDUCTORES'!BH119</f>
        <v>85000</v>
      </c>
      <c r="BA119" s="1">
        <f>+'ENCUESTA CONDUCTORES'!BI119</f>
        <v>40000</v>
      </c>
      <c r="BB119" s="15">
        <f>IF('ENCUESTA CONDUCTORES'!BJ119="X",1,0)</f>
        <v>0</v>
      </c>
      <c r="BC119" s="15">
        <f>IF('ENCUESTA CONDUCTORES'!BK119="X",1,0)</f>
        <v>0</v>
      </c>
      <c r="BD119" s="15">
        <f>IF('ENCUESTA CONDUCTORES'!BL119="X",1,0)</f>
        <v>0</v>
      </c>
      <c r="BE119" s="15">
        <f>IF('ENCUESTA CONDUCTORES'!BM119="X",1,0)</f>
        <v>0</v>
      </c>
      <c r="BF119" s="15">
        <f>IF('ENCUESTA CONDUCTORES'!BN119="X",1,0)</f>
        <v>0</v>
      </c>
      <c r="BG119" s="15">
        <f>IF('ENCUESTA CONDUCTORES'!BO119="X",1,0)</f>
        <v>0</v>
      </c>
      <c r="BH119" s="15">
        <f>IF('ENCUESTA CONDUCTORES'!BP119="X",1,0)</f>
        <v>0</v>
      </c>
      <c r="BI119" s="15">
        <f>IF('ENCUESTA CONDUCTORES'!BQ119="X",1,0)</f>
        <v>1</v>
      </c>
      <c r="BJ119" s="15">
        <f>IF('ENCUESTA CONDUCTORES'!BR119="X",1,0)</f>
        <v>0</v>
      </c>
      <c r="BK119" s="15">
        <f>+'ENCUESTA CONDUCTORES'!BS119</f>
        <v>0</v>
      </c>
      <c r="BL119" s="15">
        <f>IF('ENCUESTA CONDUCTORES'!BT119="X",1,0)</f>
        <v>0</v>
      </c>
      <c r="BM119" s="15">
        <f>IF('ENCUESTA CONDUCTORES'!BU119="X",1,0)</f>
        <v>0</v>
      </c>
      <c r="BN119" s="15">
        <f>IF('ENCUESTA CONDUCTORES'!BV119="X",1,0)</f>
        <v>1</v>
      </c>
      <c r="BO119" s="15">
        <f>IF('ENCUESTA CONDUCTORES'!BW119="X",1,0)</f>
        <v>0</v>
      </c>
      <c r="BP119" s="15">
        <f>+'ENCUESTA CONDUCTORES'!BX119</f>
        <v>3</v>
      </c>
      <c r="BQ119" s="15">
        <f>+'ENCUESTA CONDUCTORES'!BY119</f>
        <v>2</v>
      </c>
      <c r="BR119" s="15">
        <f>+'ENCUESTA CONDUCTORES'!BZ119</f>
        <v>1</v>
      </c>
      <c r="BS119" s="15">
        <f>+'ENCUESTA CONDUCTORES'!CA119</f>
        <v>0</v>
      </c>
      <c r="BT119" s="15">
        <f>IF('ENCUESTA CONDUCTORES'!CB119="X",1,0)</f>
        <v>0</v>
      </c>
      <c r="BU119" s="15">
        <f>IF('ENCUESTA CONDUCTORES'!CC119="X",1,0)</f>
        <v>1</v>
      </c>
      <c r="BV119" s="15">
        <f>IF('ENCUESTA CONDUCTORES'!CD119="X",1,0)</f>
        <v>0</v>
      </c>
      <c r="BW119" s="15">
        <f>IF('ENCUESTA CONDUCTORES'!CE119="X",1,0)</f>
        <v>0</v>
      </c>
      <c r="BX119" s="15">
        <f>IF('ENCUESTA CONDUCTORES'!CF119="X",1,0)</f>
        <v>0</v>
      </c>
      <c r="BY119" s="15">
        <f>IF('ENCUESTA CONDUCTORES'!CG119="X",1,0)</f>
        <v>1</v>
      </c>
      <c r="BZ119" s="15">
        <f>IF('ENCUESTA CONDUCTORES'!CH119="X",1,0)</f>
        <v>1</v>
      </c>
      <c r="CA119" s="15">
        <f>IF('ENCUESTA CONDUCTORES'!CI119="X",1,0)</f>
        <v>1</v>
      </c>
      <c r="CB119" s="15">
        <f>IF('ENCUESTA CONDUCTORES'!CJ119="X",1,0)</f>
        <v>0</v>
      </c>
      <c r="CC119" s="15">
        <f>IF('ENCUESTA CONDUCTORES'!CK119="X",1,0)</f>
        <v>0</v>
      </c>
      <c r="CD119" s="15">
        <f>IF('ENCUESTA CONDUCTORES'!CL119="X",1,0)</f>
        <v>1</v>
      </c>
      <c r="CE119" s="15">
        <f>IF('ENCUESTA CONDUCTORES'!CM119="X",1,0)</f>
        <v>1</v>
      </c>
      <c r="CF119" s="15" t="str">
        <f>+'ENCUESTA CONDUCTORES'!CN119</f>
        <v>NO LE INTERESA</v>
      </c>
      <c r="CG119" s="15">
        <f>IF('ENCUESTA CONDUCTORES'!CO119="X",1,0)</f>
        <v>0</v>
      </c>
      <c r="CH119" s="15" t="str">
        <f>+'ENCUESTA CONDUCTORES'!CP119</f>
        <v>NO SABE</v>
      </c>
      <c r="CI119" s="15" t="str">
        <f>+'ENCUESTA CONDUCTORES'!CQ119</f>
        <v>NO SABE</v>
      </c>
      <c r="CJ119" s="15">
        <f>IF('ENCUESTA CONDUCTORES'!CR119="X",1,0)</f>
        <v>1</v>
      </c>
      <c r="CK119" s="15">
        <f>IF('ENCUESTA CONDUCTORES'!CS119="X",1,0)</f>
        <v>0</v>
      </c>
      <c r="CL119" s="15">
        <f>IF('ENCUESTA CONDUCTORES'!CT119="X",1,0)</f>
        <v>0</v>
      </c>
      <c r="CM119" s="15">
        <f>+'ENCUESTA CONDUCTORES'!CU119</f>
        <v>0</v>
      </c>
      <c r="CN119" s="15">
        <f>IF('ENCUESTA CONDUCTORES'!CV119="X",1,0)</f>
        <v>0</v>
      </c>
      <c r="CO119" s="15">
        <f>+'ENCUESTA CONDUCTORES'!CW119</f>
        <v>0</v>
      </c>
      <c r="CP119" s="15">
        <f>IF('ENCUESTA CONDUCTORES'!CX119="X",1,0)</f>
        <v>1</v>
      </c>
      <c r="CQ119" s="15">
        <f>IF('ENCUESTA CONDUCTORES'!CY119="X",1,0)</f>
        <v>1</v>
      </c>
      <c r="CR119" s="3">
        <f>+'ENCUESTA CONDUCTORES'!CZ119</f>
        <v>0</v>
      </c>
      <c r="CS119" s="49">
        <f>+'ENCUESTA CONDUCTORES'!DA119</f>
        <v>0</v>
      </c>
    </row>
    <row r="120" spans="2:97" x14ac:dyDescent="0.25">
      <c r="B120" s="14" t="str">
        <f>+'ENCUESTA CONDUCTORES'!D120</f>
        <v>C-126</v>
      </c>
      <c r="C120" s="15">
        <f>IF('ENCUESTA CONDUCTORES'!E120="X",1,0)</f>
        <v>0</v>
      </c>
      <c r="D120" s="15">
        <f>IF('ENCUESTA CONDUCTORES'!F120="X",1,0)</f>
        <v>0</v>
      </c>
      <c r="E120" s="15">
        <f>IF('ENCUESTA CONDUCTORES'!G120="X",1,0)</f>
        <v>1</v>
      </c>
      <c r="F120" s="15">
        <f>IF('ENCUESTA CONDUCTORES'!H120="X",1,0)</f>
        <v>0</v>
      </c>
      <c r="G120" s="15">
        <f>+'ENCUESTA CONDUCTORES'!I120</f>
        <v>26</v>
      </c>
      <c r="H120" s="15" t="str">
        <f>+'ENCUESTA CONDUCTORES'!J120</f>
        <v>M</v>
      </c>
      <c r="I120" s="15" t="str">
        <f>+'ENCUESTA CONDUCTORES'!K120</f>
        <v>PRIMARIA</v>
      </c>
      <c r="J120" s="15" t="str">
        <f>+'ENCUESTA CONDUCTORES'!L120</f>
        <v>TLALPAN, D.F.</v>
      </c>
      <c r="K120" s="15" t="str">
        <f>+'ENCUESTA CONDUCTORES'!M120</f>
        <v>TLALPAN</v>
      </c>
      <c r="L120" s="15" t="str">
        <f>+'ENCUESTA CONDUCTORES'!N120</f>
        <v>D.F.</v>
      </c>
      <c r="M120" s="15">
        <f>+'ENCUESTA CONDUCTORES'!O120</f>
        <v>5</v>
      </c>
      <c r="N120" s="15">
        <f>IF('ENCUESTA CONDUCTORES'!P120="X",1,0)</f>
        <v>1</v>
      </c>
      <c r="O120" s="15">
        <f>IF('ENCUESTA CONDUCTORES'!Q120="X",1,0)</f>
        <v>0</v>
      </c>
      <c r="P120" s="15">
        <f>IF('ENCUESTA CONDUCTORES'!R120="X",1,0)</f>
        <v>0</v>
      </c>
      <c r="Q120" s="15">
        <f>IF('ENCUESTA CONDUCTORES'!S120="X",1,0)</f>
        <v>0</v>
      </c>
      <c r="R120" s="15">
        <f>IF('ENCUESTA CONDUCTORES'!T120="X",1,0)</f>
        <v>0</v>
      </c>
      <c r="S120" s="15">
        <f>IF('ENCUESTA CONDUCTORES'!U120="X",1,0)</f>
        <v>1</v>
      </c>
      <c r="T120" s="15">
        <f>IF('ENCUESTA CONDUCTORES'!V120="X",1,0)</f>
        <v>0</v>
      </c>
      <c r="U120" s="15">
        <f>IF('ENCUESTA CONDUCTORES'!W120="X",1,0)</f>
        <v>0</v>
      </c>
      <c r="V120" s="15">
        <f>IF('ENCUESTA CONDUCTORES'!X120="X",1,0)</f>
        <v>0</v>
      </c>
      <c r="W120" s="15">
        <f>IF('ENCUESTA CONDUCTORES'!Y120="X",1,0)</f>
        <v>0</v>
      </c>
      <c r="X120" s="15">
        <f>IF('ENCUESTA CONDUCTORES'!Z120="X",1,0)</f>
        <v>0</v>
      </c>
      <c r="Y120" s="15">
        <f>+'ENCUESTA CONDUCTORES'!AG120</f>
        <v>0</v>
      </c>
      <c r="Z120" s="15">
        <f>+'ENCUESTA CONDUCTORES'!AH120</f>
        <v>2008</v>
      </c>
      <c r="AA120" s="1">
        <f>+'ENCUESTA CONDUCTORES'!AI120</f>
        <v>500000</v>
      </c>
      <c r="AB120" s="15">
        <f>IF('ENCUESTA CONDUCTORES'!AJ120="X",1,0)</f>
        <v>0</v>
      </c>
      <c r="AC120" s="15">
        <f>IF('ENCUESTA CONDUCTORES'!AK120="X",1,0)</f>
        <v>0</v>
      </c>
      <c r="AD120" s="15">
        <f>IF('ENCUESTA CONDUCTORES'!AL120="X",1,0)</f>
        <v>1</v>
      </c>
      <c r="AE120" s="15">
        <f>IF('ENCUESTA CONDUCTORES'!AM120="X",1,0)</f>
        <v>0</v>
      </c>
      <c r="AF120" s="15">
        <f>IF('ENCUESTA CONDUCTORES'!AN120="X",1,0)</f>
        <v>0</v>
      </c>
      <c r="AG120" s="15">
        <f>IF('ENCUESTA CONDUCTORES'!AO120="X",1,0)</f>
        <v>0</v>
      </c>
      <c r="AH120" s="15">
        <f>IF('ENCUESTA CONDUCTORES'!AP120="X",1,0)</f>
        <v>1</v>
      </c>
      <c r="AI120" s="15">
        <f>IF('ENCUESTA CONDUCTORES'!AQ120="X",1,0)</f>
        <v>0</v>
      </c>
      <c r="AJ120" s="15">
        <f>IF('ENCUESTA CONDUCTORES'!AR120="X",1,0)</f>
        <v>0</v>
      </c>
      <c r="AK120" s="15">
        <f>+'ENCUESTA CONDUCTORES'!AS120</f>
        <v>0</v>
      </c>
      <c r="AL120" s="15" t="str">
        <f>+'ENCUESTA CONDUCTORES'!AT120</f>
        <v>CUMMINS</v>
      </c>
      <c r="AM120" s="1">
        <f>+'ENCUESTA CONDUCTORES'!AU120</f>
        <v>2500</v>
      </c>
      <c r="AN120" s="48">
        <f>+'ENCUESTA CONDUCTORES'!AV120</f>
        <v>0.5</v>
      </c>
      <c r="AO120" s="15">
        <f>+'ENCUESTA CONDUCTORES'!AW120</f>
        <v>2.7</v>
      </c>
      <c r="AP120" s="15">
        <f>+'ENCUESTA CONDUCTORES'!AX120</f>
        <v>2.2000000000000002</v>
      </c>
      <c r="AQ120" s="15">
        <f>+'ENCUESTA CONDUCTORES'!AY120</f>
        <v>2</v>
      </c>
      <c r="AR120" s="15">
        <f>+'ENCUESTA CONDUCTORES'!AZ120</f>
        <v>280</v>
      </c>
      <c r="AS120" s="15">
        <f>+'ENCUESTA CONDUCTORES'!BA120</f>
        <v>700</v>
      </c>
      <c r="AT120" s="15">
        <f>IF('ENCUESTA CONDUCTORES'!BB120="X",1,0)</f>
        <v>1</v>
      </c>
      <c r="AU120" s="15">
        <f>IF('ENCUESTA CONDUCTORES'!BC120="X",1,0)</f>
        <v>1</v>
      </c>
      <c r="AV120" s="15">
        <f>IF('ENCUESTA CONDUCTORES'!BD120="X",1,0)</f>
        <v>1</v>
      </c>
      <c r="AW120" s="1">
        <f>+'ENCUESTA CONDUCTORES'!BE120</f>
        <v>12500</v>
      </c>
      <c r="AX120" s="1">
        <f>+'ENCUESTA CONDUCTORES'!BF120</f>
        <v>15000</v>
      </c>
      <c r="AY120" s="1">
        <f>+'ENCUESTA CONDUCTORES'!BG120</f>
        <v>15000</v>
      </c>
      <c r="AZ120" s="1">
        <f>+'ENCUESTA CONDUCTORES'!BH120</f>
        <v>60000</v>
      </c>
      <c r="BA120" s="1">
        <f>+'ENCUESTA CONDUCTORES'!BI120</f>
        <v>12500</v>
      </c>
      <c r="BB120" s="15">
        <f>IF('ENCUESTA CONDUCTORES'!BJ120="X",1,0)</f>
        <v>0</v>
      </c>
      <c r="BC120" s="15">
        <f>IF('ENCUESTA CONDUCTORES'!BK120="X",1,0)</f>
        <v>0</v>
      </c>
      <c r="BD120" s="15">
        <f>IF('ENCUESTA CONDUCTORES'!BL120="X",1,0)</f>
        <v>1</v>
      </c>
      <c r="BE120" s="15">
        <f>IF('ENCUESTA CONDUCTORES'!BM120="X",1,0)</f>
        <v>0</v>
      </c>
      <c r="BF120" s="15">
        <f>IF('ENCUESTA CONDUCTORES'!BN120="X",1,0)</f>
        <v>0</v>
      </c>
      <c r="BG120" s="15">
        <f>IF('ENCUESTA CONDUCTORES'!BO120="X",1,0)</f>
        <v>0</v>
      </c>
      <c r="BH120" s="15">
        <f>IF('ENCUESTA CONDUCTORES'!BP120="X",1,0)</f>
        <v>0</v>
      </c>
      <c r="BI120" s="15">
        <f>IF('ENCUESTA CONDUCTORES'!BQ120="X",1,0)</f>
        <v>0</v>
      </c>
      <c r="BJ120" s="15">
        <f>IF('ENCUESTA CONDUCTORES'!BR120="X",1,0)</f>
        <v>0</v>
      </c>
      <c r="BK120" s="15">
        <f>+'ENCUESTA CONDUCTORES'!BS120</f>
        <v>0</v>
      </c>
      <c r="BL120" s="15">
        <f>IF('ENCUESTA CONDUCTORES'!BT120="X",1,0)</f>
        <v>0</v>
      </c>
      <c r="BM120" s="15">
        <f>IF('ENCUESTA CONDUCTORES'!BU120="X",1,0)</f>
        <v>0</v>
      </c>
      <c r="BN120" s="15">
        <f>IF('ENCUESTA CONDUCTORES'!BV120="X",1,0)</f>
        <v>1</v>
      </c>
      <c r="BO120" s="15">
        <f>IF('ENCUESTA CONDUCTORES'!BW120="X",1,0)</f>
        <v>0</v>
      </c>
      <c r="BP120" s="15">
        <f>+'ENCUESTA CONDUCTORES'!BX120</f>
        <v>2</v>
      </c>
      <c r="BQ120" s="15">
        <f>+'ENCUESTA CONDUCTORES'!BY120</f>
        <v>1</v>
      </c>
      <c r="BR120" s="15">
        <f>+'ENCUESTA CONDUCTORES'!BZ120</f>
        <v>3</v>
      </c>
      <c r="BS120" s="15">
        <f>+'ENCUESTA CONDUCTORES'!CA120</f>
        <v>0</v>
      </c>
      <c r="BT120" s="15">
        <f>IF('ENCUESTA CONDUCTORES'!CB120="X",1,0)</f>
        <v>0</v>
      </c>
      <c r="BU120" s="15">
        <f>IF('ENCUESTA CONDUCTORES'!CC120="X",1,0)</f>
        <v>1</v>
      </c>
      <c r="BV120" s="15">
        <f>IF('ENCUESTA CONDUCTORES'!CD120="X",1,0)</f>
        <v>0</v>
      </c>
      <c r="BW120" s="15">
        <f>IF('ENCUESTA CONDUCTORES'!CE120="X",1,0)</f>
        <v>0</v>
      </c>
      <c r="BX120" s="15">
        <f>IF('ENCUESTA CONDUCTORES'!CF120="X",1,0)</f>
        <v>0</v>
      </c>
      <c r="BY120" s="15">
        <f>IF('ENCUESTA CONDUCTORES'!CG120="X",1,0)</f>
        <v>1</v>
      </c>
      <c r="BZ120" s="15">
        <f>IF('ENCUESTA CONDUCTORES'!CH120="X",1,0)</f>
        <v>1</v>
      </c>
      <c r="CA120" s="15">
        <f>IF('ENCUESTA CONDUCTORES'!CI120="X",1,0)</f>
        <v>1</v>
      </c>
      <c r="CB120" s="15">
        <f>IF('ENCUESTA CONDUCTORES'!CJ120="X",1,0)</f>
        <v>0</v>
      </c>
      <c r="CC120" s="15">
        <f>IF('ENCUESTA CONDUCTORES'!CK120="X",1,0)</f>
        <v>1</v>
      </c>
      <c r="CD120" s="15">
        <f>IF('ENCUESTA CONDUCTORES'!CL120="X",1,0)</f>
        <v>0</v>
      </c>
      <c r="CE120" s="15">
        <f>IF('ENCUESTA CONDUCTORES'!CM120="X",1,0)</f>
        <v>0</v>
      </c>
      <c r="CF120" s="15">
        <f>+'ENCUESTA CONDUCTORES'!CN120</f>
        <v>0</v>
      </c>
      <c r="CG120" s="15">
        <f>IF('ENCUESTA CONDUCTORES'!CO120="X",1,0)</f>
        <v>0</v>
      </c>
      <c r="CH120" s="15" t="str">
        <f>+'ENCUESTA CONDUCTORES'!CP120</f>
        <v>NO SABE</v>
      </c>
      <c r="CI120" s="15" t="str">
        <f>+'ENCUESTA CONDUCTORES'!CQ120</f>
        <v>DARLO A CONOCER</v>
      </c>
      <c r="CJ120" s="15">
        <f>IF('ENCUESTA CONDUCTORES'!CR120="X",1,0)</f>
        <v>0</v>
      </c>
      <c r="CK120" s="15">
        <f>IF('ENCUESTA CONDUCTORES'!CS120="X",1,0)</f>
        <v>0</v>
      </c>
      <c r="CL120" s="15">
        <f>IF('ENCUESTA CONDUCTORES'!CT120="X",1,0)</f>
        <v>0</v>
      </c>
      <c r="CM120" s="2" t="str">
        <f>+'ENCUESTA CONDUCTORES'!CU120</f>
        <v>MANEJO A LA DEFENSIVA</v>
      </c>
      <c r="CN120" s="15">
        <f>IF('ENCUESTA CONDUCTORES'!CV120="X",1,0)</f>
        <v>0</v>
      </c>
      <c r="CO120" s="15">
        <f>+'ENCUESTA CONDUCTORES'!CW120</f>
        <v>0</v>
      </c>
      <c r="CP120" s="15">
        <f>IF('ENCUESTA CONDUCTORES'!CX120="X",1,0)</f>
        <v>0</v>
      </c>
      <c r="CQ120" s="15">
        <f>IF('ENCUESTA CONDUCTORES'!CY120="X",1,0)</f>
        <v>1</v>
      </c>
      <c r="CR120" s="3">
        <f>+'ENCUESTA CONDUCTORES'!CZ120</f>
        <v>0</v>
      </c>
      <c r="CS120" s="49">
        <f>+'ENCUESTA CONDUCTORES'!DA120</f>
        <v>0</v>
      </c>
    </row>
    <row r="121" spans="2:97" x14ac:dyDescent="0.25">
      <c r="B121" s="14" t="str">
        <f>+'ENCUESTA CONDUCTORES'!D121</f>
        <v>C-127</v>
      </c>
      <c r="C121" s="15">
        <f>IF('ENCUESTA CONDUCTORES'!E121="X",1,0)</f>
        <v>0</v>
      </c>
      <c r="D121" s="15">
        <f>IF('ENCUESTA CONDUCTORES'!F121="X",1,0)</f>
        <v>0</v>
      </c>
      <c r="E121" s="15">
        <f>IF('ENCUESTA CONDUCTORES'!G121="X",1,0)</f>
        <v>1</v>
      </c>
      <c r="F121" s="15">
        <f>IF('ENCUESTA CONDUCTORES'!H121="X",1,0)</f>
        <v>0</v>
      </c>
      <c r="G121" s="15">
        <f>+'ENCUESTA CONDUCTORES'!I121</f>
        <v>27</v>
      </c>
      <c r="H121" s="15" t="str">
        <f>+'ENCUESTA CONDUCTORES'!J121</f>
        <v>M</v>
      </c>
      <c r="I121" s="15" t="str">
        <f>+'ENCUESTA CONDUCTORES'!K121</f>
        <v>SECUNDARIA</v>
      </c>
      <c r="J121" s="15" t="str">
        <f>+'ENCUESTA CONDUCTORES'!L121</f>
        <v>CUAJIMALPA, D.F.</v>
      </c>
      <c r="K121" s="15" t="str">
        <f>+'ENCUESTA CONDUCTORES'!M121</f>
        <v>CUAJIMALPA</v>
      </c>
      <c r="L121" s="15" t="str">
        <f>+'ENCUESTA CONDUCTORES'!N121</f>
        <v>D.F.</v>
      </c>
      <c r="M121" s="15">
        <f>+'ENCUESTA CONDUCTORES'!O121</f>
        <v>4</v>
      </c>
      <c r="N121" s="15">
        <f>IF('ENCUESTA CONDUCTORES'!P121="X",1,0)</f>
        <v>1</v>
      </c>
      <c r="O121" s="15">
        <f>IF('ENCUESTA CONDUCTORES'!Q121="X",1,0)</f>
        <v>0</v>
      </c>
      <c r="P121" s="15">
        <f>IF('ENCUESTA CONDUCTORES'!R121="X",1,0)</f>
        <v>0</v>
      </c>
      <c r="Q121" s="15">
        <f>IF('ENCUESTA CONDUCTORES'!S121="X",1,0)</f>
        <v>0</v>
      </c>
      <c r="R121" s="15">
        <f>IF('ENCUESTA CONDUCTORES'!T121="X",1,0)</f>
        <v>0</v>
      </c>
      <c r="S121" s="15">
        <f>IF('ENCUESTA CONDUCTORES'!U121="X",1,0)</f>
        <v>1</v>
      </c>
      <c r="T121" s="15">
        <f>IF('ENCUESTA CONDUCTORES'!V121="X",1,0)</f>
        <v>0</v>
      </c>
      <c r="U121" s="15">
        <f>IF('ENCUESTA CONDUCTORES'!W121="X",1,0)</f>
        <v>0</v>
      </c>
      <c r="V121" s="15">
        <f>IF('ENCUESTA CONDUCTORES'!X121="X",1,0)</f>
        <v>0</v>
      </c>
      <c r="W121" s="15">
        <f>IF('ENCUESTA CONDUCTORES'!Y121="X",1,0)</f>
        <v>0</v>
      </c>
      <c r="X121" s="15">
        <f>IF('ENCUESTA CONDUCTORES'!Z121="X",1,0)</f>
        <v>0</v>
      </c>
      <c r="Y121" s="15">
        <f>+'ENCUESTA CONDUCTORES'!AG121</f>
        <v>0</v>
      </c>
      <c r="Z121" s="15">
        <f>+'ENCUESTA CONDUCTORES'!AH121</f>
        <v>2010</v>
      </c>
      <c r="AA121" s="1">
        <f>+'ENCUESTA CONDUCTORES'!AI121</f>
        <v>750000</v>
      </c>
      <c r="AB121" s="15">
        <f>IF('ENCUESTA CONDUCTORES'!AJ121="X",1,0)</f>
        <v>0</v>
      </c>
      <c r="AC121" s="15">
        <f>IF('ENCUESTA CONDUCTORES'!AK121="X",1,0)</f>
        <v>0</v>
      </c>
      <c r="AD121" s="15">
        <f>IF('ENCUESTA CONDUCTORES'!AL121="X",1,0)</f>
        <v>1</v>
      </c>
      <c r="AE121" s="15">
        <f>IF('ENCUESTA CONDUCTORES'!AM121="X",1,0)</f>
        <v>0</v>
      </c>
      <c r="AF121" s="15">
        <f>IF('ENCUESTA CONDUCTORES'!AN121="X",1,0)</f>
        <v>0</v>
      </c>
      <c r="AG121" s="15">
        <f>IF('ENCUESTA CONDUCTORES'!AO121="X",1,0)</f>
        <v>1</v>
      </c>
      <c r="AH121" s="15">
        <f>IF('ENCUESTA CONDUCTORES'!AP121="X",1,0)</f>
        <v>0</v>
      </c>
      <c r="AI121" s="15">
        <f>IF('ENCUESTA CONDUCTORES'!AQ121="X",1,0)</f>
        <v>0</v>
      </c>
      <c r="AJ121" s="15">
        <f>IF('ENCUESTA CONDUCTORES'!AR121="X",1,0)</f>
        <v>0</v>
      </c>
      <c r="AK121" s="15">
        <f>+'ENCUESTA CONDUCTORES'!AS121</f>
        <v>0</v>
      </c>
      <c r="AL121" s="15" t="str">
        <f>+'ENCUESTA CONDUCTORES'!AT121</f>
        <v>INTERNATIONAL</v>
      </c>
      <c r="AM121" s="1">
        <f>+'ENCUESTA CONDUCTORES'!AU121</f>
        <v>3000</v>
      </c>
      <c r="AN121" s="48">
        <f>+'ENCUESTA CONDUCTORES'!AV121</f>
        <v>0.5</v>
      </c>
      <c r="AO121" s="15">
        <f>+'ENCUESTA CONDUCTORES'!AW121</f>
        <v>2.1</v>
      </c>
      <c r="AP121" s="15">
        <f>+'ENCUESTA CONDUCTORES'!AX121</f>
        <v>1.8</v>
      </c>
      <c r="AQ121" s="15">
        <f>+'ENCUESTA CONDUCTORES'!AY121</f>
        <v>2</v>
      </c>
      <c r="AR121" s="15">
        <f>+'ENCUESTA CONDUCTORES'!AZ121</f>
        <v>740</v>
      </c>
      <c r="AS121" s="15">
        <f>+'ENCUESTA CONDUCTORES'!BA121</f>
        <v>1400</v>
      </c>
      <c r="AT121" s="15">
        <f>IF('ENCUESTA CONDUCTORES'!BB121="X",1,0)</f>
        <v>0</v>
      </c>
      <c r="AU121" s="15">
        <f>IF('ENCUESTA CONDUCTORES'!BC121="X",1,0)</f>
        <v>1</v>
      </c>
      <c r="AV121" s="15">
        <f>IF('ENCUESTA CONDUCTORES'!BD121="X",1,0)</f>
        <v>0</v>
      </c>
      <c r="AW121" s="1">
        <f>+'ENCUESTA CONDUCTORES'!BE121</f>
        <v>12000</v>
      </c>
      <c r="AX121" s="1">
        <f>+'ENCUESTA CONDUCTORES'!BF121</f>
        <v>18000</v>
      </c>
      <c r="AY121" s="1">
        <f>+'ENCUESTA CONDUCTORES'!BG121</f>
        <v>12000</v>
      </c>
      <c r="AZ121" s="1">
        <f>+'ENCUESTA CONDUCTORES'!BH121</f>
        <v>70000</v>
      </c>
      <c r="BA121" s="1">
        <f>+'ENCUESTA CONDUCTORES'!BI121</f>
        <v>12000</v>
      </c>
      <c r="BB121" s="15">
        <f>IF('ENCUESTA CONDUCTORES'!BJ121="X",1,0)</f>
        <v>0</v>
      </c>
      <c r="BC121" s="15">
        <f>IF('ENCUESTA CONDUCTORES'!BK121="X",1,0)</f>
        <v>0</v>
      </c>
      <c r="BD121" s="15">
        <f>IF('ENCUESTA CONDUCTORES'!BL121="X",1,0)</f>
        <v>0</v>
      </c>
      <c r="BE121" s="15">
        <f>IF('ENCUESTA CONDUCTORES'!BM121="X",1,0)</f>
        <v>0</v>
      </c>
      <c r="BF121" s="15">
        <f>IF('ENCUESTA CONDUCTORES'!BN121="X",1,0)</f>
        <v>1</v>
      </c>
      <c r="BG121" s="15">
        <f>IF('ENCUESTA CONDUCTORES'!BO121="X",1,0)</f>
        <v>0</v>
      </c>
      <c r="BH121" s="15">
        <f>IF('ENCUESTA CONDUCTORES'!BP121="X",1,0)</f>
        <v>0</v>
      </c>
      <c r="BI121" s="15">
        <f>IF('ENCUESTA CONDUCTORES'!BQ121="X",1,0)</f>
        <v>0</v>
      </c>
      <c r="BJ121" s="15">
        <f>IF('ENCUESTA CONDUCTORES'!BR121="X",1,0)</f>
        <v>0</v>
      </c>
      <c r="BK121" s="15">
        <f>+'ENCUESTA CONDUCTORES'!BS121</f>
        <v>0</v>
      </c>
      <c r="BL121" s="15">
        <f>IF('ENCUESTA CONDUCTORES'!BT121="X",1,0)</f>
        <v>0</v>
      </c>
      <c r="BM121" s="15">
        <f>IF('ENCUESTA CONDUCTORES'!BU121="X",1,0)</f>
        <v>1</v>
      </c>
      <c r="BN121" s="15">
        <f>IF('ENCUESTA CONDUCTORES'!BV121="X",1,0)</f>
        <v>0</v>
      </c>
      <c r="BO121" s="15">
        <f>IF('ENCUESTA CONDUCTORES'!BW121="X",1,0)</f>
        <v>0</v>
      </c>
      <c r="BP121" s="15">
        <f>+'ENCUESTA CONDUCTORES'!BX121</f>
        <v>3</v>
      </c>
      <c r="BQ121" s="15">
        <f>+'ENCUESTA CONDUCTORES'!BY121</f>
        <v>1</v>
      </c>
      <c r="BR121" s="15">
        <f>+'ENCUESTA CONDUCTORES'!BZ121</f>
        <v>2</v>
      </c>
      <c r="BS121" s="15">
        <f>+'ENCUESTA CONDUCTORES'!CA121</f>
        <v>0</v>
      </c>
      <c r="BT121" s="15">
        <f>IF('ENCUESTA CONDUCTORES'!CB121="X",1,0)</f>
        <v>1</v>
      </c>
      <c r="BU121" s="15">
        <f>IF('ENCUESTA CONDUCTORES'!CC121="X",1,0)</f>
        <v>0</v>
      </c>
      <c r="BV121" s="15">
        <f>IF('ENCUESTA CONDUCTORES'!CD121="X",1,0)</f>
        <v>0</v>
      </c>
      <c r="BW121" s="15">
        <f>IF('ENCUESTA CONDUCTORES'!CE121="X",1,0)</f>
        <v>0</v>
      </c>
      <c r="BX121" s="15">
        <f>IF('ENCUESTA CONDUCTORES'!CF121="X",1,0)</f>
        <v>0</v>
      </c>
      <c r="BY121" s="15">
        <f>IF('ENCUESTA CONDUCTORES'!CG121="X",1,0)</f>
        <v>0</v>
      </c>
      <c r="BZ121" s="15">
        <f>IF('ENCUESTA CONDUCTORES'!CH121="X",1,0)</f>
        <v>0</v>
      </c>
      <c r="CA121" s="15">
        <f>IF('ENCUESTA CONDUCTORES'!CI121="X",1,0)</f>
        <v>0</v>
      </c>
      <c r="CB121" s="15">
        <f>IF('ENCUESTA CONDUCTORES'!CJ121="X",1,0)</f>
        <v>0</v>
      </c>
      <c r="CC121" s="15">
        <f>IF('ENCUESTA CONDUCTORES'!CK121="X",1,0)</f>
        <v>1</v>
      </c>
      <c r="CD121" s="15">
        <f>IF('ENCUESTA CONDUCTORES'!CL121="X",1,0)</f>
        <v>0</v>
      </c>
      <c r="CE121" s="15">
        <f>IF('ENCUESTA CONDUCTORES'!CM121="X",1,0)</f>
        <v>0</v>
      </c>
      <c r="CF121" s="15">
        <f>+'ENCUESTA CONDUCTORES'!CN121</f>
        <v>0</v>
      </c>
      <c r="CG121" s="15">
        <f>IF('ENCUESTA CONDUCTORES'!CO121="X",1,0)</f>
        <v>0</v>
      </c>
      <c r="CH121" s="15" t="str">
        <f>+'ENCUESTA CONDUCTORES'!CP121</f>
        <v>NO SABE</v>
      </c>
      <c r="CI121" s="15" t="str">
        <f>+'ENCUESTA CONDUCTORES'!CQ121</f>
        <v>DARLO A CONOCER</v>
      </c>
      <c r="CJ121" s="15">
        <f>IF('ENCUESTA CONDUCTORES'!CR121="X",1,0)</f>
        <v>0</v>
      </c>
      <c r="CK121" s="15">
        <f>IF('ENCUESTA CONDUCTORES'!CS121="X",1,0)</f>
        <v>1</v>
      </c>
      <c r="CL121" s="15">
        <f>IF('ENCUESTA CONDUCTORES'!CT121="X",1,0)</f>
        <v>0</v>
      </c>
      <c r="CM121" s="15">
        <f>+'ENCUESTA CONDUCTORES'!CU121</f>
        <v>0</v>
      </c>
      <c r="CN121" s="15">
        <f>IF('ENCUESTA CONDUCTORES'!CV121="X",1,0)</f>
        <v>0</v>
      </c>
      <c r="CO121" s="15">
        <f>+'ENCUESTA CONDUCTORES'!CW121</f>
        <v>0</v>
      </c>
      <c r="CP121" s="15">
        <f>IF('ENCUESTA CONDUCTORES'!CX121="X",1,0)</f>
        <v>0</v>
      </c>
      <c r="CQ121" s="15">
        <f>IF('ENCUESTA CONDUCTORES'!CY121="X",1,0)</f>
        <v>1</v>
      </c>
      <c r="CR121" s="3">
        <f>+'ENCUESTA CONDUCTORES'!CZ121</f>
        <v>0</v>
      </c>
      <c r="CS121" s="49">
        <f>+'ENCUESTA CONDUCTORES'!DA121</f>
        <v>0</v>
      </c>
    </row>
    <row r="122" spans="2:97" x14ac:dyDescent="0.25">
      <c r="B122" s="14" t="str">
        <f>+'ENCUESTA CONDUCTORES'!D122</f>
        <v>C-128</v>
      </c>
      <c r="C122" s="15">
        <f>IF('ENCUESTA CONDUCTORES'!E122="X",1,0)</f>
        <v>0</v>
      </c>
      <c r="D122" s="15">
        <f>IF('ENCUESTA CONDUCTORES'!F122="X",1,0)</f>
        <v>1</v>
      </c>
      <c r="E122" s="15">
        <f>IF('ENCUESTA CONDUCTORES'!G122="X",1,0)</f>
        <v>0</v>
      </c>
      <c r="F122" s="15">
        <f>IF('ENCUESTA CONDUCTORES'!H122="X",1,0)</f>
        <v>0</v>
      </c>
      <c r="G122" s="15">
        <f>+'ENCUESTA CONDUCTORES'!I122</f>
        <v>51</v>
      </c>
      <c r="H122" s="15" t="str">
        <f>+'ENCUESTA CONDUCTORES'!J122</f>
        <v>M</v>
      </c>
      <c r="I122" s="15" t="str">
        <f>+'ENCUESTA CONDUCTORES'!K122</f>
        <v>BACHILLERATO</v>
      </c>
      <c r="J122" s="15" t="str">
        <f>+'ENCUESTA CONDUCTORES'!L122</f>
        <v>EL MOLINITO, EDO. MEX.</v>
      </c>
      <c r="K122" s="15" t="str">
        <f>+'ENCUESTA CONDUCTORES'!M122</f>
        <v>EL MOLINITO</v>
      </c>
      <c r="L122" s="15" t="str">
        <f>+'ENCUESTA CONDUCTORES'!N122</f>
        <v>EDO. MEX.</v>
      </c>
      <c r="M122" s="15">
        <f>+'ENCUESTA CONDUCTORES'!O122</f>
        <v>30</v>
      </c>
      <c r="N122" s="15">
        <f>IF('ENCUESTA CONDUCTORES'!P122="X",1,0)</f>
        <v>0</v>
      </c>
      <c r="O122" s="15">
        <f>IF('ENCUESTA CONDUCTORES'!Q122="X",1,0)</f>
        <v>0</v>
      </c>
      <c r="P122" s="15">
        <f>IF('ENCUESTA CONDUCTORES'!R122="X",1,0)</f>
        <v>0</v>
      </c>
      <c r="Q122" s="15">
        <f>IF('ENCUESTA CONDUCTORES'!S122="X",1,0)</f>
        <v>1</v>
      </c>
      <c r="R122" s="15">
        <f>IF('ENCUESTA CONDUCTORES'!T122="X",1,0)</f>
        <v>0</v>
      </c>
      <c r="S122" s="15">
        <f>IF('ENCUESTA CONDUCTORES'!U122="X",1,0)</f>
        <v>1</v>
      </c>
      <c r="T122" s="15">
        <f>IF('ENCUESTA CONDUCTORES'!V122="X",1,0)</f>
        <v>0</v>
      </c>
      <c r="U122" s="15">
        <f>IF('ENCUESTA CONDUCTORES'!W122="X",1,0)</f>
        <v>0</v>
      </c>
      <c r="V122" s="15">
        <f>IF('ENCUESTA CONDUCTORES'!X122="X",1,0)</f>
        <v>0</v>
      </c>
      <c r="W122" s="15">
        <f>IF('ENCUESTA CONDUCTORES'!Y122="X",1,0)</f>
        <v>0</v>
      </c>
      <c r="X122" s="15">
        <f>IF('ENCUESTA CONDUCTORES'!Z122="X",1,0)</f>
        <v>0</v>
      </c>
      <c r="Y122" s="15">
        <f>+'ENCUESTA CONDUCTORES'!AG122</f>
        <v>0</v>
      </c>
      <c r="Z122" s="15">
        <f>+'ENCUESTA CONDUCTORES'!AH122</f>
        <v>1999</v>
      </c>
      <c r="AA122" s="1">
        <f>+'ENCUESTA CONDUCTORES'!AI122</f>
        <v>1000000</v>
      </c>
      <c r="AB122" s="15">
        <f>IF('ENCUESTA CONDUCTORES'!AJ122="X",1,0)</f>
        <v>0</v>
      </c>
      <c r="AC122" s="15">
        <f>IF('ENCUESTA CONDUCTORES'!AK122="X",1,0)</f>
        <v>0</v>
      </c>
      <c r="AD122" s="15">
        <f>IF('ENCUESTA CONDUCTORES'!AL122="X",1,0)</f>
        <v>1</v>
      </c>
      <c r="AE122" s="15">
        <f>IF('ENCUESTA CONDUCTORES'!AM122="X",1,0)</f>
        <v>0</v>
      </c>
      <c r="AF122" s="15">
        <f>IF('ENCUESTA CONDUCTORES'!AN122="X",1,0)</f>
        <v>0</v>
      </c>
      <c r="AG122" s="15">
        <f>IF('ENCUESTA CONDUCTORES'!AO122="X",1,0)</f>
        <v>0</v>
      </c>
      <c r="AH122" s="15">
        <f>IF('ENCUESTA CONDUCTORES'!AP122="X",1,0)</f>
        <v>1</v>
      </c>
      <c r="AI122" s="15">
        <f>IF('ENCUESTA CONDUCTORES'!AQ122="X",1,0)</f>
        <v>0</v>
      </c>
      <c r="AJ122" s="15">
        <f>IF('ENCUESTA CONDUCTORES'!AR122="X",1,0)</f>
        <v>0</v>
      </c>
      <c r="AK122" s="15">
        <f>+'ENCUESTA CONDUCTORES'!AS122</f>
        <v>0</v>
      </c>
      <c r="AL122" s="15" t="str">
        <f>+'ENCUESTA CONDUCTORES'!AT122</f>
        <v>KENWORTH</v>
      </c>
      <c r="AM122" s="1">
        <f>+'ENCUESTA CONDUCTORES'!AU122</f>
        <v>3000</v>
      </c>
      <c r="AN122" s="48">
        <f>+'ENCUESTA CONDUCTORES'!AV122</f>
        <v>0.5</v>
      </c>
      <c r="AO122" s="15">
        <f>+'ENCUESTA CONDUCTORES'!AW122</f>
        <v>2.2999999999999998</v>
      </c>
      <c r="AP122" s="15">
        <f>+'ENCUESTA CONDUCTORES'!AX122</f>
        <v>1.7</v>
      </c>
      <c r="AQ122" s="15">
        <f>+'ENCUESTA CONDUCTORES'!AY122</f>
        <v>2</v>
      </c>
      <c r="AR122" s="15">
        <f>+'ENCUESTA CONDUCTORES'!AZ122</f>
        <v>850</v>
      </c>
      <c r="AS122" s="15">
        <f>+'ENCUESTA CONDUCTORES'!BA122</f>
        <v>1700</v>
      </c>
      <c r="AT122" s="15">
        <f>IF('ENCUESTA CONDUCTORES'!BB122="X",1,0)</f>
        <v>0</v>
      </c>
      <c r="AU122" s="15">
        <f>IF('ENCUESTA CONDUCTORES'!BC122="X",1,0)</f>
        <v>1</v>
      </c>
      <c r="AV122" s="15">
        <f>IF('ENCUESTA CONDUCTORES'!BD122="X",1,0)</f>
        <v>0</v>
      </c>
      <c r="AW122" s="1">
        <f>+'ENCUESTA CONDUCTORES'!BE122</f>
        <v>12000</v>
      </c>
      <c r="AX122" s="1">
        <f>+'ENCUESTA CONDUCTORES'!BF122</f>
        <v>15000</v>
      </c>
      <c r="AY122" s="1">
        <f>+'ENCUESTA CONDUCTORES'!BG122</f>
        <v>12000</v>
      </c>
      <c r="AZ122" s="1">
        <f>+'ENCUESTA CONDUCTORES'!BH122</f>
        <v>70000</v>
      </c>
      <c r="BA122" s="1">
        <f>+'ENCUESTA CONDUCTORES'!BI122</f>
        <v>12000</v>
      </c>
      <c r="BB122" s="15">
        <f>IF('ENCUESTA CONDUCTORES'!BJ122="X",1,0)</f>
        <v>0</v>
      </c>
      <c r="BC122" s="15">
        <f>IF('ENCUESTA CONDUCTORES'!BK122="X",1,0)</f>
        <v>0</v>
      </c>
      <c r="BD122" s="15">
        <f>IF('ENCUESTA CONDUCTORES'!BL122="X",1,0)</f>
        <v>0</v>
      </c>
      <c r="BE122" s="15">
        <f>IF('ENCUESTA CONDUCTORES'!BM122="X",1,0)</f>
        <v>0</v>
      </c>
      <c r="BF122" s="15">
        <f>IF('ENCUESTA CONDUCTORES'!BN122="X",1,0)</f>
        <v>0</v>
      </c>
      <c r="BG122" s="15">
        <f>IF('ENCUESTA CONDUCTORES'!BO122="X",1,0)</f>
        <v>0</v>
      </c>
      <c r="BH122" s="15">
        <f>IF('ENCUESTA CONDUCTORES'!BP122="X",1,0)</f>
        <v>0</v>
      </c>
      <c r="BI122" s="15">
        <f>IF('ENCUESTA CONDUCTORES'!BQ122="X",1,0)</f>
        <v>0</v>
      </c>
      <c r="BJ122" s="15">
        <f>IF('ENCUESTA CONDUCTORES'!BR122="X",1,0)</f>
        <v>0</v>
      </c>
      <c r="BK122" s="15" t="str">
        <f>+'ENCUESTA CONDUCTORES'!BS122</f>
        <v>GENERAL</v>
      </c>
      <c r="BL122" s="15">
        <f>IF('ENCUESTA CONDUCTORES'!BT122="X",1,0)</f>
        <v>0</v>
      </c>
      <c r="BM122" s="15">
        <f>IF('ENCUESTA CONDUCTORES'!BU122="X",1,0)</f>
        <v>1</v>
      </c>
      <c r="BN122" s="15">
        <f>IF('ENCUESTA CONDUCTORES'!BV122="X",1,0)</f>
        <v>0</v>
      </c>
      <c r="BO122" s="15">
        <f>IF('ENCUESTA CONDUCTORES'!BW122="X",1,0)</f>
        <v>0</v>
      </c>
      <c r="BP122" s="15">
        <f>+'ENCUESTA CONDUCTORES'!BX122</f>
        <v>3</v>
      </c>
      <c r="BQ122" s="15">
        <f>+'ENCUESTA CONDUCTORES'!BY122</f>
        <v>4</v>
      </c>
      <c r="BR122" s="15">
        <f>+'ENCUESTA CONDUCTORES'!BZ122</f>
        <v>2</v>
      </c>
      <c r="BS122" s="15" t="str">
        <f>+'ENCUESTA CONDUCTORES'!CA122</f>
        <v>SEGURIDAD</v>
      </c>
      <c r="BT122" s="15">
        <f>IF('ENCUESTA CONDUCTORES'!CB122="X",1,0)</f>
        <v>0</v>
      </c>
      <c r="BU122" s="15">
        <f>IF('ENCUESTA CONDUCTORES'!CC122="X",1,0)</f>
        <v>1</v>
      </c>
      <c r="BV122" s="15">
        <f>IF('ENCUESTA CONDUCTORES'!CD122="X",1,0)</f>
        <v>0</v>
      </c>
      <c r="BW122" s="15">
        <f>IF('ENCUESTA CONDUCTORES'!CE122="X",1,0)</f>
        <v>1</v>
      </c>
      <c r="BX122" s="15">
        <f>IF('ENCUESTA CONDUCTORES'!CF122="X",1,0)</f>
        <v>0</v>
      </c>
      <c r="BY122" s="15">
        <f>IF('ENCUESTA CONDUCTORES'!CG122="X",1,0)</f>
        <v>0</v>
      </c>
      <c r="BZ122" s="15">
        <f>IF('ENCUESTA CONDUCTORES'!CH122="X",1,0)</f>
        <v>1</v>
      </c>
      <c r="CA122" s="15">
        <f>IF('ENCUESTA CONDUCTORES'!CI122="X",1,0)</f>
        <v>0</v>
      </c>
      <c r="CB122" s="15">
        <f>IF('ENCUESTA CONDUCTORES'!CJ122="X",1,0)</f>
        <v>0</v>
      </c>
      <c r="CC122" s="15">
        <f>IF('ENCUESTA CONDUCTORES'!CK122="X",1,0)</f>
        <v>0</v>
      </c>
      <c r="CD122" s="15">
        <f>IF('ENCUESTA CONDUCTORES'!CL122="X",1,0)</f>
        <v>1</v>
      </c>
      <c r="CE122" s="15">
        <f>IF('ENCUESTA CONDUCTORES'!CM122="X",1,0)</f>
        <v>1</v>
      </c>
      <c r="CF122" s="15" t="str">
        <f>+'ENCUESTA CONDUCTORES'!CN122</f>
        <v>NO LE INTERESA</v>
      </c>
      <c r="CG122" s="15">
        <f>IF('ENCUESTA CONDUCTORES'!CO122="X",1,0)</f>
        <v>0</v>
      </c>
      <c r="CH122" s="15" t="str">
        <f>+'ENCUESTA CONDUCTORES'!CP122</f>
        <v>NO SABE</v>
      </c>
      <c r="CI122" s="15" t="str">
        <f>+'ENCUESTA CONDUCTORES'!CQ122</f>
        <v>PUBLICIDAD</v>
      </c>
      <c r="CJ122" s="15">
        <f>IF('ENCUESTA CONDUCTORES'!CR122="X",1,0)</f>
        <v>0</v>
      </c>
      <c r="CK122" s="15">
        <f>IF('ENCUESTA CONDUCTORES'!CS122="X",1,0)</f>
        <v>0</v>
      </c>
      <c r="CL122" s="15">
        <f>IF('ENCUESTA CONDUCTORES'!CT122="X",1,0)</f>
        <v>0</v>
      </c>
      <c r="CM122" s="15" t="str">
        <f>+'ENCUESTA CONDUCTORES'!CU122</f>
        <v>MANEJO A LA DEFENSIVA</v>
      </c>
      <c r="CN122" s="15">
        <f>IF('ENCUESTA CONDUCTORES'!CV122="X",1,0)</f>
        <v>0</v>
      </c>
      <c r="CO122" s="15">
        <f>+'ENCUESTA CONDUCTORES'!CW122</f>
        <v>0</v>
      </c>
      <c r="CP122" s="15">
        <f>IF('ENCUESTA CONDUCTORES'!CX122="X",1,0)</f>
        <v>1</v>
      </c>
      <c r="CQ122" s="15">
        <f>IF('ENCUESTA CONDUCTORES'!CY122="X",1,0)</f>
        <v>1</v>
      </c>
      <c r="CR122" s="3">
        <f>+'ENCUESTA CONDUCTORES'!CZ122</f>
        <v>0</v>
      </c>
      <c r="CS122" s="49">
        <f>+'ENCUESTA CONDUCTORES'!DA122</f>
        <v>0</v>
      </c>
    </row>
    <row r="123" spans="2:97" x14ac:dyDescent="0.25">
      <c r="B123" s="14" t="str">
        <f>+'ENCUESTA CONDUCTORES'!D123</f>
        <v>C-129</v>
      </c>
      <c r="C123" s="15">
        <f>IF('ENCUESTA CONDUCTORES'!E123="X",1,0)</f>
        <v>0</v>
      </c>
      <c r="D123" s="15">
        <f>IF('ENCUESTA CONDUCTORES'!F123="X",1,0)</f>
        <v>0</v>
      </c>
      <c r="E123" s="15">
        <f>IF('ENCUESTA CONDUCTORES'!G123="X",1,0)</f>
        <v>0</v>
      </c>
      <c r="F123" s="15">
        <f>IF('ENCUESTA CONDUCTORES'!H123="X",1,0)</f>
        <v>1</v>
      </c>
      <c r="G123" s="15">
        <f>+'ENCUESTA CONDUCTORES'!I123</f>
        <v>40</v>
      </c>
      <c r="H123" s="15" t="str">
        <f>+'ENCUESTA CONDUCTORES'!J123</f>
        <v>M</v>
      </c>
      <c r="I123" s="15" t="str">
        <f>+'ENCUESTA CONDUCTORES'!K123</f>
        <v>PREPARATORIA</v>
      </c>
      <c r="J123" s="15" t="str">
        <f>+'ENCUESTA CONDUCTORES'!L123</f>
        <v>IZTAPALAPA, D.F.</v>
      </c>
      <c r="K123" s="15" t="str">
        <f>+'ENCUESTA CONDUCTORES'!M123</f>
        <v>IZTAPALAPA</v>
      </c>
      <c r="L123" s="15" t="str">
        <f>+'ENCUESTA CONDUCTORES'!N123</f>
        <v>D.F.</v>
      </c>
      <c r="M123" s="15">
        <f>+'ENCUESTA CONDUCTORES'!O123</f>
        <v>10</v>
      </c>
      <c r="N123" s="15">
        <f>IF('ENCUESTA CONDUCTORES'!P123="X",1,0)</f>
        <v>1</v>
      </c>
      <c r="O123" s="15">
        <f>IF('ENCUESTA CONDUCTORES'!Q123="X",1,0)</f>
        <v>0</v>
      </c>
      <c r="P123" s="15">
        <f>IF('ENCUESTA CONDUCTORES'!R123="X",1,0)</f>
        <v>0</v>
      </c>
      <c r="Q123" s="15">
        <f>IF('ENCUESTA CONDUCTORES'!S123="X",1,0)</f>
        <v>0</v>
      </c>
      <c r="R123" s="15">
        <f>IF('ENCUESTA CONDUCTORES'!T123="X",1,0)</f>
        <v>0</v>
      </c>
      <c r="S123" s="15">
        <f>IF('ENCUESTA CONDUCTORES'!U123="X",1,0)</f>
        <v>0</v>
      </c>
      <c r="T123" s="15">
        <f>IF('ENCUESTA CONDUCTORES'!V123="X",1,0)</f>
        <v>0</v>
      </c>
      <c r="U123" s="15">
        <f>IF('ENCUESTA CONDUCTORES'!W123="X",1,0)</f>
        <v>0</v>
      </c>
      <c r="V123" s="15">
        <f>IF('ENCUESTA CONDUCTORES'!X123="X",1,0)</f>
        <v>0</v>
      </c>
      <c r="W123" s="15">
        <f>IF('ENCUESTA CONDUCTORES'!Y123="X",1,0)</f>
        <v>0</v>
      </c>
      <c r="X123" s="15">
        <f>IF('ENCUESTA CONDUCTORES'!Z123="X",1,0)</f>
        <v>0</v>
      </c>
      <c r="Y123" s="15">
        <f>+'ENCUESTA CONDUCTORES'!AG123</f>
        <v>0</v>
      </c>
      <c r="Z123" s="15">
        <f>+'ENCUESTA CONDUCTORES'!AH123</f>
        <v>2010</v>
      </c>
      <c r="AA123" s="1">
        <f>+'ENCUESTA CONDUCTORES'!AI123</f>
        <v>220000</v>
      </c>
      <c r="AB123" s="15">
        <f>IF('ENCUESTA CONDUCTORES'!AJ123="X",1,0)</f>
        <v>1</v>
      </c>
      <c r="AC123" s="15">
        <f>IF('ENCUESTA CONDUCTORES'!AK123="X",1,0)</f>
        <v>0</v>
      </c>
      <c r="AD123" s="15">
        <f>IF('ENCUESTA CONDUCTORES'!AL123="X",1,0)</f>
        <v>0</v>
      </c>
      <c r="AE123" s="15">
        <f>IF('ENCUESTA CONDUCTORES'!AM123="X",1,0)</f>
        <v>0</v>
      </c>
      <c r="AF123" s="15">
        <f>IF('ENCUESTA CONDUCTORES'!AN123="X",1,0)</f>
        <v>0</v>
      </c>
      <c r="AG123" s="15">
        <f>IF('ENCUESTA CONDUCTORES'!AO123="X",1,0)</f>
        <v>0</v>
      </c>
      <c r="AH123" s="15">
        <f>IF('ENCUESTA CONDUCTORES'!AP123="X",1,0)</f>
        <v>1</v>
      </c>
      <c r="AI123" s="15">
        <f>IF('ENCUESTA CONDUCTORES'!AQ123="X",1,0)</f>
        <v>0</v>
      </c>
      <c r="AJ123" s="15">
        <f>IF('ENCUESTA CONDUCTORES'!AR123="X",1,0)</f>
        <v>0</v>
      </c>
      <c r="AK123" s="15">
        <f>+'ENCUESTA CONDUCTORES'!AS123</f>
        <v>0</v>
      </c>
      <c r="AL123" s="15" t="str">
        <f>+'ENCUESTA CONDUCTORES'!AT123</f>
        <v>NISSAN</v>
      </c>
      <c r="AM123" s="1">
        <f>+'ENCUESTA CONDUCTORES'!AU123</f>
        <v>800</v>
      </c>
      <c r="AN123" s="48">
        <f>+'ENCUESTA CONDUCTORES'!AV123</f>
        <v>0.1</v>
      </c>
      <c r="AO123" s="15">
        <f>+'ENCUESTA CONDUCTORES'!AW123</f>
        <v>7.5</v>
      </c>
      <c r="AP123" s="15">
        <f>+'ENCUESTA CONDUCTORES'!AX123</f>
        <v>6</v>
      </c>
      <c r="AQ123" s="15">
        <f>+'ENCUESTA CONDUCTORES'!AY123</f>
        <v>1</v>
      </c>
      <c r="AR123" s="15">
        <f>+'ENCUESTA CONDUCTORES'!AZ123</f>
        <v>60</v>
      </c>
      <c r="AS123" s="15">
        <f>+'ENCUESTA CONDUCTORES'!BA123</f>
        <v>300</v>
      </c>
      <c r="AT123" s="15">
        <f>IF('ENCUESTA CONDUCTORES'!BB123="X",1,0)</f>
        <v>0</v>
      </c>
      <c r="AU123" s="15">
        <f>IF('ENCUESTA CONDUCTORES'!BC123="X",1,0)</f>
        <v>1</v>
      </c>
      <c r="AV123" s="15">
        <f>IF('ENCUESTA CONDUCTORES'!BD123="X",1,0)</f>
        <v>0</v>
      </c>
      <c r="AW123" s="1">
        <f>+'ENCUESTA CONDUCTORES'!BE123</f>
        <v>1000</v>
      </c>
      <c r="AX123" s="1">
        <f>+'ENCUESTA CONDUCTORES'!BF123</f>
        <v>4800</v>
      </c>
      <c r="AY123" s="1">
        <f>+'ENCUESTA CONDUCTORES'!BG123</f>
        <v>1000</v>
      </c>
      <c r="AZ123" s="1" t="str">
        <f>+'ENCUESTA CONDUCTORES'!BH123</f>
        <v>NO SABE</v>
      </c>
      <c r="BA123" s="1" t="str">
        <f>+'ENCUESTA CONDUCTORES'!BI123</f>
        <v>NO APLICA</v>
      </c>
      <c r="BB123" s="15">
        <f>IF('ENCUESTA CONDUCTORES'!BJ123="X",1,0)</f>
        <v>0</v>
      </c>
      <c r="BC123" s="15">
        <f>IF('ENCUESTA CONDUCTORES'!BK123="X",1,0)</f>
        <v>0</v>
      </c>
      <c r="BD123" s="15">
        <f>IF('ENCUESTA CONDUCTORES'!BL123="X",1,0)</f>
        <v>0</v>
      </c>
      <c r="BE123" s="15">
        <f>IF('ENCUESTA CONDUCTORES'!BM123="X",1,0)</f>
        <v>0</v>
      </c>
      <c r="BF123" s="15">
        <f>IF('ENCUESTA CONDUCTORES'!BN123="X",1,0)</f>
        <v>0</v>
      </c>
      <c r="BG123" s="15">
        <f>IF('ENCUESTA CONDUCTORES'!BO123="X",1,0)</f>
        <v>0</v>
      </c>
      <c r="BH123" s="15">
        <f>IF('ENCUESTA CONDUCTORES'!BP123="X",1,0)</f>
        <v>0</v>
      </c>
      <c r="BI123" s="15">
        <f>IF('ENCUESTA CONDUCTORES'!BQ123="X",1,0)</f>
        <v>0</v>
      </c>
      <c r="BJ123" s="15">
        <f>IF('ENCUESTA CONDUCTORES'!BR123="X",1,0)</f>
        <v>1</v>
      </c>
      <c r="BK123" s="15">
        <f>+'ENCUESTA CONDUCTORES'!BS123</f>
        <v>0</v>
      </c>
      <c r="BL123" s="15">
        <f>IF('ENCUESTA CONDUCTORES'!BT123="X",1,0)</f>
        <v>0</v>
      </c>
      <c r="BM123" s="15">
        <f>IF('ENCUESTA CONDUCTORES'!BU123="X",1,0)</f>
        <v>0</v>
      </c>
      <c r="BN123" s="15">
        <f>IF('ENCUESTA CONDUCTORES'!BV123="X",1,0)</f>
        <v>1</v>
      </c>
      <c r="BO123" s="15">
        <f>IF('ENCUESTA CONDUCTORES'!BW123="X",1,0)</f>
        <v>0</v>
      </c>
      <c r="BP123" s="15">
        <f>+'ENCUESTA CONDUCTORES'!BX123</f>
        <v>3</v>
      </c>
      <c r="BQ123" s="15">
        <f>+'ENCUESTA CONDUCTORES'!BY123</f>
        <v>4</v>
      </c>
      <c r="BR123" s="15">
        <f>+'ENCUESTA CONDUCTORES'!BZ123</f>
        <v>2</v>
      </c>
      <c r="BS123" s="15" t="str">
        <f>+'ENCUESTA CONDUCTORES'!CA123</f>
        <v>SEGURIDAD</v>
      </c>
      <c r="BT123" s="15">
        <f>IF('ENCUESTA CONDUCTORES'!CB123="X",1,0)</f>
        <v>1</v>
      </c>
      <c r="BU123" s="15">
        <f>IF('ENCUESTA CONDUCTORES'!CC123="X",1,0)</f>
        <v>0</v>
      </c>
      <c r="BV123" s="15">
        <f>IF('ENCUESTA CONDUCTORES'!CD123="X",1,0)</f>
        <v>0</v>
      </c>
      <c r="BW123" s="15">
        <f>IF('ENCUESTA CONDUCTORES'!CE123="X",1,0)</f>
        <v>0</v>
      </c>
      <c r="BX123" s="15">
        <f>IF('ENCUESTA CONDUCTORES'!CF123="X",1,0)</f>
        <v>0</v>
      </c>
      <c r="BY123" s="15">
        <f>IF('ENCUESTA CONDUCTORES'!CG123="X",1,0)</f>
        <v>0</v>
      </c>
      <c r="BZ123" s="15">
        <f>IF('ENCUESTA CONDUCTORES'!CH123="X",1,0)</f>
        <v>0</v>
      </c>
      <c r="CA123" s="15">
        <f>IF('ENCUESTA CONDUCTORES'!CI123="X",1,0)</f>
        <v>0</v>
      </c>
      <c r="CB123" s="15">
        <f>IF('ENCUESTA CONDUCTORES'!CJ123="X",1,0)</f>
        <v>0</v>
      </c>
      <c r="CC123" s="15">
        <f>IF('ENCUESTA CONDUCTORES'!CK123="X",1,0)</f>
        <v>1</v>
      </c>
      <c r="CD123" s="15">
        <f>IF('ENCUESTA CONDUCTORES'!CL123="X",1,0)</f>
        <v>0</v>
      </c>
      <c r="CE123" s="15">
        <f>IF('ENCUESTA CONDUCTORES'!CM123="X",1,0)</f>
        <v>0</v>
      </c>
      <c r="CF123" s="15">
        <f>+'ENCUESTA CONDUCTORES'!CN123</f>
        <v>0</v>
      </c>
      <c r="CG123" s="15">
        <f>IF('ENCUESTA CONDUCTORES'!CO123="X",1,0)</f>
        <v>0</v>
      </c>
      <c r="CH123" s="15" t="str">
        <f>+'ENCUESTA CONDUCTORES'!CP123</f>
        <v>NO SABE</v>
      </c>
      <c r="CI123" s="15" t="str">
        <f>+'ENCUESTA CONDUCTORES'!CQ123</f>
        <v>PUBLICIDAD</v>
      </c>
      <c r="CJ123" s="15">
        <f>IF('ENCUESTA CONDUCTORES'!CR123="X",1,0)</f>
        <v>0</v>
      </c>
      <c r="CK123" s="15">
        <f>IF('ENCUESTA CONDUCTORES'!CS123="X",1,0)</f>
        <v>0</v>
      </c>
      <c r="CL123" s="15">
        <f>IF('ENCUESTA CONDUCTORES'!CT123="X",1,0)</f>
        <v>0</v>
      </c>
      <c r="CM123" s="15" t="str">
        <f>+'ENCUESTA CONDUCTORES'!CU123</f>
        <v>DESCARGA DE PRODUCTOS PELIGROSOS</v>
      </c>
      <c r="CN123" s="15">
        <f>IF('ENCUESTA CONDUCTORES'!CV123="X",1,0)</f>
        <v>0</v>
      </c>
      <c r="CO123" s="15">
        <f>+'ENCUESTA CONDUCTORES'!CW123</f>
        <v>0</v>
      </c>
      <c r="CP123" s="15">
        <f>IF('ENCUESTA CONDUCTORES'!CX123="X",1,0)</f>
        <v>1</v>
      </c>
      <c r="CQ123" s="15">
        <f>IF('ENCUESTA CONDUCTORES'!CY123="X",1,0)</f>
        <v>0</v>
      </c>
      <c r="CR123" s="3">
        <f>+'ENCUESTA CONDUCTORES'!CZ123</f>
        <v>0</v>
      </c>
      <c r="CS123" s="49">
        <f>+'ENCUESTA CONDUCTORES'!DA123</f>
        <v>0</v>
      </c>
    </row>
    <row r="124" spans="2:97" x14ac:dyDescent="0.25">
      <c r="B124" s="14" t="str">
        <f>+'ENCUESTA CONDUCTORES'!D124</f>
        <v>C-130</v>
      </c>
      <c r="C124" s="15">
        <f>IF('ENCUESTA CONDUCTORES'!E124="X",1,0)</f>
        <v>0</v>
      </c>
      <c r="D124" s="15">
        <f>IF('ENCUESTA CONDUCTORES'!F124="X",1,0)</f>
        <v>1</v>
      </c>
      <c r="E124" s="15">
        <f>IF('ENCUESTA CONDUCTORES'!G124="X",1,0)</f>
        <v>0</v>
      </c>
      <c r="F124" s="15">
        <f>IF('ENCUESTA CONDUCTORES'!H124="X",1,0)</f>
        <v>0</v>
      </c>
      <c r="G124" s="15">
        <f>+'ENCUESTA CONDUCTORES'!I124</f>
        <v>48</v>
      </c>
      <c r="H124" s="15" t="str">
        <f>+'ENCUESTA CONDUCTORES'!J124</f>
        <v>M</v>
      </c>
      <c r="I124" s="15" t="str">
        <f>+'ENCUESTA CONDUCTORES'!K124</f>
        <v>LICENCIATURA</v>
      </c>
      <c r="J124" s="15" t="str">
        <f>+'ENCUESTA CONDUCTORES'!L124</f>
        <v>MAGDALENA CONTRERAS, D.F.</v>
      </c>
      <c r="K124" s="15" t="str">
        <f>+'ENCUESTA CONDUCTORES'!M124</f>
        <v>MAGDALENA CONTRERAS</v>
      </c>
      <c r="L124" s="15" t="str">
        <f>+'ENCUESTA CONDUCTORES'!N124</f>
        <v>D.F.</v>
      </c>
      <c r="M124" s="15">
        <f>+'ENCUESTA CONDUCTORES'!O124</f>
        <v>21</v>
      </c>
      <c r="N124" s="15">
        <f>IF('ENCUESTA CONDUCTORES'!P124="X",1,0)</f>
        <v>1</v>
      </c>
      <c r="O124" s="15">
        <f>IF('ENCUESTA CONDUCTORES'!Q124="X",1,0)</f>
        <v>0</v>
      </c>
      <c r="P124" s="15">
        <f>IF('ENCUESTA CONDUCTORES'!R124="X",1,0)</f>
        <v>0</v>
      </c>
      <c r="Q124" s="15">
        <f>IF('ENCUESTA CONDUCTORES'!S124="X",1,0)</f>
        <v>0</v>
      </c>
      <c r="R124" s="15">
        <f>IF('ENCUESTA CONDUCTORES'!T124="X",1,0)</f>
        <v>0</v>
      </c>
      <c r="S124" s="15">
        <f>IF('ENCUESTA CONDUCTORES'!U124="X",1,0)</f>
        <v>1</v>
      </c>
      <c r="T124" s="15">
        <f>IF('ENCUESTA CONDUCTORES'!V124="X",1,0)</f>
        <v>0</v>
      </c>
      <c r="U124" s="15">
        <f>IF('ENCUESTA CONDUCTORES'!W124="X",1,0)</f>
        <v>0</v>
      </c>
      <c r="V124" s="15">
        <f>IF('ENCUESTA CONDUCTORES'!X124="X",1,0)</f>
        <v>0</v>
      </c>
      <c r="W124" s="15">
        <f>IF('ENCUESTA CONDUCTORES'!Y124="X",1,0)</f>
        <v>0</v>
      </c>
      <c r="X124" s="15">
        <f>IF('ENCUESTA CONDUCTORES'!Z124="X",1,0)</f>
        <v>0</v>
      </c>
      <c r="Y124" s="15">
        <f>+'ENCUESTA CONDUCTORES'!AG124</f>
        <v>0</v>
      </c>
      <c r="Z124" s="15">
        <f>+'ENCUESTA CONDUCTORES'!AH124</f>
        <v>2006</v>
      </c>
      <c r="AA124" s="1">
        <f>+'ENCUESTA CONDUCTORES'!AI124</f>
        <v>600000</v>
      </c>
      <c r="AB124" s="15">
        <f>IF('ENCUESTA CONDUCTORES'!AJ124="X",1,0)</f>
        <v>0</v>
      </c>
      <c r="AC124" s="15">
        <f>IF('ENCUESTA CONDUCTORES'!AK124="X",1,0)</f>
        <v>0</v>
      </c>
      <c r="AD124" s="15">
        <f>IF('ENCUESTA CONDUCTORES'!AL124="X",1,0)</f>
        <v>1</v>
      </c>
      <c r="AE124" s="15">
        <f>IF('ENCUESTA CONDUCTORES'!AM124="X",1,0)</f>
        <v>0</v>
      </c>
      <c r="AF124" s="15">
        <f>IF('ENCUESTA CONDUCTORES'!AN124="X",1,0)</f>
        <v>0</v>
      </c>
      <c r="AG124" s="15">
        <f>IF('ENCUESTA CONDUCTORES'!AO124="X",1,0)</f>
        <v>1</v>
      </c>
      <c r="AH124" s="15">
        <f>IF('ENCUESTA CONDUCTORES'!AP124="X",1,0)</f>
        <v>0</v>
      </c>
      <c r="AI124" s="15">
        <f>IF('ENCUESTA CONDUCTORES'!AQ124="X",1,0)</f>
        <v>0</v>
      </c>
      <c r="AJ124" s="15">
        <f>IF('ENCUESTA CONDUCTORES'!AR124="X",1,0)</f>
        <v>0</v>
      </c>
      <c r="AK124" s="15">
        <f>+'ENCUESTA CONDUCTORES'!AS124</f>
        <v>0</v>
      </c>
      <c r="AL124" s="15" t="str">
        <f>+'ENCUESTA CONDUCTORES'!AT124</f>
        <v>NO SABE</v>
      </c>
      <c r="AM124" s="1">
        <f>+'ENCUESTA CONDUCTORES'!AU124</f>
        <v>6666.666666666667</v>
      </c>
      <c r="AN124" s="48">
        <f>+'ENCUESTA CONDUCTORES'!AV124</f>
        <v>0.5</v>
      </c>
      <c r="AO124" s="15">
        <f>+'ENCUESTA CONDUCTORES'!AW124</f>
        <v>3</v>
      </c>
      <c r="AP124" s="15">
        <f>+'ENCUESTA CONDUCTORES'!AX124</f>
        <v>2.2000000000000002</v>
      </c>
      <c r="AQ124" s="15">
        <f>+'ENCUESTA CONDUCTORES'!AY124</f>
        <v>1</v>
      </c>
      <c r="AR124" s="15">
        <f>+'ENCUESTA CONDUCTORES'!AZ124</f>
        <v>400</v>
      </c>
      <c r="AS124" s="15">
        <f>+'ENCUESTA CONDUCTORES'!BA124</f>
        <v>900</v>
      </c>
      <c r="AT124" s="15">
        <f>IF('ENCUESTA CONDUCTORES'!BB124="X",1,0)</f>
        <v>0</v>
      </c>
      <c r="AU124" s="15">
        <f>IF('ENCUESTA CONDUCTORES'!BC124="X",1,0)</f>
        <v>1</v>
      </c>
      <c r="AV124" s="15">
        <f>IF('ENCUESTA CONDUCTORES'!BD124="X",1,0)</f>
        <v>0</v>
      </c>
      <c r="AW124" s="1">
        <f>+'ENCUESTA CONDUCTORES'!BE124</f>
        <v>3000</v>
      </c>
      <c r="AX124" s="1">
        <f>+'ENCUESTA CONDUCTORES'!BF124</f>
        <v>3000</v>
      </c>
      <c r="AY124" s="1">
        <f>+'ENCUESTA CONDUCTORES'!BG124</f>
        <v>3000</v>
      </c>
      <c r="AZ124" s="1">
        <f>+'ENCUESTA CONDUCTORES'!BH124</f>
        <v>75000</v>
      </c>
      <c r="BA124" s="1">
        <f>+'ENCUESTA CONDUCTORES'!BI124</f>
        <v>3000</v>
      </c>
      <c r="BB124" s="15">
        <f>IF('ENCUESTA CONDUCTORES'!BJ124="X",1,0)</f>
        <v>0</v>
      </c>
      <c r="BC124" s="15">
        <f>IF('ENCUESTA CONDUCTORES'!BK124="X",1,0)</f>
        <v>0</v>
      </c>
      <c r="BD124" s="15">
        <f>IF('ENCUESTA CONDUCTORES'!BL124="X",1,0)</f>
        <v>0</v>
      </c>
      <c r="BE124" s="15">
        <f>IF('ENCUESTA CONDUCTORES'!BM124="X",1,0)</f>
        <v>0</v>
      </c>
      <c r="BF124" s="15">
        <f>IF('ENCUESTA CONDUCTORES'!BN124="X",1,0)</f>
        <v>0</v>
      </c>
      <c r="BG124" s="15">
        <f>IF('ENCUESTA CONDUCTORES'!BO124="X",1,0)</f>
        <v>0</v>
      </c>
      <c r="BH124" s="15">
        <f>IF('ENCUESTA CONDUCTORES'!BP124="X",1,0)</f>
        <v>0</v>
      </c>
      <c r="BI124" s="15">
        <f>IF('ENCUESTA CONDUCTORES'!BQ124="X",1,0)</f>
        <v>0</v>
      </c>
      <c r="BJ124" s="15">
        <f>IF('ENCUESTA CONDUCTORES'!BR124="X",1,0)</f>
        <v>0</v>
      </c>
      <c r="BK124" s="15" t="str">
        <f>+'ENCUESTA CONDUCTORES'!BS124</f>
        <v>GENERAL</v>
      </c>
      <c r="BL124" s="15">
        <f>IF('ENCUESTA CONDUCTORES'!BT124="X",1,0)</f>
        <v>0</v>
      </c>
      <c r="BM124" s="15">
        <f>IF('ENCUESTA CONDUCTORES'!BU124="X",1,0)</f>
        <v>0</v>
      </c>
      <c r="BN124" s="15">
        <f>IF('ENCUESTA CONDUCTORES'!BV124="X",1,0)</f>
        <v>1</v>
      </c>
      <c r="BO124" s="15">
        <f>IF('ENCUESTA CONDUCTORES'!BW124="X",1,0)</f>
        <v>0</v>
      </c>
      <c r="BP124" s="15">
        <f>+'ENCUESTA CONDUCTORES'!BX124</f>
        <v>1</v>
      </c>
      <c r="BQ124" s="15">
        <f>+'ENCUESTA CONDUCTORES'!BY124</f>
        <v>3</v>
      </c>
      <c r="BR124" s="15">
        <f>+'ENCUESTA CONDUCTORES'!BZ124</f>
        <v>2</v>
      </c>
      <c r="BS124" s="15">
        <f>+'ENCUESTA CONDUCTORES'!CA124</f>
        <v>0</v>
      </c>
      <c r="BT124" s="15">
        <f>IF('ENCUESTA CONDUCTORES'!CB124="X",1,0)</f>
        <v>0</v>
      </c>
      <c r="BU124" s="15">
        <f>IF('ENCUESTA CONDUCTORES'!CC124="X",1,0)</f>
        <v>1</v>
      </c>
      <c r="BV124" s="15">
        <f>IF('ENCUESTA CONDUCTORES'!CD124="X",1,0)</f>
        <v>0</v>
      </c>
      <c r="BW124" s="15">
        <f>IF('ENCUESTA CONDUCTORES'!CE124="X",1,0)</f>
        <v>0</v>
      </c>
      <c r="BX124" s="15">
        <f>IF('ENCUESTA CONDUCTORES'!CF124="X",1,0)</f>
        <v>0</v>
      </c>
      <c r="BY124" s="15">
        <f>IF('ENCUESTA CONDUCTORES'!CG124="X",1,0)</f>
        <v>0</v>
      </c>
      <c r="BZ124" s="15">
        <f>IF('ENCUESTA CONDUCTORES'!CH124="X",1,0)</f>
        <v>0</v>
      </c>
      <c r="CA124" s="15">
        <f>IF('ENCUESTA CONDUCTORES'!CI124="X",1,0)</f>
        <v>1</v>
      </c>
      <c r="CB124" s="15">
        <f>IF('ENCUESTA CONDUCTORES'!CJ124="X",1,0)</f>
        <v>0</v>
      </c>
      <c r="CC124" s="15">
        <f>IF('ENCUESTA CONDUCTORES'!CK124="X",1,0)</f>
        <v>1</v>
      </c>
      <c r="CD124" s="15">
        <f>IF('ENCUESTA CONDUCTORES'!CL124="X",1,0)</f>
        <v>0</v>
      </c>
      <c r="CE124" s="15">
        <f>IF('ENCUESTA CONDUCTORES'!CM124="X",1,0)</f>
        <v>0</v>
      </c>
      <c r="CF124" s="15">
        <f>+'ENCUESTA CONDUCTORES'!CN124</f>
        <v>0</v>
      </c>
      <c r="CG124" s="15">
        <f>IF('ENCUESTA CONDUCTORES'!CO124="X",1,0)</f>
        <v>0</v>
      </c>
      <c r="CH124" s="15" t="str">
        <f>+'ENCUESTA CONDUCTORES'!CP124</f>
        <v>NO SABE</v>
      </c>
      <c r="CI124" s="15" t="str">
        <f>+'ENCUESTA CONDUCTORES'!CQ124</f>
        <v>NO SABE</v>
      </c>
      <c r="CJ124" s="15">
        <f>IF('ENCUESTA CONDUCTORES'!CR124="X",1,0)</f>
        <v>1</v>
      </c>
      <c r="CK124" s="15">
        <f>IF('ENCUESTA CONDUCTORES'!CS124="X",1,0)</f>
        <v>0</v>
      </c>
      <c r="CL124" s="15">
        <f>IF('ENCUESTA CONDUCTORES'!CT124="X",1,0)</f>
        <v>0</v>
      </c>
      <c r="CM124" s="15">
        <f>+'ENCUESTA CONDUCTORES'!CU124</f>
        <v>0</v>
      </c>
      <c r="CN124" s="15">
        <f>IF('ENCUESTA CONDUCTORES'!CV124="X",1,0)</f>
        <v>0</v>
      </c>
      <c r="CO124" s="15">
        <f>+'ENCUESTA CONDUCTORES'!CW124</f>
        <v>0</v>
      </c>
      <c r="CP124" s="15">
        <f>IF('ENCUESTA CONDUCTORES'!CX124="X",1,0)</f>
        <v>0</v>
      </c>
      <c r="CQ124" s="15">
        <f>IF('ENCUESTA CONDUCTORES'!CY124="X",1,0)</f>
        <v>1</v>
      </c>
      <c r="CR124" s="3">
        <f>+'ENCUESTA CONDUCTORES'!CZ124</f>
        <v>0</v>
      </c>
      <c r="CS124" s="49">
        <f>+'ENCUESTA CONDUCTORES'!DA124</f>
        <v>0</v>
      </c>
    </row>
    <row r="125" spans="2:97" x14ac:dyDescent="0.25">
      <c r="B125" s="14" t="str">
        <f>+'ENCUESTA CONDUCTORES'!D125</f>
        <v>C-131</v>
      </c>
      <c r="C125" s="15">
        <f>IF('ENCUESTA CONDUCTORES'!E125="X",1,0)</f>
        <v>0</v>
      </c>
      <c r="D125" s="15">
        <f>IF('ENCUESTA CONDUCTORES'!F125="X",1,0)</f>
        <v>0</v>
      </c>
      <c r="E125" s="15">
        <f>IF('ENCUESTA CONDUCTORES'!G125="X",1,0)</f>
        <v>1</v>
      </c>
      <c r="F125" s="15">
        <f>IF('ENCUESTA CONDUCTORES'!H125="X",1,0)</f>
        <v>0</v>
      </c>
      <c r="G125" s="15">
        <f>+'ENCUESTA CONDUCTORES'!I125</f>
        <v>38</v>
      </c>
      <c r="H125" s="15" t="str">
        <f>+'ENCUESTA CONDUCTORES'!J125</f>
        <v>M</v>
      </c>
      <c r="I125" s="15" t="str">
        <f>+'ENCUESTA CONDUCTORES'!K125</f>
        <v>SECUNDARIA</v>
      </c>
      <c r="J125" s="15" t="str">
        <f>+'ENCUESTA CONDUCTORES'!L125</f>
        <v>CHALCO, EDO. MEX.</v>
      </c>
      <c r="K125" s="15" t="str">
        <f>+'ENCUESTA CONDUCTORES'!M125</f>
        <v>CHALCO</v>
      </c>
      <c r="L125" s="15" t="str">
        <f>+'ENCUESTA CONDUCTORES'!N125</f>
        <v>EDO. MEX.</v>
      </c>
      <c r="M125" s="15">
        <f>+'ENCUESTA CONDUCTORES'!O125</f>
        <v>13</v>
      </c>
      <c r="N125" s="15">
        <f>IF('ENCUESTA CONDUCTORES'!P125="X",1,0)</f>
        <v>1</v>
      </c>
      <c r="O125" s="15">
        <f>IF('ENCUESTA CONDUCTORES'!Q125="X",1,0)</f>
        <v>0</v>
      </c>
      <c r="P125" s="15">
        <f>IF('ENCUESTA CONDUCTORES'!R125="X",1,0)</f>
        <v>0</v>
      </c>
      <c r="Q125" s="15">
        <f>IF('ENCUESTA CONDUCTORES'!S125="X",1,0)</f>
        <v>0</v>
      </c>
      <c r="R125" s="15">
        <f>IF('ENCUESTA CONDUCTORES'!T125="X",1,0)</f>
        <v>0</v>
      </c>
      <c r="S125" s="15">
        <f>IF('ENCUESTA CONDUCTORES'!U125="X",1,0)</f>
        <v>0</v>
      </c>
      <c r="T125" s="15">
        <f>IF('ENCUESTA CONDUCTORES'!V125="X",1,0)</f>
        <v>0</v>
      </c>
      <c r="U125" s="15">
        <f>IF('ENCUESTA CONDUCTORES'!W125="X",1,0)</f>
        <v>0</v>
      </c>
      <c r="V125" s="15">
        <f>IF('ENCUESTA CONDUCTORES'!X125="X",1,0)</f>
        <v>0</v>
      </c>
      <c r="W125" s="15">
        <f>IF('ENCUESTA CONDUCTORES'!Y125="X",1,0)</f>
        <v>1</v>
      </c>
      <c r="X125" s="15">
        <f>IF('ENCUESTA CONDUCTORES'!Z125="X",1,0)</f>
        <v>0</v>
      </c>
      <c r="Y125" s="15">
        <f>+'ENCUESTA CONDUCTORES'!AG125</f>
        <v>0</v>
      </c>
      <c r="Z125" s="15">
        <f>+'ENCUESTA CONDUCTORES'!AH125</f>
        <v>2001</v>
      </c>
      <c r="AA125" s="1">
        <f>+'ENCUESTA CONDUCTORES'!AI125</f>
        <v>500000</v>
      </c>
      <c r="AB125" s="15">
        <f>IF('ENCUESTA CONDUCTORES'!AJ125="X",1,0)</f>
        <v>0</v>
      </c>
      <c r="AC125" s="15">
        <f>IF('ENCUESTA CONDUCTORES'!AK125="X",1,0)</f>
        <v>0</v>
      </c>
      <c r="AD125" s="15">
        <f>IF('ENCUESTA CONDUCTORES'!AL125="X",1,0)</f>
        <v>1</v>
      </c>
      <c r="AE125" s="15">
        <f>IF('ENCUESTA CONDUCTORES'!AM125="X",1,0)</f>
        <v>0</v>
      </c>
      <c r="AF125" s="15">
        <f>IF('ENCUESTA CONDUCTORES'!AN125="X",1,0)</f>
        <v>0</v>
      </c>
      <c r="AG125" s="15">
        <f>IF('ENCUESTA CONDUCTORES'!AO125="X",1,0)</f>
        <v>1</v>
      </c>
      <c r="AH125" s="15">
        <f>IF('ENCUESTA CONDUCTORES'!AP125="X",1,0)</f>
        <v>0</v>
      </c>
      <c r="AI125" s="15">
        <f>IF('ENCUESTA CONDUCTORES'!AQ125="X",1,0)</f>
        <v>0</v>
      </c>
      <c r="AJ125" s="15">
        <f>IF('ENCUESTA CONDUCTORES'!AR125="X",1,0)</f>
        <v>0</v>
      </c>
      <c r="AK125" s="15">
        <f>+'ENCUESTA CONDUCTORES'!AS125</f>
        <v>0</v>
      </c>
      <c r="AL125" s="15" t="str">
        <f>+'ENCUESTA CONDUCTORES'!AT125</f>
        <v>CUMMINS</v>
      </c>
      <c r="AM125" s="1">
        <f>+'ENCUESTA CONDUCTORES'!AU125</f>
        <v>6000</v>
      </c>
      <c r="AN125" s="48">
        <f>+'ENCUESTA CONDUCTORES'!AV125</f>
        <v>0.5</v>
      </c>
      <c r="AO125" s="15">
        <f>+'ENCUESTA CONDUCTORES'!AW125</f>
        <v>2.2999999999999998</v>
      </c>
      <c r="AP125" s="15">
        <f>+'ENCUESTA CONDUCTORES'!AX125</f>
        <v>1.7</v>
      </c>
      <c r="AQ125" s="15">
        <f>+'ENCUESTA CONDUCTORES'!AY125</f>
        <v>3</v>
      </c>
      <c r="AR125" s="15">
        <f>+'ENCUESTA CONDUCTORES'!AZ125</f>
        <v>1350</v>
      </c>
      <c r="AS125" s="15">
        <f>+'ENCUESTA CONDUCTORES'!BA125</f>
        <v>2700</v>
      </c>
      <c r="AT125" s="15">
        <f>IF('ENCUESTA CONDUCTORES'!BB125="X",1,0)</f>
        <v>1</v>
      </c>
      <c r="AU125" s="15">
        <f>IF('ENCUESTA CONDUCTORES'!BC125="X",1,0)</f>
        <v>1</v>
      </c>
      <c r="AV125" s="15">
        <f>IF('ENCUESTA CONDUCTORES'!BD125="X",1,0)</f>
        <v>1</v>
      </c>
      <c r="AW125" s="1">
        <f>+'ENCUESTA CONDUCTORES'!BE125</f>
        <v>20000</v>
      </c>
      <c r="AX125" s="1" t="str">
        <f>+'ENCUESTA CONDUCTORES'!BF125</f>
        <v>NO SABE</v>
      </c>
      <c r="AY125" s="1">
        <f>+'ENCUESTA CONDUCTORES'!BG125</f>
        <v>20000</v>
      </c>
      <c r="AZ125" s="1" t="str">
        <f>+'ENCUESTA CONDUCTORES'!BH125</f>
        <v>NO SABE</v>
      </c>
      <c r="BA125" s="1">
        <f>+'ENCUESTA CONDUCTORES'!BI125</f>
        <v>20000</v>
      </c>
      <c r="BB125" s="15">
        <f>IF('ENCUESTA CONDUCTORES'!BJ125="X",1,0)</f>
        <v>0</v>
      </c>
      <c r="BC125" s="15">
        <f>IF('ENCUESTA CONDUCTORES'!BK125="X",1,0)</f>
        <v>0</v>
      </c>
      <c r="BD125" s="15">
        <f>IF('ENCUESTA CONDUCTORES'!BL125="X",1,0)</f>
        <v>0</v>
      </c>
      <c r="BE125" s="15">
        <f>IF('ENCUESTA CONDUCTORES'!BM125="X",1,0)</f>
        <v>0</v>
      </c>
      <c r="BF125" s="15">
        <f>IF('ENCUESTA CONDUCTORES'!BN125="X",1,0)</f>
        <v>0</v>
      </c>
      <c r="BG125" s="15">
        <f>IF('ENCUESTA CONDUCTORES'!BO125="X",1,0)</f>
        <v>0</v>
      </c>
      <c r="BH125" s="15">
        <f>IF('ENCUESTA CONDUCTORES'!BP125="X",1,0)</f>
        <v>0</v>
      </c>
      <c r="BI125" s="15">
        <f>IF('ENCUESTA CONDUCTORES'!BQ125="X",1,0)</f>
        <v>0</v>
      </c>
      <c r="BJ125" s="15">
        <f>IF('ENCUESTA CONDUCTORES'!BR125="X",1,0)</f>
        <v>1</v>
      </c>
      <c r="BK125" s="15">
        <f>+'ENCUESTA CONDUCTORES'!BS125</f>
        <v>0</v>
      </c>
      <c r="BL125" s="15">
        <f>IF('ENCUESTA CONDUCTORES'!BT125="X",1,0)</f>
        <v>0</v>
      </c>
      <c r="BM125" s="15">
        <f>IF('ENCUESTA CONDUCTORES'!BU125="X",1,0)</f>
        <v>1</v>
      </c>
      <c r="BN125" s="15">
        <f>IF('ENCUESTA CONDUCTORES'!BV125="X",1,0)</f>
        <v>0</v>
      </c>
      <c r="BO125" s="15">
        <f>IF('ENCUESTA CONDUCTORES'!BW125="X",1,0)</f>
        <v>0</v>
      </c>
      <c r="BP125" s="15">
        <f>+'ENCUESTA CONDUCTORES'!BX125</f>
        <v>1</v>
      </c>
      <c r="BQ125" s="15">
        <f>+'ENCUESTA CONDUCTORES'!BY125</f>
        <v>3</v>
      </c>
      <c r="BR125" s="15">
        <f>+'ENCUESTA CONDUCTORES'!BZ125</f>
        <v>2</v>
      </c>
      <c r="BS125" s="15">
        <f>+'ENCUESTA CONDUCTORES'!CA125</f>
        <v>0</v>
      </c>
      <c r="BT125" s="15">
        <f>IF('ENCUESTA CONDUCTORES'!CB125="X",1,0)</f>
        <v>0</v>
      </c>
      <c r="BU125" s="15">
        <f>IF('ENCUESTA CONDUCTORES'!CC125="X",1,0)</f>
        <v>1</v>
      </c>
      <c r="BV125" s="15">
        <f>IF('ENCUESTA CONDUCTORES'!CD125="X",1,0)</f>
        <v>0</v>
      </c>
      <c r="BW125" s="15">
        <f>IF('ENCUESTA CONDUCTORES'!CE125="X",1,0)</f>
        <v>0</v>
      </c>
      <c r="BX125" s="15">
        <f>IF('ENCUESTA CONDUCTORES'!CF125="X",1,0)</f>
        <v>0</v>
      </c>
      <c r="BY125" s="15">
        <f>IF('ENCUESTA CONDUCTORES'!CG125="X",1,0)</f>
        <v>1</v>
      </c>
      <c r="BZ125" s="15">
        <f>IF('ENCUESTA CONDUCTORES'!CH125="X",1,0)</f>
        <v>1</v>
      </c>
      <c r="CA125" s="15">
        <f>IF('ENCUESTA CONDUCTORES'!CI125="X",1,0)</f>
        <v>1</v>
      </c>
      <c r="CB125" s="15">
        <f>IF('ENCUESTA CONDUCTORES'!CJ125="X",1,0)</f>
        <v>0</v>
      </c>
      <c r="CC125" s="15">
        <f>IF('ENCUESTA CONDUCTORES'!CK125="X",1,0)</f>
        <v>1</v>
      </c>
      <c r="CD125" s="15">
        <f>IF('ENCUESTA CONDUCTORES'!CL125="X",1,0)</f>
        <v>0</v>
      </c>
      <c r="CE125" s="15">
        <f>IF('ENCUESTA CONDUCTORES'!CM125="X",1,0)</f>
        <v>0</v>
      </c>
      <c r="CF125" s="15">
        <f>+'ENCUESTA CONDUCTORES'!CN125</f>
        <v>0</v>
      </c>
      <c r="CG125" s="15">
        <f>IF('ENCUESTA CONDUCTORES'!CO125="X",1,0)</f>
        <v>0</v>
      </c>
      <c r="CH125" s="15" t="str">
        <f>+'ENCUESTA CONDUCTORES'!CP125</f>
        <v>NO SABE</v>
      </c>
      <c r="CI125" s="15" t="str">
        <f>+'ENCUESTA CONDUCTORES'!CQ125</f>
        <v>NO SABE</v>
      </c>
      <c r="CJ125" s="15">
        <f>IF('ENCUESTA CONDUCTORES'!CR125="X",1,0)</f>
        <v>0</v>
      </c>
      <c r="CK125" s="15">
        <f>IF('ENCUESTA CONDUCTORES'!CS125="X",1,0)</f>
        <v>0</v>
      </c>
      <c r="CL125" s="15">
        <f>IF('ENCUESTA CONDUCTORES'!CT125="X",1,0)</f>
        <v>0</v>
      </c>
      <c r="CM125" s="15" t="str">
        <f>+'ENCUESTA CONDUCTORES'!CU125</f>
        <v>MANEJO A LA DEFENSIVA</v>
      </c>
      <c r="CN125" s="15">
        <f>IF('ENCUESTA CONDUCTORES'!CV125="X",1,0)</f>
        <v>0</v>
      </c>
      <c r="CO125" s="15">
        <f>+'ENCUESTA CONDUCTORES'!CW125</f>
        <v>0</v>
      </c>
      <c r="CP125" s="15">
        <f>IF('ENCUESTA CONDUCTORES'!CX125="X",1,0)</f>
        <v>1</v>
      </c>
      <c r="CQ125" s="15">
        <f>IF('ENCUESTA CONDUCTORES'!CY125="X",1,0)</f>
        <v>1</v>
      </c>
      <c r="CR125" s="3">
        <f>+'ENCUESTA CONDUCTORES'!CZ125</f>
        <v>0</v>
      </c>
      <c r="CS125" s="49">
        <f>+'ENCUESTA CONDUCTORES'!DA125</f>
        <v>0</v>
      </c>
    </row>
    <row r="126" spans="2:97" x14ac:dyDescent="0.25">
      <c r="B126" s="14" t="str">
        <f>+'ENCUESTA CONDUCTORES'!D126</f>
        <v>C-132</v>
      </c>
      <c r="C126" s="15">
        <f>IF('ENCUESTA CONDUCTORES'!E126="X",1,0)</f>
        <v>0</v>
      </c>
      <c r="D126" s="15">
        <f>IF('ENCUESTA CONDUCTORES'!F126="X",1,0)</f>
        <v>1</v>
      </c>
      <c r="E126" s="15">
        <f>IF('ENCUESTA CONDUCTORES'!G126="X",1,0)</f>
        <v>0</v>
      </c>
      <c r="F126" s="15">
        <f>IF('ENCUESTA CONDUCTORES'!H126="X",1,0)</f>
        <v>0</v>
      </c>
      <c r="G126" s="15">
        <f>+'ENCUESTA CONDUCTORES'!I126</f>
        <v>37</v>
      </c>
      <c r="H126" s="15" t="str">
        <f>+'ENCUESTA CONDUCTORES'!J126</f>
        <v>M</v>
      </c>
      <c r="I126" s="15" t="str">
        <f>+'ENCUESTA CONDUCTORES'!K126</f>
        <v>PRIMARIA</v>
      </c>
      <c r="J126" s="15" t="str">
        <f>+'ENCUESTA CONDUCTORES'!L126</f>
        <v>LOS REYES LA PAZ, EDO. DE MEX.</v>
      </c>
      <c r="K126" s="15" t="str">
        <f>+'ENCUESTA CONDUCTORES'!M126</f>
        <v>LOS REYES LA PAZ</v>
      </c>
      <c r="L126" s="15" t="str">
        <f>+'ENCUESTA CONDUCTORES'!N126</f>
        <v>EDO. MEX.</v>
      </c>
      <c r="M126" s="15">
        <f>+'ENCUESTA CONDUCTORES'!O126</f>
        <v>14</v>
      </c>
      <c r="N126" s="15">
        <f>IF('ENCUESTA CONDUCTORES'!P126="X",1,0)</f>
        <v>1</v>
      </c>
      <c r="O126" s="15">
        <f>IF('ENCUESTA CONDUCTORES'!Q126="X",1,0)</f>
        <v>0</v>
      </c>
      <c r="P126" s="15">
        <f>IF('ENCUESTA CONDUCTORES'!R126="X",1,0)</f>
        <v>0</v>
      </c>
      <c r="Q126" s="15">
        <f>IF('ENCUESTA CONDUCTORES'!S126="X",1,0)</f>
        <v>0</v>
      </c>
      <c r="R126" s="15">
        <f>IF('ENCUESTA CONDUCTORES'!T126="X",1,0)</f>
        <v>0</v>
      </c>
      <c r="S126" s="15">
        <f>IF('ENCUESTA CONDUCTORES'!U126="X",1,0)</f>
        <v>1</v>
      </c>
      <c r="T126" s="15">
        <f>IF('ENCUESTA CONDUCTORES'!V126="X",1,0)</f>
        <v>0</v>
      </c>
      <c r="U126" s="15">
        <f>IF('ENCUESTA CONDUCTORES'!W126="X",1,0)</f>
        <v>0</v>
      </c>
      <c r="V126" s="15">
        <f>IF('ENCUESTA CONDUCTORES'!X126="X",1,0)</f>
        <v>0</v>
      </c>
      <c r="W126" s="15">
        <f>IF('ENCUESTA CONDUCTORES'!Y126="X",1,0)</f>
        <v>0</v>
      </c>
      <c r="X126" s="15">
        <f>IF('ENCUESTA CONDUCTORES'!Z126="X",1,0)</f>
        <v>0</v>
      </c>
      <c r="Y126" s="15">
        <f>+'ENCUESTA CONDUCTORES'!AG126</f>
        <v>0</v>
      </c>
      <c r="Z126" s="15">
        <f>+'ENCUESTA CONDUCTORES'!AH126</f>
        <v>1992</v>
      </c>
      <c r="AA126" s="1">
        <f>+'ENCUESTA CONDUCTORES'!AI126</f>
        <v>2200000</v>
      </c>
      <c r="AB126" s="15">
        <f>IF('ENCUESTA CONDUCTORES'!AJ126="X",1,0)</f>
        <v>0</v>
      </c>
      <c r="AC126" s="15">
        <f>IF('ENCUESTA CONDUCTORES'!AK126="X",1,0)</f>
        <v>0</v>
      </c>
      <c r="AD126" s="15">
        <f>IF('ENCUESTA CONDUCTORES'!AL126="X",1,0)</f>
        <v>1</v>
      </c>
      <c r="AE126" s="15">
        <f>IF('ENCUESTA CONDUCTORES'!AM126="X",1,0)</f>
        <v>0</v>
      </c>
      <c r="AF126" s="15">
        <f>IF('ENCUESTA CONDUCTORES'!AN126="X",1,0)</f>
        <v>0</v>
      </c>
      <c r="AG126" s="15">
        <f>IF('ENCUESTA CONDUCTORES'!AO126="X",1,0)</f>
        <v>0</v>
      </c>
      <c r="AH126" s="15">
        <f>IF('ENCUESTA CONDUCTORES'!AP126="X",1,0)</f>
        <v>1</v>
      </c>
      <c r="AI126" s="15">
        <f>IF('ENCUESTA CONDUCTORES'!AQ126="X",1,0)</f>
        <v>0</v>
      </c>
      <c r="AJ126" s="15">
        <f>IF('ENCUESTA CONDUCTORES'!AR126="X",1,0)</f>
        <v>0</v>
      </c>
      <c r="AK126" s="15">
        <f>+'ENCUESTA CONDUCTORES'!AS126</f>
        <v>0</v>
      </c>
      <c r="AL126" s="15" t="str">
        <f>+'ENCUESTA CONDUCTORES'!AT126</f>
        <v>CUMMINS</v>
      </c>
      <c r="AM126" s="1">
        <f>+'ENCUESTA CONDUCTORES'!AU126</f>
        <v>4200</v>
      </c>
      <c r="AN126" s="48">
        <f>+'ENCUESTA CONDUCTORES'!AV126</f>
        <v>0.5</v>
      </c>
      <c r="AO126" s="15">
        <f>+'ENCUESTA CONDUCTORES'!AW126</f>
        <v>3</v>
      </c>
      <c r="AP126" s="15">
        <f>+'ENCUESTA CONDUCTORES'!AX126</f>
        <v>2.8</v>
      </c>
      <c r="AQ126" s="15">
        <f>+'ENCUESTA CONDUCTORES'!AY126</f>
        <v>5</v>
      </c>
      <c r="AR126" s="15">
        <f>+'ENCUESTA CONDUCTORES'!AZ126</f>
        <v>410</v>
      </c>
      <c r="AS126" s="15">
        <f>+'ENCUESTA CONDUCTORES'!BA126</f>
        <v>1200</v>
      </c>
      <c r="AT126" s="15">
        <f>IF('ENCUESTA CONDUCTORES'!BB126="X",1,0)</f>
        <v>1</v>
      </c>
      <c r="AU126" s="15">
        <f>IF('ENCUESTA CONDUCTORES'!BC126="X",1,0)</f>
        <v>1</v>
      </c>
      <c r="AV126" s="15">
        <f>IF('ENCUESTA CONDUCTORES'!BD126="X",1,0)</f>
        <v>1</v>
      </c>
      <c r="AW126" s="1">
        <f>+'ENCUESTA CONDUCTORES'!BE126</f>
        <v>16000</v>
      </c>
      <c r="AX126" s="1">
        <f>+'ENCUESTA CONDUCTORES'!BF126</f>
        <v>2100</v>
      </c>
      <c r="AY126" s="1">
        <f>+'ENCUESTA CONDUCTORES'!BG126</f>
        <v>36000</v>
      </c>
      <c r="AZ126" s="1">
        <f>+'ENCUESTA CONDUCTORES'!BH126</f>
        <v>63000</v>
      </c>
      <c r="BA126" s="1">
        <f>+'ENCUESTA CONDUCTORES'!BI126</f>
        <v>16000</v>
      </c>
      <c r="BB126" s="15">
        <f>IF('ENCUESTA CONDUCTORES'!BJ126="X",1,0)</f>
        <v>0</v>
      </c>
      <c r="BC126" s="15">
        <f>IF('ENCUESTA CONDUCTORES'!BK126="X",1,0)</f>
        <v>0</v>
      </c>
      <c r="BD126" s="15">
        <f>IF('ENCUESTA CONDUCTORES'!BL126="X",1,0)</f>
        <v>0</v>
      </c>
      <c r="BE126" s="15">
        <f>IF('ENCUESTA CONDUCTORES'!BM126="X",1,0)</f>
        <v>0</v>
      </c>
      <c r="BF126" s="15">
        <f>IF('ENCUESTA CONDUCTORES'!BN126="X",1,0)</f>
        <v>0</v>
      </c>
      <c r="BG126" s="15">
        <f>IF('ENCUESTA CONDUCTORES'!BO126="X",1,0)</f>
        <v>0</v>
      </c>
      <c r="BH126" s="15">
        <f>IF('ENCUESTA CONDUCTORES'!BP126="X",1,0)</f>
        <v>0</v>
      </c>
      <c r="BI126" s="15">
        <f>IF('ENCUESTA CONDUCTORES'!BQ126="X",1,0)</f>
        <v>0</v>
      </c>
      <c r="BJ126" s="15">
        <f>IF('ENCUESTA CONDUCTORES'!BR126="X",1,0)</f>
        <v>0</v>
      </c>
      <c r="BK126" s="15" t="str">
        <f>+'ENCUESTA CONDUCTORES'!BS126</f>
        <v>TEXTILES</v>
      </c>
      <c r="BL126" s="15">
        <f>IF('ENCUESTA CONDUCTORES'!BT126="X",1,0)</f>
        <v>0</v>
      </c>
      <c r="BM126" s="15">
        <f>IF('ENCUESTA CONDUCTORES'!BU126="X",1,0)</f>
        <v>0</v>
      </c>
      <c r="BN126" s="15">
        <f>IF('ENCUESTA CONDUCTORES'!BV126="X",1,0)</f>
        <v>0</v>
      </c>
      <c r="BO126" s="15">
        <f>IF('ENCUESTA CONDUCTORES'!BW126="X",1,0)</f>
        <v>1</v>
      </c>
      <c r="BP126" s="15">
        <f>+'ENCUESTA CONDUCTORES'!BX126</f>
        <v>1</v>
      </c>
      <c r="BQ126" s="15">
        <f>+'ENCUESTA CONDUCTORES'!BY126</f>
        <v>3</v>
      </c>
      <c r="BR126" s="15">
        <f>+'ENCUESTA CONDUCTORES'!BZ126</f>
        <v>2</v>
      </c>
      <c r="BS126" s="15">
        <f>+'ENCUESTA CONDUCTORES'!CA126</f>
        <v>0</v>
      </c>
      <c r="BT126" s="15">
        <f>IF('ENCUESTA CONDUCTORES'!CB126="X",1,0)</f>
        <v>0</v>
      </c>
      <c r="BU126" s="15">
        <f>IF('ENCUESTA CONDUCTORES'!CC126="X",1,0)</f>
        <v>1</v>
      </c>
      <c r="BV126" s="15">
        <f>IF('ENCUESTA CONDUCTORES'!CD126="X",1,0)</f>
        <v>0</v>
      </c>
      <c r="BW126" s="15">
        <f>IF('ENCUESTA CONDUCTORES'!CE126="X",1,0)</f>
        <v>0</v>
      </c>
      <c r="BX126" s="15">
        <f>IF('ENCUESTA CONDUCTORES'!CF126="X",1,0)</f>
        <v>0</v>
      </c>
      <c r="BY126" s="15">
        <f>IF('ENCUESTA CONDUCTORES'!CG126="X",1,0)</f>
        <v>0</v>
      </c>
      <c r="BZ126" s="15">
        <f>IF('ENCUESTA CONDUCTORES'!CH126="X",1,0)</f>
        <v>1</v>
      </c>
      <c r="CA126" s="15">
        <f>IF('ENCUESTA CONDUCTORES'!CI126="X",1,0)</f>
        <v>1</v>
      </c>
      <c r="CB126" s="15">
        <f>IF('ENCUESTA CONDUCTORES'!CJ126="X",1,0)</f>
        <v>0</v>
      </c>
      <c r="CC126" s="15">
        <f>IF('ENCUESTA CONDUCTORES'!CK126="X",1,0)</f>
        <v>0</v>
      </c>
      <c r="CD126" s="15">
        <f>IF('ENCUESTA CONDUCTORES'!CL126="X",1,0)</f>
        <v>1</v>
      </c>
      <c r="CE126" s="15">
        <f>IF('ENCUESTA CONDUCTORES'!CM126="X",1,0)</f>
        <v>1</v>
      </c>
      <c r="CF126" s="15" t="str">
        <f>+'ENCUESTA CONDUCTORES'!CN126</f>
        <v>FALTA DE TIEMPO</v>
      </c>
      <c r="CG126" s="15">
        <f>IF('ENCUESTA CONDUCTORES'!CO126="X",1,0)</f>
        <v>0</v>
      </c>
      <c r="CH126" s="15" t="str">
        <f>+'ENCUESTA CONDUCTORES'!CP126</f>
        <v>NO SABE</v>
      </c>
      <c r="CI126" s="15" t="str">
        <f>+'ENCUESTA CONDUCTORES'!CQ126</f>
        <v>DAR INCENTIVOS</v>
      </c>
      <c r="CJ126" s="15">
        <f>IF('ENCUESTA CONDUCTORES'!CR126="X",1,0)</f>
        <v>1</v>
      </c>
      <c r="CK126" s="15">
        <f>IF('ENCUESTA CONDUCTORES'!CS126="X",1,0)</f>
        <v>0</v>
      </c>
      <c r="CL126" s="15">
        <f>IF('ENCUESTA CONDUCTORES'!CT126="X",1,0)</f>
        <v>0</v>
      </c>
      <c r="CM126" s="15">
        <f>+'ENCUESTA CONDUCTORES'!CU126</f>
        <v>0</v>
      </c>
      <c r="CN126" s="15">
        <f>IF('ENCUESTA CONDUCTORES'!CV126="X",1,0)</f>
        <v>0</v>
      </c>
      <c r="CO126" s="15">
        <f>+'ENCUESTA CONDUCTORES'!CW126</f>
        <v>0</v>
      </c>
      <c r="CP126" s="15">
        <f>IF('ENCUESTA CONDUCTORES'!CX126="X",1,0)</f>
        <v>0</v>
      </c>
      <c r="CQ126" s="15">
        <f>IF('ENCUESTA CONDUCTORES'!CY126="X",1,0)</f>
        <v>1</v>
      </c>
      <c r="CR126" s="3">
        <f>+'ENCUESTA CONDUCTORES'!CZ126</f>
        <v>0</v>
      </c>
      <c r="CS126" s="49">
        <f>+'ENCUESTA CONDUCTORES'!DA126</f>
        <v>0</v>
      </c>
    </row>
    <row r="127" spans="2:97" x14ac:dyDescent="0.25">
      <c r="B127" s="14" t="str">
        <f>+'ENCUESTA CONDUCTORES'!D127</f>
        <v>C-133</v>
      </c>
      <c r="C127" s="15">
        <f>IF('ENCUESTA CONDUCTORES'!E127="X",1,0)</f>
        <v>0</v>
      </c>
      <c r="D127" s="15">
        <f>IF('ENCUESTA CONDUCTORES'!F127="X",1,0)</f>
        <v>0</v>
      </c>
      <c r="E127" s="15">
        <f>IF('ENCUESTA CONDUCTORES'!G127="X",1,0)</f>
        <v>1</v>
      </c>
      <c r="F127" s="15">
        <f>IF('ENCUESTA CONDUCTORES'!H127="X",1,0)</f>
        <v>0</v>
      </c>
      <c r="G127" s="15">
        <f>+'ENCUESTA CONDUCTORES'!I127</f>
        <v>55</v>
      </c>
      <c r="H127" s="15" t="str">
        <f>+'ENCUESTA CONDUCTORES'!J127</f>
        <v>M</v>
      </c>
      <c r="I127" s="15" t="str">
        <f>+'ENCUESTA CONDUCTORES'!K127</f>
        <v>PREPARATORIA</v>
      </c>
      <c r="J127" s="15" t="str">
        <f>+'ENCUESTA CONDUCTORES'!L127</f>
        <v>CHIMALHUACÁN, EDO. MEX.</v>
      </c>
      <c r="K127" s="15" t="str">
        <f>+'ENCUESTA CONDUCTORES'!M127</f>
        <v>CHIMALHUACÁN</v>
      </c>
      <c r="L127" s="15" t="str">
        <f>+'ENCUESTA CONDUCTORES'!N127</f>
        <v>EDO. MEX.</v>
      </c>
      <c r="M127" s="15">
        <f>+'ENCUESTA CONDUCTORES'!O127</f>
        <v>3</v>
      </c>
      <c r="N127" s="15">
        <f>IF('ENCUESTA CONDUCTORES'!P127="X",1,0)</f>
        <v>1</v>
      </c>
      <c r="O127" s="15">
        <f>IF('ENCUESTA CONDUCTORES'!Q127="X",1,0)</f>
        <v>0</v>
      </c>
      <c r="P127" s="15">
        <f>IF('ENCUESTA CONDUCTORES'!R127="X",1,0)</f>
        <v>0</v>
      </c>
      <c r="Q127" s="15">
        <f>IF('ENCUESTA CONDUCTORES'!S127="X",1,0)</f>
        <v>0</v>
      </c>
      <c r="R127" s="15">
        <f>IF('ENCUESTA CONDUCTORES'!T127="X",1,0)</f>
        <v>0</v>
      </c>
      <c r="S127" s="15">
        <f>IF('ENCUESTA CONDUCTORES'!U127="X",1,0)</f>
        <v>1</v>
      </c>
      <c r="T127" s="15">
        <f>IF('ENCUESTA CONDUCTORES'!V127="X",1,0)</f>
        <v>0</v>
      </c>
      <c r="U127" s="15">
        <f>IF('ENCUESTA CONDUCTORES'!W127="X",1,0)</f>
        <v>0</v>
      </c>
      <c r="V127" s="15">
        <f>IF('ENCUESTA CONDUCTORES'!X127="X",1,0)</f>
        <v>0</v>
      </c>
      <c r="W127" s="15">
        <f>IF('ENCUESTA CONDUCTORES'!Y127="X",1,0)</f>
        <v>0</v>
      </c>
      <c r="X127" s="15">
        <f>IF('ENCUESTA CONDUCTORES'!Z127="X",1,0)</f>
        <v>0</v>
      </c>
      <c r="Y127" s="15">
        <f>+'ENCUESTA CONDUCTORES'!AG127</f>
        <v>0</v>
      </c>
      <c r="Z127" s="15">
        <f>+'ENCUESTA CONDUCTORES'!AH127</f>
        <v>1988</v>
      </c>
      <c r="AA127" s="1">
        <f>+'ENCUESTA CONDUCTORES'!AI127</f>
        <v>500000</v>
      </c>
      <c r="AB127" s="15">
        <f>IF('ENCUESTA CONDUCTORES'!AJ127="X",1,0)</f>
        <v>0</v>
      </c>
      <c r="AC127" s="15">
        <f>IF('ENCUESTA CONDUCTORES'!AK127="X",1,0)</f>
        <v>0</v>
      </c>
      <c r="AD127" s="15">
        <f>IF('ENCUESTA CONDUCTORES'!AL127="X",1,0)</f>
        <v>1</v>
      </c>
      <c r="AE127" s="15">
        <f>IF('ENCUESTA CONDUCTORES'!AM127="X",1,0)</f>
        <v>0</v>
      </c>
      <c r="AF127" s="15">
        <f>IF('ENCUESTA CONDUCTORES'!AN127="X",1,0)</f>
        <v>0</v>
      </c>
      <c r="AG127" s="15">
        <f>IF('ENCUESTA CONDUCTORES'!AO127="X",1,0)</f>
        <v>0</v>
      </c>
      <c r="AH127" s="15">
        <f>IF('ENCUESTA CONDUCTORES'!AP127="X",1,0)</f>
        <v>1</v>
      </c>
      <c r="AI127" s="15">
        <f>IF('ENCUESTA CONDUCTORES'!AQ127="X",1,0)</f>
        <v>0</v>
      </c>
      <c r="AJ127" s="15">
        <f>IF('ENCUESTA CONDUCTORES'!AR127="X",1,0)</f>
        <v>0</v>
      </c>
      <c r="AK127" s="15">
        <f>+'ENCUESTA CONDUCTORES'!AS127</f>
        <v>0</v>
      </c>
      <c r="AL127" s="15" t="str">
        <f>+'ENCUESTA CONDUCTORES'!AT127</f>
        <v>NAVISTAR</v>
      </c>
      <c r="AM127" s="1">
        <f>+'ENCUESTA CONDUCTORES'!AU127</f>
        <v>1000</v>
      </c>
      <c r="AN127" s="48">
        <f>+'ENCUESTA CONDUCTORES'!AV127</f>
        <v>0.5</v>
      </c>
      <c r="AO127" s="15">
        <f>+'ENCUESTA CONDUCTORES'!AW127</f>
        <v>4</v>
      </c>
      <c r="AP127" s="15">
        <f>+'ENCUESTA CONDUCTORES'!AX127</f>
        <v>3.5</v>
      </c>
      <c r="AQ127" s="15">
        <f>+'ENCUESTA CONDUCTORES'!AY127</f>
        <v>2</v>
      </c>
      <c r="AR127" s="15">
        <f>+'ENCUESTA CONDUCTORES'!AZ127</f>
        <v>530</v>
      </c>
      <c r="AS127" s="15">
        <f>+'ENCUESTA CONDUCTORES'!BA127</f>
        <v>2000</v>
      </c>
      <c r="AT127" s="15">
        <f>IF('ENCUESTA CONDUCTORES'!BB127="X",1,0)</f>
        <v>0</v>
      </c>
      <c r="AU127" s="15">
        <f>IF('ENCUESTA CONDUCTORES'!BC127="X",1,0)</f>
        <v>1</v>
      </c>
      <c r="AV127" s="15">
        <f>IF('ENCUESTA CONDUCTORES'!BD127="X",1,0)</f>
        <v>0</v>
      </c>
      <c r="AW127" s="1">
        <f>+'ENCUESTA CONDUCTORES'!BE127</f>
        <v>6000</v>
      </c>
      <c r="AX127" s="1">
        <f>+'ENCUESTA CONDUCTORES'!BF127</f>
        <v>12000</v>
      </c>
      <c r="AY127" s="1">
        <f>+'ENCUESTA CONDUCTORES'!BG127</f>
        <v>6000</v>
      </c>
      <c r="AZ127" s="1">
        <f>+'ENCUESTA CONDUCTORES'!BH127</f>
        <v>50000</v>
      </c>
      <c r="BA127" s="1">
        <f>+'ENCUESTA CONDUCTORES'!BI127</f>
        <v>6000</v>
      </c>
      <c r="BB127" s="15">
        <f>IF('ENCUESTA CONDUCTORES'!BJ127="X",1,0)</f>
        <v>1</v>
      </c>
      <c r="BC127" s="15">
        <f>IF('ENCUESTA CONDUCTORES'!BK127="X",1,0)</f>
        <v>0</v>
      </c>
      <c r="BD127" s="15">
        <f>IF('ENCUESTA CONDUCTORES'!BL127="X",1,0)</f>
        <v>0</v>
      </c>
      <c r="BE127" s="15">
        <f>IF('ENCUESTA CONDUCTORES'!BM127="X",1,0)</f>
        <v>0</v>
      </c>
      <c r="BF127" s="15">
        <f>IF('ENCUESTA CONDUCTORES'!BN127="X",1,0)</f>
        <v>0</v>
      </c>
      <c r="BG127" s="15">
        <f>IF('ENCUESTA CONDUCTORES'!BO127="X",1,0)</f>
        <v>0</v>
      </c>
      <c r="BH127" s="15">
        <f>IF('ENCUESTA CONDUCTORES'!BP127="X",1,0)</f>
        <v>0</v>
      </c>
      <c r="BI127" s="15">
        <f>IF('ENCUESTA CONDUCTORES'!BQ127="X",1,0)</f>
        <v>0</v>
      </c>
      <c r="BJ127" s="15">
        <f>IF('ENCUESTA CONDUCTORES'!BR127="X",1,0)</f>
        <v>0</v>
      </c>
      <c r="BK127" s="15">
        <f>+'ENCUESTA CONDUCTORES'!BS127</f>
        <v>0</v>
      </c>
      <c r="BL127" s="15">
        <f>IF('ENCUESTA CONDUCTORES'!BT127="X",1,0)</f>
        <v>0</v>
      </c>
      <c r="BM127" s="15">
        <f>IF('ENCUESTA CONDUCTORES'!BU127="X",1,0)</f>
        <v>1</v>
      </c>
      <c r="BN127" s="15">
        <f>IF('ENCUESTA CONDUCTORES'!BV127="X",1,0)</f>
        <v>0</v>
      </c>
      <c r="BO127" s="15">
        <f>IF('ENCUESTA CONDUCTORES'!BW127="X",1,0)</f>
        <v>0</v>
      </c>
      <c r="BP127" s="15">
        <f>+'ENCUESTA CONDUCTORES'!BX127</f>
        <v>1</v>
      </c>
      <c r="BQ127" s="15">
        <f>+'ENCUESTA CONDUCTORES'!BY127</f>
        <v>3</v>
      </c>
      <c r="BR127" s="15">
        <f>+'ENCUESTA CONDUCTORES'!BZ127</f>
        <v>2</v>
      </c>
      <c r="BS127" s="15">
        <f>+'ENCUESTA CONDUCTORES'!CA127</f>
        <v>0</v>
      </c>
      <c r="BT127" s="15">
        <f>IF('ENCUESTA CONDUCTORES'!CB127="X",1,0)</f>
        <v>1</v>
      </c>
      <c r="BU127" s="15">
        <f>IF('ENCUESTA CONDUCTORES'!CC127="X",1,0)</f>
        <v>0</v>
      </c>
      <c r="BV127" s="15">
        <f>IF('ENCUESTA CONDUCTORES'!CD127="X",1,0)</f>
        <v>0</v>
      </c>
      <c r="BW127" s="15">
        <f>IF('ENCUESTA CONDUCTORES'!CE127="X",1,0)</f>
        <v>0</v>
      </c>
      <c r="BX127" s="15">
        <f>IF('ENCUESTA CONDUCTORES'!CF127="X",1,0)</f>
        <v>0</v>
      </c>
      <c r="BY127" s="15">
        <f>IF('ENCUESTA CONDUCTORES'!CG127="X",1,0)</f>
        <v>0</v>
      </c>
      <c r="BZ127" s="15">
        <f>IF('ENCUESTA CONDUCTORES'!CH127="X",1,0)</f>
        <v>0</v>
      </c>
      <c r="CA127" s="15">
        <f>IF('ENCUESTA CONDUCTORES'!CI127="X",1,0)</f>
        <v>0</v>
      </c>
      <c r="CB127" s="15">
        <f>IF('ENCUESTA CONDUCTORES'!CJ127="X",1,0)</f>
        <v>0</v>
      </c>
      <c r="CC127" s="15">
        <f>IF('ENCUESTA CONDUCTORES'!CK127="X",1,0)</f>
        <v>1</v>
      </c>
      <c r="CD127" s="15">
        <f>IF('ENCUESTA CONDUCTORES'!CL127="X",1,0)</f>
        <v>0</v>
      </c>
      <c r="CE127" s="15">
        <f>IF('ENCUESTA CONDUCTORES'!CM127="X",1,0)</f>
        <v>0</v>
      </c>
      <c r="CF127" s="15">
        <f>+'ENCUESTA CONDUCTORES'!CN127</f>
        <v>0</v>
      </c>
      <c r="CG127" s="15">
        <f>IF('ENCUESTA CONDUCTORES'!CO127="X",1,0)</f>
        <v>0</v>
      </c>
      <c r="CH127" s="15" t="str">
        <f>+'ENCUESTA CONDUCTORES'!CP127</f>
        <v>NO SABE</v>
      </c>
      <c r="CI127" s="15" t="str">
        <f>+'ENCUESTA CONDUCTORES'!CQ127</f>
        <v>PUBLICIDAD</v>
      </c>
      <c r="CJ127" s="15">
        <f>IF('ENCUESTA CONDUCTORES'!CR127="X",1,0)</f>
        <v>0</v>
      </c>
      <c r="CK127" s="15">
        <f>IF('ENCUESTA CONDUCTORES'!CS127="X",1,0)</f>
        <v>0</v>
      </c>
      <c r="CL127" s="15">
        <f>IF('ENCUESTA CONDUCTORES'!CT127="X",1,0)</f>
        <v>0</v>
      </c>
      <c r="CM127" s="15" t="str">
        <f>+'ENCUESTA CONDUCTORES'!CU127</f>
        <v>PRIMEROS AUXILIOS</v>
      </c>
      <c r="CN127" s="15">
        <f>IF('ENCUESTA CONDUCTORES'!CV127="X",1,0)</f>
        <v>0</v>
      </c>
      <c r="CO127" s="15">
        <f>+'ENCUESTA CONDUCTORES'!CW127</f>
        <v>0</v>
      </c>
      <c r="CP127" s="15">
        <f>IF('ENCUESTA CONDUCTORES'!CX127="X",1,0)</f>
        <v>0</v>
      </c>
      <c r="CQ127" s="15">
        <f>IF('ENCUESTA CONDUCTORES'!CY127="X",1,0)</f>
        <v>1</v>
      </c>
      <c r="CR127" s="3">
        <f>+'ENCUESTA CONDUCTORES'!CZ127</f>
        <v>0</v>
      </c>
      <c r="CS127" s="49">
        <f>+'ENCUESTA CONDUCTORES'!DA127</f>
        <v>0</v>
      </c>
    </row>
    <row r="128" spans="2:97" x14ac:dyDescent="0.25">
      <c r="B128" s="14" t="str">
        <f>+'ENCUESTA CONDUCTORES'!D128</f>
        <v>C-134</v>
      </c>
      <c r="C128" s="15">
        <f>IF('ENCUESTA CONDUCTORES'!E128="X",1,0)</f>
        <v>0</v>
      </c>
      <c r="D128" s="15">
        <f>IF('ENCUESTA CONDUCTORES'!F128="X",1,0)</f>
        <v>1</v>
      </c>
      <c r="E128" s="15">
        <f>IF('ENCUESTA CONDUCTORES'!G128="X",1,0)</f>
        <v>0</v>
      </c>
      <c r="F128" s="15">
        <f>IF('ENCUESTA CONDUCTORES'!H128="X",1,0)</f>
        <v>0</v>
      </c>
      <c r="G128" s="15">
        <f>+'ENCUESTA CONDUCTORES'!I128</f>
        <v>29</v>
      </c>
      <c r="H128" s="15" t="str">
        <f>+'ENCUESTA CONDUCTORES'!J128</f>
        <v>M</v>
      </c>
      <c r="I128" s="15" t="str">
        <f>+'ENCUESTA CONDUCTORES'!K128</f>
        <v>PREPARATORIA</v>
      </c>
      <c r="J128" s="15" t="str">
        <f>+'ENCUESTA CONDUCTORES'!L128</f>
        <v>NEZAHUALCÓYOTL, EDO. MEX.</v>
      </c>
      <c r="K128" s="15" t="str">
        <f>+'ENCUESTA CONDUCTORES'!M128</f>
        <v>NEZAHUALCÓYOTL</v>
      </c>
      <c r="L128" s="15" t="str">
        <f>+'ENCUESTA CONDUCTORES'!N128</f>
        <v>EDO. MEX.</v>
      </c>
      <c r="M128" s="15">
        <f>+'ENCUESTA CONDUCTORES'!O128</f>
        <v>4</v>
      </c>
      <c r="N128" s="15">
        <f>IF('ENCUESTA CONDUCTORES'!P128="X",1,0)</f>
        <v>1</v>
      </c>
      <c r="O128" s="15">
        <f>IF('ENCUESTA CONDUCTORES'!Q128="X",1,0)</f>
        <v>0</v>
      </c>
      <c r="P128" s="15">
        <f>IF('ENCUESTA CONDUCTORES'!R128="X",1,0)</f>
        <v>0</v>
      </c>
      <c r="Q128" s="15">
        <f>IF('ENCUESTA CONDUCTORES'!S128="X",1,0)</f>
        <v>0</v>
      </c>
      <c r="R128" s="15">
        <f>IF('ENCUESTA CONDUCTORES'!T128="X",1,0)</f>
        <v>0</v>
      </c>
      <c r="S128" s="15">
        <f>IF('ENCUESTA CONDUCTORES'!U128="X",1,0)</f>
        <v>0</v>
      </c>
      <c r="T128" s="15">
        <f>IF('ENCUESTA CONDUCTORES'!V128="X",1,0)</f>
        <v>0</v>
      </c>
      <c r="U128" s="15">
        <f>IF('ENCUESTA CONDUCTORES'!W128="X",1,0)</f>
        <v>0</v>
      </c>
      <c r="V128" s="15">
        <f>IF('ENCUESTA CONDUCTORES'!X128="X",1,0)</f>
        <v>0</v>
      </c>
      <c r="W128" s="15">
        <f>IF('ENCUESTA CONDUCTORES'!Y128="X",1,0)</f>
        <v>0</v>
      </c>
      <c r="X128" s="15">
        <f>IF('ENCUESTA CONDUCTORES'!Z128="X",1,0)</f>
        <v>0</v>
      </c>
      <c r="Y128" s="15">
        <f>+'ENCUESTA CONDUCTORES'!AG128</f>
        <v>0</v>
      </c>
      <c r="Z128" s="15">
        <f>+'ENCUESTA CONDUCTORES'!AH128</f>
        <v>1989</v>
      </c>
      <c r="AA128" s="1" t="str">
        <f>+'ENCUESTA CONDUCTORES'!AI128</f>
        <v>DAÑADO</v>
      </c>
      <c r="AB128" s="15">
        <f>IF('ENCUESTA CONDUCTORES'!AJ128="X",1,0)</f>
        <v>0</v>
      </c>
      <c r="AC128" s="15">
        <f>IF('ENCUESTA CONDUCTORES'!AK128="X",1,0)</f>
        <v>0</v>
      </c>
      <c r="AD128" s="15">
        <f>IF('ENCUESTA CONDUCTORES'!AL128="X",1,0)</f>
        <v>1</v>
      </c>
      <c r="AE128" s="15">
        <f>IF('ENCUESTA CONDUCTORES'!AM128="X",1,0)</f>
        <v>0</v>
      </c>
      <c r="AF128" s="15">
        <f>IF('ENCUESTA CONDUCTORES'!AN128="X",1,0)</f>
        <v>0</v>
      </c>
      <c r="AG128" s="15">
        <f>IF('ENCUESTA CONDUCTORES'!AO128="X",1,0)</f>
        <v>0</v>
      </c>
      <c r="AH128" s="15">
        <f>IF('ENCUESTA CONDUCTORES'!AP128="X",1,0)</f>
        <v>1</v>
      </c>
      <c r="AI128" s="15">
        <f>IF('ENCUESTA CONDUCTORES'!AQ128="X",1,0)</f>
        <v>0</v>
      </c>
      <c r="AJ128" s="15">
        <f>IF('ENCUESTA CONDUCTORES'!AR128="X",1,0)</f>
        <v>0</v>
      </c>
      <c r="AK128" s="15">
        <f>+'ENCUESTA CONDUCTORES'!AS128</f>
        <v>0</v>
      </c>
      <c r="AL128" s="15" t="str">
        <f>+'ENCUESTA CONDUCTORES'!AT128</f>
        <v>DINA</v>
      </c>
      <c r="AM128" s="1">
        <f>+'ENCUESTA CONDUCTORES'!AU128</f>
        <v>7000</v>
      </c>
      <c r="AN128" s="48">
        <f>+'ENCUESTA CONDUCTORES'!AV128</f>
        <v>0.2</v>
      </c>
      <c r="AO128" s="15">
        <f>+'ENCUESTA CONDUCTORES'!AW128</f>
        <v>3</v>
      </c>
      <c r="AP128" s="15">
        <f>+'ENCUESTA CONDUCTORES'!AX128</f>
        <v>2.2000000000000002</v>
      </c>
      <c r="AQ128" s="15">
        <f>+'ENCUESTA CONDUCTORES'!AY128</f>
        <v>2</v>
      </c>
      <c r="AR128" s="15">
        <f>+'ENCUESTA CONDUCTORES'!AZ128</f>
        <v>440</v>
      </c>
      <c r="AS128" s="15">
        <f>+'ENCUESTA CONDUCTORES'!BA128</f>
        <v>1200</v>
      </c>
      <c r="AT128" s="15">
        <f>IF('ENCUESTA CONDUCTORES'!BB128="X",1,0)</f>
        <v>0</v>
      </c>
      <c r="AU128" s="15">
        <f>IF('ENCUESTA CONDUCTORES'!BC128="X",1,0)</f>
        <v>1</v>
      </c>
      <c r="AV128" s="15">
        <f>IF('ENCUESTA CONDUCTORES'!BD128="X",1,0)</f>
        <v>0</v>
      </c>
      <c r="AW128" s="1">
        <f>+'ENCUESTA CONDUCTORES'!BE128</f>
        <v>42000</v>
      </c>
      <c r="AX128" s="1">
        <f>+'ENCUESTA CONDUCTORES'!BF128</f>
        <v>21000</v>
      </c>
      <c r="AY128" s="1">
        <f>+'ENCUESTA CONDUCTORES'!BG128</f>
        <v>42000</v>
      </c>
      <c r="AZ128" s="1">
        <f>+'ENCUESTA CONDUCTORES'!BH128</f>
        <v>84000</v>
      </c>
      <c r="BA128" s="1">
        <f>+'ENCUESTA CONDUCTORES'!BI128</f>
        <v>42000</v>
      </c>
      <c r="BB128" s="15">
        <f>IF('ENCUESTA CONDUCTORES'!BJ128="X",1,0)</f>
        <v>0</v>
      </c>
      <c r="BC128" s="15">
        <f>IF('ENCUESTA CONDUCTORES'!BK128="X",1,0)</f>
        <v>0</v>
      </c>
      <c r="BD128" s="15">
        <f>IF('ENCUESTA CONDUCTORES'!BL128="X",1,0)</f>
        <v>0</v>
      </c>
      <c r="BE128" s="15">
        <f>IF('ENCUESTA CONDUCTORES'!BM128="X",1,0)</f>
        <v>0</v>
      </c>
      <c r="BF128" s="15">
        <f>IF('ENCUESTA CONDUCTORES'!BN128="X",1,0)</f>
        <v>0</v>
      </c>
      <c r="BG128" s="15">
        <f>IF('ENCUESTA CONDUCTORES'!BO128="X",1,0)</f>
        <v>0</v>
      </c>
      <c r="BH128" s="15">
        <f>IF('ENCUESTA CONDUCTORES'!BP128="X",1,0)</f>
        <v>0</v>
      </c>
      <c r="BI128" s="15">
        <f>IF('ENCUESTA CONDUCTORES'!BQ128="X",1,0)</f>
        <v>0</v>
      </c>
      <c r="BJ128" s="15">
        <f>IF('ENCUESTA CONDUCTORES'!BR128="X",1,0)</f>
        <v>0</v>
      </c>
      <c r="BK128" s="15" t="str">
        <f>+'ENCUESTA CONDUCTORES'!BS128</f>
        <v>GENERAL</v>
      </c>
      <c r="BL128" s="15">
        <f>IF('ENCUESTA CONDUCTORES'!BT128="X",1,0)</f>
        <v>0</v>
      </c>
      <c r="BM128" s="15">
        <f>IF('ENCUESTA CONDUCTORES'!BU128="X",1,0)</f>
        <v>1</v>
      </c>
      <c r="BN128" s="15">
        <f>IF('ENCUESTA CONDUCTORES'!BV128="X",1,0)</f>
        <v>0</v>
      </c>
      <c r="BO128" s="15">
        <f>IF('ENCUESTA CONDUCTORES'!BW128="X",1,0)</f>
        <v>0</v>
      </c>
      <c r="BP128" s="15">
        <f>+'ENCUESTA CONDUCTORES'!BX128</f>
        <v>1</v>
      </c>
      <c r="BQ128" s="15">
        <f>+'ENCUESTA CONDUCTORES'!BY128</f>
        <v>3</v>
      </c>
      <c r="BR128" s="15">
        <f>+'ENCUESTA CONDUCTORES'!BZ128</f>
        <v>2</v>
      </c>
      <c r="BS128" s="15">
        <f>+'ENCUESTA CONDUCTORES'!CA128</f>
        <v>0</v>
      </c>
      <c r="BT128" s="15">
        <f>IF('ENCUESTA CONDUCTORES'!CB128="X",1,0)</f>
        <v>1</v>
      </c>
      <c r="BU128" s="15">
        <f>IF('ENCUESTA CONDUCTORES'!CC128="X",1,0)</f>
        <v>0</v>
      </c>
      <c r="BV128" s="15">
        <f>IF('ENCUESTA CONDUCTORES'!CD128="X",1,0)</f>
        <v>0</v>
      </c>
      <c r="BW128" s="15">
        <f>IF('ENCUESTA CONDUCTORES'!CE128="X",1,0)</f>
        <v>0</v>
      </c>
      <c r="BX128" s="15">
        <f>IF('ENCUESTA CONDUCTORES'!CF128="X",1,0)</f>
        <v>0</v>
      </c>
      <c r="BY128" s="15">
        <f>IF('ENCUESTA CONDUCTORES'!CG128="X",1,0)</f>
        <v>0</v>
      </c>
      <c r="BZ128" s="15">
        <f>IF('ENCUESTA CONDUCTORES'!CH128="X",1,0)</f>
        <v>0</v>
      </c>
      <c r="CA128" s="15">
        <f>IF('ENCUESTA CONDUCTORES'!CI128="X",1,0)</f>
        <v>0</v>
      </c>
      <c r="CB128" s="15">
        <f>IF('ENCUESTA CONDUCTORES'!CJ128="X",1,0)</f>
        <v>0</v>
      </c>
      <c r="CC128" s="15">
        <f>IF('ENCUESTA CONDUCTORES'!CK128="X",1,0)</f>
        <v>1</v>
      </c>
      <c r="CD128" s="15">
        <f>IF('ENCUESTA CONDUCTORES'!CL128="X",1,0)</f>
        <v>0</v>
      </c>
      <c r="CE128" s="15">
        <f>IF('ENCUESTA CONDUCTORES'!CM128="X",1,0)</f>
        <v>0</v>
      </c>
      <c r="CF128" s="15">
        <f>+'ENCUESTA CONDUCTORES'!CN128</f>
        <v>0</v>
      </c>
      <c r="CG128" s="15">
        <f>IF('ENCUESTA CONDUCTORES'!CO128="X",1,0)</f>
        <v>0</v>
      </c>
      <c r="CH128" s="15" t="str">
        <f>+'ENCUESTA CONDUCTORES'!CP128</f>
        <v>NO SABE</v>
      </c>
      <c r="CI128" s="15" t="str">
        <f>+'ENCUESTA CONDUCTORES'!CQ128</f>
        <v>DARLO A CONOCER</v>
      </c>
      <c r="CJ128" s="15">
        <f>IF('ENCUESTA CONDUCTORES'!CR128="X",1,0)</f>
        <v>1</v>
      </c>
      <c r="CK128" s="15">
        <f>IF('ENCUESTA CONDUCTORES'!CS128="X",1,0)</f>
        <v>0</v>
      </c>
      <c r="CL128" s="15">
        <f>IF('ENCUESTA CONDUCTORES'!CT128="X",1,0)</f>
        <v>0</v>
      </c>
      <c r="CM128" s="15">
        <f>+'ENCUESTA CONDUCTORES'!CU128</f>
        <v>0</v>
      </c>
      <c r="CN128" s="15">
        <f>IF('ENCUESTA CONDUCTORES'!CV128="X",1,0)</f>
        <v>0</v>
      </c>
      <c r="CO128" s="15">
        <f>+'ENCUESTA CONDUCTORES'!CW128</f>
        <v>0</v>
      </c>
      <c r="CP128" s="15">
        <f>IF('ENCUESTA CONDUCTORES'!CX128="X",1,0)</f>
        <v>1</v>
      </c>
      <c r="CQ128" s="15">
        <f>IF('ENCUESTA CONDUCTORES'!CY128="X",1,0)</f>
        <v>1</v>
      </c>
      <c r="CR128" s="3">
        <f>+'ENCUESTA CONDUCTORES'!CZ128</f>
        <v>0</v>
      </c>
      <c r="CS128" s="49">
        <f>+'ENCUESTA CONDUCTORES'!DA128</f>
        <v>0</v>
      </c>
    </row>
    <row r="129" spans="2:97" x14ac:dyDescent="0.25">
      <c r="B129" s="14" t="str">
        <f>+'ENCUESTA CONDUCTORES'!D129</f>
        <v>C-135</v>
      </c>
      <c r="C129" s="15">
        <f>IF('ENCUESTA CONDUCTORES'!E129="X",1,0)</f>
        <v>0</v>
      </c>
      <c r="D129" s="15">
        <f>IF('ENCUESTA CONDUCTORES'!F129="X",1,0)</f>
        <v>1</v>
      </c>
      <c r="E129" s="15">
        <f>IF('ENCUESTA CONDUCTORES'!G129="X",1,0)</f>
        <v>0</v>
      </c>
      <c r="F129" s="15">
        <f>IF('ENCUESTA CONDUCTORES'!H129="X",1,0)</f>
        <v>0</v>
      </c>
      <c r="G129" s="15">
        <f>+'ENCUESTA CONDUCTORES'!I129</f>
        <v>56</v>
      </c>
      <c r="H129" s="15" t="str">
        <f>+'ENCUESTA CONDUCTORES'!J129</f>
        <v>M</v>
      </c>
      <c r="I129" s="15" t="str">
        <f>+'ENCUESTA CONDUCTORES'!K129</f>
        <v>SECUNDARIA</v>
      </c>
      <c r="J129" s="15" t="str">
        <f>+'ENCUESTA CONDUCTORES'!L129</f>
        <v>MOCHIS, SIN.</v>
      </c>
      <c r="K129" s="15" t="str">
        <f>+'ENCUESTA CONDUCTORES'!M129</f>
        <v>MOCHIS</v>
      </c>
      <c r="L129" s="15" t="str">
        <f>+'ENCUESTA CONDUCTORES'!N129</f>
        <v>SINALOA</v>
      </c>
      <c r="M129" s="15">
        <f>+'ENCUESTA CONDUCTORES'!O129</f>
        <v>20</v>
      </c>
      <c r="N129" s="15">
        <f>IF('ENCUESTA CONDUCTORES'!P129="X",1,0)</f>
        <v>1</v>
      </c>
      <c r="O129" s="15">
        <f>IF('ENCUESTA CONDUCTORES'!Q129="X",1,0)</f>
        <v>0</v>
      </c>
      <c r="P129" s="15">
        <f>IF('ENCUESTA CONDUCTORES'!R129="X",1,0)</f>
        <v>0</v>
      </c>
      <c r="Q129" s="15">
        <f>IF('ENCUESTA CONDUCTORES'!S129="X",1,0)</f>
        <v>0</v>
      </c>
      <c r="R129" s="15">
        <f>IF('ENCUESTA CONDUCTORES'!T129="X",1,0)</f>
        <v>0</v>
      </c>
      <c r="S129" s="15">
        <f>IF('ENCUESTA CONDUCTORES'!U129="X",1,0)</f>
        <v>0</v>
      </c>
      <c r="T129" s="15">
        <f>IF('ENCUESTA CONDUCTORES'!V129="X",1,0)</f>
        <v>0</v>
      </c>
      <c r="U129" s="15">
        <f>IF('ENCUESTA CONDUCTORES'!W129="X",1,0)</f>
        <v>0</v>
      </c>
      <c r="V129" s="15">
        <f>IF('ENCUESTA CONDUCTORES'!X129="X",1,0)</f>
        <v>1</v>
      </c>
      <c r="W129" s="15">
        <f>IF('ENCUESTA CONDUCTORES'!Y129="X",1,0)</f>
        <v>0</v>
      </c>
      <c r="X129" s="15">
        <f>IF('ENCUESTA CONDUCTORES'!Z129="X",1,0)</f>
        <v>0</v>
      </c>
      <c r="Y129" s="15">
        <f>+'ENCUESTA CONDUCTORES'!AG129</f>
        <v>0</v>
      </c>
      <c r="Z129" s="15">
        <f>+'ENCUESTA CONDUCTORES'!AH129</f>
        <v>1999</v>
      </c>
      <c r="AA129" s="1">
        <f>+'ENCUESTA CONDUCTORES'!AI129</f>
        <v>1000000</v>
      </c>
      <c r="AB129" s="15">
        <f>IF('ENCUESTA CONDUCTORES'!AJ129="X",1,0)</f>
        <v>0</v>
      </c>
      <c r="AC129" s="15">
        <f>IF('ENCUESTA CONDUCTORES'!AK129="X",1,0)</f>
        <v>0</v>
      </c>
      <c r="AD129" s="15">
        <f>IF('ENCUESTA CONDUCTORES'!AL129="X",1,0)</f>
        <v>1</v>
      </c>
      <c r="AE129" s="15">
        <f>IF('ENCUESTA CONDUCTORES'!AM129="X",1,0)</f>
        <v>0</v>
      </c>
      <c r="AF129" s="15">
        <f>IF('ENCUESTA CONDUCTORES'!AN129="X",1,0)</f>
        <v>0</v>
      </c>
      <c r="AG129" s="15">
        <f>IF('ENCUESTA CONDUCTORES'!AO129="X",1,0)</f>
        <v>0</v>
      </c>
      <c r="AH129" s="15">
        <f>IF('ENCUESTA CONDUCTORES'!AP129="X",1,0)</f>
        <v>1</v>
      </c>
      <c r="AI129" s="15">
        <f>IF('ENCUESTA CONDUCTORES'!AQ129="X",1,0)</f>
        <v>0</v>
      </c>
      <c r="AJ129" s="15">
        <f>IF('ENCUESTA CONDUCTORES'!AR129="X",1,0)</f>
        <v>0</v>
      </c>
      <c r="AK129" s="15">
        <f>+'ENCUESTA CONDUCTORES'!AS129</f>
        <v>0</v>
      </c>
      <c r="AL129" s="15" t="str">
        <f>+'ENCUESTA CONDUCTORES'!AT129</f>
        <v>CUMMINS</v>
      </c>
      <c r="AM129" s="1">
        <f>+'ENCUESTA CONDUCTORES'!AU129</f>
        <v>2000</v>
      </c>
      <c r="AN129" s="48">
        <f>+'ENCUESTA CONDUCTORES'!AV129</f>
        <v>0.5</v>
      </c>
      <c r="AO129" s="15">
        <f>+'ENCUESTA CONDUCTORES'!AW129</f>
        <v>2.5</v>
      </c>
      <c r="AP129" s="15">
        <f>+'ENCUESTA CONDUCTORES'!AX129</f>
        <v>1.9</v>
      </c>
      <c r="AQ129" s="15">
        <f>+'ENCUESTA CONDUCTORES'!AY129</f>
        <v>2</v>
      </c>
      <c r="AR129" s="15">
        <f>+'ENCUESTA CONDUCTORES'!AZ129</f>
        <v>350</v>
      </c>
      <c r="AS129" s="15">
        <f>+'ENCUESTA CONDUCTORES'!BA129</f>
        <v>800</v>
      </c>
      <c r="AT129" s="15">
        <f>IF('ENCUESTA CONDUCTORES'!BB129="X",1,0)</f>
        <v>0</v>
      </c>
      <c r="AU129" s="15">
        <f>IF('ENCUESTA CONDUCTORES'!BC129="X",1,0)</f>
        <v>1</v>
      </c>
      <c r="AV129" s="15">
        <f>IF('ENCUESTA CONDUCTORES'!BD129="X",1,0)</f>
        <v>0</v>
      </c>
      <c r="AW129" s="1">
        <f>+'ENCUESTA CONDUCTORES'!BE129</f>
        <v>13000</v>
      </c>
      <c r="AX129" s="1" t="str">
        <f>+'ENCUESTA CONDUCTORES'!BF129</f>
        <v>NO SABE</v>
      </c>
      <c r="AY129" s="1">
        <f>+'ENCUESTA CONDUCTORES'!BG129</f>
        <v>13000</v>
      </c>
      <c r="AZ129" s="1" t="str">
        <f>+'ENCUESTA CONDUCTORES'!BH129</f>
        <v>NO SABE</v>
      </c>
      <c r="BA129" s="1">
        <f>+'ENCUESTA CONDUCTORES'!BI129</f>
        <v>13000</v>
      </c>
      <c r="BB129" s="15">
        <f>IF('ENCUESTA CONDUCTORES'!BJ129="X",1,0)</f>
        <v>0</v>
      </c>
      <c r="BC129" s="15">
        <f>IF('ENCUESTA CONDUCTORES'!BK129="X",1,0)</f>
        <v>0</v>
      </c>
      <c r="BD129" s="15">
        <f>IF('ENCUESTA CONDUCTORES'!BL129="X",1,0)</f>
        <v>0</v>
      </c>
      <c r="BE129" s="15">
        <f>IF('ENCUESTA CONDUCTORES'!BM129="X",1,0)</f>
        <v>0</v>
      </c>
      <c r="BF129" s="15">
        <f>IF('ENCUESTA CONDUCTORES'!BN129="X",1,0)</f>
        <v>0</v>
      </c>
      <c r="BG129" s="15">
        <f>IF('ENCUESTA CONDUCTORES'!BO129="X",1,0)</f>
        <v>0</v>
      </c>
      <c r="BH129" s="15">
        <f>IF('ENCUESTA CONDUCTORES'!BP129="X",1,0)</f>
        <v>0</v>
      </c>
      <c r="BI129" s="15">
        <f>IF('ENCUESTA CONDUCTORES'!BQ129="X",1,0)</f>
        <v>1</v>
      </c>
      <c r="BJ129" s="15">
        <f>IF('ENCUESTA CONDUCTORES'!BR129="X",1,0)</f>
        <v>0</v>
      </c>
      <c r="BK129" s="15">
        <f>+'ENCUESTA CONDUCTORES'!BS129</f>
        <v>0</v>
      </c>
      <c r="BL129" s="15">
        <f>IF('ENCUESTA CONDUCTORES'!BT129="X",1,0)</f>
        <v>0</v>
      </c>
      <c r="BM129" s="15">
        <f>IF('ENCUESTA CONDUCTORES'!BU129="X",1,0)</f>
        <v>0</v>
      </c>
      <c r="BN129" s="15">
        <f>IF('ENCUESTA CONDUCTORES'!BV129="X",1,0)</f>
        <v>1</v>
      </c>
      <c r="BO129" s="15">
        <f>IF('ENCUESTA CONDUCTORES'!BW129="X",1,0)</f>
        <v>0</v>
      </c>
      <c r="BP129" s="15">
        <f>+'ENCUESTA CONDUCTORES'!BX129</f>
        <v>3</v>
      </c>
      <c r="BQ129" s="15">
        <f>+'ENCUESTA CONDUCTORES'!BY129</f>
        <v>2</v>
      </c>
      <c r="BR129" s="15">
        <f>+'ENCUESTA CONDUCTORES'!BZ129</f>
        <v>1</v>
      </c>
      <c r="BS129" s="15">
        <f>+'ENCUESTA CONDUCTORES'!CA129</f>
        <v>0</v>
      </c>
      <c r="BT129" s="15">
        <f>IF('ENCUESTA CONDUCTORES'!CB129="X",1,0)</f>
        <v>0</v>
      </c>
      <c r="BU129" s="15">
        <f>IF('ENCUESTA CONDUCTORES'!CC129="X",1,0)</f>
        <v>1</v>
      </c>
      <c r="BV129" s="15">
        <f>IF('ENCUESTA CONDUCTORES'!CD129="X",1,0)</f>
        <v>0</v>
      </c>
      <c r="BW129" s="15">
        <f>IF('ENCUESTA CONDUCTORES'!CE129="X",1,0)</f>
        <v>0</v>
      </c>
      <c r="BX129" s="15">
        <f>IF('ENCUESTA CONDUCTORES'!CF129="X",1,0)</f>
        <v>0</v>
      </c>
      <c r="BY129" s="15">
        <f>IF('ENCUESTA CONDUCTORES'!CG129="X",1,0)</f>
        <v>0</v>
      </c>
      <c r="BZ129" s="15">
        <f>IF('ENCUESTA CONDUCTORES'!CH129="X",1,0)</f>
        <v>1</v>
      </c>
      <c r="CA129" s="15">
        <f>IF('ENCUESTA CONDUCTORES'!CI129="X",1,0)</f>
        <v>1</v>
      </c>
      <c r="CB129" s="15">
        <f>IF('ENCUESTA CONDUCTORES'!CJ129="X",1,0)</f>
        <v>0</v>
      </c>
      <c r="CC129" s="15">
        <f>IF('ENCUESTA CONDUCTORES'!CK129="X",1,0)</f>
        <v>0</v>
      </c>
      <c r="CD129" s="15">
        <f>IF('ENCUESTA CONDUCTORES'!CL129="X",1,0)</f>
        <v>1</v>
      </c>
      <c r="CE129" s="15">
        <f>IF('ENCUESTA CONDUCTORES'!CM129="X",1,0)</f>
        <v>1</v>
      </c>
      <c r="CF129" s="15" t="str">
        <f>+'ENCUESTA CONDUCTORES'!CN129</f>
        <v>FALTA DE TIEMPO</v>
      </c>
      <c r="CG129" s="15">
        <f>IF('ENCUESTA CONDUCTORES'!CO129="X",1,0)</f>
        <v>0</v>
      </c>
      <c r="CH129" s="15" t="str">
        <f>+'ENCUESTA CONDUCTORES'!CP129</f>
        <v>NO SABE</v>
      </c>
      <c r="CI129" s="15" t="str">
        <f>+'ENCUESTA CONDUCTORES'!CQ129</f>
        <v>DAR INCENTIVOS</v>
      </c>
      <c r="CJ129" s="15">
        <f>IF('ENCUESTA CONDUCTORES'!CR129="X",1,0)</f>
        <v>1</v>
      </c>
      <c r="CK129" s="15">
        <f>IF('ENCUESTA CONDUCTORES'!CS129="X",1,0)</f>
        <v>0</v>
      </c>
      <c r="CL129" s="15">
        <f>IF('ENCUESTA CONDUCTORES'!CT129="X",1,0)</f>
        <v>0</v>
      </c>
      <c r="CM129" s="15">
        <f>+'ENCUESTA CONDUCTORES'!CU129</f>
        <v>0</v>
      </c>
      <c r="CN129" s="15">
        <f>IF('ENCUESTA CONDUCTORES'!CV129="X",1,0)</f>
        <v>0</v>
      </c>
      <c r="CO129" s="15">
        <f>+'ENCUESTA CONDUCTORES'!CW129</f>
        <v>0</v>
      </c>
      <c r="CP129" s="15">
        <f>IF('ENCUESTA CONDUCTORES'!CX129="X",1,0)</f>
        <v>1</v>
      </c>
      <c r="CQ129" s="15">
        <f>IF('ENCUESTA CONDUCTORES'!CY129="X",1,0)</f>
        <v>1</v>
      </c>
      <c r="CR129" s="3">
        <f>+'ENCUESTA CONDUCTORES'!CZ129</f>
        <v>0</v>
      </c>
      <c r="CS129" s="49">
        <f>+'ENCUESTA CONDUCTORES'!DA129</f>
        <v>0</v>
      </c>
    </row>
    <row r="130" spans="2:97" x14ac:dyDescent="0.25">
      <c r="B130" s="14" t="str">
        <f>+'ENCUESTA CONDUCTORES'!D130</f>
        <v>C-136</v>
      </c>
      <c r="C130" s="15">
        <f>IF('ENCUESTA CONDUCTORES'!E130="X",1,0)</f>
        <v>1</v>
      </c>
      <c r="D130" s="15">
        <f>IF('ENCUESTA CONDUCTORES'!F130="X",1,0)</f>
        <v>0</v>
      </c>
      <c r="E130" s="15">
        <f>IF('ENCUESTA CONDUCTORES'!G130="X",1,0)</f>
        <v>0</v>
      </c>
      <c r="F130" s="15">
        <f>IF('ENCUESTA CONDUCTORES'!H130="X",1,0)</f>
        <v>0</v>
      </c>
      <c r="G130" s="15">
        <f>+'ENCUESTA CONDUCTORES'!I130</f>
        <v>32</v>
      </c>
      <c r="H130" s="15" t="str">
        <f>+'ENCUESTA CONDUCTORES'!J130</f>
        <v>M</v>
      </c>
      <c r="I130" s="15" t="str">
        <f>+'ENCUESTA CONDUCTORES'!K130</f>
        <v>PREPARATORIA</v>
      </c>
      <c r="J130" s="15" t="str">
        <f>+'ENCUESTA CONDUCTORES'!L130</f>
        <v>TOLUCA, EDO. MEX.</v>
      </c>
      <c r="K130" s="15" t="str">
        <f>+'ENCUESTA CONDUCTORES'!M130</f>
        <v>TOLUCA</v>
      </c>
      <c r="L130" s="15" t="str">
        <f>+'ENCUESTA CONDUCTORES'!N130</f>
        <v>EDO. MEX.</v>
      </c>
      <c r="M130" s="15">
        <f>+'ENCUESTA CONDUCTORES'!O130</f>
        <v>8</v>
      </c>
      <c r="N130" s="15">
        <f>IF('ENCUESTA CONDUCTORES'!P130="X",1,0)</f>
        <v>0</v>
      </c>
      <c r="O130" s="15">
        <f>IF('ENCUESTA CONDUCTORES'!Q130="X",1,0)</f>
        <v>0</v>
      </c>
      <c r="P130" s="15">
        <f>IF('ENCUESTA CONDUCTORES'!R130="X",1,0)</f>
        <v>0</v>
      </c>
      <c r="Q130" s="15">
        <f>IF('ENCUESTA CONDUCTORES'!S130="X",1,0)</f>
        <v>1</v>
      </c>
      <c r="R130" s="15">
        <f>IF('ENCUESTA CONDUCTORES'!T130="X",1,0)</f>
        <v>0</v>
      </c>
      <c r="S130" s="15">
        <f>IF('ENCUESTA CONDUCTORES'!U130="X",1,0)</f>
        <v>0</v>
      </c>
      <c r="T130" s="15">
        <f>IF('ENCUESTA CONDUCTORES'!V130="X",1,0)</f>
        <v>0</v>
      </c>
      <c r="U130" s="15">
        <f>IF('ENCUESTA CONDUCTORES'!W130="X",1,0)</f>
        <v>0</v>
      </c>
      <c r="V130" s="15">
        <f>IF('ENCUESTA CONDUCTORES'!X130="X",1,0)</f>
        <v>1</v>
      </c>
      <c r="W130" s="15">
        <f>IF('ENCUESTA CONDUCTORES'!Y130="X",1,0)</f>
        <v>0</v>
      </c>
      <c r="X130" s="15">
        <f>IF('ENCUESTA CONDUCTORES'!Z130="X",1,0)</f>
        <v>0</v>
      </c>
      <c r="Y130" s="15">
        <f>+'ENCUESTA CONDUCTORES'!AG130</f>
        <v>0</v>
      </c>
      <c r="Z130" s="15">
        <f>+'ENCUESTA CONDUCTORES'!AH130</f>
        <v>2013</v>
      </c>
      <c r="AA130" s="1">
        <f>+'ENCUESTA CONDUCTORES'!AI130</f>
        <v>80000</v>
      </c>
      <c r="AB130" s="15">
        <f>IF('ENCUESTA CONDUCTORES'!AJ130="X",1,0)</f>
        <v>0</v>
      </c>
      <c r="AC130" s="15">
        <f>IF('ENCUESTA CONDUCTORES'!AK130="X",1,0)</f>
        <v>0</v>
      </c>
      <c r="AD130" s="15">
        <f>IF('ENCUESTA CONDUCTORES'!AL130="X",1,0)</f>
        <v>1</v>
      </c>
      <c r="AE130" s="15">
        <f>IF('ENCUESTA CONDUCTORES'!AM130="X",1,0)</f>
        <v>0</v>
      </c>
      <c r="AF130" s="15">
        <f>IF('ENCUESTA CONDUCTORES'!AN130="X",1,0)</f>
        <v>0</v>
      </c>
      <c r="AG130" s="15">
        <f>IF('ENCUESTA CONDUCTORES'!AO130="X",1,0)</f>
        <v>0</v>
      </c>
      <c r="AH130" s="15">
        <f>IF('ENCUESTA CONDUCTORES'!AP130="X",1,0)</f>
        <v>1</v>
      </c>
      <c r="AI130" s="15">
        <f>IF('ENCUESTA CONDUCTORES'!AQ130="X",1,0)</f>
        <v>0</v>
      </c>
      <c r="AJ130" s="15">
        <f>IF('ENCUESTA CONDUCTORES'!AR130="X",1,0)</f>
        <v>0</v>
      </c>
      <c r="AK130" s="15">
        <f>+'ENCUESTA CONDUCTORES'!AS130</f>
        <v>0</v>
      </c>
      <c r="AL130" s="15" t="str">
        <f>+'ENCUESTA CONDUCTORES'!AT130</f>
        <v>KENWORTH</v>
      </c>
      <c r="AM130" s="1">
        <f>+'ENCUESTA CONDUCTORES'!AU130</f>
        <v>3600</v>
      </c>
      <c r="AN130" s="48">
        <f>+'ENCUESTA CONDUCTORES'!AV130</f>
        <v>0.3</v>
      </c>
      <c r="AO130" s="15">
        <f>+'ENCUESTA CONDUCTORES'!AW130</f>
        <v>2.8</v>
      </c>
      <c r="AP130" s="15">
        <f>+'ENCUESTA CONDUCTORES'!AX130</f>
        <v>2</v>
      </c>
      <c r="AQ130" s="15">
        <f>+'ENCUESTA CONDUCTORES'!AY130</f>
        <v>2</v>
      </c>
      <c r="AR130" s="15">
        <f>+'ENCUESTA CONDUCTORES'!AZ130</f>
        <v>750</v>
      </c>
      <c r="AS130" s="15">
        <f>+'ENCUESTA CONDUCTORES'!BA130</f>
        <v>1800</v>
      </c>
      <c r="AT130" s="15">
        <f>IF('ENCUESTA CONDUCTORES'!BB130="X",1,0)</f>
        <v>1</v>
      </c>
      <c r="AU130" s="15">
        <f>IF('ENCUESTA CONDUCTORES'!BC130="X",1,0)</f>
        <v>1</v>
      </c>
      <c r="AV130" s="15">
        <f>IF('ENCUESTA CONDUCTORES'!BD130="X",1,0)</f>
        <v>1</v>
      </c>
      <c r="AW130" s="1">
        <f>+'ENCUESTA CONDUCTORES'!BE130</f>
        <v>11000</v>
      </c>
      <c r="AX130" s="1">
        <f>+'ENCUESTA CONDUCTORES'!BF130</f>
        <v>15000</v>
      </c>
      <c r="AY130" s="1">
        <f>+'ENCUESTA CONDUCTORES'!BG130</f>
        <v>11000</v>
      </c>
      <c r="AZ130" s="1">
        <f>+'ENCUESTA CONDUCTORES'!BH130</f>
        <v>65000</v>
      </c>
      <c r="BA130" s="1">
        <f>+'ENCUESTA CONDUCTORES'!BI130</f>
        <v>11000</v>
      </c>
      <c r="BB130" s="15">
        <f>IF('ENCUESTA CONDUCTORES'!BJ130="X",1,0)</f>
        <v>0</v>
      </c>
      <c r="BC130" s="15">
        <f>IF('ENCUESTA CONDUCTORES'!BK130="X",1,0)</f>
        <v>0</v>
      </c>
      <c r="BD130" s="15">
        <f>IF('ENCUESTA CONDUCTORES'!BL130="X",1,0)</f>
        <v>0</v>
      </c>
      <c r="BE130" s="15">
        <f>IF('ENCUESTA CONDUCTORES'!BM130="X",1,0)</f>
        <v>0</v>
      </c>
      <c r="BF130" s="15">
        <f>IF('ENCUESTA CONDUCTORES'!BN130="X",1,0)</f>
        <v>0</v>
      </c>
      <c r="BG130" s="15">
        <f>IF('ENCUESTA CONDUCTORES'!BO130="X",1,0)</f>
        <v>0</v>
      </c>
      <c r="BH130" s="15">
        <f>IF('ENCUESTA CONDUCTORES'!BP130="X",1,0)</f>
        <v>0</v>
      </c>
      <c r="BI130" s="15">
        <f>IF('ENCUESTA CONDUCTORES'!BQ130="X",1,0)</f>
        <v>0</v>
      </c>
      <c r="BJ130" s="15">
        <f>IF('ENCUESTA CONDUCTORES'!BR130="X",1,0)</f>
        <v>0</v>
      </c>
      <c r="BK130" s="15" t="str">
        <f>+'ENCUESTA CONDUCTORES'!BS130</f>
        <v>GENERAL</v>
      </c>
      <c r="BL130" s="15">
        <f>IF('ENCUESTA CONDUCTORES'!BT130="X",1,0)</f>
        <v>0</v>
      </c>
      <c r="BM130" s="15">
        <f>IF('ENCUESTA CONDUCTORES'!BU130="X",1,0)</f>
        <v>0</v>
      </c>
      <c r="BN130" s="15">
        <f>IF('ENCUESTA CONDUCTORES'!BV130="X",1,0)</f>
        <v>1</v>
      </c>
      <c r="BO130" s="15">
        <f>IF('ENCUESTA CONDUCTORES'!BW130="X",1,0)</f>
        <v>0</v>
      </c>
      <c r="BP130" s="15">
        <f>+'ENCUESTA CONDUCTORES'!BX130</f>
        <v>1</v>
      </c>
      <c r="BQ130" s="15">
        <f>+'ENCUESTA CONDUCTORES'!BY130</f>
        <v>2</v>
      </c>
      <c r="BR130" s="15">
        <f>+'ENCUESTA CONDUCTORES'!BZ130</f>
        <v>3</v>
      </c>
      <c r="BS130" s="15">
        <f>+'ENCUESTA CONDUCTORES'!CA130</f>
        <v>0</v>
      </c>
      <c r="BT130" s="15">
        <f>IF('ENCUESTA CONDUCTORES'!CB130="X",1,0)</f>
        <v>0</v>
      </c>
      <c r="BU130" s="15">
        <f>IF('ENCUESTA CONDUCTORES'!CC130="X",1,0)</f>
        <v>1</v>
      </c>
      <c r="BV130" s="15">
        <f>IF('ENCUESTA CONDUCTORES'!CD130="X",1,0)</f>
        <v>1</v>
      </c>
      <c r="BW130" s="15">
        <f>IF('ENCUESTA CONDUCTORES'!CE130="X",1,0)</f>
        <v>1</v>
      </c>
      <c r="BX130" s="15">
        <f>IF('ENCUESTA CONDUCTORES'!CF130="X",1,0)</f>
        <v>0</v>
      </c>
      <c r="BY130" s="15">
        <f>IF('ENCUESTA CONDUCTORES'!CG130="X",1,0)</f>
        <v>0</v>
      </c>
      <c r="BZ130" s="15">
        <f>IF('ENCUESTA CONDUCTORES'!CH130="X",1,0)</f>
        <v>1</v>
      </c>
      <c r="CA130" s="15">
        <f>IF('ENCUESTA CONDUCTORES'!CI130="X",1,0)</f>
        <v>1</v>
      </c>
      <c r="CB130" s="15">
        <f>IF('ENCUESTA CONDUCTORES'!CJ130="X",1,0)</f>
        <v>0</v>
      </c>
      <c r="CC130" s="15">
        <f>IF('ENCUESTA CONDUCTORES'!CK130="X",1,0)</f>
        <v>1</v>
      </c>
      <c r="CD130" s="15">
        <f>IF('ENCUESTA CONDUCTORES'!CL130="X",1,0)</f>
        <v>0</v>
      </c>
      <c r="CE130" s="15">
        <f>IF('ENCUESTA CONDUCTORES'!CM130="X",1,0)</f>
        <v>0</v>
      </c>
      <c r="CF130" s="15">
        <f>+'ENCUESTA CONDUCTORES'!CN130</f>
        <v>0</v>
      </c>
      <c r="CG130" s="15">
        <f>IF('ENCUESTA CONDUCTORES'!CO130="X",1,0)</f>
        <v>0</v>
      </c>
      <c r="CH130" s="15" t="str">
        <f>+'ENCUESTA CONDUCTORES'!CP130</f>
        <v>NO SABE</v>
      </c>
      <c r="CI130" s="15" t="str">
        <f>+'ENCUESTA CONDUCTORES'!CQ130</f>
        <v>NO LE INTERESA</v>
      </c>
      <c r="CJ130" s="15">
        <f>IF('ENCUESTA CONDUCTORES'!CR130="X",1,0)</f>
        <v>1</v>
      </c>
      <c r="CK130" s="15">
        <f>IF('ENCUESTA CONDUCTORES'!CS130="X",1,0)</f>
        <v>0</v>
      </c>
      <c r="CL130" s="15">
        <f>IF('ENCUESTA CONDUCTORES'!CT130="X",1,0)</f>
        <v>0</v>
      </c>
      <c r="CM130" s="15">
        <f>+'ENCUESTA CONDUCTORES'!CU130</f>
        <v>0</v>
      </c>
      <c r="CN130" s="15">
        <f>IF('ENCUESTA CONDUCTORES'!CV130="X",1,0)</f>
        <v>0</v>
      </c>
      <c r="CO130" s="15">
        <f>+'ENCUESTA CONDUCTORES'!CW130</f>
        <v>0</v>
      </c>
      <c r="CP130" s="15">
        <f>IF('ENCUESTA CONDUCTORES'!CX130="X",1,0)</f>
        <v>1</v>
      </c>
      <c r="CQ130" s="15">
        <f>IF('ENCUESTA CONDUCTORES'!CY130="X",1,0)</f>
        <v>1</v>
      </c>
      <c r="CR130" s="3">
        <f>+'ENCUESTA CONDUCTORES'!CZ130</f>
        <v>0</v>
      </c>
      <c r="CS130" s="49">
        <f>+'ENCUESTA CONDUCTORES'!DA130</f>
        <v>0</v>
      </c>
    </row>
    <row r="131" spans="2:97" x14ac:dyDescent="0.25">
      <c r="B131" s="14" t="str">
        <f>+'ENCUESTA CONDUCTORES'!D131</f>
        <v>C-137</v>
      </c>
      <c r="C131" s="15">
        <f>IF('ENCUESTA CONDUCTORES'!E131="X",1,0)</f>
        <v>0</v>
      </c>
      <c r="D131" s="15">
        <f>IF('ENCUESTA CONDUCTORES'!F131="X",1,0)</f>
        <v>0</v>
      </c>
      <c r="E131" s="15">
        <f>IF('ENCUESTA CONDUCTORES'!G131="X",1,0)</f>
        <v>1</v>
      </c>
      <c r="F131" s="15">
        <f>IF('ENCUESTA CONDUCTORES'!H131="X",1,0)</f>
        <v>0</v>
      </c>
      <c r="G131" s="15">
        <f>+'ENCUESTA CONDUCTORES'!I131</f>
        <v>24</v>
      </c>
      <c r="H131" s="15" t="str">
        <f>+'ENCUESTA CONDUCTORES'!J131</f>
        <v>M</v>
      </c>
      <c r="I131" s="15" t="str">
        <f>+'ENCUESTA CONDUCTORES'!K131</f>
        <v>BACHILLERATO</v>
      </c>
      <c r="J131" s="15" t="str">
        <f>+'ENCUESTA CONDUCTORES'!L131</f>
        <v>MILPA ALTA, D.F.</v>
      </c>
      <c r="K131" s="15" t="str">
        <f>+'ENCUESTA CONDUCTORES'!M131</f>
        <v>MILPA ALTA</v>
      </c>
      <c r="L131" s="15" t="str">
        <f>+'ENCUESTA CONDUCTORES'!N131</f>
        <v>D.F.</v>
      </c>
      <c r="M131" s="15">
        <f>+'ENCUESTA CONDUCTORES'!O131</f>
        <v>2</v>
      </c>
      <c r="N131" s="15">
        <f>IF('ENCUESTA CONDUCTORES'!P131="X",1,0)</f>
        <v>1</v>
      </c>
      <c r="O131" s="15">
        <f>IF('ENCUESTA CONDUCTORES'!Q131="X",1,0)</f>
        <v>0</v>
      </c>
      <c r="P131" s="15">
        <f>IF('ENCUESTA CONDUCTORES'!R131="X",1,0)</f>
        <v>0</v>
      </c>
      <c r="Q131" s="15">
        <f>IF('ENCUESTA CONDUCTORES'!S131="X",1,0)</f>
        <v>0</v>
      </c>
      <c r="R131" s="15">
        <f>IF('ENCUESTA CONDUCTORES'!T131="X",1,0)</f>
        <v>0</v>
      </c>
      <c r="S131" s="15">
        <f>IF('ENCUESTA CONDUCTORES'!U131="X",1,0)</f>
        <v>0</v>
      </c>
      <c r="T131" s="15">
        <f>IF('ENCUESTA CONDUCTORES'!V131="X",1,0)</f>
        <v>0</v>
      </c>
      <c r="U131" s="15">
        <f>IF('ENCUESTA CONDUCTORES'!W131="X",1,0)</f>
        <v>0</v>
      </c>
      <c r="V131" s="15">
        <f>IF('ENCUESTA CONDUCTORES'!X131="X",1,0)</f>
        <v>1</v>
      </c>
      <c r="W131" s="15">
        <f>IF('ENCUESTA CONDUCTORES'!Y131="X",1,0)</f>
        <v>0</v>
      </c>
      <c r="X131" s="15">
        <f>IF('ENCUESTA CONDUCTORES'!Z131="X",1,0)</f>
        <v>0</v>
      </c>
      <c r="Y131" s="15">
        <f>+'ENCUESTA CONDUCTORES'!AG131</f>
        <v>0</v>
      </c>
      <c r="Z131" s="15">
        <f>+'ENCUESTA CONDUCTORES'!AH131</f>
        <v>2009</v>
      </c>
      <c r="AA131" s="1">
        <f>+'ENCUESTA CONDUCTORES'!AI131</f>
        <v>500000</v>
      </c>
      <c r="AB131" s="15">
        <f>IF('ENCUESTA CONDUCTORES'!AJ131="X",1,0)</f>
        <v>0</v>
      </c>
      <c r="AC131" s="15">
        <f>IF('ENCUESTA CONDUCTORES'!AK131="X",1,0)</f>
        <v>0</v>
      </c>
      <c r="AD131" s="15">
        <f>IF('ENCUESTA CONDUCTORES'!AL131="X",1,0)</f>
        <v>1</v>
      </c>
      <c r="AE131" s="15">
        <f>IF('ENCUESTA CONDUCTORES'!AM131="X",1,0)</f>
        <v>0</v>
      </c>
      <c r="AF131" s="15">
        <f>IF('ENCUESTA CONDUCTORES'!AN131="X",1,0)</f>
        <v>0</v>
      </c>
      <c r="AG131" s="15">
        <f>IF('ENCUESTA CONDUCTORES'!AO131="X",1,0)</f>
        <v>0</v>
      </c>
      <c r="AH131" s="15">
        <f>IF('ENCUESTA CONDUCTORES'!AP131="X",1,0)</f>
        <v>1</v>
      </c>
      <c r="AI131" s="15">
        <f>IF('ENCUESTA CONDUCTORES'!AQ131="X",1,0)</f>
        <v>0</v>
      </c>
      <c r="AJ131" s="15">
        <f>IF('ENCUESTA CONDUCTORES'!AR131="X",1,0)</f>
        <v>0</v>
      </c>
      <c r="AK131" s="15">
        <f>+'ENCUESTA CONDUCTORES'!AS131</f>
        <v>0</v>
      </c>
      <c r="AL131" s="15" t="str">
        <f>+'ENCUESTA CONDUCTORES'!AT131</f>
        <v>CUMMINS</v>
      </c>
      <c r="AM131" s="1">
        <f>+'ENCUESTA CONDUCTORES'!AU131</f>
        <v>2500</v>
      </c>
      <c r="AN131" s="48">
        <f>+'ENCUESTA CONDUCTORES'!AV131</f>
        <v>0.5</v>
      </c>
      <c r="AO131" s="15">
        <f>+'ENCUESTA CONDUCTORES'!AW131</f>
        <v>2.7</v>
      </c>
      <c r="AP131" s="15">
        <f>+'ENCUESTA CONDUCTORES'!AX131</f>
        <v>2.4</v>
      </c>
      <c r="AQ131" s="15">
        <f>+'ENCUESTA CONDUCTORES'!AY131</f>
        <v>2</v>
      </c>
      <c r="AR131" s="15">
        <f>+'ENCUESTA CONDUCTORES'!AZ131</f>
        <v>350</v>
      </c>
      <c r="AS131" s="15">
        <f>+'ENCUESTA CONDUCTORES'!BA131</f>
        <v>900</v>
      </c>
      <c r="AT131" s="15">
        <f>IF('ENCUESTA CONDUCTORES'!BB131="X",1,0)</f>
        <v>0</v>
      </c>
      <c r="AU131" s="15">
        <f>IF('ENCUESTA CONDUCTORES'!BC131="X",1,0)</f>
        <v>1</v>
      </c>
      <c r="AV131" s="15">
        <f>IF('ENCUESTA CONDUCTORES'!BD131="X",1,0)</f>
        <v>0</v>
      </c>
      <c r="AW131" s="1">
        <f>+'ENCUESTA CONDUCTORES'!BE131</f>
        <v>10000</v>
      </c>
      <c r="AX131" s="1">
        <f>+'ENCUESTA CONDUCTORES'!BF131</f>
        <v>7500</v>
      </c>
      <c r="AY131" s="1">
        <f>+'ENCUESTA CONDUCTORES'!BG131</f>
        <v>10000</v>
      </c>
      <c r="AZ131" s="1">
        <f>+'ENCUESTA CONDUCTORES'!BH131</f>
        <v>30000</v>
      </c>
      <c r="BA131" s="1">
        <f>+'ENCUESTA CONDUCTORES'!BI131</f>
        <v>10000</v>
      </c>
      <c r="BB131" s="15">
        <f>IF('ENCUESTA CONDUCTORES'!BJ131="X",1,0)</f>
        <v>0</v>
      </c>
      <c r="BC131" s="15">
        <f>IF('ENCUESTA CONDUCTORES'!BK131="X",1,0)</f>
        <v>0</v>
      </c>
      <c r="BD131" s="15">
        <f>IF('ENCUESTA CONDUCTORES'!BL131="X",1,0)</f>
        <v>0</v>
      </c>
      <c r="BE131" s="15">
        <f>IF('ENCUESTA CONDUCTORES'!BM131="X",1,0)</f>
        <v>0</v>
      </c>
      <c r="BF131" s="15">
        <f>IF('ENCUESTA CONDUCTORES'!BN131="X",1,0)</f>
        <v>0</v>
      </c>
      <c r="BG131" s="15">
        <f>IF('ENCUESTA CONDUCTORES'!BO131="X",1,0)</f>
        <v>0</v>
      </c>
      <c r="BH131" s="15">
        <f>IF('ENCUESTA CONDUCTORES'!BP131="X",1,0)</f>
        <v>0</v>
      </c>
      <c r="BI131" s="15">
        <f>IF('ENCUESTA CONDUCTORES'!BQ131="X",1,0)</f>
        <v>1</v>
      </c>
      <c r="BJ131" s="15">
        <f>IF('ENCUESTA CONDUCTORES'!BR131="X",1,0)</f>
        <v>0</v>
      </c>
      <c r="BK131" s="15">
        <f>+'ENCUESTA CONDUCTORES'!BS131</f>
        <v>0</v>
      </c>
      <c r="BL131" s="15">
        <f>IF('ENCUESTA CONDUCTORES'!BT131="X",1,0)</f>
        <v>0</v>
      </c>
      <c r="BM131" s="15">
        <f>IF('ENCUESTA CONDUCTORES'!BU131="X",1,0)</f>
        <v>0</v>
      </c>
      <c r="BN131" s="15">
        <f>IF('ENCUESTA CONDUCTORES'!BV131="X",1,0)</f>
        <v>1</v>
      </c>
      <c r="BO131" s="15">
        <f>IF('ENCUESTA CONDUCTORES'!BW131="X",1,0)</f>
        <v>0</v>
      </c>
      <c r="BP131" s="15">
        <f>+'ENCUESTA CONDUCTORES'!BX131</f>
        <v>1</v>
      </c>
      <c r="BQ131" s="15">
        <f>+'ENCUESTA CONDUCTORES'!BY131</f>
        <v>2</v>
      </c>
      <c r="BR131" s="15">
        <f>+'ENCUESTA CONDUCTORES'!BZ131</f>
        <v>3</v>
      </c>
      <c r="BS131" s="15">
        <f>+'ENCUESTA CONDUCTORES'!CA131</f>
        <v>0</v>
      </c>
      <c r="BT131" s="15">
        <f>IF('ENCUESTA CONDUCTORES'!CB131="X",1,0)</f>
        <v>1</v>
      </c>
      <c r="BU131" s="15">
        <f>IF('ENCUESTA CONDUCTORES'!CC131="X",1,0)</f>
        <v>0</v>
      </c>
      <c r="BV131" s="15">
        <f>IF('ENCUESTA CONDUCTORES'!CD131="X",1,0)</f>
        <v>0</v>
      </c>
      <c r="BW131" s="15">
        <f>IF('ENCUESTA CONDUCTORES'!CE131="X",1,0)</f>
        <v>0</v>
      </c>
      <c r="BX131" s="15">
        <f>IF('ENCUESTA CONDUCTORES'!CF131="X",1,0)</f>
        <v>0</v>
      </c>
      <c r="BY131" s="15">
        <f>IF('ENCUESTA CONDUCTORES'!CG131="X",1,0)</f>
        <v>0</v>
      </c>
      <c r="BZ131" s="15">
        <f>IF('ENCUESTA CONDUCTORES'!CH131="X",1,0)</f>
        <v>0</v>
      </c>
      <c r="CA131" s="15">
        <f>IF('ENCUESTA CONDUCTORES'!CI131="X",1,0)</f>
        <v>0</v>
      </c>
      <c r="CB131" s="15">
        <f>IF('ENCUESTA CONDUCTORES'!CJ131="X",1,0)</f>
        <v>0</v>
      </c>
      <c r="CC131" s="15">
        <f>IF('ENCUESTA CONDUCTORES'!CK131="X",1,0)</f>
        <v>1</v>
      </c>
      <c r="CD131" s="15">
        <f>IF('ENCUESTA CONDUCTORES'!CL131="X",1,0)</f>
        <v>0</v>
      </c>
      <c r="CE131" s="15">
        <f>IF('ENCUESTA CONDUCTORES'!CM131="X",1,0)</f>
        <v>0</v>
      </c>
      <c r="CF131" s="15">
        <f>+'ENCUESTA CONDUCTORES'!CN131</f>
        <v>0</v>
      </c>
      <c r="CG131" s="15">
        <f>IF('ENCUESTA CONDUCTORES'!CO131="X",1,0)</f>
        <v>0</v>
      </c>
      <c r="CH131" s="15" t="str">
        <f>+'ENCUESTA CONDUCTORES'!CP131</f>
        <v>NO SABE</v>
      </c>
      <c r="CI131" s="15" t="str">
        <f>+'ENCUESTA CONDUCTORES'!CQ131</f>
        <v>DARLO A CONOCER</v>
      </c>
      <c r="CJ131" s="15">
        <f>IF('ENCUESTA CONDUCTORES'!CR131="X",1,0)</f>
        <v>1</v>
      </c>
      <c r="CK131" s="15">
        <f>IF('ENCUESTA CONDUCTORES'!CS131="X",1,0)</f>
        <v>0</v>
      </c>
      <c r="CL131" s="15">
        <f>IF('ENCUESTA CONDUCTORES'!CT131="X",1,0)</f>
        <v>0</v>
      </c>
      <c r="CM131" s="15">
        <f>+'ENCUESTA CONDUCTORES'!CU131</f>
        <v>0</v>
      </c>
      <c r="CN131" s="15">
        <f>IF('ENCUESTA CONDUCTORES'!CV131="X",1,0)</f>
        <v>0</v>
      </c>
      <c r="CO131" s="15">
        <f>+'ENCUESTA CONDUCTORES'!CW131</f>
        <v>0</v>
      </c>
      <c r="CP131" s="15">
        <f>IF('ENCUESTA CONDUCTORES'!CX131="X",1,0)</f>
        <v>1</v>
      </c>
      <c r="CQ131" s="15">
        <f>IF('ENCUESTA CONDUCTORES'!CY131="X",1,0)</f>
        <v>1</v>
      </c>
      <c r="CR131" s="3">
        <f>+'ENCUESTA CONDUCTORES'!CZ131</f>
        <v>0</v>
      </c>
      <c r="CS131" s="49">
        <f>+'ENCUESTA CONDUCTORES'!DA131</f>
        <v>0</v>
      </c>
    </row>
    <row r="132" spans="2:97" x14ac:dyDescent="0.25">
      <c r="B132" s="14" t="str">
        <f>+'ENCUESTA CONDUCTORES'!D132</f>
        <v>C-138</v>
      </c>
      <c r="C132" s="15">
        <f>IF('ENCUESTA CONDUCTORES'!E132="X",1,0)</f>
        <v>0</v>
      </c>
      <c r="D132" s="15">
        <f>IF('ENCUESTA CONDUCTORES'!F132="X",1,0)</f>
        <v>0</v>
      </c>
      <c r="E132" s="15">
        <f>IF('ENCUESTA CONDUCTORES'!G132="X",1,0)</f>
        <v>1</v>
      </c>
      <c r="F132" s="15">
        <f>IF('ENCUESTA CONDUCTORES'!H132="X",1,0)</f>
        <v>0</v>
      </c>
      <c r="G132" s="15">
        <f>+'ENCUESTA CONDUCTORES'!I132</f>
        <v>30</v>
      </c>
      <c r="H132" s="15" t="str">
        <f>+'ENCUESTA CONDUCTORES'!J132</f>
        <v>M</v>
      </c>
      <c r="I132" s="15" t="str">
        <f>+'ENCUESTA CONDUCTORES'!K132</f>
        <v>PRIMARIA</v>
      </c>
      <c r="J132" s="15" t="str">
        <f>+'ENCUESTA CONDUCTORES'!L132</f>
        <v>LOS REYES LA PAZ, EDO. DE MEX.</v>
      </c>
      <c r="K132" s="15" t="str">
        <f>+'ENCUESTA CONDUCTORES'!M132</f>
        <v>LOS REYES LA PAZ</v>
      </c>
      <c r="L132" s="15" t="str">
        <f>+'ENCUESTA CONDUCTORES'!N132</f>
        <v>EDO. MEX.</v>
      </c>
      <c r="M132" s="15">
        <f>+'ENCUESTA CONDUCTORES'!O132</f>
        <v>10</v>
      </c>
      <c r="N132" s="15">
        <f>IF('ENCUESTA CONDUCTORES'!P132="X",1,0)</f>
        <v>0</v>
      </c>
      <c r="O132" s="15">
        <f>IF('ENCUESTA CONDUCTORES'!Q132="X",1,0)</f>
        <v>0</v>
      </c>
      <c r="P132" s="15">
        <f>IF('ENCUESTA CONDUCTORES'!R132="X",1,0)</f>
        <v>0</v>
      </c>
      <c r="Q132" s="15">
        <f>IF('ENCUESTA CONDUCTORES'!S132="X",1,0)</f>
        <v>1</v>
      </c>
      <c r="R132" s="15">
        <f>IF('ENCUESTA CONDUCTORES'!T132="X",1,0)</f>
        <v>0</v>
      </c>
      <c r="S132" s="15">
        <f>IF('ENCUESTA CONDUCTORES'!U132="X",1,0)</f>
        <v>1</v>
      </c>
      <c r="T132" s="15">
        <f>IF('ENCUESTA CONDUCTORES'!V132="X",1,0)</f>
        <v>0</v>
      </c>
      <c r="U132" s="15">
        <f>IF('ENCUESTA CONDUCTORES'!W132="X",1,0)</f>
        <v>0</v>
      </c>
      <c r="V132" s="15">
        <f>IF('ENCUESTA CONDUCTORES'!X132="X",1,0)</f>
        <v>0</v>
      </c>
      <c r="W132" s="15">
        <f>IF('ENCUESTA CONDUCTORES'!Y132="X",1,0)</f>
        <v>0</v>
      </c>
      <c r="X132" s="15">
        <f>IF('ENCUESTA CONDUCTORES'!Z132="X",1,0)</f>
        <v>0</v>
      </c>
      <c r="Y132" s="15">
        <f>+'ENCUESTA CONDUCTORES'!AG132</f>
        <v>0</v>
      </c>
      <c r="Z132" s="15">
        <f>+'ENCUESTA CONDUCTORES'!AH132</f>
        <v>2011</v>
      </c>
      <c r="AA132" s="1">
        <f>+'ENCUESTA CONDUCTORES'!AI132</f>
        <v>98000</v>
      </c>
      <c r="AB132" s="15">
        <f>IF('ENCUESTA CONDUCTORES'!AJ132="X",1,0)</f>
        <v>0</v>
      </c>
      <c r="AC132" s="15">
        <f>IF('ENCUESTA CONDUCTORES'!AK132="X",1,0)</f>
        <v>0</v>
      </c>
      <c r="AD132" s="15">
        <f>IF('ENCUESTA CONDUCTORES'!AL132="X",1,0)</f>
        <v>1</v>
      </c>
      <c r="AE132" s="15">
        <f>IF('ENCUESTA CONDUCTORES'!AM132="X",1,0)</f>
        <v>0</v>
      </c>
      <c r="AF132" s="15">
        <f>IF('ENCUESTA CONDUCTORES'!AN132="X",1,0)</f>
        <v>0</v>
      </c>
      <c r="AG132" s="15">
        <f>IF('ENCUESTA CONDUCTORES'!AO132="X",1,0)</f>
        <v>0</v>
      </c>
      <c r="AH132" s="15">
        <f>IF('ENCUESTA CONDUCTORES'!AP132="X",1,0)</f>
        <v>1</v>
      </c>
      <c r="AI132" s="15">
        <f>IF('ENCUESTA CONDUCTORES'!AQ132="X",1,0)</f>
        <v>0</v>
      </c>
      <c r="AJ132" s="15">
        <f>IF('ENCUESTA CONDUCTORES'!AR132="X",1,0)</f>
        <v>0</v>
      </c>
      <c r="AK132" s="15">
        <f>+'ENCUESTA CONDUCTORES'!AS132</f>
        <v>0</v>
      </c>
      <c r="AL132" s="15" t="str">
        <f>+'ENCUESTA CONDUCTORES'!AT132</f>
        <v>CUMMINS</v>
      </c>
      <c r="AM132" s="1">
        <f>+'ENCUESTA CONDUCTORES'!AU132</f>
        <v>9800</v>
      </c>
      <c r="AN132" s="48">
        <f>+'ENCUESTA CONDUCTORES'!AV132</f>
        <v>0.5</v>
      </c>
      <c r="AO132" s="15">
        <f>+'ENCUESTA CONDUCTORES'!AW132</f>
        <v>1.8</v>
      </c>
      <c r="AP132" s="15">
        <f>+'ENCUESTA CONDUCTORES'!AX132</f>
        <v>1.5</v>
      </c>
      <c r="AQ132" s="15">
        <f>+'ENCUESTA CONDUCTORES'!AY132</f>
        <v>2</v>
      </c>
      <c r="AR132" s="15">
        <f>+'ENCUESTA CONDUCTORES'!AZ132</f>
        <v>530</v>
      </c>
      <c r="AS132" s="15">
        <f>+'ENCUESTA CONDUCTORES'!BA132</f>
        <v>900</v>
      </c>
      <c r="AT132" s="15">
        <f>IF('ENCUESTA CONDUCTORES'!BB132="X",1,0)</f>
        <v>0</v>
      </c>
      <c r="AU132" s="15">
        <f>IF('ENCUESTA CONDUCTORES'!BC132="X",1,0)</f>
        <v>1</v>
      </c>
      <c r="AV132" s="15">
        <f>IF('ENCUESTA CONDUCTORES'!BD132="X",1,0)</f>
        <v>0</v>
      </c>
      <c r="AW132" s="1">
        <f>+'ENCUESTA CONDUCTORES'!BE132</f>
        <v>10000</v>
      </c>
      <c r="AX132" s="1">
        <f>+'ENCUESTA CONDUCTORES'!BF132</f>
        <v>8000</v>
      </c>
      <c r="AY132" s="1">
        <f>+'ENCUESTA CONDUCTORES'!BG132</f>
        <v>10000</v>
      </c>
      <c r="AZ132" s="1">
        <f>+'ENCUESTA CONDUCTORES'!BH132</f>
        <v>100000</v>
      </c>
      <c r="BA132" s="1">
        <f>+'ENCUESTA CONDUCTORES'!BI132</f>
        <v>10000</v>
      </c>
      <c r="BB132" s="15">
        <f>IF('ENCUESTA CONDUCTORES'!BJ132="X",1,0)</f>
        <v>0</v>
      </c>
      <c r="BC132" s="15">
        <f>IF('ENCUESTA CONDUCTORES'!BK132="X",1,0)</f>
        <v>1</v>
      </c>
      <c r="BD132" s="15">
        <f>IF('ENCUESTA CONDUCTORES'!BL132="X",1,0)</f>
        <v>0</v>
      </c>
      <c r="BE132" s="15">
        <f>IF('ENCUESTA CONDUCTORES'!BM132="X",1,0)</f>
        <v>0</v>
      </c>
      <c r="BF132" s="15">
        <f>IF('ENCUESTA CONDUCTORES'!BN132="X",1,0)</f>
        <v>0</v>
      </c>
      <c r="BG132" s="15">
        <f>IF('ENCUESTA CONDUCTORES'!BO132="X",1,0)</f>
        <v>0</v>
      </c>
      <c r="BH132" s="15">
        <f>IF('ENCUESTA CONDUCTORES'!BP132="X",1,0)</f>
        <v>0</v>
      </c>
      <c r="BI132" s="15">
        <f>IF('ENCUESTA CONDUCTORES'!BQ132="X",1,0)</f>
        <v>0</v>
      </c>
      <c r="BJ132" s="15">
        <f>IF('ENCUESTA CONDUCTORES'!BR132="X",1,0)</f>
        <v>0</v>
      </c>
      <c r="BK132" s="15">
        <f>+'ENCUESTA CONDUCTORES'!BS132</f>
        <v>0</v>
      </c>
      <c r="BL132" s="15">
        <f>IF('ENCUESTA CONDUCTORES'!BT132="X",1,0)</f>
        <v>0</v>
      </c>
      <c r="BM132" s="15">
        <f>IF('ENCUESTA CONDUCTORES'!BU132="X",1,0)</f>
        <v>1</v>
      </c>
      <c r="BN132" s="15">
        <f>IF('ENCUESTA CONDUCTORES'!BV132="X",1,0)</f>
        <v>0</v>
      </c>
      <c r="BO132" s="15">
        <f>IF('ENCUESTA CONDUCTORES'!BW132="X",1,0)</f>
        <v>0</v>
      </c>
      <c r="BP132" s="15">
        <f>+'ENCUESTA CONDUCTORES'!BX132</f>
        <v>1</v>
      </c>
      <c r="BQ132" s="15">
        <f>+'ENCUESTA CONDUCTORES'!BY132</f>
        <v>3</v>
      </c>
      <c r="BR132" s="15">
        <f>+'ENCUESTA CONDUCTORES'!BZ132</f>
        <v>2</v>
      </c>
      <c r="BS132" s="15">
        <f>+'ENCUESTA CONDUCTORES'!CA132</f>
        <v>0</v>
      </c>
      <c r="BT132" s="15">
        <f>IF('ENCUESTA CONDUCTORES'!CB132="X",1,0)</f>
        <v>1</v>
      </c>
      <c r="BU132" s="15">
        <f>IF('ENCUESTA CONDUCTORES'!CC132="X",1,0)</f>
        <v>0</v>
      </c>
      <c r="BV132" s="15">
        <f>IF('ENCUESTA CONDUCTORES'!CD132="X",1,0)</f>
        <v>0</v>
      </c>
      <c r="BW132" s="15">
        <f>IF('ENCUESTA CONDUCTORES'!CE132="X",1,0)</f>
        <v>0</v>
      </c>
      <c r="BX132" s="15">
        <f>IF('ENCUESTA CONDUCTORES'!CF132="X",1,0)</f>
        <v>0</v>
      </c>
      <c r="BY132" s="15">
        <f>IF('ENCUESTA CONDUCTORES'!CG132="X",1,0)</f>
        <v>0</v>
      </c>
      <c r="BZ132" s="15">
        <f>IF('ENCUESTA CONDUCTORES'!CH132="X",1,0)</f>
        <v>0</v>
      </c>
      <c r="CA132" s="15">
        <f>IF('ENCUESTA CONDUCTORES'!CI132="X",1,0)</f>
        <v>0</v>
      </c>
      <c r="CB132" s="15">
        <f>IF('ENCUESTA CONDUCTORES'!CJ132="X",1,0)</f>
        <v>0</v>
      </c>
      <c r="CC132" s="15">
        <f>IF('ENCUESTA CONDUCTORES'!CK132="X",1,0)</f>
        <v>1</v>
      </c>
      <c r="CD132" s="15">
        <f>IF('ENCUESTA CONDUCTORES'!CL132="X",1,0)</f>
        <v>0</v>
      </c>
      <c r="CE132" s="15">
        <f>IF('ENCUESTA CONDUCTORES'!CM132="X",1,0)</f>
        <v>0</v>
      </c>
      <c r="CF132" s="15">
        <f>+'ENCUESTA CONDUCTORES'!CN132</f>
        <v>0</v>
      </c>
      <c r="CG132" s="15">
        <f>IF('ENCUESTA CONDUCTORES'!CO132="X",1,0)</f>
        <v>0</v>
      </c>
      <c r="CH132" s="15" t="str">
        <f>+'ENCUESTA CONDUCTORES'!CP132</f>
        <v>NO SABE</v>
      </c>
      <c r="CI132" s="15" t="str">
        <f>+'ENCUESTA CONDUCTORES'!CQ132</f>
        <v>PUBLICIDAD</v>
      </c>
      <c r="CJ132" s="15">
        <f>IF('ENCUESTA CONDUCTORES'!CR132="X",1,0)</f>
        <v>0</v>
      </c>
      <c r="CK132" s="15">
        <f>IF('ENCUESTA CONDUCTORES'!CS132="X",1,0)</f>
        <v>0</v>
      </c>
      <c r="CL132" s="15">
        <f>IF('ENCUESTA CONDUCTORES'!CT132="X",1,0)</f>
        <v>1</v>
      </c>
      <c r="CM132" s="15">
        <f>+'ENCUESTA CONDUCTORES'!CU132</f>
        <v>0</v>
      </c>
      <c r="CN132" s="15">
        <f>IF('ENCUESTA CONDUCTORES'!CV132="X",1,0)</f>
        <v>0</v>
      </c>
      <c r="CO132" s="15">
        <f>+'ENCUESTA CONDUCTORES'!CW132</f>
        <v>0</v>
      </c>
      <c r="CP132" s="15">
        <f>IF('ENCUESTA CONDUCTORES'!CX132="X",1,0)</f>
        <v>1</v>
      </c>
      <c r="CQ132" s="15">
        <f>IF('ENCUESTA CONDUCTORES'!CY132="X",1,0)</f>
        <v>1</v>
      </c>
      <c r="CR132" s="3">
        <f>+'ENCUESTA CONDUCTORES'!CZ132</f>
        <v>0</v>
      </c>
      <c r="CS132" s="49">
        <f>+'ENCUESTA CONDUCTORES'!DA132</f>
        <v>0</v>
      </c>
    </row>
    <row r="133" spans="2:97" x14ac:dyDescent="0.25">
      <c r="B133" s="14" t="str">
        <f>+'ENCUESTA CONDUCTORES'!D133</f>
        <v>C-139</v>
      </c>
      <c r="C133" s="15">
        <f>IF('ENCUESTA CONDUCTORES'!E133="X",1,0)</f>
        <v>0</v>
      </c>
      <c r="D133" s="15">
        <f>IF('ENCUESTA CONDUCTORES'!F133="X",1,0)</f>
        <v>1</v>
      </c>
      <c r="E133" s="15">
        <f>IF('ENCUESTA CONDUCTORES'!G133="X",1,0)</f>
        <v>0</v>
      </c>
      <c r="F133" s="15">
        <f>IF('ENCUESTA CONDUCTORES'!H133="X",1,0)</f>
        <v>0</v>
      </c>
      <c r="G133" s="15">
        <f>+'ENCUESTA CONDUCTORES'!I133</f>
        <v>26</v>
      </c>
      <c r="H133" s="15" t="str">
        <f>+'ENCUESTA CONDUCTORES'!J133</f>
        <v>M</v>
      </c>
      <c r="I133" s="15" t="str">
        <f>+'ENCUESTA CONDUCTORES'!K133</f>
        <v>SECUNDARIA</v>
      </c>
      <c r="J133" s="15" t="str">
        <f>+'ENCUESTA CONDUCTORES'!L133</f>
        <v>ECATEPEC, EDO. MEX.</v>
      </c>
      <c r="K133" s="15" t="str">
        <f>+'ENCUESTA CONDUCTORES'!M133</f>
        <v>ECATEPEC</v>
      </c>
      <c r="L133" s="15" t="str">
        <f>+'ENCUESTA CONDUCTORES'!N133</f>
        <v>EDO. MEX.</v>
      </c>
      <c r="M133" s="15">
        <f>+'ENCUESTA CONDUCTORES'!O133</f>
        <v>7</v>
      </c>
      <c r="N133" s="15">
        <f>IF('ENCUESTA CONDUCTORES'!P133="X",1,0)</f>
        <v>0</v>
      </c>
      <c r="O133" s="15">
        <f>IF('ENCUESTA CONDUCTORES'!Q133="X",1,0)</f>
        <v>0</v>
      </c>
      <c r="P133" s="15">
        <f>IF('ENCUESTA CONDUCTORES'!R133="X",1,0)</f>
        <v>0</v>
      </c>
      <c r="Q133" s="15">
        <f>IF('ENCUESTA CONDUCTORES'!S133="X",1,0)</f>
        <v>1</v>
      </c>
      <c r="R133" s="15">
        <f>IF('ENCUESTA CONDUCTORES'!T133="X",1,0)</f>
        <v>0</v>
      </c>
      <c r="S133" s="15">
        <f>IF('ENCUESTA CONDUCTORES'!U133="X",1,0)</f>
        <v>0</v>
      </c>
      <c r="T133" s="15">
        <f>IF('ENCUESTA CONDUCTORES'!V133="X",1,0)</f>
        <v>0</v>
      </c>
      <c r="U133" s="15">
        <f>IF('ENCUESTA CONDUCTORES'!W133="X",1,0)</f>
        <v>0</v>
      </c>
      <c r="V133" s="15">
        <f>IF('ENCUESTA CONDUCTORES'!X133="X",1,0)</f>
        <v>0</v>
      </c>
      <c r="W133" s="15">
        <f>IF('ENCUESTA CONDUCTORES'!Y133="X",1,0)</f>
        <v>0</v>
      </c>
      <c r="X133" s="15">
        <f>IF('ENCUESTA CONDUCTORES'!Z133="X",1,0)</f>
        <v>0</v>
      </c>
      <c r="Y133" s="15">
        <f>+'ENCUESTA CONDUCTORES'!AG133</f>
        <v>0</v>
      </c>
      <c r="Z133" s="15">
        <f>+'ENCUESTA CONDUCTORES'!AH133</f>
        <v>1990</v>
      </c>
      <c r="AA133" s="1">
        <f>+'ENCUESTA CONDUCTORES'!AI133</f>
        <v>1195000</v>
      </c>
      <c r="AB133" s="15">
        <f>IF('ENCUESTA CONDUCTORES'!AJ133="X",1,0)</f>
        <v>0</v>
      </c>
      <c r="AC133" s="15">
        <f>IF('ENCUESTA CONDUCTORES'!AK133="X",1,0)</f>
        <v>0</v>
      </c>
      <c r="AD133" s="15">
        <f>IF('ENCUESTA CONDUCTORES'!AL133="X",1,0)</f>
        <v>1</v>
      </c>
      <c r="AE133" s="15">
        <f>IF('ENCUESTA CONDUCTORES'!AM133="X",1,0)</f>
        <v>0</v>
      </c>
      <c r="AF133" s="15">
        <f>IF('ENCUESTA CONDUCTORES'!AN133="X",1,0)</f>
        <v>0</v>
      </c>
      <c r="AG133" s="15">
        <f>IF('ENCUESTA CONDUCTORES'!AO133="X",1,0)</f>
        <v>0</v>
      </c>
      <c r="AH133" s="15">
        <f>IF('ENCUESTA CONDUCTORES'!AP133="X",1,0)</f>
        <v>1</v>
      </c>
      <c r="AI133" s="15">
        <f>IF('ENCUESTA CONDUCTORES'!AQ133="X",1,0)</f>
        <v>0</v>
      </c>
      <c r="AJ133" s="15">
        <f>IF('ENCUESTA CONDUCTORES'!AR133="X",1,0)</f>
        <v>0</v>
      </c>
      <c r="AK133" s="15">
        <f>+'ENCUESTA CONDUCTORES'!AS133</f>
        <v>0</v>
      </c>
      <c r="AL133" s="15" t="str">
        <f>+'ENCUESTA CONDUCTORES'!AT133</f>
        <v>FREIGHTLINER</v>
      </c>
      <c r="AM133" s="1">
        <f>+'ENCUESTA CONDUCTORES'!AU133</f>
        <v>6000</v>
      </c>
      <c r="AN133" s="48">
        <f>+'ENCUESTA CONDUCTORES'!AV133</f>
        <v>0.2</v>
      </c>
      <c r="AO133" s="15">
        <f>+'ENCUESTA CONDUCTORES'!AW133</f>
        <v>2.5</v>
      </c>
      <c r="AP133" s="15">
        <f>+'ENCUESTA CONDUCTORES'!AX133</f>
        <v>1.1000000000000001</v>
      </c>
      <c r="AQ133" s="15">
        <f>+'ENCUESTA CONDUCTORES'!AY133</f>
        <v>2</v>
      </c>
      <c r="AR133" s="15">
        <f>+'ENCUESTA CONDUCTORES'!AZ133</f>
        <v>770</v>
      </c>
      <c r="AS133" s="15">
        <f>+'ENCUESTA CONDUCTORES'!BA133</f>
        <v>1000</v>
      </c>
      <c r="AT133" s="15">
        <f>IF('ENCUESTA CONDUCTORES'!BB133="X",1,0)</f>
        <v>1</v>
      </c>
      <c r="AU133" s="15">
        <f>IF('ENCUESTA CONDUCTORES'!BC133="X",1,0)</f>
        <v>1</v>
      </c>
      <c r="AV133" s="15">
        <f>IF('ENCUESTA CONDUCTORES'!BD133="X",1,0)</f>
        <v>0</v>
      </c>
      <c r="AW133" s="1">
        <f>+'ENCUESTA CONDUCTORES'!BE133</f>
        <v>3000</v>
      </c>
      <c r="AX133" s="1">
        <f>+'ENCUESTA CONDUCTORES'!BF133</f>
        <v>72000</v>
      </c>
      <c r="AY133" s="1">
        <f>+'ENCUESTA CONDUCTORES'!BG133</f>
        <v>36000</v>
      </c>
      <c r="AZ133" s="1">
        <f>+'ENCUESTA CONDUCTORES'!BH133</f>
        <v>110000</v>
      </c>
      <c r="BA133" s="1">
        <f>+'ENCUESTA CONDUCTORES'!BI133</f>
        <v>36000</v>
      </c>
      <c r="BB133" s="15">
        <f>IF('ENCUESTA CONDUCTORES'!BJ133="X",1,0)</f>
        <v>0</v>
      </c>
      <c r="BC133" s="15">
        <f>IF('ENCUESTA CONDUCTORES'!BK133="X",1,0)</f>
        <v>0</v>
      </c>
      <c r="BD133" s="15">
        <f>IF('ENCUESTA CONDUCTORES'!BL133="X",1,0)</f>
        <v>0</v>
      </c>
      <c r="BE133" s="15">
        <f>IF('ENCUESTA CONDUCTORES'!BM133="X",1,0)</f>
        <v>1</v>
      </c>
      <c r="BF133" s="15">
        <f>IF('ENCUESTA CONDUCTORES'!BN133="X",1,0)</f>
        <v>0</v>
      </c>
      <c r="BG133" s="15">
        <f>IF('ENCUESTA CONDUCTORES'!BO133="X",1,0)</f>
        <v>0</v>
      </c>
      <c r="BH133" s="15">
        <f>IF('ENCUESTA CONDUCTORES'!BP133="X",1,0)</f>
        <v>0</v>
      </c>
      <c r="BI133" s="15">
        <f>IF('ENCUESTA CONDUCTORES'!BQ133="X",1,0)</f>
        <v>0</v>
      </c>
      <c r="BJ133" s="15">
        <f>IF('ENCUESTA CONDUCTORES'!BR133="X",1,0)</f>
        <v>0</v>
      </c>
      <c r="BK133" s="15">
        <f>+'ENCUESTA CONDUCTORES'!BS133</f>
        <v>0</v>
      </c>
      <c r="BL133" s="15">
        <f>IF('ENCUESTA CONDUCTORES'!BT133="X",1,0)</f>
        <v>0</v>
      </c>
      <c r="BM133" s="15">
        <f>IF('ENCUESTA CONDUCTORES'!BU133="X",1,0)</f>
        <v>0</v>
      </c>
      <c r="BN133" s="15">
        <f>IF('ENCUESTA CONDUCTORES'!BV133="X",1,0)</f>
        <v>1</v>
      </c>
      <c r="BO133" s="15">
        <f>IF('ENCUESTA CONDUCTORES'!BW133="X",1,0)</f>
        <v>0</v>
      </c>
      <c r="BP133" s="15">
        <f>+'ENCUESTA CONDUCTORES'!BX133</f>
        <v>1</v>
      </c>
      <c r="BQ133" s="15">
        <f>+'ENCUESTA CONDUCTORES'!BY133</f>
        <v>3</v>
      </c>
      <c r="BR133" s="15">
        <f>+'ENCUESTA CONDUCTORES'!BZ133</f>
        <v>2</v>
      </c>
      <c r="BS133" s="15">
        <f>+'ENCUESTA CONDUCTORES'!CA133</f>
        <v>0</v>
      </c>
      <c r="BT133" s="15">
        <f>IF('ENCUESTA CONDUCTORES'!CB133="X",1,0)</f>
        <v>0</v>
      </c>
      <c r="BU133" s="15">
        <f>IF('ENCUESTA CONDUCTORES'!CC133="X",1,0)</f>
        <v>1</v>
      </c>
      <c r="BV133" s="15">
        <f>IF('ENCUESTA CONDUCTORES'!CD133="X",1,0)</f>
        <v>0</v>
      </c>
      <c r="BW133" s="15">
        <f>IF('ENCUESTA CONDUCTORES'!CE133="X",1,0)</f>
        <v>0</v>
      </c>
      <c r="BX133" s="15">
        <f>IF('ENCUESTA CONDUCTORES'!CF133="X",1,0)</f>
        <v>0</v>
      </c>
      <c r="BY133" s="15">
        <f>IF('ENCUESTA CONDUCTORES'!CG133="X",1,0)</f>
        <v>1</v>
      </c>
      <c r="BZ133" s="15">
        <f>IF('ENCUESTA CONDUCTORES'!CH133="X",1,0)</f>
        <v>1</v>
      </c>
      <c r="CA133" s="15">
        <f>IF('ENCUESTA CONDUCTORES'!CI133="X",1,0)</f>
        <v>0</v>
      </c>
      <c r="CB133" s="15">
        <f>IF('ENCUESTA CONDUCTORES'!CJ133="X",1,0)</f>
        <v>0</v>
      </c>
      <c r="CC133" s="15">
        <f>IF('ENCUESTA CONDUCTORES'!CK133="X",1,0)</f>
        <v>0</v>
      </c>
      <c r="CD133" s="15">
        <f>IF('ENCUESTA CONDUCTORES'!CL133="X",1,0)</f>
        <v>1</v>
      </c>
      <c r="CE133" s="15">
        <f>IF('ENCUESTA CONDUCTORES'!CM133="X",1,0)</f>
        <v>1</v>
      </c>
      <c r="CF133" s="15" t="str">
        <f>+'ENCUESTA CONDUCTORES'!CN133</f>
        <v>FALTA DE TIEMPO</v>
      </c>
      <c r="CG133" s="15">
        <f>IF('ENCUESTA CONDUCTORES'!CO133="X",1,0)</f>
        <v>0</v>
      </c>
      <c r="CH133" s="15" t="str">
        <f>+'ENCUESTA CONDUCTORES'!CP133</f>
        <v>NO SABE</v>
      </c>
      <c r="CI133" s="15" t="str">
        <f>+'ENCUESTA CONDUCTORES'!CQ133</f>
        <v>DAR INCENTIVOS</v>
      </c>
      <c r="CJ133" s="15">
        <f>IF('ENCUESTA CONDUCTORES'!CR133="X",1,0)</f>
        <v>0</v>
      </c>
      <c r="CK133" s="15">
        <f>IF('ENCUESTA CONDUCTORES'!CS133="X",1,0)</f>
        <v>1</v>
      </c>
      <c r="CL133" s="15">
        <f>IF('ENCUESTA CONDUCTORES'!CT133="X",1,0)</f>
        <v>0</v>
      </c>
      <c r="CM133" s="15">
        <f>+'ENCUESTA CONDUCTORES'!CU133</f>
        <v>0</v>
      </c>
      <c r="CN133" s="15">
        <f>IF('ENCUESTA CONDUCTORES'!CV133="X",1,0)</f>
        <v>0</v>
      </c>
      <c r="CO133" s="15">
        <f>+'ENCUESTA CONDUCTORES'!CW133</f>
        <v>0</v>
      </c>
      <c r="CP133" s="15">
        <f>IF('ENCUESTA CONDUCTORES'!CX133="X",1,0)</f>
        <v>0</v>
      </c>
      <c r="CQ133" s="15">
        <f>IF('ENCUESTA CONDUCTORES'!CY133="X",1,0)</f>
        <v>1</v>
      </c>
      <c r="CR133" s="3">
        <f>+'ENCUESTA CONDUCTORES'!CZ133</f>
        <v>0</v>
      </c>
      <c r="CS133" s="49">
        <f>+'ENCUESTA CONDUCTORES'!DA133</f>
        <v>0</v>
      </c>
    </row>
    <row r="134" spans="2:97" x14ac:dyDescent="0.25">
      <c r="B134" s="14" t="str">
        <f>+'ENCUESTA CONDUCTORES'!D134</f>
        <v>C-140</v>
      </c>
      <c r="C134" s="15">
        <f>IF('ENCUESTA CONDUCTORES'!E134="X",1,0)</f>
        <v>0</v>
      </c>
      <c r="D134" s="15">
        <f>IF('ENCUESTA CONDUCTORES'!F134="X",1,0)</f>
        <v>0</v>
      </c>
      <c r="E134" s="15">
        <f>IF('ENCUESTA CONDUCTORES'!G134="X",1,0)</f>
        <v>1</v>
      </c>
      <c r="F134" s="15">
        <f>IF('ENCUESTA CONDUCTORES'!H134="X",1,0)</f>
        <v>0</v>
      </c>
      <c r="G134" s="15">
        <f>+'ENCUESTA CONDUCTORES'!I134</f>
        <v>49</v>
      </c>
      <c r="H134" s="15" t="str">
        <f>+'ENCUESTA CONDUCTORES'!J134</f>
        <v>M</v>
      </c>
      <c r="I134" s="15" t="str">
        <f>+'ENCUESTA CONDUCTORES'!K134</f>
        <v>SECUNDARIA</v>
      </c>
      <c r="J134" s="15" t="str">
        <f>+'ENCUESTA CONDUCTORES'!L134</f>
        <v>SAN JUAN DEL RÍO, QRO.</v>
      </c>
      <c r="K134" s="50" t="str">
        <f>+'ENCUESTA CONDUCTORES'!M134</f>
        <v>SAN JUAN DEL RÍO</v>
      </c>
      <c r="L134" s="50" t="str">
        <f>+'ENCUESTA CONDUCTORES'!N134</f>
        <v>QUERÉTARO</v>
      </c>
      <c r="M134" s="15">
        <f>+'ENCUESTA CONDUCTORES'!O134</f>
        <v>23</v>
      </c>
      <c r="N134" s="15">
        <f>IF('ENCUESTA CONDUCTORES'!P134="X",1,0)</f>
        <v>1</v>
      </c>
      <c r="O134" s="15">
        <f>IF('ENCUESTA CONDUCTORES'!Q134="X",1,0)</f>
        <v>0</v>
      </c>
      <c r="P134" s="15">
        <f>IF('ENCUESTA CONDUCTORES'!R134="X",1,0)</f>
        <v>0</v>
      </c>
      <c r="Q134" s="15">
        <f>IF('ENCUESTA CONDUCTORES'!S134="X",1,0)</f>
        <v>0</v>
      </c>
      <c r="R134" s="15">
        <f>IF('ENCUESTA CONDUCTORES'!T134="X",1,0)</f>
        <v>0</v>
      </c>
      <c r="S134" s="15">
        <f>IF('ENCUESTA CONDUCTORES'!U134="X",1,0)</f>
        <v>0</v>
      </c>
      <c r="T134" s="15">
        <f>IF('ENCUESTA CONDUCTORES'!V134="X",1,0)</f>
        <v>0</v>
      </c>
      <c r="U134" s="15">
        <f>IF('ENCUESTA CONDUCTORES'!W134="X",1,0)</f>
        <v>0</v>
      </c>
      <c r="V134" s="15">
        <f>IF('ENCUESTA CONDUCTORES'!X134="X",1,0)</f>
        <v>0</v>
      </c>
      <c r="W134" s="15">
        <f>IF('ENCUESTA CONDUCTORES'!Y134="X",1,0)</f>
        <v>1</v>
      </c>
      <c r="X134" s="15">
        <f>IF('ENCUESTA CONDUCTORES'!Z134="X",1,0)</f>
        <v>0</v>
      </c>
      <c r="Y134" s="15">
        <f>+'ENCUESTA CONDUCTORES'!AG134</f>
        <v>0</v>
      </c>
      <c r="Z134" s="15">
        <f>+'ENCUESTA CONDUCTORES'!AH134</f>
        <v>2003</v>
      </c>
      <c r="AA134" s="1">
        <f>+'ENCUESTA CONDUCTORES'!AI134</f>
        <v>2600000</v>
      </c>
      <c r="AB134" s="15">
        <f>IF('ENCUESTA CONDUCTORES'!AJ134="X",1,0)</f>
        <v>0</v>
      </c>
      <c r="AC134" s="15">
        <f>IF('ENCUESTA CONDUCTORES'!AK134="X",1,0)</f>
        <v>0</v>
      </c>
      <c r="AD134" s="15">
        <f>IF('ENCUESTA CONDUCTORES'!AL134="X",1,0)</f>
        <v>1</v>
      </c>
      <c r="AE134" s="15">
        <f>IF('ENCUESTA CONDUCTORES'!AM134="X",1,0)</f>
        <v>0</v>
      </c>
      <c r="AF134" s="15">
        <f>IF('ENCUESTA CONDUCTORES'!AN134="X",1,0)</f>
        <v>0</v>
      </c>
      <c r="AG134" s="15">
        <f>IF('ENCUESTA CONDUCTORES'!AO134="X",1,0)</f>
        <v>0</v>
      </c>
      <c r="AH134" s="15">
        <f>IF('ENCUESTA CONDUCTORES'!AP134="X",1,0)</f>
        <v>1</v>
      </c>
      <c r="AI134" s="15">
        <f>IF('ENCUESTA CONDUCTORES'!AQ134="X",1,0)</f>
        <v>0</v>
      </c>
      <c r="AJ134" s="15">
        <f>IF('ENCUESTA CONDUCTORES'!AR134="X",1,0)</f>
        <v>0</v>
      </c>
      <c r="AK134" s="15">
        <f>+'ENCUESTA CONDUCTORES'!AS134</f>
        <v>0</v>
      </c>
      <c r="AL134" s="15" t="str">
        <f>+'ENCUESTA CONDUCTORES'!AT134</f>
        <v>CUMMINS</v>
      </c>
      <c r="AM134" s="1">
        <f>+'ENCUESTA CONDUCTORES'!AU134</f>
        <v>15400</v>
      </c>
      <c r="AN134" s="48">
        <f>+'ENCUESTA CONDUCTORES'!AV134</f>
        <v>0.5</v>
      </c>
      <c r="AO134" s="15">
        <f>+'ENCUESTA CONDUCTORES'!AW134</f>
        <v>3.2</v>
      </c>
      <c r="AP134" s="15">
        <f>+'ENCUESTA CONDUCTORES'!AX134</f>
        <v>2.1</v>
      </c>
      <c r="AQ134" s="15">
        <f>+'ENCUESTA CONDUCTORES'!AY134</f>
        <v>2</v>
      </c>
      <c r="AR134" s="15">
        <f>+'ENCUESTA CONDUCTORES'!AZ134</f>
        <v>640</v>
      </c>
      <c r="AS134" s="15">
        <f>+'ENCUESTA CONDUCTORES'!BA134</f>
        <v>1800</v>
      </c>
      <c r="AT134" s="15">
        <f>IF('ENCUESTA CONDUCTORES'!BB134="X",1,0)</f>
        <v>0</v>
      </c>
      <c r="AU134" s="15">
        <f>IF('ENCUESTA CONDUCTORES'!BC134="X",1,0)</f>
        <v>1</v>
      </c>
      <c r="AV134" s="15">
        <f>IF('ENCUESTA CONDUCTORES'!BD134="X",1,0)</f>
        <v>0</v>
      </c>
      <c r="AW134" s="1">
        <f>+'ENCUESTA CONDUCTORES'!BE134</f>
        <v>20000</v>
      </c>
      <c r="AX134" s="1">
        <f>+'ENCUESTA CONDUCTORES'!BF134</f>
        <v>20000</v>
      </c>
      <c r="AY134" s="1">
        <f>+'ENCUESTA CONDUCTORES'!BG134</f>
        <v>20000</v>
      </c>
      <c r="AZ134" s="1" t="str">
        <f>+'ENCUESTA CONDUCTORES'!BH134</f>
        <v>NO SABE</v>
      </c>
      <c r="BA134" s="1">
        <f>+'ENCUESTA CONDUCTORES'!BI134</f>
        <v>20000</v>
      </c>
      <c r="BB134" s="15">
        <f>IF('ENCUESTA CONDUCTORES'!BJ134="X",1,0)</f>
        <v>0</v>
      </c>
      <c r="BC134" s="15">
        <f>IF('ENCUESTA CONDUCTORES'!BK134="X",1,0)</f>
        <v>0</v>
      </c>
      <c r="BD134" s="15">
        <f>IF('ENCUESTA CONDUCTORES'!BL134="X",1,0)</f>
        <v>0</v>
      </c>
      <c r="BE134" s="15">
        <f>IF('ENCUESTA CONDUCTORES'!BM134="X",1,0)</f>
        <v>0</v>
      </c>
      <c r="BF134" s="15">
        <f>IF('ENCUESTA CONDUCTORES'!BN134="X",1,0)</f>
        <v>0</v>
      </c>
      <c r="BG134" s="15">
        <f>IF('ENCUESTA CONDUCTORES'!BO134="X",1,0)</f>
        <v>0</v>
      </c>
      <c r="BH134" s="15">
        <f>IF('ENCUESTA CONDUCTORES'!BP134="X",1,0)</f>
        <v>0</v>
      </c>
      <c r="BI134" s="15">
        <f>IF('ENCUESTA CONDUCTORES'!BQ134="X",1,0)</f>
        <v>0</v>
      </c>
      <c r="BJ134" s="15">
        <f>IF('ENCUESTA CONDUCTORES'!BR134="X",1,0)</f>
        <v>1</v>
      </c>
      <c r="BK134" s="15">
        <f>+'ENCUESTA CONDUCTORES'!BS134</f>
        <v>0</v>
      </c>
      <c r="BL134" s="15">
        <f>IF('ENCUESTA CONDUCTORES'!BT134="X",1,0)</f>
        <v>0</v>
      </c>
      <c r="BM134" s="15">
        <f>IF('ENCUESTA CONDUCTORES'!BU134="X",1,0)</f>
        <v>0</v>
      </c>
      <c r="BN134" s="15">
        <f>IF('ENCUESTA CONDUCTORES'!BV134="X",1,0)</f>
        <v>0</v>
      </c>
      <c r="BO134" s="15">
        <f>IF('ENCUESTA CONDUCTORES'!BW134="X",1,0)</f>
        <v>0</v>
      </c>
      <c r="BP134" s="15">
        <f>+'ENCUESTA CONDUCTORES'!BX134</f>
        <v>1</v>
      </c>
      <c r="BQ134" s="15">
        <f>+'ENCUESTA CONDUCTORES'!BY134</f>
        <v>3</v>
      </c>
      <c r="BR134" s="15">
        <f>+'ENCUESTA CONDUCTORES'!BZ134</f>
        <v>2</v>
      </c>
      <c r="BS134" s="15">
        <f>+'ENCUESTA CONDUCTORES'!CA134</f>
        <v>0</v>
      </c>
      <c r="BT134" s="15">
        <f>IF('ENCUESTA CONDUCTORES'!CB134="X",1,0)</f>
        <v>1</v>
      </c>
      <c r="BU134" s="15">
        <f>IF('ENCUESTA CONDUCTORES'!CC134="X",1,0)</f>
        <v>0</v>
      </c>
      <c r="BV134" s="15">
        <f>IF('ENCUESTA CONDUCTORES'!CD134="X",1,0)</f>
        <v>0</v>
      </c>
      <c r="BW134" s="15">
        <f>IF('ENCUESTA CONDUCTORES'!CE134="X",1,0)</f>
        <v>0</v>
      </c>
      <c r="BX134" s="15">
        <f>IF('ENCUESTA CONDUCTORES'!CF134="X",1,0)</f>
        <v>0</v>
      </c>
      <c r="BY134" s="15">
        <f>IF('ENCUESTA CONDUCTORES'!CG134="X",1,0)</f>
        <v>0</v>
      </c>
      <c r="BZ134" s="15">
        <f>IF('ENCUESTA CONDUCTORES'!CH134="X",1,0)</f>
        <v>0</v>
      </c>
      <c r="CA134" s="15">
        <f>IF('ENCUESTA CONDUCTORES'!CI134="X",1,0)</f>
        <v>0</v>
      </c>
      <c r="CB134" s="15">
        <f>IF('ENCUESTA CONDUCTORES'!CJ134="X",1,0)</f>
        <v>0</v>
      </c>
      <c r="CC134" s="15">
        <f>IF('ENCUESTA CONDUCTORES'!CK134="X",1,0)</f>
        <v>1</v>
      </c>
      <c r="CD134" s="15">
        <f>IF('ENCUESTA CONDUCTORES'!CL134="X",1,0)</f>
        <v>0</v>
      </c>
      <c r="CE134" s="15">
        <f>IF('ENCUESTA CONDUCTORES'!CM134="X",1,0)</f>
        <v>0</v>
      </c>
      <c r="CF134" s="15">
        <f>+'ENCUESTA CONDUCTORES'!CN134</f>
        <v>0</v>
      </c>
      <c r="CG134" s="15">
        <f>IF('ENCUESTA CONDUCTORES'!CO134="X",1,0)</f>
        <v>0</v>
      </c>
      <c r="CH134" s="15" t="str">
        <f>+'ENCUESTA CONDUCTORES'!CP134</f>
        <v>NO SABE</v>
      </c>
      <c r="CI134" s="15" t="str">
        <f>+'ENCUESTA CONDUCTORES'!CQ134</f>
        <v>DARLO A CONOCER</v>
      </c>
      <c r="CJ134" s="15">
        <f>IF('ENCUESTA CONDUCTORES'!CR134="X",1,0)</f>
        <v>0</v>
      </c>
      <c r="CK134" s="15">
        <f>IF('ENCUESTA CONDUCTORES'!CS134="X",1,0)</f>
        <v>0</v>
      </c>
      <c r="CL134" s="15">
        <f>IF('ENCUESTA CONDUCTORES'!CT134="X",1,0)</f>
        <v>1</v>
      </c>
      <c r="CM134" s="15">
        <f>+'ENCUESTA CONDUCTORES'!CU134</f>
        <v>0</v>
      </c>
      <c r="CN134" s="15">
        <f>IF('ENCUESTA CONDUCTORES'!CV134="X",1,0)</f>
        <v>0</v>
      </c>
      <c r="CO134" s="15">
        <f>+'ENCUESTA CONDUCTORES'!CW134</f>
        <v>0</v>
      </c>
      <c r="CP134" s="15">
        <f>IF('ENCUESTA CONDUCTORES'!CX134="X",1,0)</f>
        <v>1</v>
      </c>
      <c r="CQ134" s="15">
        <f>IF('ENCUESTA CONDUCTORES'!CY134="X",1,0)</f>
        <v>1</v>
      </c>
      <c r="CR134" s="3">
        <f>+'ENCUESTA CONDUCTORES'!CZ134</f>
        <v>0</v>
      </c>
      <c r="CS134" s="49">
        <f>+'ENCUESTA CONDUCTORES'!DA134</f>
        <v>0</v>
      </c>
    </row>
    <row r="135" spans="2:97" x14ac:dyDescent="0.25">
      <c r="B135" s="14" t="str">
        <f>+'ENCUESTA CONDUCTORES'!D135</f>
        <v>C-141</v>
      </c>
      <c r="C135" s="15">
        <f>IF('ENCUESTA CONDUCTORES'!E135="X",1,0)</f>
        <v>0</v>
      </c>
      <c r="D135" s="15">
        <f>IF('ENCUESTA CONDUCTORES'!F135="X",1,0)</f>
        <v>0</v>
      </c>
      <c r="E135" s="15">
        <f>IF('ENCUESTA CONDUCTORES'!G135="X",1,0)</f>
        <v>1</v>
      </c>
      <c r="F135" s="15">
        <f>IF('ENCUESTA CONDUCTORES'!H135="X",1,0)</f>
        <v>0</v>
      </c>
      <c r="G135" s="15">
        <f>+'ENCUESTA CONDUCTORES'!I135</f>
        <v>25</v>
      </c>
      <c r="H135" s="15" t="str">
        <f>+'ENCUESTA CONDUCTORES'!J135</f>
        <v>M</v>
      </c>
      <c r="I135" s="15" t="str">
        <f>+'ENCUESTA CONDUCTORES'!K135</f>
        <v>SECUNDARIA</v>
      </c>
      <c r="J135" s="15" t="str">
        <f>+'ENCUESTA CONDUCTORES'!L135</f>
        <v>COACALCO, EDO. MEX</v>
      </c>
      <c r="K135" s="15" t="str">
        <f>+'ENCUESTA CONDUCTORES'!M135</f>
        <v>COACALCO</v>
      </c>
      <c r="L135" s="15" t="str">
        <f>+'ENCUESTA CONDUCTORES'!N135</f>
        <v>EDO. MEX.</v>
      </c>
      <c r="M135" s="15">
        <f>+'ENCUESTA CONDUCTORES'!O135</f>
        <v>5</v>
      </c>
      <c r="N135" s="15">
        <f>IF('ENCUESTA CONDUCTORES'!P135="X",1,0)</f>
        <v>0</v>
      </c>
      <c r="O135" s="15">
        <f>IF('ENCUESTA CONDUCTORES'!Q135="X",1,0)</f>
        <v>0</v>
      </c>
      <c r="P135" s="15">
        <f>IF('ENCUESTA CONDUCTORES'!R135="X",1,0)</f>
        <v>0</v>
      </c>
      <c r="Q135" s="15">
        <f>IF('ENCUESTA CONDUCTORES'!S135="X",1,0)</f>
        <v>1</v>
      </c>
      <c r="R135" s="15">
        <f>IF('ENCUESTA CONDUCTORES'!T135="X",1,0)</f>
        <v>0</v>
      </c>
      <c r="S135" s="15">
        <f>IF('ENCUESTA CONDUCTORES'!U135="X",1,0)</f>
        <v>0</v>
      </c>
      <c r="T135" s="15">
        <f>IF('ENCUESTA CONDUCTORES'!V135="X",1,0)</f>
        <v>0</v>
      </c>
      <c r="U135" s="15">
        <f>IF('ENCUESTA CONDUCTORES'!W135="X",1,0)</f>
        <v>0</v>
      </c>
      <c r="V135" s="15">
        <f>IF('ENCUESTA CONDUCTORES'!X135="X",1,0)</f>
        <v>1</v>
      </c>
      <c r="W135" s="15">
        <f>IF('ENCUESTA CONDUCTORES'!Y135="X",1,0)</f>
        <v>0</v>
      </c>
      <c r="X135" s="15">
        <f>IF('ENCUESTA CONDUCTORES'!Z135="X",1,0)</f>
        <v>0</v>
      </c>
      <c r="Y135" s="15">
        <f>+'ENCUESTA CONDUCTORES'!AG135</f>
        <v>0</v>
      </c>
      <c r="Z135" s="15">
        <f>+'ENCUESTA CONDUCTORES'!AH135</f>
        <v>1994</v>
      </c>
      <c r="AA135" s="1" t="str">
        <f>+'ENCUESTA CONDUCTORES'!AI135</f>
        <v>NO SABE</v>
      </c>
      <c r="AB135" s="15">
        <f>IF('ENCUESTA CONDUCTORES'!AJ135="X",1,0)</f>
        <v>0</v>
      </c>
      <c r="AC135" s="15">
        <f>IF('ENCUESTA CONDUCTORES'!AK135="X",1,0)</f>
        <v>0</v>
      </c>
      <c r="AD135" s="15">
        <f>IF('ENCUESTA CONDUCTORES'!AL135="X",1,0)</f>
        <v>1</v>
      </c>
      <c r="AE135" s="15">
        <f>IF('ENCUESTA CONDUCTORES'!AM135="X",1,0)</f>
        <v>0</v>
      </c>
      <c r="AF135" s="15">
        <f>IF('ENCUESTA CONDUCTORES'!AN135="X",1,0)</f>
        <v>0</v>
      </c>
      <c r="AG135" s="15">
        <f>IF('ENCUESTA CONDUCTORES'!AO135="X",1,0)</f>
        <v>1</v>
      </c>
      <c r="AH135" s="15">
        <f>IF('ENCUESTA CONDUCTORES'!AP135="X",1,0)</f>
        <v>0</v>
      </c>
      <c r="AI135" s="15">
        <f>IF('ENCUESTA CONDUCTORES'!AQ135="X",1,0)</f>
        <v>0</v>
      </c>
      <c r="AJ135" s="15">
        <f>IF('ENCUESTA CONDUCTORES'!AR135="X",1,0)</f>
        <v>0</v>
      </c>
      <c r="AK135" s="15">
        <f>+'ENCUESTA CONDUCTORES'!AS135</f>
        <v>0</v>
      </c>
      <c r="AL135" s="15" t="str">
        <f>+'ENCUESTA CONDUCTORES'!AT135</f>
        <v>CUMMINS</v>
      </c>
      <c r="AM135" s="1">
        <f>+'ENCUESTA CONDUCTORES'!AU135</f>
        <v>15000</v>
      </c>
      <c r="AN135" s="48">
        <f>+'ENCUESTA CONDUCTORES'!AV135</f>
        <v>0.05</v>
      </c>
      <c r="AO135" s="15">
        <f>+'ENCUESTA CONDUCTORES'!AW135</f>
        <v>2.1</v>
      </c>
      <c r="AP135" s="15">
        <f>+'ENCUESTA CONDUCTORES'!AX135</f>
        <v>2</v>
      </c>
      <c r="AQ135" s="15">
        <f>+'ENCUESTA CONDUCTORES'!AY135</f>
        <v>3</v>
      </c>
      <c r="AR135" s="15">
        <f>+'ENCUESTA CONDUCTORES'!AZ135</f>
        <v>1200</v>
      </c>
      <c r="AS135" s="15">
        <f>+'ENCUESTA CONDUCTORES'!BA135</f>
        <v>2500</v>
      </c>
      <c r="AT135" s="15">
        <f>IF('ENCUESTA CONDUCTORES'!BB135="X",1,0)</f>
        <v>1</v>
      </c>
      <c r="AU135" s="15">
        <f>IF('ENCUESTA CONDUCTORES'!BC135="X",1,0)</f>
        <v>1</v>
      </c>
      <c r="AV135" s="15">
        <f>IF('ENCUESTA CONDUCTORES'!BD135="X",1,0)</f>
        <v>0</v>
      </c>
      <c r="AW135" s="1">
        <f>+'ENCUESTA CONDUCTORES'!BE135</f>
        <v>75000</v>
      </c>
      <c r="AX135" s="1" t="str">
        <f>+'ENCUESTA CONDUCTORES'!BF135</f>
        <v>NO SABE</v>
      </c>
      <c r="AY135" s="1">
        <f>+'ENCUESTA CONDUCTORES'!BG135</f>
        <v>75000</v>
      </c>
      <c r="AZ135" s="1">
        <f>+'ENCUESTA CONDUCTORES'!BH135</f>
        <v>180000</v>
      </c>
      <c r="BA135" s="1">
        <f>+'ENCUESTA CONDUCTORES'!BI135</f>
        <v>75000</v>
      </c>
      <c r="BB135" s="15">
        <f>IF('ENCUESTA CONDUCTORES'!BJ135="X",1,0)</f>
        <v>1</v>
      </c>
      <c r="BC135" s="15">
        <f>IF('ENCUESTA CONDUCTORES'!BK135="X",1,0)</f>
        <v>0</v>
      </c>
      <c r="BD135" s="15">
        <f>IF('ENCUESTA CONDUCTORES'!BL135="X",1,0)</f>
        <v>0</v>
      </c>
      <c r="BE135" s="15">
        <f>IF('ENCUESTA CONDUCTORES'!BM135="X",1,0)</f>
        <v>0</v>
      </c>
      <c r="BF135" s="15">
        <f>IF('ENCUESTA CONDUCTORES'!BN135="X",1,0)</f>
        <v>0</v>
      </c>
      <c r="BG135" s="15">
        <f>IF('ENCUESTA CONDUCTORES'!BO135="X",1,0)</f>
        <v>0</v>
      </c>
      <c r="BH135" s="15">
        <f>IF('ENCUESTA CONDUCTORES'!BP135="X",1,0)</f>
        <v>0</v>
      </c>
      <c r="BI135" s="15">
        <f>IF('ENCUESTA CONDUCTORES'!BQ135="X",1,0)</f>
        <v>0</v>
      </c>
      <c r="BJ135" s="15">
        <f>IF('ENCUESTA CONDUCTORES'!BR135="X",1,0)</f>
        <v>0</v>
      </c>
      <c r="BK135" s="15">
        <f>+'ENCUESTA CONDUCTORES'!BS135</f>
        <v>0</v>
      </c>
      <c r="BL135" s="15">
        <f>IF('ENCUESTA CONDUCTORES'!BT135="X",1,0)</f>
        <v>0</v>
      </c>
      <c r="BM135" s="15">
        <f>IF('ENCUESTA CONDUCTORES'!BU135="X",1,0)</f>
        <v>1</v>
      </c>
      <c r="BN135" s="15">
        <f>IF('ENCUESTA CONDUCTORES'!BV135="X",1,0)</f>
        <v>0</v>
      </c>
      <c r="BO135" s="15">
        <f>IF('ENCUESTA CONDUCTORES'!BW135="X",1,0)</f>
        <v>0</v>
      </c>
      <c r="BP135" s="15">
        <f>+'ENCUESTA CONDUCTORES'!BX135</f>
        <v>1</v>
      </c>
      <c r="BQ135" s="15">
        <f>+'ENCUESTA CONDUCTORES'!BY135</f>
        <v>2</v>
      </c>
      <c r="BR135" s="15">
        <f>+'ENCUESTA CONDUCTORES'!BZ135</f>
        <v>3</v>
      </c>
      <c r="BS135" s="15">
        <f>+'ENCUESTA CONDUCTORES'!CA135</f>
        <v>0</v>
      </c>
      <c r="BT135" s="15">
        <f>IF('ENCUESTA CONDUCTORES'!CB135="X",1,0)</f>
        <v>1</v>
      </c>
      <c r="BU135" s="15">
        <f>IF('ENCUESTA CONDUCTORES'!CC135="X",1,0)</f>
        <v>0</v>
      </c>
      <c r="BV135" s="15">
        <f>IF('ENCUESTA CONDUCTORES'!CD135="X",1,0)</f>
        <v>0</v>
      </c>
      <c r="BW135" s="15">
        <f>IF('ENCUESTA CONDUCTORES'!CE135="X",1,0)</f>
        <v>0</v>
      </c>
      <c r="BX135" s="15">
        <f>IF('ENCUESTA CONDUCTORES'!CF135="X",1,0)</f>
        <v>0</v>
      </c>
      <c r="BY135" s="15">
        <f>IF('ENCUESTA CONDUCTORES'!CG135="X",1,0)</f>
        <v>0</v>
      </c>
      <c r="BZ135" s="15">
        <f>IF('ENCUESTA CONDUCTORES'!CH135="X",1,0)</f>
        <v>0</v>
      </c>
      <c r="CA135" s="15">
        <f>IF('ENCUESTA CONDUCTORES'!CI135="X",1,0)</f>
        <v>0</v>
      </c>
      <c r="CB135" s="15">
        <f>IF('ENCUESTA CONDUCTORES'!CJ135="X",1,0)</f>
        <v>0</v>
      </c>
      <c r="CC135" s="15">
        <f>IF('ENCUESTA CONDUCTORES'!CK135="X",1,0)</f>
        <v>1</v>
      </c>
      <c r="CD135" s="15">
        <f>IF('ENCUESTA CONDUCTORES'!CL135="X",1,0)</f>
        <v>0</v>
      </c>
      <c r="CE135" s="15">
        <f>IF('ENCUESTA CONDUCTORES'!CM135="X",1,0)</f>
        <v>0</v>
      </c>
      <c r="CF135" s="15">
        <f>+'ENCUESTA CONDUCTORES'!CN135</f>
        <v>0</v>
      </c>
      <c r="CG135" s="15">
        <f>IF('ENCUESTA CONDUCTORES'!CO135="X",1,0)</f>
        <v>0</v>
      </c>
      <c r="CH135" s="15" t="str">
        <f>+'ENCUESTA CONDUCTORES'!CP135</f>
        <v>NO SABE</v>
      </c>
      <c r="CI135" s="15" t="str">
        <f>+'ENCUESTA CONDUCTORES'!CQ135</f>
        <v>PUBLICIDAD</v>
      </c>
      <c r="CJ135" s="15">
        <f>IF('ENCUESTA CONDUCTORES'!CR135="X",1,0)</f>
        <v>0</v>
      </c>
      <c r="CK135" s="15">
        <f>IF('ENCUESTA CONDUCTORES'!CS135="X",1,0)</f>
        <v>0</v>
      </c>
      <c r="CL135" s="15">
        <f>IF('ENCUESTA CONDUCTORES'!CT135="X",1,0)</f>
        <v>1</v>
      </c>
      <c r="CM135" s="15">
        <f>+'ENCUESTA CONDUCTORES'!CU135</f>
        <v>0</v>
      </c>
      <c r="CN135" s="15">
        <f>IF('ENCUESTA CONDUCTORES'!CV135="X",1,0)</f>
        <v>0</v>
      </c>
      <c r="CO135" s="15">
        <f>+'ENCUESTA CONDUCTORES'!CW135</f>
        <v>0</v>
      </c>
      <c r="CP135" s="15">
        <f>IF('ENCUESTA CONDUCTORES'!CX135="X",1,0)</f>
        <v>0</v>
      </c>
      <c r="CQ135" s="15">
        <f>IF('ENCUESTA CONDUCTORES'!CY135="X",1,0)</f>
        <v>1</v>
      </c>
      <c r="CR135" s="3">
        <f>+'ENCUESTA CONDUCTORES'!CZ135</f>
        <v>0</v>
      </c>
      <c r="CS135" s="49">
        <f>+'ENCUESTA CONDUCTORES'!DA135</f>
        <v>0</v>
      </c>
    </row>
    <row r="136" spans="2:97" x14ac:dyDescent="0.25">
      <c r="B136" s="14" t="str">
        <f>+'ENCUESTA CONDUCTORES'!D136</f>
        <v>C-142</v>
      </c>
      <c r="C136" s="15">
        <f>IF('ENCUESTA CONDUCTORES'!E136="X",1,0)</f>
        <v>0</v>
      </c>
      <c r="D136" s="15">
        <f>IF('ENCUESTA CONDUCTORES'!F136="X",1,0)</f>
        <v>0</v>
      </c>
      <c r="E136" s="15">
        <f>IF('ENCUESTA CONDUCTORES'!G136="X",1,0)</f>
        <v>1</v>
      </c>
      <c r="F136" s="15">
        <f>IF('ENCUESTA CONDUCTORES'!H136="X",1,0)</f>
        <v>0</v>
      </c>
      <c r="G136" s="15">
        <f>+'ENCUESTA CONDUCTORES'!I136</f>
        <v>47</v>
      </c>
      <c r="H136" s="15" t="str">
        <f>+'ENCUESTA CONDUCTORES'!J136</f>
        <v>M</v>
      </c>
      <c r="I136" s="15" t="str">
        <f>+'ENCUESTA CONDUCTORES'!K136</f>
        <v>SECUNDARIA</v>
      </c>
      <c r="J136" s="15" t="str">
        <f>+'ENCUESTA CONDUCTORES'!L136</f>
        <v>COYOACÁN, D.F.</v>
      </c>
      <c r="K136" s="15" t="str">
        <f>+'ENCUESTA CONDUCTORES'!M136</f>
        <v>COYOACÁN</v>
      </c>
      <c r="L136" s="15" t="str">
        <f>+'ENCUESTA CONDUCTORES'!N136</f>
        <v>D.F.</v>
      </c>
      <c r="M136" s="15">
        <f>+'ENCUESTA CONDUCTORES'!O136</f>
        <v>13</v>
      </c>
      <c r="N136" s="15">
        <f>IF('ENCUESTA CONDUCTORES'!P136="X",1,0)</f>
        <v>1</v>
      </c>
      <c r="O136" s="15">
        <f>IF('ENCUESTA CONDUCTORES'!Q136="X",1,0)</f>
        <v>0</v>
      </c>
      <c r="P136" s="15">
        <f>IF('ENCUESTA CONDUCTORES'!R136="X",1,0)</f>
        <v>0</v>
      </c>
      <c r="Q136" s="15">
        <f>IF('ENCUESTA CONDUCTORES'!S136="X",1,0)</f>
        <v>0</v>
      </c>
      <c r="R136" s="15">
        <f>IF('ENCUESTA CONDUCTORES'!T136="X",1,0)</f>
        <v>0</v>
      </c>
      <c r="S136" s="15">
        <f>IF('ENCUESTA CONDUCTORES'!U136="X",1,0)</f>
        <v>0</v>
      </c>
      <c r="T136" s="15">
        <f>IF('ENCUESTA CONDUCTORES'!V136="X",1,0)</f>
        <v>1</v>
      </c>
      <c r="U136" s="15">
        <f>IF('ENCUESTA CONDUCTORES'!W136="X",1,0)</f>
        <v>0</v>
      </c>
      <c r="V136" s="15">
        <f>IF('ENCUESTA CONDUCTORES'!X136="X",1,0)</f>
        <v>0</v>
      </c>
      <c r="W136" s="15">
        <f>IF('ENCUESTA CONDUCTORES'!Y136="X",1,0)</f>
        <v>0</v>
      </c>
      <c r="X136" s="15">
        <f>IF('ENCUESTA CONDUCTORES'!Z136="X",1,0)</f>
        <v>0</v>
      </c>
      <c r="Y136" s="15">
        <f>+'ENCUESTA CONDUCTORES'!AG136</f>
        <v>0</v>
      </c>
      <c r="Z136" s="15">
        <f>+'ENCUESTA CONDUCTORES'!AH136</f>
        <v>2009</v>
      </c>
      <c r="AA136" s="1">
        <f>+'ENCUESTA CONDUCTORES'!AI136</f>
        <v>180000</v>
      </c>
      <c r="AB136" s="15">
        <f>IF('ENCUESTA CONDUCTORES'!AJ136="X",1,0)</f>
        <v>1</v>
      </c>
      <c r="AC136" s="15">
        <f>IF('ENCUESTA CONDUCTORES'!AK136="X",1,0)</f>
        <v>0</v>
      </c>
      <c r="AD136" s="15">
        <f>IF('ENCUESTA CONDUCTORES'!AL136="X",1,0)</f>
        <v>0</v>
      </c>
      <c r="AE136" s="15">
        <f>IF('ENCUESTA CONDUCTORES'!AM136="X",1,0)</f>
        <v>0</v>
      </c>
      <c r="AF136" s="15">
        <f>IF('ENCUESTA CONDUCTORES'!AN136="X",1,0)</f>
        <v>0</v>
      </c>
      <c r="AG136" s="15">
        <f>IF('ENCUESTA CONDUCTORES'!AO136="X",1,0)</f>
        <v>1</v>
      </c>
      <c r="AH136" s="15">
        <f>IF('ENCUESTA CONDUCTORES'!AP136="X",1,0)</f>
        <v>0</v>
      </c>
      <c r="AI136" s="15">
        <f>IF('ENCUESTA CONDUCTORES'!AQ136="X",1,0)</f>
        <v>0</v>
      </c>
      <c r="AJ136" s="15">
        <f>IF('ENCUESTA CONDUCTORES'!AR136="X",1,0)</f>
        <v>0</v>
      </c>
      <c r="AK136" s="15">
        <f>+'ENCUESTA CONDUCTORES'!AS136</f>
        <v>0</v>
      </c>
      <c r="AL136" s="15" t="str">
        <f>+'ENCUESTA CONDUCTORES'!AT136</f>
        <v>NISSAN</v>
      </c>
      <c r="AM136" s="1">
        <f>+'ENCUESTA CONDUCTORES'!AU136</f>
        <v>6000</v>
      </c>
      <c r="AN136" s="48">
        <f>+'ENCUESTA CONDUCTORES'!AV136</f>
        <v>0.5</v>
      </c>
      <c r="AO136" s="15">
        <f>+'ENCUESTA CONDUCTORES'!AW136</f>
        <v>7.5</v>
      </c>
      <c r="AP136" s="15">
        <f>+'ENCUESTA CONDUCTORES'!AX136</f>
        <v>6</v>
      </c>
      <c r="AQ136" s="15">
        <f>+'ENCUESTA CONDUCTORES'!AY136</f>
        <v>1</v>
      </c>
      <c r="AR136" s="15">
        <f>+'ENCUESTA CONDUCTORES'!AZ136</f>
        <v>70</v>
      </c>
      <c r="AS136" s="15">
        <f>+'ENCUESTA CONDUCTORES'!BA136</f>
        <v>350</v>
      </c>
      <c r="AT136" s="15">
        <f>IF('ENCUESTA CONDUCTORES'!BB136="X",1,0)</f>
        <v>0</v>
      </c>
      <c r="AU136" s="15">
        <f>IF('ENCUESTA CONDUCTORES'!BC136="X",1,0)</f>
        <v>0</v>
      </c>
      <c r="AV136" s="15">
        <f>IF('ENCUESTA CONDUCTORES'!BD136="X",1,0)</f>
        <v>0</v>
      </c>
      <c r="AW136" s="1">
        <f>+'ENCUESTA CONDUCTORES'!BE136</f>
        <v>6000</v>
      </c>
      <c r="AX136" s="1">
        <f>+'ENCUESTA CONDUCTORES'!BF136</f>
        <v>18000</v>
      </c>
      <c r="AY136" s="1">
        <f>+'ENCUESTA CONDUCTORES'!BG136</f>
        <v>18000</v>
      </c>
      <c r="AZ136" s="1">
        <f>+'ENCUESTA CONDUCTORES'!BH136</f>
        <v>70000</v>
      </c>
      <c r="BA136" s="1" t="str">
        <f>+'ENCUESTA CONDUCTORES'!BI136</f>
        <v>NO APLICA</v>
      </c>
      <c r="BB136" s="15">
        <f>IF('ENCUESTA CONDUCTORES'!BJ136="X",1,0)</f>
        <v>0</v>
      </c>
      <c r="BC136" s="15">
        <f>IF('ENCUESTA CONDUCTORES'!BK136="X",1,0)</f>
        <v>0</v>
      </c>
      <c r="BD136" s="15">
        <f>IF('ENCUESTA CONDUCTORES'!BL136="X",1,0)</f>
        <v>0</v>
      </c>
      <c r="BE136" s="15">
        <f>IF('ENCUESTA CONDUCTORES'!BM136="X",1,0)</f>
        <v>0</v>
      </c>
      <c r="BF136" s="15">
        <f>IF('ENCUESTA CONDUCTORES'!BN136="X",1,0)</f>
        <v>0</v>
      </c>
      <c r="BG136" s="15">
        <f>IF('ENCUESTA CONDUCTORES'!BO136="X",1,0)</f>
        <v>0</v>
      </c>
      <c r="BH136" s="15">
        <f>IF('ENCUESTA CONDUCTORES'!BP136="X",1,0)</f>
        <v>0</v>
      </c>
      <c r="BI136" s="15">
        <f>IF('ENCUESTA CONDUCTORES'!BQ136="X",1,0)</f>
        <v>0</v>
      </c>
      <c r="BJ136" s="15">
        <f>IF('ENCUESTA CONDUCTORES'!BR136="X",1,0)</f>
        <v>1</v>
      </c>
      <c r="BK136" s="15">
        <f>+'ENCUESTA CONDUCTORES'!BS136</f>
        <v>0</v>
      </c>
      <c r="BL136" s="15">
        <f>IF('ENCUESTA CONDUCTORES'!BT136="X",1,0)</f>
        <v>0</v>
      </c>
      <c r="BM136" s="15">
        <f>IF('ENCUESTA CONDUCTORES'!BU136="X",1,0)</f>
        <v>1</v>
      </c>
      <c r="BN136" s="15">
        <f>IF('ENCUESTA CONDUCTORES'!BV136="X",1,0)</f>
        <v>0</v>
      </c>
      <c r="BO136" s="15">
        <f>IF('ENCUESTA CONDUCTORES'!BW136="X",1,0)</f>
        <v>0</v>
      </c>
      <c r="BP136" s="15">
        <f>+'ENCUESTA CONDUCTORES'!BX136</f>
        <v>1</v>
      </c>
      <c r="BQ136" s="15">
        <f>+'ENCUESTA CONDUCTORES'!BY136</f>
        <v>3</v>
      </c>
      <c r="BR136" s="15">
        <f>+'ENCUESTA CONDUCTORES'!BZ136</f>
        <v>2</v>
      </c>
      <c r="BS136" s="15">
        <f>+'ENCUESTA CONDUCTORES'!CA136</f>
        <v>0</v>
      </c>
      <c r="BT136" s="15">
        <f>IF('ENCUESTA CONDUCTORES'!CB136="X",1,0)</f>
        <v>1</v>
      </c>
      <c r="BU136" s="15">
        <f>IF('ENCUESTA CONDUCTORES'!CC136="X",1,0)</f>
        <v>0</v>
      </c>
      <c r="BV136" s="15">
        <f>IF('ENCUESTA CONDUCTORES'!CD136="X",1,0)</f>
        <v>0</v>
      </c>
      <c r="BW136" s="15">
        <f>IF('ENCUESTA CONDUCTORES'!CE136="X",1,0)</f>
        <v>0</v>
      </c>
      <c r="BX136" s="15">
        <f>IF('ENCUESTA CONDUCTORES'!CF136="X",1,0)</f>
        <v>0</v>
      </c>
      <c r="BY136" s="15">
        <f>IF('ENCUESTA CONDUCTORES'!CG136="X",1,0)</f>
        <v>0</v>
      </c>
      <c r="BZ136" s="15">
        <f>IF('ENCUESTA CONDUCTORES'!CH136="X",1,0)</f>
        <v>0</v>
      </c>
      <c r="CA136" s="15">
        <f>IF('ENCUESTA CONDUCTORES'!CI136="X",1,0)</f>
        <v>0</v>
      </c>
      <c r="CB136" s="15">
        <f>IF('ENCUESTA CONDUCTORES'!CJ136="X",1,0)</f>
        <v>0</v>
      </c>
      <c r="CC136" s="15">
        <f>IF('ENCUESTA CONDUCTORES'!CK136="X",1,0)</f>
        <v>1</v>
      </c>
      <c r="CD136" s="15">
        <f>IF('ENCUESTA CONDUCTORES'!CL136="X",1,0)</f>
        <v>0</v>
      </c>
      <c r="CE136" s="15">
        <f>IF('ENCUESTA CONDUCTORES'!CM136="X",1,0)</f>
        <v>0</v>
      </c>
      <c r="CF136" s="15">
        <f>+'ENCUESTA CONDUCTORES'!CN136</f>
        <v>0</v>
      </c>
      <c r="CG136" s="15">
        <f>IF('ENCUESTA CONDUCTORES'!CO136="X",1,0)</f>
        <v>0</v>
      </c>
      <c r="CH136" s="15" t="str">
        <f>+'ENCUESTA CONDUCTORES'!CP136</f>
        <v>NO SABE</v>
      </c>
      <c r="CI136" s="15" t="str">
        <f>+'ENCUESTA CONDUCTORES'!CQ136</f>
        <v>NO SABE</v>
      </c>
      <c r="CJ136" s="15">
        <f>IF('ENCUESTA CONDUCTORES'!CR136="X",1,0)</f>
        <v>0</v>
      </c>
      <c r="CK136" s="15">
        <f>IF('ENCUESTA CONDUCTORES'!CS136="X",1,0)</f>
        <v>1</v>
      </c>
      <c r="CL136" s="15">
        <f>IF('ENCUESTA CONDUCTORES'!CT136="X",1,0)</f>
        <v>1</v>
      </c>
      <c r="CM136" s="15">
        <f>+'ENCUESTA CONDUCTORES'!CU136</f>
        <v>0</v>
      </c>
      <c r="CN136" s="15">
        <f>IF('ENCUESTA CONDUCTORES'!CV136="X",1,0)</f>
        <v>0</v>
      </c>
      <c r="CO136" s="15">
        <f>+'ENCUESTA CONDUCTORES'!CW136</f>
        <v>0</v>
      </c>
      <c r="CP136" s="15">
        <f>IF('ENCUESTA CONDUCTORES'!CX136="X",1,0)</f>
        <v>1</v>
      </c>
      <c r="CQ136" s="15">
        <f>IF('ENCUESTA CONDUCTORES'!CY136="X",1,0)</f>
        <v>1</v>
      </c>
      <c r="CR136" s="3">
        <f>+'ENCUESTA CONDUCTORES'!CZ136</f>
        <v>0</v>
      </c>
      <c r="CS136" s="49" t="str">
        <f>+'ENCUESTA CONDUCTORES'!DA136</f>
        <v>PROPONE GASOLINA + LIMPIA</v>
      </c>
    </row>
    <row r="137" spans="2:97" x14ac:dyDescent="0.25">
      <c r="B137" s="14" t="str">
        <f>+'ENCUESTA CONDUCTORES'!D137</f>
        <v>C-143</v>
      </c>
      <c r="C137" s="15">
        <f>IF('ENCUESTA CONDUCTORES'!E137="X",1,0)</f>
        <v>0</v>
      </c>
      <c r="D137" s="15">
        <f>IF('ENCUESTA CONDUCTORES'!F137="X",1,0)</f>
        <v>0</v>
      </c>
      <c r="E137" s="15">
        <f>IF('ENCUESTA CONDUCTORES'!G137="X",1,0)</f>
        <v>1</v>
      </c>
      <c r="F137" s="15">
        <f>IF('ENCUESTA CONDUCTORES'!H137="X",1,0)</f>
        <v>0</v>
      </c>
      <c r="G137" s="15">
        <f>+'ENCUESTA CONDUCTORES'!I137</f>
        <v>50</v>
      </c>
      <c r="H137" s="15" t="str">
        <f>+'ENCUESTA CONDUCTORES'!J137</f>
        <v>M</v>
      </c>
      <c r="I137" s="15" t="str">
        <f>+'ENCUESTA CONDUCTORES'!K137</f>
        <v>PRIMARIA</v>
      </c>
      <c r="J137" s="15" t="str">
        <f>+'ENCUESTA CONDUCTORES'!L137</f>
        <v>CUAUHTÉMOC, D.F.</v>
      </c>
      <c r="K137" s="50" t="str">
        <f>+'ENCUESTA CONDUCTORES'!M137</f>
        <v>CUAUHTÉMOC</v>
      </c>
      <c r="L137" s="15" t="str">
        <f>+'ENCUESTA CONDUCTORES'!N137</f>
        <v>D.F.</v>
      </c>
      <c r="M137" s="15">
        <f>+'ENCUESTA CONDUCTORES'!O137</f>
        <v>30</v>
      </c>
      <c r="N137" s="15">
        <f>IF('ENCUESTA CONDUCTORES'!P137="X",1,0)</f>
        <v>1</v>
      </c>
      <c r="O137" s="15">
        <f>IF('ENCUESTA CONDUCTORES'!Q137="X",1,0)</f>
        <v>0</v>
      </c>
      <c r="P137" s="15">
        <f>IF('ENCUESTA CONDUCTORES'!R137="X",1,0)</f>
        <v>0</v>
      </c>
      <c r="Q137" s="15">
        <f>IF('ENCUESTA CONDUCTORES'!S137="X",1,0)</f>
        <v>0</v>
      </c>
      <c r="R137" s="15">
        <f>IF('ENCUESTA CONDUCTORES'!T137="X",1,0)</f>
        <v>0</v>
      </c>
      <c r="S137" s="15">
        <f>IF('ENCUESTA CONDUCTORES'!U137="X",1,0)</f>
        <v>1</v>
      </c>
      <c r="T137" s="15">
        <f>IF('ENCUESTA CONDUCTORES'!V137="X",1,0)</f>
        <v>0</v>
      </c>
      <c r="U137" s="15">
        <f>IF('ENCUESTA CONDUCTORES'!W137="X",1,0)</f>
        <v>0</v>
      </c>
      <c r="V137" s="15">
        <f>IF('ENCUESTA CONDUCTORES'!X137="X",1,0)</f>
        <v>0</v>
      </c>
      <c r="W137" s="15">
        <f>IF('ENCUESTA CONDUCTORES'!Y137="X",1,0)</f>
        <v>0</v>
      </c>
      <c r="X137" s="15">
        <f>IF('ENCUESTA CONDUCTORES'!Z137="X",1,0)</f>
        <v>0</v>
      </c>
      <c r="Y137" s="15">
        <f>+'ENCUESTA CONDUCTORES'!AG137</f>
        <v>0</v>
      </c>
      <c r="Z137" s="15">
        <f>+'ENCUESTA CONDUCTORES'!AH137</f>
        <v>2012</v>
      </c>
      <c r="AA137" s="1">
        <f>+'ENCUESTA CONDUCTORES'!AI137</f>
        <v>300000</v>
      </c>
      <c r="AB137" s="15">
        <f>IF('ENCUESTA CONDUCTORES'!AJ137="X",1,0)</f>
        <v>0</v>
      </c>
      <c r="AC137" s="15">
        <f>IF('ENCUESTA CONDUCTORES'!AK137="X",1,0)</f>
        <v>0</v>
      </c>
      <c r="AD137" s="15">
        <f>IF('ENCUESTA CONDUCTORES'!AL137="X",1,0)</f>
        <v>1</v>
      </c>
      <c r="AE137" s="15">
        <f>IF('ENCUESTA CONDUCTORES'!AM137="X",1,0)</f>
        <v>0</v>
      </c>
      <c r="AF137" s="15">
        <f>IF('ENCUESTA CONDUCTORES'!AN137="X",1,0)</f>
        <v>0</v>
      </c>
      <c r="AG137" s="15">
        <f>IF('ENCUESTA CONDUCTORES'!AO137="X",1,0)</f>
        <v>0</v>
      </c>
      <c r="AH137" s="15">
        <f>IF('ENCUESTA CONDUCTORES'!AP137="X",1,0)</f>
        <v>1</v>
      </c>
      <c r="AI137" s="15">
        <f>IF('ENCUESTA CONDUCTORES'!AQ137="X",1,0)</f>
        <v>0</v>
      </c>
      <c r="AJ137" s="15">
        <f>IF('ENCUESTA CONDUCTORES'!AR137="X",1,0)</f>
        <v>0</v>
      </c>
      <c r="AK137" s="15">
        <f>+'ENCUESTA CONDUCTORES'!AS137</f>
        <v>0</v>
      </c>
      <c r="AL137" s="15" t="str">
        <f>+'ENCUESTA CONDUCTORES'!AT137</f>
        <v>MERCEDES BENZ</v>
      </c>
      <c r="AM137" s="1">
        <f>+'ENCUESTA CONDUCTORES'!AU137</f>
        <v>4000</v>
      </c>
      <c r="AN137" s="48">
        <f>+'ENCUESTA CONDUCTORES'!AV137</f>
        <v>0.5</v>
      </c>
      <c r="AO137" s="15">
        <f>+'ENCUESTA CONDUCTORES'!AW137</f>
        <v>2.5</v>
      </c>
      <c r="AP137" s="15">
        <f>+'ENCUESTA CONDUCTORES'!AX137</f>
        <v>2.2999999999999998</v>
      </c>
      <c r="AQ137" s="15">
        <f>+'ENCUESTA CONDUCTORES'!AY137</f>
        <v>2</v>
      </c>
      <c r="AR137" s="15">
        <f>+'ENCUESTA CONDUCTORES'!AZ137</f>
        <v>420</v>
      </c>
      <c r="AS137" s="15">
        <f>+'ENCUESTA CONDUCTORES'!BA137</f>
        <v>1000</v>
      </c>
      <c r="AT137" s="15">
        <f>IF('ENCUESTA CONDUCTORES'!BB137="X",1,0)</f>
        <v>1</v>
      </c>
      <c r="AU137" s="15">
        <f>IF('ENCUESTA CONDUCTORES'!BC137="X",1,0)</f>
        <v>1</v>
      </c>
      <c r="AV137" s="15">
        <f>IF('ENCUESTA CONDUCTORES'!BD137="X",1,0)</f>
        <v>0</v>
      </c>
      <c r="AW137" s="1">
        <f>+'ENCUESTA CONDUCTORES'!BE137</f>
        <v>20000</v>
      </c>
      <c r="AX137" s="1">
        <f>+'ENCUESTA CONDUCTORES'!BF137</f>
        <v>15000</v>
      </c>
      <c r="AY137" s="1">
        <f>+'ENCUESTA CONDUCTORES'!BG137</f>
        <v>20000</v>
      </c>
      <c r="AZ137" s="1">
        <f>+'ENCUESTA CONDUCTORES'!BH137</f>
        <v>60000</v>
      </c>
      <c r="BA137" s="1">
        <f>+'ENCUESTA CONDUCTORES'!BI137</f>
        <v>20000</v>
      </c>
      <c r="BB137" s="15">
        <f>IF('ENCUESTA CONDUCTORES'!BJ137="X",1,0)</f>
        <v>0</v>
      </c>
      <c r="BC137" s="15">
        <f>IF('ENCUESTA CONDUCTORES'!BK137="X",1,0)</f>
        <v>0</v>
      </c>
      <c r="BD137" s="15">
        <f>IF('ENCUESTA CONDUCTORES'!BL137="X",1,0)</f>
        <v>0</v>
      </c>
      <c r="BE137" s="15">
        <f>IF('ENCUESTA CONDUCTORES'!BM137="X",1,0)</f>
        <v>1</v>
      </c>
      <c r="BF137" s="15">
        <f>IF('ENCUESTA CONDUCTORES'!BN137="X",1,0)</f>
        <v>0</v>
      </c>
      <c r="BG137" s="15">
        <f>IF('ENCUESTA CONDUCTORES'!BO137="X",1,0)</f>
        <v>0</v>
      </c>
      <c r="BH137" s="15">
        <f>IF('ENCUESTA CONDUCTORES'!BP137="X",1,0)</f>
        <v>0</v>
      </c>
      <c r="BI137" s="15">
        <f>IF('ENCUESTA CONDUCTORES'!BQ137="X",1,0)</f>
        <v>0</v>
      </c>
      <c r="BJ137" s="15">
        <f>IF('ENCUESTA CONDUCTORES'!BR137="X",1,0)</f>
        <v>0</v>
      </c>
      <c r="BK137" s="15">
        <f>+'ENCUESTA CONDUCTORES'!BS137</f>
        <v>0</v>
      </c>
      <c r="BL137" s="15">
        <f>IF('ENCUESTA CONDUCTORES'!BT137="X",1,0)</f>
        <v>0</v>
      </c>
      <c r="BM137" s="15">
        <f>IF('ENCUESTA CONDUCTORES'!BU137="X",1,0)</f>
        <v>1</v>
      </c>
      <c r="BN137" s="15">
        <f>IF('ENCUESTA CONDUCTORES'!BV137="X",1,0)</f>
        <v>0</v>
      </c>
      <c r="BO137" s="15">
        <f>IF('ENCUESTA CONDUCTORES'!BW137="X",1,0)</f>
        <v>0</v>
      </c>
      <c r="BP137" s="15">
        <f>+'ENCUESTA CONDUCTORES'!BX137</f>
        <v>2</v>
      </c>
      <c r="BQ137" s="15">
        <f>+'ENCUESTA CONDUCTORES'!BY137</f>
        <v>3</v>
      </c>
      <c r="BR137" s="15">
        <f>+'ENCUESTA CONDUCTORES'!BZ137</f>
        <v>4</v>
      </c>
      <c r="BS137" s="15" t="str">
        <f>+'ENCUESTA CONDUCTORES'!CA137</f>
        <v>SEGURIDAD</v>
      </c>
      <c r="BT137" s="15">
        <f>IF('ENCUESTA CONDUCTORES'!CB137="X",1,0)</f>
        <v>1</v>
      </c>
      <c r="BU137" s="15">
        <f>IF('ENCUESTA CONDUCTORES'!CC137="X",1,0)</f>
        <v>0</v>
      </c>
      <c r="BV137" s="15">
        <f>IF('ENCUESTA CONDUCTORES'!CD137="X",1,0)</f>
        <v>0</v>
      </c>
      <c r="BW137" s="15">
        <f>IF('ENCUESTA CONDUCTORES'!CE137="X",1,0)</f>
        <v>0</v>
      </c>
      <c r="BX137" s="15">
        <f>IF('ENCUESTA CONDUCTORES'!CF137="X",1,0)</f>
        <v>0</v>
      </c>
      <c r="BY137" s="15">
        <f>IF('ENCUESTA CONDUCTORES'!CG137="X",1,0)</f>
        <v>0</v>
      </c>
      <c r="BZ137" s="15">
        <f>IF('ENCUESTA CONDUCTORES'!CH137="X",1,0)</f>
        <v>0</v>
      </c>
      <c r="CA137" s="15">
        <f>IF('ENCUESTA CONDUCTORES'!CI137="X",1,0)</f>
        <v>0</v>
      </c>
      <c r="CB137" s="15">
        <f>IF('ENCUESTA CONDUCTORES'!CJ137="X",1,0)</f>
        <v>0</v>
      </c>
      <c r="CC137" s="15">
        <f>IF('ENCUESTA CONDUCTORES'!CK137="X",1,0)</f>
        <v>1</v>
      </c>
      <c r="CD137" s="15">
        <f>IF('ENCUESTA CONDUCTORES'!CL137="X",1,0)</f>
        <v>0</v>
      </c>
      <c r="CE137" s="15">
        <f>IF('ENCUESTA CONDUCTORES'!CM137="X",1,0)</f>
        <v>0</v>
      </c>
      <c r="CF137" s="15">
        <f>+'ENCUESTA CONDUCTORES'!CN137</f>
        <v>0</v>
      </c>
      <c r="CG137" s="15">
        <f>IF('ENCUESTA CONDUCTORES'!CO137="X",1,0)</f>
        <v>0</v>
      </c>
      <c r="CH137" s="15" t="str">
        <f>+'ENCUESTA CONDUCTORES'!CP137</f>
        <v>NO SABE</v>
      </c>
      <c r="CI137" s="15" t="str">
        <f>+'ENCUESTA CONDUCTORES'!CQ137</f>
        <v>NO LE INTERESA</v>
      </c>
      <c r="CJ137" s="15">
        <f>IF('ENCUESTA CONDUCTORES'!CR137="X",1,0)</f>
        <v>0</v>
      </c>
      <c r="CK137" s="15">
        <f>IF('ENCUESTA CONDUCTORES'!CS137="X",1,0)</f>
        <v>0</v>
      </c>
      <c r="CL137" s="15">
        <f>IF('ENCUESTA CONDUCTORES'!CT137="X",1,0)</f>
        <v>0</v>
      </c>
      <c r="CM137" s="15" t="str">
        <f>+'ENCUESTA CONDUCTORES'!CU137</f>
        <v>PRIMEROS AUXILIOS</v>
      </c>
      <c r="CN137" s="15">
        <f>IF('ENCUESTA CONDUCTORES'!CV137="X",1,0)</f>
        <v>0</v>
      </c>
      <c r="CO137" s="15">
        <f>+'ENCUESTA CONDUCTORES'!CW137</f>
        <v>0</v>
      </c>
      <c r="CP137" s="15">
        <f>IF('ENCUESTA CONDUCTORES'!CX137="X",1,0)</f>
        <v>1</v>
      </c>
      <c r="CQ137" s="15">
        <f>IF('ENCUESTA CONDUCTORES'!CY137="X",1,0)</f>
        <v>1</v>
      </c>
      <c r="CR137" s="3">
        <f>+'ENCUESTA CONDUCTORES'!CZ137</f>
        <v>0</v>
      </c>
      <c r="CS137" s="49">
        <f>+'ENCUESTA CONDUCTORES'!DA137</f>
        <v>0</v>
      </c>
    </row>
    <row r="138" spans="2:97" x14ac:dyDescent="0.25">
      <c r="B138" s="14" t="str">
        <f>+'ENCUESTA CONDUCTORES'!D138</f>
        <v>C-144</v>
      </c>
      <c r="C138" s="15">
        <f>IF('ENCUESTA CONDUCTORES'!E138="X",1,0)</f>
        <v>1</v>
      </c>
      <c r="D138" s="15">
        <f>IF('ENCUESTA CONDUCTORES'!F138="X",1,0)</f>
        <v>0</v>
      </c>
      <c r="E138" s="15">
        <f>IF('ENCUESTA CONDUCTORES'!G138="X",1,0)</f>
        <v>0</v>
      </c>
      <c r="F138" s="15">
        <f>IF('ENCUESTA CONDUCTORES'!H138="X",1,0)</f>
        <v>0</v>
      </c>
      <c r="G138" s="15">
        <f>+'ENCUESTA CONDUCTORES'!I138</f>
        <v>38</v>
      </c>
      <c r="H138" s="15" t="str">
        <f>+'ENCUESTA CONDUCTORES'!J138</f>
        <v>M</v>
      </c>
      <c r="I138" s="15" t="str">
        <f>+'ENCUESTA CONDUCTORES'!K138</f>
        <v>PREPARATORIA</v>
      </c>
      <c r="J138" s="15" t="str">
        <f>+'ENCUESTA CONDUCTORES'!L138</f>
        <v>VALLE DE CHALCO, EDO. MEX</v>
      </c>
      <c r="K138" s="15" t="str">
        <f>+'ENCUESTA CONDUCTORES'!M138</f>
        <v>CHALCO</v>
      </c>
      <c r="L138" s="15" t="str">
        <f>+'ENCUESTA CONDUCTORES'!N138</f>
        <v>EDO. MEX.</v>
      </c>
      <c r="M138" s="15">
        <f>+'ENCUESTA CONDUCTORES'!O138</f>
        <v>12</v>
      </c>
      <c r="N138" s="15">
        <f>IF('ENCUESTA CONDUCTORES'!P138="X",1,0)</f>
        <v>0</v>
      </c>
      <c r="O138" s="15">
        <f>IF('ENCUESTA CONDUCTORES'!Q138="X",1,0)</f>
        <v>0</v>
      </c>
      <c r="P138" s="15">
        <f>IF('ENCUESTA CONDUCTORES'!R138="X",1,0)</f>
        <v>0</v>
      </c>
      <c r="Q138" s="15">
        <f>IF('ENCUESTA CONDUCTORES'!S138="X",1,0)</f>
        <v>1</v>
      </c>
      <c r="R138" s="15">
        <f>IF('ENCUESTA CONDUCTORES'!T138="X",1,0)</f>
        <v>0</v>
      </c>
      <c r="S138" s="15">
        <f>IF('ENCUESTA CONDUCTORES'!U138="X",1,0)</f>
        <v>1</v>
      </c>
      <c r="T138" s="15">
        <f>IF('ENCUESTA CONDUCTORES'!V138="X",1,0)</f>
        <v>0</v>
      </c>
      <c r="U138" s="15">
        <f>IF('ENCUESTA CONDUCTORES'!W138="X",1,0)</f>
        <v>0</v>
      </c>
      <c r="V138" s="15">
        <f>IF('ENCUESTA CONDUCTORES'!X138="X",1,0)</f>
        <v>0</v>
      </c>
      <c r="W138" s="15">
        <f>IF('ENCUESTA CONDUCTORES'!Y138="X",1,0)</f>
        <v>0</v>
      </c>
      <c r="X138" s="15">
        <f>IF('ENCUESTA CONDUCTORES'!Z138="X",1,0)</f>
        <v>0</v>
      </c>
      <c r="Y138" s="15">
        <f>+'ENCUESTA CONDUCTORES'!AG138</f>
        <v>0</v>
      </c>
      <c r="Z138" s="15">
        <f>+'ENCUESTA CONDUCTORES'!AH138</f>
        <v>2008</v>
      </c>
      <c r="AA138" s="1">
        <f>+'ENCUESTA CONDUCTORES'!AI138</f>
        <v>300000</v>
      </c>
      <c r="AB138" s="15">
        <f>IF('ENCUESTA CONDUCTORES'!AJ138="X",1,0)</f>
        <v>0</v>
      </c>
      <c r="AC138" s="15">
        <f>IF('ENCUESTA CONDUCTORES'!AK138="X",1,0)</f>
        <v>0</v>
      </c>
      <c r="AD138" s="15">
        <f>IF('ENCUESTA CONDUCTORES'!AL138="X",1,0)</f>
        <v>1</v>
      </c>
      <c r="AE138" s="15">
        <f>IF('ENCUESTA CONDUCTORES'!AM138="X",1,0)</f>
        <v>0</v>
      </c>
      <c r="AF138" s="15">
        <f>IF('ENCUESTA CONDUCTORES'!AN138="X",1,0)</f>
        <v>0</v>
      </c>
      <c r="AG138" s="15">
        <f>IF('ENCUESTA CONDUCTORES'!AO138="X",1,0)</f>
        <v>0</v>
      </c>
      <c r="AH138" s="15">
        <f>IF('ENCUESTA CONDUCTORES'!AP138="X",1,0)</f>
        <v>1</v>
      </c>
      <c r="AI138" s="15">
        <f>IF('ENCUESTA CONDUCTORES'!AQ138="X",1,0)</f>
        <v>0</v>
      </c>
      <c r="AJ138" s="15">
        <f>IF('ENCUESTA CONDUCTORES'!AR138="X",1,0)</f>
        <v>0</v>
      </c>
      <c r="AK138" s="15">
        <f>+'ENCUESTA CONDUCTORES'!AS138</f>
        <v>0</v>
      </c>
      <c r="AL138" s="15" t="str">
        <f>+'ENCUESTA CONDUCTORES'!AT138</f>
        <v>FREIGHTLINER</v>
      </c>
      <c r="AM138" s="1">
        <f>+'ENCUESTA CONDUCTORES'!AU138</f>
        <v>25000</v>
      </c>
      <c r="AN138" s="48">
        <f>+'ENCUESTA CONDUCTORES'!AV138</f>
        <v>0.5</v>
      </c>
      <c r="AO138" s="15">
        <f>+'ENCUESTA CONDUCTORES'!AW138</f>
        <v>2</v>
      </c>
      <c r="AP138" s="15">
        <f>+'ENCUESTA CONDUCTORES'!AX138</f>
        <v>1.6</v>
      </c>
      <c r="AQ138" s="15">
        <f>+'ENCUESTA CONDUCTORES'!AY138</f>
        <v>2</v>
      </c>
      <c r="AR138" s="15">
        <f>+'ENCUESTA CONDUCTORES'!AZ138</f>
        <v>420</v>
      </c>
      <c r="AS138" s="15">
        <f>+'ENCUESTA CONDUCTORES'!BA138</f>
        <v>750</v>
      </c>
      <c r="AT138" s="15">
        <f>IF('ENCUESTA CONDUCTORES'!BB138="X",1,0)</f>
        <v>0</v>
      </c>
      <c r="AU138" s="15">
        <f>IF('ENCUESTA CONDUCTORES'!BC138="X",1,0)</f>
        <v>0</v>
      </c>
      <c r="AV138" s="15">
        <f>IF('ENCUESTA CONDUCTORES'!BD138="X",1,0)</f>
        <v>0</v>
      </c>
      <c r="AW138" s="1">
        <f>+'ENCUESTA CONDUCTORES'!BE138</f>
        <v>16000</v>
      </c>
      <c r="AX138" s="1">
        <f>+'ENCUESTA CONDUCTORES'!BF138</f>
        <v>16000</v>
      </c>
      <c r="AY138" s="1">
        <f>+'ENCUESTA CONDUCTORES'!BG138</f>
        <v>16000</v>
      </c>
      <c r="AZ138" s="1">
        <f>+'ENCUESTA CONDUCTORES'!BH138</f>
        <v>70000</v>
      </c>
      <c r="BA138" s="1">
        <f>+'ENCUESTA CONDUCTORES'!BI138</f>
        <v>16000</v>
      </c>
      <c r="BB138" s="15">
        <f>IF('ENCUESTA CONDUCTORES'!BJ138="X",1,0)</f>
        <v>0</v>
      </c>
      <c r="BC138" s="15">
        <f>IF('ENCUESTA CONDUCTORES'!BK138="X",1,0)</f>
        <v>0</v>
      </c>
      <c r="BD138" s="15">
        <f>IF('ENCUESTA CONDUCTORES'!BL138="X",1,0)</f>
        <v>0</v>
      </c>
      <c r="BE138" s="15">
        <f>IF('ENCUESTA CONDUCTORES'!BM138="X",1,0)</f>
        <v>0</v>
      </c>
      <c r="BF138" s="15">
        <f>IF('ENCUESTA CONDUCTORES'!BN138="X",1,0)</f>
        <v>0</v>
      </c>
      <c r="BG138" s="15">
        <f>IF('ENCUESTA CONDUCTORES'!BO138="X",1,0)</f>
        <v>0</v>
      </c>
      <c r="BH138" s="15">
        <f>IF('ENCUESTA CONDUCTORES'!BP138="X",1,0)</f>
        <v>0</v>
      </c>
      <c r="BI138" s="15">
        <f>IF('ENCUESTA CONDUCTORES'!BQ138="X",1,0)</f>
        <v>0</v>
      </c>
      <c r="BJ138" s="15">
        <f>IF('ENCUESTA CONDUCTORES'!BR138="X",1,0)</f>
        <v>0</v>
      </c>
      <c r="BK138" s="15" t="str">
        <f>+'ENCUESTA CONDUCTORES'!BS138</f>
        <v>MUEBLES</v>
      </c>
      <c r="BL138" s="15">
        <f>IF('ENCUESTA CONDUCTORES'!BT138="X",1,0)</f>
        <v>0</v>
      </c>
      <c r="BM138" s="15">
        <f>IF('ENCUESTA CONDUCTORES'!BU138="X",1,0)</f>
        <v>1</v>
      </c>
      <c r="BN138" s="15">
        <f>IF('ENCUESTA CONDUCTORES'!BV138="X",1,0)</f>
        <v>0</v>
      </c>
      <c r="BO138" s="15">
        <f>IF('ENCUESTA CONDUCTORES'!BW138="X",1,0)</f>
        <v>0</v>
      </c>
      <c r="BP138" s="15">
        <f>+'ENCUESTA CONDUCTORES'!BX138</f>
        <v>2</v>
      </c>
      <c r="BQ138" s="15">
        <f>+'ENCUESTA CONDUCTORES'!BY138</f>
        <v>3</v>
      </c>
      <c r="BR138" s="15">
        <f>+'ENCUESTA CONDUCTORES'!BZ138</f>
        <v>1</v>
      </c>
      <c r="BS138" s="15">
        <f>+'ENCUESTA CONDUCTORES'!CA138</f>
        <v>0</v>
      </c>
      <c r="BT138" s="15">
        <f>IF('ENCUESTA CONDUCTORES'!CB138="X",1,0)</f>
        <v>1</v>
      </c>
      <c r="BU138" s="15">
        <f>IF('ENCUESTA CONDUCTORES'!CC138="X",1,0)</f>
        <v>0</v>
      </c>
      <c r="BV138" s="15">
        <f>IF('ENCUESTA CONDUCTORES'!CD138="X",1,0)</f>
        <v>0</v>
      </c>
      <c r="BW138" s="15">
        <f>IF('ENCUESTA CONDUCTORES'!CE138="X",1,0)</f>
        <v>0</v>
      </c>
      <c r="BX138" s="15">
        <f>IF('ENCUESTA CONDUCTORES'!CF138="X",1,0)</f>
        <v>0</v>
      </c>
      <c r="BY138" s="15">
        <f>IF('ENCUESTA CONDUCTORES'!CG138="X",1,0)</f>
        <v>0</v>
      </c>
      <c r="BZ138" s="15">
        <f>IF('ENCUESTA CONDUCTORES'!CH138="X",1,0)</f>
        <v>0</v>
      </c>
      <c r="CA138" s="15">
        <f>IF('ENCUESTA CONDUCTORES'!CI138="X",1,0)</f>
        <v>0</v>
      </c>
      <c r="CB138" s="15">
        <f>IF('ENCUESTA CONDUCTORES'!CJ138="X",1,0)</f>
        <v>0</v>
      </c>
      <c r="CC138" s="15">
        <f>IF('ENCUESTA CONDUCTORES'!CK138="X",1,0)</f>
        <v>1</v>
      </c>
      <c r="CD138" s="15">
        <f>IF('ENCUESTA CONDUCTORES'!CL138="X",1,0)</f>
        <v>0</v>
      </c>
      <c r="CE138" s="15">
        <f>IF('ENCUESTA CONDUCTORES'!CM138="X",1,0)</f>
        <v>0</v>
      </c>
      <c r="CF138" s="15">
        <f>+'ENCUESTA CONDUCTORES'!CN138</f>
        <v>0</v>
      </c>
      <c r="CG138" s="15">
        <f>IF('ENCUESTA CONDUCTORES'!CO138="X",1,0)</f>
        <v>0</v>
      </c>
      <c r="CH138" s="15" t="str">
        <f>+'ENCUESTA CONDUCTORES'!CP138</f>
        <v>NO SABE</v>
      </c>
      <c r="CI138" s="15" t="str">
        <f>+'ENCUESTA CONDUCTORES'!CQ138</f>
        <v>PUBLICIDAD</v>
      </c>
      <c r="CJ138" s="15">
        <f>IF('ENCUESTA CONDUCTORES'!CR138="X",1,0)</f>
        <v>0</v>
      </c>
      <c r="CK138" s="15">
        <f>IF('ENCUESTA CONDUCTORES'!CS138="X",1,0)</f>
        <v>0</v>
      </c>
      <c r="CL138" s="15">
        <f>IF('ENCUESTA CONDUCTORES'!CT138="X",1,0)</f>
        <v>0</v>
      </c>
      <c r="CM138" s="15" t="str">
        <f>+'ENCUESTA CONDUCTORES'!CU138</f>
        <v>MANEJO A LA DEFENSIVA</v>
      </c>
      <c r="CN138" s="15">
        <f>IF('ENCUESTA CONDUCTORES'!CV138="X",1,0)</f>
        <v>0</v>
      </c>
      <c r="CO138" s="15">
        <f>+'ENCUESTA CONDUCTORES'!CW138</f>
        <v>0</v>
      </c>
      <c r="CP138" s="15">
        <f>IF('ENCUESTA CONDUCTORES'!CX138="X",1,0)</f>
        <v>0</v>
      </c>
      <c r="CQ138" s="15">
        <f>IF('ENCUESTA CONDUCTORES'!CY138="X",1,0)</f>
        <v>1</v>
      </c>
      <c r="CR138" s="3">
        <f>+'ENCUESTA CONDUCTORES'!CZ138</f>
        <v>0</v>
      </c>
      <c r="CS138" s="49">
        <f>+'ENCUESTA CONDUCTORES'!DA138</f>
        <v>0</v>
      </c>
    </row>
    <row r="139" spans="2:97" x14ac:dyDescent="0.25">
      <c r="B139" s="14" t="str">
        <f>+'ENCUESTA CONDUCTORES'!D139</f>
        <v>C-145</v>
      </c>
      <c r="C139" s="15">
        <f>IF('ENCUESTA CONDUCTORES'!E139="X",1,0)</f>
        <v>0</v>
      </c>
      <c r="D139" s="15">
        <f>IF('ENCUESTA CONDUCTORES'!F139="X",1,0)</f>
        <v>0</v>
      </c>
      <c r="E139" s="15">
        <f>IF('ENCUESTA CONDUCTORES'!G139="X",1,0)</f>
        <v>1</v>
      </c>
      <c r="F139" s="15">
        <f>IF('ENCUESTA CONDUCTORES'!H139="X",1,0)</f>
        <v>0</v>
      </c>
      <c r="G139" s="15">
        <f>+'ENCUESTA CONDUCTORES'!I139</f>
        <v>43</v>
      </c>
      <c r="H139" s="15" t="str">
        <f>+'ENCUESTA CONDUCTORES'!J139</f>
        <v>M</v>
      </c>
      <c r="I139" s="15" t="str">
        <f>+'ENCUESTA CONDUCTORES'!K139</f>
        <v>SECUNDARIA</v>
      </c>
      <c r="J139" s="15" t="str">
        <f>+'ENCUESTA CONDUCTORES'!L139</f>
        <v>TLALPAN, D.F.</v>
      </c>
      <c r="K139" s="15" t="str">
        <f>+'ENCUESTA CONDUCTORES'!M139</f>
        <v>TLALPAN</v>
      </c>
      <c r="L139" s="15" t="str">
        <f>+'ENCUESTA CONDUCTORES'!N139</f>
        <v>D.F.</v>
      </c>
      <c r="M139" s="15">
        <f>+'ENCUESTA CONDUCTORES'!O139</f>
        <v>22</v>
      </c>
      <c r="N139" s="15">
        <f>IF('ENCUESTA CONDUCTORES'!P139="X",1,0)</f>
        <v>0</v>
      </c>
      <c r="O139" s="15">
        <f>IF('ENCUESTA CONDUCTORES'!Q139="X",1,0)</f>
        <v>0</v>
      </c>
      <c r="P139" s="15">
        <f>IF('ENCUESTA CONDUCTORES'!R139="X",1,0)</f>
        <v>0</v>
      </c>
      <c r="Q139" s="15">
        <f>IF('ENCUESTA CONDUCTORES'!S139="X",1,0)</f>
        <v>1</v>
      </c>
      <c r="R139" s="15">
        <f>IF('ENCUESTA CONDUCTORES'!T139="X",1,0)</f>
        <v>0</v>
      </c>
      <c r="S139" s="15">
        <f>IF('ENCUESTA CONDUCTORES'!U139="X",1,0)</f>
        <v>1</v>
      </c>
      <c r="T139" s="15">
        <f>IF('ENCUESTA CONDUCTORES'!V139="X",1,0)</f>
        <v>0</v>
      </c>
      <c r="U139" s="15">
        <f>IF('ENCUESTA CONDUCTORES'!W139="X",1,0)</f>
        <v>0</v>
      </c>
      <c r="V139" s="15">
        <f>IF('ENCUESTA CONDUCTORES'!X139="X",1,0)</f>
        <v>0</v>
      </c>
      <c r="W139" s="15">
        <f>IF('ENCUESTA CONDUCTORES'!Y139="X",1,0)</f>
        <v>0</v>
      </c>
      <c r="X139" s="15">
        <f>IF('ENCUESTA CONDUCTORES'!Z139="X",1,0)</f>
        <v>0</v>
      </c>
      <c r="Y139" s="15">
        <f>+'ENCUESTA CONDUCTORES'!AG139</f>
        <v>0</v>
      </c>
      <c r="Z139" s="15">
        <f>+'ENCUESTA CONDUCTORES'!AH139</f>
        <v>2006</v>
      </c>
      <c r="AA139" s="1" t="str">
        <f>+'ENCUESTA CONDUCTORES'!AI139</f>
        <v>NO SABE</v>
      </c>
      <c r="AB139" s="15">
        <f>IF('ENCUESTA CONDUCTORES'!AJ139="X",1,0)</f>
        <v>0</v>
      </c>
      <c r="AC139" s="15">
        <f>IF('ENCUESTA CONDUCTORES'!AK139="X",1,0)</f>
        <v>0</v>
      </c>
      <c r="AD139" s="15">
        <f>IF('ENCUESTA CONDUCTORES'!AL139="X",1,0)</f>
        <v>1</v>
      </c>
      <c r="AE139" s="15">
        <f>IF('ENCUESTA CONDUCTORES'!AM139="X",1,0)</f>
        <v>0</v>
      </c>
      <c r="AF139" s="15">
        <f>IF('ENCUESTA CONDUCTORES'!AN139="X",1,0)</f>
        <v>0</v>
      </c>
      <c r="AG139" s="15">
        <f>IF('ENCUESTA CONDUCTORES'!AO139="X",1,0)</f>
        <v>0</v>
      </c>
      <c r="AH139" s="15">
        <f>IF('ENCUESTA CONDUCTORES'!AP139="X",1,0)</f>
        <v>1</v>
      </c>
      <c r="AI139" s="15">
        <f>IF('ENCUESTA CONDUCTORES'!AQ139="X",1,0)</f>
        <v>0</v>
      </c>
      <c r="AJ139" s="15">
        <f>IF('ENCUESTA CONDUCTORES'!AR139="X",1,0)</f>
        <v>0</v>
      </c>
      <c r="AK139" s="15">
        <f>+'ENCUESTA CONDUCTORES'!AS139</f>
        <v>0</v>
      </c>
      <c r="AL139" s="15" t="str">
        <f>+'ENCUESTA CONDUCTORES'!AT139</f>
        <v>FREIGHTLINER</v>
      </c>
      <c r="AM139" s="1">
        <f>+'ENCUESTA CONDUCTORES'!AU139</f>
        <v>25000</v>
      </c>
      <c r="AN139" s="48">
        <f>+'ENCUESTA CONDUCTORES'!AV139</f>
        <v>0.1</v>
      </c>
      <c r="AO139" s="15">
        <f>+'ENCUESTA CONDUCTORES'!AW139</f>
        <v>2.1</v>
      </c>
      <c r="AP139" s="15">
        <f>+'ENCUESTA CONDUCTORES'!AX139</f>
        <v>1.9</v>
      </c>
      <c r="AQ139" s="15">
        <f>+'ENCUESTA CONDUCTORES'!AY139</f>
        <v>2</v>
      </c>
      <c r="AR139" s="15">
        <f>+'ENCUESTA CONDUCTORES'!AZ139</f>
        <v>1000</v>
      </c>
      <c r="AS139" s="15">
        <f>+'ENCUESTA CONDUCTORES'!BA139</f>
        <v>2000</v>
      </c>
      <c r="AT139" s="15">
        <f>IF('ENCUESTA CONDUCTORES'!BB139="X",1,0)</f>
        <v>1</v>
      </c>
      <c r="AU139" s="15">
        <f>IF('ENCUESTA CONDUCTORES'!BC139="X",1,0)</f>
        <v>1</v>
      </c>
      <c r="AV139" s="15">
        <f>IF('ENCUESTA CONDUCTORES'!BD139="X",1,0)</f>
        <v>1</v>
      </c>
      <c r="AW139" s="1">
        <f>+'ENCUESTA CONDUCTORES'!BE139</f>
        <v>26000</v>
      </c>
      <c r="AX139" s="1">
        <f>+'ENCUESTA CONDUCTORES'!BF139</f>
        <v>60000</v>
      </c>
      <c r="AY139" s="1">
        <f>+'ENCUESTA CONDUCTORES'!BG139</f>
        <v>26000</v>
      </c>
      <c r="AZ139" s="1">
        <f>+'ENCUESTA CONDUCTORES'!BH139</f>
        <v>100000</v>
      </c>
      <c r="BA139" s="1">
        <f>+'ENCUESTA CONDUCTORES'!BI139</f>
        <v>26000</v>
      </c>
      <c r="BB139" s="15">
        <f>IF('ENCUESTA CONDUCTORES'!BJ139="X",1,0)</f>
        <v>0</v>
      </c>
      <c r="BC139" s="15">
        <f>IF('ENCUESTA CONDUCTORES'!BK139="X",1,0)</f>
        <v>1</v>
      </c>
      <c r="BD139" s="15">
        <f>IF('ENCUESTA CONDUCTORES'!BL139="X",1,0)</f>
        <v>0</v>
      </c>
      <c r="BE139" s="15">
        <f>IF('ENCUESTA CONDUCTORES'!BM139="X",1,0)</f>
        <v>0</v>
      </c>
      <c r="BF139" s="15">
        <f>IF('ENCUESTA CONDUCTORES'!BN139="X",1,0)</f>
        <v>0</v>
      </c>
      <c r="BG139" s="15">
        <f>IF('ENCUESTA CONDUCTORES'!BO139="X",1,0)</f>
        <v>0</v>
      </c>
      <c r="BH139" s="15">
        <f>IF('ENCUESTA CONDUCTORES'!BP139="X",1,0)</f>
        <v>0</v>
      </c>
      <c r="BI139" s="15">
        <f>IF('ENCUESTA CONDUCTORES'!BQ139="X",1,0)</f>
        <v>0</v>
      </c>
      <c r="BJ139" s="15">
        <f>IF('ENCUESTA CONDUCTORES'!BR139="X",1,0)</f>
        <v>0</v>
      </c>
      <c r="BK139" s="15">
        <f>+'ENCUESTA CONDUCTORES'!BS139</f>
        <v>0</v>
      </c>
      <c r="BL139" s="15">
        <f>IF('ENCUESTA CONDUCTORES'!BT139="X",1,0)</f>
        <v>0</v>
      </c>
      <c r="BM139" s="15">
        <f>IF('ENCUESTA CONDUCTORES'!BU139="X",1,0)</f>
        <v>1</v>
      </c>
      <c r="BN139" s="15">
        <f>IF('ENCUESTA CONDUCTORES'!BV139="X",1,0)</f>
        <v>1</v>
      </c>
      <c r="BO139" s="15">
        <f>IF('ENCUESTA CONDUCTORES'!BW139="X",1,0)</f>
        <v>0</v>
      </c>
      <c r="BP139" s="15">
        <f>+'ENCUESTA CONDUCTORES'!BX139</f>
        <v>3</v>
      </c>
      <c r="BQ139" s="15">
        <f>+'ENCUESTA CONDUCTORES'!BY139</f>
        <v>4</v>
      </c>
      <c r="BR139" s="15">
        <f>+'ENCUESTA CONDUCTORES'!BZ139</f>
        <v>2</v>
      </c>
      <c r="BS139" s="15" t="str">
        <f>+'ENCUESTA CONDUCTORES'!CA139</f>
        <v>SEGURIDAD</v>
      </c>
      <c r="BT139" s="15">
        <f>IF('ENCUESTA CONDUCTORES'!CB139="X",1,0)</f>
        <v>0</v>
      </c>
      <c r="BU139" s="15">
        <f>IF('ENCUESTA CONDUCTORES'!CC139="X",1,0)</f>
        <v>1</v>
      </c>
      <c r="BV139" s="15">
        <f>IF('ENCUESTA CONDUCTORES'!CD139="X",1,0)</f>
        <v>1</v>
      </c>
      <c r="BW139" s="15">
        <f>IF('ENCUESTA CONDUCTORES'!CE139="X",1,0)</f>
        <v>0</v>
      </c>
      <c r="BX139" s="15">
        <f>IF('ENCUESTA CONDUCTORES'!CF139="X",1,0)</f>
        <v>0</v>
      </c>
      <c r="BY139" s="15">
        <f>IF('ENCUESTA CONDUCTORES'!CG139="X",1,0)</f>
        <v>0</v>
      </c>
      <c r="BZ139" s="15">
        <f>IF('ENCUESTA CONDUCTORES'!CH139="X",1,0)</f>
        <v>0</v>
      </c>
      <c r="CA139" s="15">
        <f>IF('ENCUESTA CONDUCTORES'!CI139="X",1,0)</f>
        <v>1</v>
      </c>
      <c r="CB139" s="15">
        <f>IF('ENCUESTA CONDUCTORES'!CJ139="X",1,0)</f>
        <v>0</v>
      </c>
      <c r="CC139" s="15">
        <f>IF('ENCUESTA CONDUCTORES'!CK139="X",1,0)</f>
        <v>0</v>
      </c>
      <c r="CD139" s="15">
        <f>IF('ENCUESTA CONDUCTORES'!CL139="X",1,0)</f>
        <v>1</v>
      </c>
      <c r="CE139" s="15">
        <f>IF('ENCUESTA CONDUCTORES'!CM139="X",1,0)</f>
        <v>0</v>
      </c>
      <c r="CF139" s="15">
        <f>+'ENCUESTA CONDUCTORES'!CN139</f>
        <v>0</v>
      </c>
      <c r="CG139" s="15">
        <f>IF('ENCUESTA CONDUCTORES'!CO139="X",1,0)</f>
        <v>1</v>
      </c>
      <c r="CH139" s="15" t="str">
        <f>+'ENCUESTA CONDUCTORES'!CP139</f>
        <v>ES BUENO, AHORRA COMBUSTIBLE</v>
      </c>
      <c r="CI139" s="15" t="str">
        <f>+'ENCUESTA CONDUCTORES'!CQ139</f>
        <v>DAR INCENTIVOS</v>
      </c>
      <c r="CJ139" s="15">
        <f>IF('ENCUESTA CONDUCTORES'!CR139="X",1,0)</f>
        <v>0</v>
      </c>
      <c r="CK139" s="15">
        <f>IF('ENCUESTA CONDUCTORES'!CS139="X",1,0)</f>
        <v>0</v>
      </c>
      <c r="CL139" s="15">
        <f>IF('ENCUESTA CONDUCTORES'!CT139="X",1,0)</f>
        <v>1</v>
      </c>
      <c r="CM139" s="15" t="str">
        <f>+'ENCUESTA CONDUCTORES'!CU139</f>
        <v>MANEJO A LA DEFENSIVA</v>
      </c>
      <c r="CN139" s="15">
        <f>IF('ENCUESTA CONDUCTORES'!CV139="X",1,0)</f>
        <v>0</v>
      </c>
      <c r="CO139" s="15">
        <f>+'ENCUESTA CONDUCTORES'!CW139</f>
        <v>0</v>
      </c>
      <c r="CP139" s="15">
        <f>IF('ENCUESTA CONDUCTORES'!CX139="X",1,0)</f>
        <v>0</v>
      </c>
      <c r="CQ139" s="15">
        <f>IF('ENCUESTA CONDUCTORES'!CY139="X",1,0)</f>
        <v>1</v>
      </c>
      <c r="CR139" s="3">
        <f>+'ENCUESTA CONDUCTORES'!CZ139</f>
        <v>0</v>
      </c>
      <c r="CS139" s="49" t="str">
        <f>+'ENCUESTA CONDUCTORES'!DA139</f>
        <v>CURSOS DE CONOCIMIENTOS BÁSICOS DE LA UNIDAD</v>
      </c>
    </row>
    <row r="140" spans="2:97" x14ac:dyDescent="0.25">
      <c r="B140" s="14" t="str">
        <f>+'ENCUESTA CONDUCTORES'!D140</f>
        <v>C-146</v>
      </c>
      <c r="C140" s="15">
        <f>IF('ENCUESTA CONDUCTORES'!E140="X",1,0)</f>
        <v>0</v>
      </c>
      <c r="D140" s="15">
        <f>IF('ENCUESTA CONDUCTORES'!F140="X",1,0)</f>
        <v>0</v>
      </c>
      <c r="E140" s="15">
        <f>IF('ENCUESTA CONDUCTORES'!G140="X",1,0)</f>
        <v>1</v>
      </c>
      <c r="F140" s="15">
        <f>IF('ENCUESTA CONDUCTORES'!H140="X",1,0)</f>
        <v>0</v>
      </c>
      <c r="G140" s="15">
        <f>+'ENCUESTA CONDUCTORES'!I140</f>
        <v>33</v>
      </c>
      <c r="H140" s="15" t="str">
        <f>+'ENCUESTA CONDUCTORES'!J140</f>
        <v>M</v>
      </c>
      <c r="I140" s="15" t="str">
        <f>+'ENCUESTA CONDUCTORES'!K140</f>
        <v>BACHILLERATO</v>
      </c>
      <c r="J140" s="15" t="str">
        <f>+'ENCUESTA CONDUCTORES'!L140</f>
        <v>MIGUEL HIDALGO, D.F.</v>
      </c>
      <c r="K140" s="50" t="str">
        <f>+'ENCUESTA CONDUCTORES'!M140</f>
        <v>MIGUEL HIDALGO</v>
      </c>
      <c r="L140" s="15" t="str">
        <f>+'ENCUESTA CONDUCTORES'!N140</f>
        <v>D.F.</v>
      </c>
      <c r="M140" s="15">
        <f>+'ENCUESTA CONDUCTORES'!O140</f>
        <v>14</v>
      </c>
      <c r="N140" s="15">
        <f>IF('ENCUESTA CONDUCTORES'!P140="X",1,0)</f>
        <v>0</v>
      </c>
      <c r="O140" s="15">
        <f>IF('ENCUESTA CONDUCTORES'!Q140="X",1,0)</f>
        <v>1</v>
      </c>
      <c r="P140" s="15">
        <f>IF('ENCUESTA CONDUCTORES'!R140="X",1,0)</f>
        <v>0</v>
      </c>
      <c r="Q140" s="15">
        <f>IF('ENCUESTA CONDUCTORES'!S140="X",1,0)</f>
        <v>0</v>
      </c>
      <c r="R140" s="15">
        <f>IF('ENCUESTA CONDUCTORES'!T140="X",1,0)</f>
        <v>0</v>
      </c>
      <c r="S140" s="15">
        <f>IF('ENCUESTA CONDUCTORES'!U140="X",1,0)</f>
        <v>1</v>
      </c>
      <c r="T140" s="15">
        <f>IF('ENCUESTA CONDUCTORES'!V140="X",1,0)</f>
        <v>0</v>
      </c>
      <c r="U140" s="15">
        <f>IF('ENCUESTA CONDUCTORES'!W140="X",1,0)</f>
        <v>0</v>
      </c>
      <c r="V140" s="15">
        <f>IF('ENCUESTA CONDUCTORES'!X140="X",1,0)</f>
        <v>0</v>
      </c>
      <c r="W140" s="15">
        <f>IF('ENCUESTA CONDUCTORES'!Y140="X",1,0)</f>
        <v>0</v>
      </c>
      <c r="X140" s="15">
        <f>IF('ENCUESTA CONDUCTORES'!Z140="X",1,0)</f>
        <v>0</v>
      </c>
      <c r="Y140" s="15">
        <f>+'ENCUESTA CONDUCTORES'!AG140</f>
        <v>0</v>
      </c>
      <c r="Z140" s="15">
        <f>+'ENCUESTA CONDUCTORES'!AH140</f>
        <v>2002</v>
      </c>
      <c r="AA140" s="1">
        <f>+'ENCUESTA CONDUCTORES'!AI140</f>
        <v>1800000</v>
      </c>
      <c r="AB140" s="15">
        <f>IF('ENCUESTA CONDUCTORES'!AJ140="X",1,0)</f>
        <v>0</v>
      </c>
      <c r="AC140" s="15">
        <f>IF('ENCUESTA CONDUCTORES'!AK140="X",1,0)</f>
        <v>0</v>
      </c>
      <c r="AD140" s="15">
        <f>IF('ENCUESTA CONDUCTORES'!AL140="X",1,0)</f>
        <v>1</v>
      </c>
      <c r="AE140" s="15">
        <f>IF('ENCUESTA CONDUCTORES'!AM140="X",1,0)</f>
        <v>0</v>
      </c>
      <c r="AF140" s="15">
        <f>IF('ENCUESTA CONDUCTORES'!AN140="X",1,0)</f>
        <v>0</v>
      </c>
      <c r="AG140" s="15">
        <f>IF('ENCUESTA CONDUCTORES'!AO140="X",1,0)</f>
        <v>0</v>
      </c>
      <c r="AH140" s="15">
        <f>IF('ENCUESTA CONDUCTORES'!AP140="X",1,0)</f>
        <v>1</v>
      </c>
      <c r="AI140" s="15">
        <f>IF('ENCUESTA CONDUCTORES'!AQ140="X",1,0)</f>
        <v>0</v>
      </c>
      <c r="AJ140" s="15">
        <f>IF('ENCUESTA CONDUCTORES'!AR140="X",1,0)</f>
        <v>0</v>
      </c>
      <c r="AK140" s="15">
        <f>+'ENCUESTA CONDUCTORES'!AS140</f>
        <v>0</v>
      </c>
      <c r="AL140" s="15" t="str">
        <f>+'ENCUESTA CONDUCTORES'!AT140</f>
        <v>CUMMINS</v>
      </c>
      <c r="AM140" s="1">
        <f>+'ENCUESTA CONDUCTORES'!AU140</f>
        <v>2500</v>
      </c>
      <c r="AN140" s="48">
        <f>+'ENCUESTA CONDUCTORES'!AV140</f>
        <v>0.5</v>
      </c>
      <c r="AO140" s="15">
        <f>+'ENCUESTA CONDUCTORES'!AW140</f>
        <v>2.9</v>
      </c>
      <c r="AP140" s="15">
        <f>+'ENCUESTA CONDUCTORES'!AX140</f>
        <v>2.8</v>
      </c>
      <c r="AQ140" s="15">
        <f>+'ENCUESTA CONDUCTORES'!AY140</f>
        <v>2</v>
      </c>
      <c r="AR140" s="15">
        <f>+'ENCUESTA CONDUCTORES'!AZ140</f>
        <v>360</v>
      </c>
      <c r="AS140" s="15">
        <f>+'ENCUESTA CONDUCTORES'!BA140</f>
        <v>1000</v>
      </c>
      <c r="AT140" s="15">
        <f>IF('ENCUESTA CONDUCTORES'!BB140="X",1,0)</f>
        <v>0</v>
      </c>
      <c r="AU140" s="15">
        <f>IF('ENCUESTA CONDUCTORES'!BC140="X",1,0)</f>
        <v>1</v>
      </c>
      <c r="AV140" s="15">
        <f>IF('ENCUESTA CONDUCTORES'!BD140="X",1,0)</f>
        <v>0</v>
      </c>
      <c r="AW140" s="1">
        <f>+'ENCUESTA CONDUCTORES'!BE140</f>
        <v>14000</v>
      </c>
      <c r="AX140" s="1">
        <f>+'ENCUESTA CONDUCTORES'!BF140</f>
        <v>20000</v>
      </c>
      <c r="AY140" s="1">
        <f>+'ENCUESTA CONDUCTORES'!BG140</f>
        <v>14000</v>
      </c>
      <c r="AZ140" s="1">
        <f>+'ENCUESTA CONDUCTORES'!BH140</f>
        <v>60000</v>
      </c>
      <c r="BA140" s="1">
        <f>+'ENCUESTA CONDUCTORES'!BI140</f>
        <v>14000</v>
      </c>
      <c r="BB140" s="15">
        <f>IF('ENCUESTA CONDUCTORES'!BJ140="X",1,0)</f>
        <v>0</v>
      </c>
      <c r="BC140" s="15">
        <f>IF('ENCUESTA CONDUCTORES'!BK140="X",1,0)</f>
        <v>0</v>
      </c>
      <c r="BD140" s="15">
        <f>IF('ENCUESTA CONDUCTORES'!BL140="X",1,0)</f>
        <v>0</v>
      </c>
      <c r="BE140" s="15">
        <f>IF('ENCUESTA CONDUCTORES'!BM140="X",1,0)</f>
        <v>0</v>
      </c>
      <c r="BF140" s="15">
        <f>IF('ENCUESTA CONDUCTORES'!BN140="X",1,0)</f>
        <v>0</v>
      </c>
      <c r="BG140" s="15">
        <f>IF('ENCUESTA CONDUCTORES'!BO140="X",1,0)</f>
        <v>0</v>
      </c>
      <c r="BH140" s="15">
        <f>IF('ENCUESTA CONDUCTORES'!BP140="X",1,0)</f>
        <v>0</v>
      </c>
      <c r="BI140" s="15">
        <f>IF('ENCUESTA CONDUCTORES'!BQ140="X",1,0)</f>
        <v>0</v>
      </c>
      <c r="BJ140" s="15">
        <f>IF('ENCUESTA CONDUCTORES'!BR140="X",1,0)</f>
        <v>0</v>
      </c>
      <c r="BK140" s="15" t="str">
        <f>+'ENCUESTA CONDUCTORES'!BS140</f>
        <v>GENERAL</v>
      </c>
      <c r="BL140" s="15">
        <f>IF('ENCUESTA CONDUCTORES'!BT140="X",1,0)</f>
        <v>0</v>
      </c>
      <c r="BM140" s="15">
        <f>IF('ENCUESTA CONDUCTORES'!BU140="X",1,0)</f>
        <v>0</v>
      </c>
      <c r="BN140" s="15">
        <f>IF('ENCUESTA CONDUCTORES'!BV140="X",1,0)</f>
        <v>1</v>
      </c>
      <c r="BO140" s="15">
        <f>IF('ENCUESTA CONDUCTORES'!BW140="X",1,0)</f>
        <v>0</v>
      </c>
      <c r="BP140" s="15">
        <f>+'ENCUESTA CONDUCTORES'!BX140</f>
        <v>1</v>
      </c>
      <c r="BQ140" s="15">
        <f>+'ENCUESTA CONDUCTORES'!BY140</f>
        <v>3</v>
      </c>
      <c r="BR140" s="15">
        <f>+'ENCUESTA CONDUCTORES'!BZ140</f>
        <v>2</v>
      </c>
      <c r="BS140" s="15">
        <f>+'ENCUESTA CONDUCTORES'!CA140</f>
        <v>0</v>
      </c>
      <c r="BT140" s="15">
        <f>IF('ENCUESTA CONDUCTORES'!CB140="X",1,0)</f>
        <v>0</v>
      </c>
      <c r="BU140" s="15">
        <f>IF('ENCUESTA CONDUCTORES'!CC140="X",1,0)</f>
        <v>1</v>
      </c>
      <c r="BV140" s="15">
        <f>IF('ENCUESTA CONDUCTORES'!CD140="X",1,0)</f>
        <v>0</v>
      </c>
      <c r="BW140" s="15">
        <f>IF('ENCUESTA CONDUCTORES'!CE140="X",1,0)</f>
        <v>0</v>
      </c>
      <c r="BX140" s="15">
        <f>IF('ENCUESTA CONDUCTORES'!CF140="X",1,0)</f>
        <v>0</v>
      </c>
      <c r="BY140" s="15">
        <f>IF('ENCUESTA CONDUCTORES'!CG140="X",1,0)</f>
        <v>1</v>
      </c>
      <c r="BZ140" s="15">
        <f>IF('ENCUESTA CONDUCTORES'!CH140="X",1,0)</f>
        <v>1</v>
      </c>
      <c r="CA140" s="15">
        <f>IF('ENCUESTA CONDUCTORES'!CI140="X",1,0)</f>
        <v>1</v>
      </c>
      <c r="CB140" s="15">
        <f>IF('ENCUESTA CONDUCTORES'!CJ140="X",1,0)</f>
        <v>0</v>
      </c>
      <c r="CC140" s="15">
        <f>IF('ENCUESTA CONDUCTORES'!CK140="X",1,0)</f>
        <v>0</v>
      </c>
      <c r="CD140" s="15">
        <f>IF('ENCUESTA CONDUCTORES'!CL140="X",1,0)</f>
        <v>1</v>
      </c>
      <c r="CE140" s="15">
        <f>IF('ENCUESTA CONDUCTORES'!CM140="X",1,0)</f>
        <v>1</v>
      </c>
      <c r="CF140" s="15" t="str">
        <f>+'ENCUESTA CONDUCTORES'!CN140</f>
        <v>FALTA DE TIEMPO</v>
      </c>
      <c r="CG140" s="15">
        <f>IF('ENCUESTA CONDUCTORES'!CO140="X",1,0)</f>
        <v>0</v>
      </c>
      <c r="CH140" s="15" t="str">
        <f>+'ENCUESTA CONDUCTORES'!CP140</f>
        <v>NO SABE</v>
      </c>
      <c r="CI140" s="15" t="str">
        <f>+'ENCUESTA CONDUCTORES'!CQ140</f>
        <v>NO SABE</v>
      </c>
      <c r="CJ140" s="15">
        <f>IF('ENCUESTA CONDUCTORES'!CR140="X",1,0)</f>
        <v>1</v>
      </c>
      <c r="CK140" s="15">
        <f>IF('ENCUESTA CONDUCTORES'!CS140="X",1,0)</f>
        <v>0</v>
      </c>
      <c r="CL140" s="15">
        <f>IF('ENCUESTA CONDUCTORES'!CT140="X",1,0)</f>
        <v>0</v>
      </c>
      <c r="CM140" s="15">
        <f>+'ENCUESTA CONDUCTORES'!CU140</f>
        <v>0</v>
      </c>
      <c r="CN140" s="15">
        <f>IF('ENCUESTA CONDUCTORES'!CV140="X",1,0)</f>
        <v>0</v>
      </c>
      <c r="CO140" s="15">
        <f>+'ENCUESTA CONDUCTORES'!CW140</f>
        <v>0</v>
      </c>
      <c r="CP140" s="15">
        <f>IF('ENCUESTA CONDUCTORES'!CX140="X",1,0)</f>
        <v>1</v>
      </c>
      <c r="CQ140" s="15">
        <f>IF('ENCUESTA CONDUCTORES'!CY140="X",1,0)</f>
        <v>1</v>
      </c>
      <c r="CR140" s="3">
        <f>+'ENCUESTA CONDUCTORES'!CZ140</f>
        <v>0</v>
      </c>
      <c r="CS140" s="49">
        <f>+'ENCUESTA CONDUCTORES'!DA140</f>
        <v>0</v>
      </c>
    </row>
    <row r="141" spans="2:97" x14ac:dyDescent="0.25">
      <c r="B141" s="14" t="str">
        <f>+'ENCUESTA CONDUCTORES'!D141</f>
        <v>C-147</v>
      </c>
      <c r="C141" s="15">
        <f>IF('ENCUESTA CONDUCTORES'!E141="X",1,0)</f>
        <v>1</v>
      </c>
      <c r="D141" s="15">
        <f>IF('ENCUESTA CONDUCTORES'!F141="X",1,0)</f>
        <v>0</v>
      </c>
      <c r="E141" s="15">
        <f>IF('ENCUESTA CONDUCTORES'!G141="X",1,0)</f>
        <v>0</v>
      </c>
      <c r="F141" s="15">
        <f>IF('ENCUESTA CONDUCTORES'!H141="X",1,0)</f>
        <v>0</v>
      </c>
      <c r="G141" s="15">
        <f>+'ENCUESTA CONDUCTORES'!I141</f>
        <v>27</v>
      </c>
      <c r="H141" s="15" t="str">
        <f>+'ENCUESTA CONDUCTORES'!J141</f>
        <v>M</v>
      </c>
      <c r="I141" s="15" t="str">
        <f>+'ENCUESTA CONDUCTORES'!K141</f>
        <v>LICENCIATURA</v>
      </c>
      <c r="J141" s="15" t="str">
        <f>+'ENCUESTA CONDUCTORES'!L141</f>
        <v>BENITO JUÁREZ, D.F.</v>
      </c>
      <c r="K141" s="50" t="str">
        <f>+'ENCUESTA CONDUCTORES'!M141</f>
        <v>BENITO JUÁREZ</v>
      </c>
      <c r="L141" s="15" t="str">
        <f>+'ENCUESTA CONDUCTORES'!N141</f>
        <v>D.F.</v>
      </c>
      <c r="M141" s="15">
        <f>+'ENCUESTA CONDUCTORES'!O141</f>
        <v>8</v>
      </c>
      <c r="N141" s="15">
        <f>IF('ENCUESTA CONDUCTORES'!P141="X",1,0)</f>
        <v>0</v>
      </c>
      <c r="O141" s="15">
        <f>IF('ENCUESTA CONDUCTORES'!Q141="X",1,0)</f>
        <v>0</v>
      </c>
      <c r="P141" s="15">
        <f>IF('ENCUESTA CONDUCTORES'!R141="X",1,0)</f>
        <v>0</v>
      </c>
      <c r="Q141" s="15">
        <f>IF('ENCUESTA CONDUCTORES'!S141="X",1,0)</f>
        <v>1</v>
      </c>
      <c r="R141" s="15">
        <f>IF('ENCUESTA CONDUCTORES'!T141="X",1,0)</f>
        <v>0</v>
      </c>
      <c r="S141" s="15">
        <f>IF('ENCUESTA CONDUCTORES'!U141="X",1,0)</f>
        <v>1</v>
      </c>
      <c r="T141" s="15">
        <f>IF('ENCUESTA CONDUCTORES'!V141="X",1,0)</f>
        <v>0</v>
      </c>
      <c r="U141" s="15">
        <f>IF('ENCUESTA CONDUCTORES'!W141="X",1,0)</f>
        <v>0</v>
      </c>
      <c r="V141" s="15">
        <f>IF('ENCUESTA CONDUCTORES'!X141="X",1,0)</f>
        <v>0</v>
      </c>
      <c r="W141" s="15">
        <f>IF('ENCUESTA CONDUCTORES'!Y141="X",1,0)</f>
        <v>0</v>
      </c>
      <c r="X141" s="15">
        <f>IF('ENCUESTA CONDUCTORES'!Z141="X",1,0)</f>
        <v>0</v>
      </c>
      <c r="Y141" s="15">
        <f>+'ENCUESTA CONDUCTORES'!AG141</f>
        <v>0</v>
      </c>
      <c r="Z141" s="15">
        <f>+'ENCUESTA CONDUCTORES'!AH141</f>
        <v>1990</v>
      </c>
      <c r="AA141" s="1">
        <f>+'ENCUESTA CONDUCTORES'!AI141</f>
        <v>1500000</v>
      </c>
      <c r="AB141" s="15">
        <f>IF('ENCUESTA CONDUCTORES'!AJ141="X",1,0)</f>
        <v>0</v>
      </c>
      <c r="AC141" s="15">
        <f>IF('ENCUESTA CONDUCTORES'!AK141="X",1,0)</f>
        <v>0</v>
      </c>
      <c r="AD141" s="15">
        <f>IF('ENCUESTA CONDUCTORES'!AL141="X",1,0)</f>
        <v>1</v>
      </c>
      <c r="AE141" s="15">
        <f>IF('ENCUESTA CONDUCTORES'!AM141="X",1,0)</f>
        <v>0</v>
      </c>
      <c r="AF141" s="15">
        <f>IF('ENCUESTA CONDUCTORES'!AN141="X",1,0)</f>
        <v>0</v>
      </c>
      <c r="AG141" s="15">
        <f>IF('ENCUESTA CONDUCTORES'!AO141="X",1,0)</f>
        <v>0</v>
      </c>
      <c r="AH141" s="15">
        <f>IF('ENCUESTA CONDUCTORES'!AP141="X",1,0)</f>
        <v>0</v>
      </c>
      <c r="AI141" s="15">
        <f>IF('ENCUESTA CONDUCTORES'!AQ141="X",1,0)</f>
        <v>1</v>
      </c>
      <c r="AJ141" s="15">
        <f>IF('ENCUESTA CONDUCTORES'!AR141="X",1,0)</f>
        <v>0</v>
      </c>
      <c r="AK141" s="15">
        <f>+'ENCUESTA CONDUCTORES'!AS141</f>
        <v>2002</v>
      </c>
      <c r="AL141" s="15" t="str">
        <f>+'ENCUESTA CONDUCTORES'!AT141</f>
        <v>CUMMINS</v>
      </c>
      <c r="AM141" s="1">
        <f>+'ENCUESTA CONDUCTORES'!AU141</f>
        <v>9000</v>
      </c>
      <c r="AN141" s="48">
        <f>+'ENCUESTA CONDUCTORES'!AV141</f>
        <v>0</v>
      </c>
      <c r="AO141" s="15">
        <f>+'ENCUESTA CONDUCTORES'!AW141</f>
        <v>2.6</v>
      </c>
      <c r="AP141" s="15">
        <f>+'ENCUESTA CONDUCTORES'!AX141</f>
        <v>2</v>
      </c>
      <c r="AQ141" s="15">
        <f>+'ENCUESTA CONDUCTORES'!AY141</f>
        <v>2</v>
      </c>
      <c r="AR141" s="15">
        <f>+'ENCUESTA CONDUCTORES'!AZ141</f>
        <v>625</v>
      </c>
      <c r="AS141" s="15">
        <f>+'ENCUESTA CONDUCTORES'!BA141</f>
        <v>1500</v>
      </c>
      <c r="AT141" s="15">
        <f>IF('ENCUESTA CONDUCTORES'!BB141="X",1,0)</f>
        <v>0</v>
      </c>
      <c r="AU141" s="15">
        <f>IF('ENCUESTA CONDUCTORES'!BC141="X",1,0)</f>
        <v>1</v>
      </c>
      <c r="AV141" s="15">
        <f>IF('ENCUESTA CONDUCTORES'!BD141="X",1,0)</f>
        <v>0</v>
      </c>
      <c r="AW141" s="1">
        <f>+'ENCUESTA CONDUCTORES'!BE141</f>
        <v>27000</v>
      </c>
      <c r="AX141" s="1">
        <f>+'ENCUESTA CONDUCTORES'!BF141</f>
        <v>54000</v>
      </c>
      <c r="AY141" s="1">
        <f>+'ENCUESTA CONDUCTORES'!BG141</f>
        <v>27000</v>
      </c>
      <c r="AZ141" s="1" t="str">
        <f>+'ENCUESTA CONDUCTORES'!BH141</f>
        <v>NO SABE</v>
      </c>
      <c r="BA141" s="1">
        <f>+'ENCUESTA CONDUCTORES'!BI141</f>
        <v>27000</v>
      </c>
      <c r="BB141" s="15">
        <f>IF('ENCUESTA CONDUCTORES'!BJ141="X",1,0)</f>
        <v>0</v>
      </c>
      <c r="BC141" s="15">
        <f>IF('ENCUESTA CONDUCTORES'!BK141="X",1,0)</f>
        <v>0</v>
      </c>
      <c r="BD141" s="15">
        <f>IF('ENCUESTA CONDUCTORES'!BL141="X",1,0)</f>
        <v>0</v>
      </c>
      <c r="BE141" s="15">
        <f>IF('ENCUESTA CONDUCTORES'!BM141="X",1,0)</f>
        <v>0</v>
      </c>
      <c r="BF141" s="15">
        <f>IF('ENCUESTA CONDUCTORES'!BN141="X",1,0)</f>
        <v>0</v>
      </c>
      <c r="BG141" s="15">
        <f>IF('ENCUESTA CONDUCTORES'!BO141="X",1,0)</f>
        <v>0</v>
      </c>
      <c r="BH141" s="15">
        <f>IF('ENCUESTA CONDUCTORES'!BP141="X",1,0)</f>
        <v>0</v>
      </c>
      <c r="BI141" s="15">
        <f>IF('ENCUESTA CONDUCTORES'!BQ141="X",1,0)</f>
        <v>0</v>
      </c>
      <c r="BJ141" s="15">
        <f>IF('ENCUESTA CONDUCTORES'!BR141="X",1,0)</f>
        <v>0</v>
      </c>
      <c r="BK141" s="15" t="str">
        <f>+'ENCUESTA CONDUCTORES'!BS141</f>
        <v>GENERAL</v>
      </c>
      <c r="BL141" s="15">
        <f>IF('ENCUESTA CONDUCTORES'!BT141="X",1,0)</f>
        <v>0</v>
      </c>
      <c r="BM141" s="15">
        <f>IF('ENCUESTA CONDUCTORES'!BU141="X",1,0)</f>
        <v>0</v>
      </c>
      <c r="BN141" s="15">
        <f>IF('ENCUESTA CONDUCTORES'!BV141="X",1,0)</f>
        <v>1</v>
      </c>
      <c r="BO141" s="15">
        <f>IF('ENCUESTA CONDUCTORES'!BW141="X",1,0)</f>
        <v>0</v>
      </c>
      <c r="BP141" s="15">
        <f>+'ENCUESTA CONDUCTORES'!BX141</f>
        <v>1</v>
      </c>
      <c r="BQ141" s="15">
        <f>+'ENCUESTA CONDUCTORES'!BY141</f>
        <v>3</v>
      </c>
      <c r="BR141" s="15">
        <f>+'ENCUESTA CONDUCTORES'!BZ141</f>
        <v>2</v>
      </c>
      <c r="BS141" s="15">
        <f>+'ENCUESTA CONDUCTORES'!CA141</f>
        <v>0</v>
      </c>
      <c r="BT141" s="15">
        <f>IF('ENCUESTA CONDUCTORES'!CB141="X",1,0)</f>
        <v>1</v>
      </c>
      <c r="BU141" s="15">
        <f>IF('ENCUESTA CONDUCTORES'!CC141="X",1,0)</f>
        <v>0</v>
      </c>
      <c r="BV141" s="15">
        <f>IF('ENCUESTA CONDUCTORES'!CD141="X",1,0)</f>
        <v>0</v>
      </c>
      <c r="BW141" s="15">
        <f>IF('ENCUESTA CONDUCTORES'!CE141="X",1,0)</f>
        <v>0</v>
      </c>
      <c r="BX141" s="15">
        <f>IF('ENCUESTA CONDUCTORES'!CF141="X",1,0)</f>
        <v>0</v>
      </c>
      <c r="BY141" s="15">
        <f>IF('ENCUESTA CONDUCTORES'!CG141="X",1,0)</f>
        <v>0</v>
      </c>
      <c r="BZ141" s="15">
        <f>IF('ENCUESTA CONDUCTORES'!CH141="X",1,0)</f>
        <v>0</v>
      </c>
      <c r="CA141" s="15">
        <f>IF('ENCUESTA CONDUCTORES'!CI141="X",1,0)</f>
        <v>0</v>
      </c>
      <c r="CB141" s="15">
        <f>IF('ENCUESTA CONDUCTORES'!CJ141="X",1,0)</f>
        <v>0</v>
      </c>
      <c r="CC141" s="15">
        <f>IF('ENCUESTA CONDUCTORES'!CK141="X",1,0)</f>
        <v>1</v>
      </c>
      <c r="CD141" s="15">
        <f>IF('ENCUESTA CONDUCTORES'!CL141="X",1,0)</f>
        <v>0</v>
      </c>
      <c r="CE141" s="15">
        <f>IF('ENCUESTA CONDUCTORES'!CM141="X",1,0)</f>
        <v>0</v>
      </c>
      <c r="CF141" s="15">
        <f>+'ENCUESTA CONDUCTORES'!CN141</f>
        <v>0</v>
      </c>
      <c r="CG141" s="15">
        <f>IF('ENCUESTA CONDUCTORES'!CO141="X",1,0)</f>
        <v>0</v>
      </c>
      <c r="CH141" s="15" t="str">
        <f>+'ENCUESTA CONDUCTORES'!CP141</f>
        <v>NO SABE</v>
      </c>
      <c r="CI141" s="15" t="str">
        <f>+'ENCUESTA CONDUCTORES'!CQ141</f>
        <v>PUBLICIDAD</v>
      </c>
      <c r="CJ141" s="15">
        <f>IF('ENCUESTA CONDUCTORES'!CR141="X",1,0)</f>
        <v>1</v>
      </c>
      <c r="CK141" s="15">
        <f>IF('ENCUESTA CONDUCTORES'!CS141="X",1,0)</f>
        <v>0</v>
      </c>
      <c r="CL141" s="15">
        <f>IF('ENCUESTA CONDUCTORES'!CT141="X",1,0)</f>
        <v>0</v>
      </c>
      <c r="CM141" s="15">
        <f>+'ENCUESTA CONDUCTORES'!CU141</f>
        <v>0</v>
      </c>
      <c r="CN141" s="15">
        <f>IF('ENCUESTA CONDUCTORES'!CV141="X",1,0)</f>
        <v>0</v>
      </c>
      <c r="CO141" s="15">
        <f>+'ENCUESTA CONDUCTORES'!CW141</f>
        <v>0</v>
      </c>
      <c r="CP141" s="15">
        <f>IF('ENCUESTA CONDUCTORES'!CX141="X",1,0)</f>
        <v>1</v>
      </c>
      <c r="CQ141" s="15">
        <f>IF('ENCUESTA CONDUCTORES'!CY141="X",1,0)</f>
        <v>1</v>
      </c>
      <c r="CR141" s="3">
        <f>+'ENCUESTA CONDUCTORES'!CZ141</f>
        <v>0</v>
      </c>
      <c r="CS141" s="49">
        <f>+'ENCUESTA CONDUCTORES'!DA141</f>
        <v>0</v>
      </c>
    </row>
    <row r="142" spans="2:97" x14ac:dyDescent="0.25">
      <c r="B142" s="14" t="str">
        <f>+'ENCUESTA CONDUCTORES'!D142</f>
        <v>C-148</v>
      </c>
      <c r="C142" s="15">
        <f>IF('ENCUESTA CONDUCTORES'!E142="X",1,0)</f>
        <v>0</v>
      </c>
      <c r="D142" s="15">
        <f>IF('ENCUESTA CONDUCTORES'!F142="X",1,0)</f>
        <v>0</v>
      </c>
      <c r="E142" s="15">
        <f>IF('ENCUESTA CONDUCTORES'!G142="X",1,0)</f>
        <v>0</v>
      </c>
      <c r="F142" s="15">
        <f>IF('ENCUESTA CONDUCTORES'!H142="X",1,0)</f>
        <v>1</v>
      </c>
      <c r="G142" s="15">
        <f>+'ENCUESTA CONDUCTORES'!I142</f>
        <v>35</v>
      </c>
      <c r="H142" s="15" t="str">
        <f>+'ENCUESTA CONDUCTORES'!J142</f>
        <v>M</v>
      </c>
      <c r="I142" s="15" t="str">
        <f>+'ENCUESTA CONDUCTORES'!K142</f>
        <v>SECUNDARIA</v>
      </c>
      <c r="J142" s="15" t="str">
        <f>+'ENCUESTA CONDUCTORES'!L142</f>
        <v>LOS REYES LA PAZ, EDO. DE MEX.</v>
      </c>
      <c r="K142" s="15" t="str">
        <f>+'ENCUESTA CONDUCTORES'!M142</f>
        <v>LOS REYES LA PAZ</v>
      </c>
      <c r="L142" s="15" t="str">
        <f>+'ENCUESTA CONDUCTORES'!N142</f>
        <v>EDO. MEX.</v>
      </c>
      <c r="M142" s="15">
        <f>+'ENCUESTA CONDUCTORES'!O142</f>
        <v>17</v>
      </c>
      <c r="N142" s="15">
        <f>IF('ENCUESTA CONDUCTORES'!P142="X",1,0)</f>
        <v>0</v>
      </c>
      <c r="O142" s="15">
        <f>IF('ENCUESTA CONDUCTORES'!Q142="X",1,0)</f>
        <v>0</v>
      </c>
      <c r="P142" s="15">
        <f>IF('ENCUESTA CONDUCTORES'!R142="X",1,0)</f>
        <v>0</v>
      </c>
      <c r="Q142" s="15">
        <f>IF('ENCUESTA CONDUCTORES'!S142="X",1,0)</f>
        <v>1</v>
      </c>
      <c r="R142" s="15">
        <f>IF('ENCUESTA CONDUCTORES'!T142="X",1,0)</f>
        <v>0</v>
      </c>
      <c r="S142" s="15">
        <f>IF('ENCUESTA CONDUCTORES'!U142="X",1,0)</f>
        <v>0</v>
      </c>
      <c r="T142" s="15">
        <f>IF('ENCUESTA CONDUCTORES'!V142="X",1,0)</f>
        <v>0</v>
      </c>
      <c r="U142" s="15">
        <f>IF('ENCUESTA CONDUCTORES'!W142="X",1,0)</f>
        <v>0</v>
      </c>
      <c r="V142" s="15">
        <f>IF('ENCUESTA CONDUCTORES'!X142="X",1,0)</f>
        <v>0</v>
      </c>
      <c r="W142" s="15">
        <f>IF('ENCUESTA CONDUCTORES'!Y142="X",1,0)</f>
        <v>0</v>
      </c>
      <c r="X142" s="15">
        <f>IF('ENCUESTA CONDUCTORES'!Z142="X",1,0)</f>
        <v>0</v>
      </c>
      <c r="Y142" s="15">
        <f>+'ENCUESTA CONDUCTORES'!AG142</f>
        <v>0</v>
      </c>
      <c r="Z142" s="15">
        <f>+'ENCUESTA CONDUCTORES'!AH142</f>
        <v>2013</v>
      </c>
      <c r="AA142" s="1">
        <f>+'ENCUESTA CONDUCTORES'!AI142</f>
        <v>172300</v>
      </c>
      <c r="AB142" s="15">
        <f>IF('ENCUESTA CONDUCTORES'!AJ142="X",1,0)</f>
        <v>0</v>
      </c>
      <c r="AC142" s="15">
        <f>IF('ENCUESTA CONDUCTORES'!AK142="X",1,0)</f>
        <v>0</v>
      </c>
      <c r="AD142" s="15">
        <f>IF('ENCUESTA CONDUCTORES'!AL142="X",1,0)</f>
        <v>1</v>
      </c>
      <c r="AE142" s="15">
        <f>IF('ENCUESTA CONDUCTORES'!AM142="X",1,0)</f>
        <v>0</v>
      </c>
      <c r="AF142" s="15">
        <f>IF('ENCUESTA CONDUCTORES'!AN142="X",1,0)</f>
        <v>0</v>
      </c>
      <c r="AG142" s="15">
        <f>IF('ENCUESTA CONDUCTORES'!AO142="X",1,0)</f>
        <v>0</v>
      </c>
      <c r="AH142" s="15">
        <f>IF('ENCUESTA CONDUCTORES'!AP142="X",1,0)</f>
        <v>1</v>
      </c>
      <c r="AI142" s="15">
        <f>IF('ENCUESTA CONDUCTORES'!AQ142="X",1,0)</f>
        <v>0</v>
      </c>
      <c r="AJ142" s="15">
        <f>IF('ENCUESTA CONDUCTORES'!AR142="X",1,0)</f>
        <v>0</v>
      </c>
      <c r="AK142" s="15">
        <f>+'ENCUESTA CONDUCTORES'!AS142</f>
        <v>0</v>
      </c>
      <c r="AL142" s="15" t="str">
        <f>+'ENCUESTA CONDUCTORES'!AT142</f>
        <v>INTERNATIONAL</v>
      </c>
      <c r="AM142" s="1">
        <f>+'ENCUESTA CONDUCTORES'!AU142</f>
        <v>8000</v>
      </c>
      <c r="AN142" s="48">
        <f>+'ENCUESTA CONDUCTORES'!AV142</f>
        <v>0.5</v>
      </c>
      <c r="AO142" s="15">
        <f>+'ENCUESTA CONDUCTORES'!AW142</f>
        <v>2.5</v>
      </c>
      <c r="AP142" s="15">
        <f>+'ENCUESTA CONDUCTORES'!AX142</f>
        <v>2</v>
      </c>
      <c r="AQ142" s="15">
        <f>+'ENCUESTA CONDUCTORES'!AY142</f>
        <v>2</v>
      </c>
      <c r="AR142" s="15">
        <f>+'ENCUESTA CONDUCTORES'!AZ142</f>
        <v>870</v>
      </c>
      <c r="AS142" s="15">
        <f>+'ENCUESTA CONDUCTORES'!BA142</f>
        <v>2000</v>
      </c>
      <c r="AT142" s="15">
        <f>IF('ENCUESTA CONDUCTORES'!BB142="X",1,0)</f>
        <v>1</v>
      </c>
      <c r="AU142" s="15">
        <f>IF('ENCUESTA CONDUCTORES'!BC142="X",1,0)</f>
        <v>1</v>
      </c>
      <c r="AV142" s="15">
        <f>IF('ENCUESTA CONDUCTORES'!BD142="X",1,0)</f>
        <v>0</v>
      </c>
      <c r="AW142" s="1">
        <f>+'ENCUESTA CONDUCTORES'!BE142</f>
        <v>25000</v>
      </c>
      <c r="AX142" s="1">
        <f>+'ENCUESTA CONDUCTORES'!BF142</f>
        <v>25000</v>
      </c>
      <c r="AY142" s="1">
        <f>+'ENCUESTA CONDUCTORES'!BG142</f>
        <v>25000</v>
      </c>
      <c r="AZ142" s="1" t="str">
        <f>+'ENCUESTA CONDUCTORES'!BH142</f>
        <v>NO SABE</v>
      </c>
      <c r="BA142" s="1">
        <f>+'ENCUESTA CONDUCTORES'!BI142</f>
        <v>25000</v>
      </c>
      <c r="BB142" s="15">
        <f>IF('ENCUESTA CONDUCTORES'!BJ142="X",1,0)</f>
        <v>0</v>
      </c>
      <c r="BC142" s="15">
        <f>IF('ENCUESTA CONDUCTORES'!BK142="X",1,0)</f>
        <v>0</v>
      </c>
      <c r="BD142" s="15">
        <f>IF('ENCUESTA CONDUCTORES'!BL142="X",1,0)</f>
        <v>0</v>
      </c>
      <c r="BE142" s="15">
        <f>IF('ENCUESTA CONDUCTORES'!BM142="X",1,0)</f>
        <v>0</v>
      </c>
      <c r="BF142" s="15">
        <f>IF('ENCUESTA CONDUCTORES'!BN142="X",1,0)</f>
        <v>0</v>
      </c>
      <c r="BG142" s="15">
        <f>IF('ENCUESTA CONDUCTORES'!BO142="X",1,0)</f>
        <v>0</v>
      </c>
      <c r="BH142" s="15">
        <f>IF('ENCUESTA CONDUCTORES'!BP142="X",1,0)</f>
        <v>0</v>
      </c>
      <c r="BI142" s="15">
        <f>IF('ENCUESTA CONDUCTORES'!BQ142="X",1,0)</f>
        <v>0</v>
      </c>
      <c r="BJ142" s="15">
        <f>IF('ENCUESTA CONDUCTORES'!BR142="X",1,0)</f>
        <v>0</v>
      </c>
      <c r="BK142" s="15" t="str">
        <f>+'ENCUESTA CONDUCTORES'!BS142</f>
        <v>GENERAL</v>
      </c>
      <c r="BL142" s="15">
        <f>IF('ENCUESTA CONDUCTORES'!BT142="X",1,0)</f>
        <v>0</v>
      </c>
      <c r="BM142" s="15">
        <f>IF('ENCUESTA CONDUCTORES'!BU142="X",1,0)</f>
        <v>1</v>
      </c>
      <c r="BN142" s="15">
        <f>IF('ENCUESTA CONDUCTORES'!BV142="X",1,0)</f>
        <v>0</v>
      </c>
      <c r="BO142" s="15">
        <f>IF('ENCUESTA CONDUCTORES'!BW142="X",1,0)</f>
        <v>0</v>
      </c>
      <c r="BP142" s="15">
        <f>+'ENCUESTA CONDUCTORES'!BX142</f>
        <v>1</v>
      </c>
      <c r="BQ142" s="15">
        <f>+'ENCUESTA CONDUCTORES'!BY142</f>
        <v>2</v>
      </c>
      <c r="BR142" s="15">
        <f>+'ENCUESTA CONDUCTORES'!BZ142</f>
        <v>3</v>
      </c>
      <c r="BS142" s="15">
        <f>+'ENCUESTA CONDUCTORES'!CA142</f>
        <v>0</v>
      </c>
      <c r="BT142" s="15">
        <f>IF('ENCUESTA CONDUCTORES'!CB142="X",1,0)</f>
        <v>0</v>
      </c>
      <c r="BU142" s="15">
        <f>IF('ENCUESTA CONDUCTORES'!CC142="X",1,0)</f>
        <v>1</v>
      </c>
      <c r="BV142" s="15">
        <f>IF('ENCUESTA CONDUCTORES'!CD142="X",1,0)</f>
        <v>0</v>
      </c>
      <c r="BW142" s="15">
        <f>IF('ENCUESTA CONDUCTORES'!CE142="X",1,0)</f>
        <v>0</v>
      </c>
      <c r="BX142" s="15">
        <f>IF('ENCUESTA CONDUCTORES'!CF142="X",1,0)</f>
        <v>0</v>
      </c>
      <c r="BY142" s="15">
        <f>IF('ENCUESTA CONDUCTORES'!CG142="X",1,0)</f>
        <v>0</v>
      </c>
      <c r="BZ142" s="15">
        <f>IF('ENCUESTA CONDUCTORES'!CH142="X",1,0)</f>
        <v>1</v>
      </c>
      <c r="CA142" s="15">
        <f>IF('ENCUESTA CONDUCTORES'!CI142="X",1,0)</f>
        <v>1</v>
      </c>
      <c r="CB142" s="15">
        <f>IF('ENCUESTA CONDUCTORES'!CJ142="X",1,0)</f>
        <v>0</v>
      </c>
      <c r="CC142" s="15">
        <f>IF('ENCUESTA CONDUCTORES'!CK142="X",1,0)</f>
        <v>1</v>
      </c>
      <c r="CD142" s="15">
        <f>IF('ENCUESTA CONDUCTORES'!CL142="X",1,0)</f>
        <v>0</v>
      </c>
      <c r="CE142" s="15">
        <f>IF('ENCUESTA CONDUCTORES'!CM142="X",1,0)</f>
        <v>0</v>
      </c>
      <c r="CF142" s="15">
        <f>+'ENCUESTA CONDUCTORES'!CN142</f>
        <v>0</v>
      </c>
      <c r="CG142" s="15">
        <f>IF('ENCUESTA CONDUCTORES'!CO142="X",1,0)</f>
        <v>0</v>
      </c>
      <c r="CH142" s="15" t="str">
        <f>+'ENCUESTA CONDUCTORES'!CP142</f>
        <v>NO SABE</v>
      </c>
      <c r="CI142" s="15" t="str">
        <f>+'ENCUESTA CONDUCTORES'!CQ142</f>
        <v>NO SABE</v>
      </c>
      <c r="CJ142" s="15">
        <f>IF('ENCUESTA CONDUCTORES'!CR142="X",1,0)</f>
        <v>0</v>
      </c>
      <c r="CK142" s="15">
        <f>IF('ENCUESTA CONDUCTORES'!CS142="X",1,0)</f>
        <v>1</v>
      </c>
      <c r="CL142" s="15">
        <f>IF('ENCUESTA CONDUCTORES'!CT142="X",1,0)</f>
        <v>1</v>
      </c>
      <c r="CM142" s="15">
        <f>+'ENCUESTA CONDUCTORES'!CU142</f>
        <v>0</v>
      </c>
      <c r="CN142" s="15">
        <f>IF('ENCUESTA CONDUCTORES'!CV142="X",1,0)</f>
        <v>0</v>
      </c>
      <c r="CO142" s="15">
        <f>+'ENCUESTA CONDUCTORES'!CW142</f>
        <v>0</v>
      </c>
      <c r="CP142" s="15">
        <f>IF('ENCUESTA CONDUCTORES'!CX142="X",1,0)</f>
        <v>1</v>
      </c>
      <c r="CQ142" s="15">
        <f>IF('ENCUESTA CONDUCTORES'!CY142="X",1,0)</f>
        <v>1</v>
      </c>
      <c r="CR142" s="3">
        <f>+'ENCUESTA CONDUCTORES'!CZ142</f>
        <v>0</v>
      </c>
      <c r="CS142" s="49">
        <f>+'ENCUESTA CONDUCTORES'!DA142</f>
        <v>0</v>
      </c>
    </row>
    <row r="143" spans="2:97" x14ac:dyDescent="0.25">
      <c r="B143" s="14" t="str">
        <f>+'ENCUESTA CONDUCTORES'!D143</f>
        <v>C-149</v>
      </c>
      <c r="C143" s="15">
        <f>IF('ENCUESTA CONDUCTORES'!E143="X",1,0)</f>
        <v>0</v>
      </c>
      <c r="D143" s="15">
        <f>IF('ENCUESTA CONDUCTORES'!F143="X",1,0)</f>
        <v>1</v>
      </c>
      <c r="E143" s="15">
        <f>IF('ENCUESTA CONDUCTORES'!G143="X",1,0)</f>
        <v>0</v>
      </c>
      <c r="F143" s="15">
        <f>IF('ENCUESTA CONDUCTORES'!H143="X",1,0)</f>
        <v>0</v>
      </c>
      <c r="G143" s="15">
        <f>+'ENCUESTA CONDUCTORES'!I143</f>
        <v>24</v>
      </c>
      <c r="H143" s="15" t="str">
        <f>+'ENCUESTA CONDUCTORES'!J143</f>
        <v>M</v>
      </c>
      <c r="I143" s="15" t="str">
        <f>+'ENCUESTA CONDUCTORES'!K143</f>
        <v>SECUNDARIA</v>
      </c>
      <c r="J143" s="15" t="str">
        <f>+'ENCUESTA CONDUCTORES'!L143</f>
        <v>IXTAPALUCA, EDO. DE MEX.</v>
      </c>
      <c r="K143" s="15" t="str">
        <f>+'ENCUESTA CONDUCTORES'!M143</f>
        <v>IXTAPALUCA</v>
      </c>
      <c r="L143" s="15" t="str">
        <f>+'ENCUESTA CONDUCTORES'!N143</f>
        <v>EDO. MEX.</v>
      </c>
      <c r="M143" s="15">
        <f>+'ENCUESTA CONDUCTORES'!O143</f>
        <v>5</v>
      </c>
      <c r="N143" s="15">
        <f>IF('ENCUESTA CONDUCTORES'!P143="X",1,0)</f>
        <v>1</v>
      </c>
      <c r="O143" s="15">
        <f>IF('ENCUESTA CONDUCTORES'!Q143="X",1,0)</f>
        <v>0</v>
      </c>
      <c r="P143" s="15">
        <f>IF('ENCUESTA CONDUCTORES'!R143="X",1,0)</f>
        <v>0</v>
      </c>
      <c r="Q143" s="15">
        <f>IF('ENCUESTA CONDUCTORES'!S143="X",1,0)</f>
        <v>0</v>
      </c>
      <c r="R143" s="15">
        <f>IF('ENCUESTA CONDUCTORES'!T143="X",1,0)</f>
        <v>0</v>
      </c>
      <c r="S143" s="15">
        <f>IF('ENCUESTA CONDUCTORES'!U143="X",1,0)</f>
        <v>0</v>
      </c>
      <c r="T143" s="15">
        <f>IF('ENCUESTA CONDUCTORES'!V143="X",1,0)</f>
        <v>0</v>
      </c>
      <c r="U143" s="15">
        <f>IF('ENCUESTA CONDUCTORES'!W143="X",1,0)</f>
        <v>0</v>
      </c>
      <c r="V143" s="15">
        <f>IF('ENCUESTA CONDUCTORES'!X143="X",1,0)</f>
        <v>0</v>
      </c>
      <c r="W143" s="15">
        <f>IF('ENCUESTA CONDUCTORES'!Y143="X",1,0)</f>
        <v>1</v>
      </c>
      <c r="X143" s="15">
        <f>IF('ENCUESTA CONDUCTORES'!Z143="X",1,0)</f>
        <v>0</v>
      </c>
      <c r="Y143" s="15">
        <f>+'ENCUESTA CONDUCTORES'!AG143</f>
        <v>0</v>
      </c>
      <c r="Z143" s="15">
        <f>+'ENCUESTA CONDUCTORES'!AH143</f>
        <v>2004</v>
      </c>
      <c r="AA143" s="1">
        <f>+'ENCUESTA CONDUCTORES'!AI143</f>
        <v>300000</v>
      </c>
      <c r="AB143" s="15">
        <f>IF('ENCUESTA CONDUCTORES'!AJ143="X",1,0)</f>
        <v>0</v>
      </c>
      <c r="AC143" s="15">
        <f>IF('ENCUESTA CONDUCTORES'!AK143="X",1,0)</f>
        <v>0</v>
      </c>
      <c r="AD143" s="15">
        <f>IF('ENCUESTA CONDUCTORES'!AL143="X",1,0)</f>
        <v>1</v>
      </c>
      <c r="AE143" s="15">
        <f>IF('ENCUESTA CONDUCTORES'!AM143="X",1,0)</f>
        <v>0</v>
      </c>
      <c r="AF143" s="15">
        <f>IF('ENCUESTA CONDUCTORES'!AN143="X",1,0)</f>
        <v>0</v>
      </c>
      <c r="AG143" s="15">
        <f>IF('ENCUESTA CONDUCTORES'!AO143="X",1,0)</f>
        <v>0</v>
      </c>
      <c r="AH143" s="15">
        <f>IF('ENCUESTA CONDUCTORES'!AP143="X",1,0)</f>
        <v>1</v>
      </c>
      <c r="AI143" s="15">
        <f>IF('ENCUESTA CONDUCTORES'!AQ143="X",1,0)</f>
        <v>0</v>
      </c>
      <c r="AJ143" s="15">
        <f>IF('ENCUESTA CONDUCTORES'!AR143="X",1,0)</f>
        <v>0</v>
      </c>
      <c r="AK143" s="15">
        <f>+'ENCUESTA CONDUCTORES'!AS143</f>
        <v>0</v>
      </c>
      <c r="AL143" s="15" t="str">
        <f>+'ENCUESTA CONDUCTORES'!AT143</f>
        <v>KENWORTH</v>
      </c>
      <c r="AM143" s="1">
        <f>+'ENCUESTA CONDUCTORES'!AU143</f>
        <v>2000</v>
      </c>
      <c r="AN143" s="48">
        <f>+'ENCUESTA CONDUCTORES'!AV143</f>
        <v>0.5</v>
      </c>
      <c r="AO143" s="15">
        <f>+'ENCUESTA CONDUCTORES'!AW143</f>
        <v>3</v>
      </c>
      <c r="AP143" s="15">
        <f>+'ENCUESTA CONDUCTORES'!AX143</f>
        <v>2.5</v>
      </c>
      <c r="AQ143" s="15">
        <f>+'ENCUESTA CONDUCTORES'!AY143</f>
        <v>2</v>
      </c>
      <c r="AR143" s="15">
        <f>+'ENCUESTA CONDUCTORES'!AZ143</f>
        <v>280</v>
      </c>
      <c r="AS143" s="15">
        <f>+'ENCUESTA CONDUCTORES'!BA143</f>
        <v>800</v>
      </c>
      <c r="AT143" s="15">
        <f>IF('ENCUESTA CONDUCTORES'!BB143="X",1,0)</f>
        <v>0</v>
      </c>
      <c r="AU143" s="15">
        <f>IF('ENCUESTA CONDUCTORES'!BC143="X",1,0)</f>
        <v>0</v>
      </c>
      <c r="AV143" s="15">
        <f>IF('ENCUESTA CONDUCTORES'!BD143="X",1,0)</f>
        <v>1</v>
      </c>
      <c r="AW143" s="1">
        <f>+'ENCUESTA CONDUCTORES'!BE143</f>
        <v>4000</v>
      </c>
      <c r="AX143" s="1">
        <f>+'ENCUESTA CONDUCTORES'!BF143</f>
        <v>2000</v>
      </c>
      <c r="AY143" s="1">
        <f>+'ENCUESTA CONDUCTORES'!BG143</f>
        <v>2000</v>
      </c>
      <c r="AZ143" s="1" t="str">
        <f>+'ENCUESTA CONDUCTORES'!BH143</f>
        <v>NO SABE</v>
      </c>
      <c r="BA143" s="1">
        <f>+'ENCUESTA CONDUCTORES'!BI143</f>
        <v>2000</v>
      </c>
      <c r="BB143" s="15">
        <f>IF('ENCUESTA CONDUCTORES'!BJ143="X",1,0)</f>
        <v>0</v>
      </c>
      <c r="BC143" s="15">
        <f>IF('ENCUESTA CONDUCTORES'!BK143="X",1,0)</f>
        <v>0</v>
      </c>
      <c r="BD143" s="15">
        <f>IF('ENCUESTA CONDUCTORES'!BL143="X",1,0)</f>
        <v>0</v>
      </c>
      <c r="BE143" s="15">
        <f>IF('ENCUESTA CONDUCTORES'!BM143="X",1,0)</f>
        <v>0</v>
      </c>
      <c r="BF143" s="15">
        <f>IF('ENCUESTA CONDUCTORES'!BN143="X",1,0)</f>
        <v>0</v>
      </c>
      <c r="BG143" s="15">
        <f>IF('ENCUESTA CONDUCTORES'!BO143="X",1,0)</f>
        <v>0</v>
      </c>
      <c r="BH143" s="15">
        <f>IF('ENCUESTA CONDUCTORES'!BP143="X",1,0)</f>
        <v>0</v>
      </c>
      <c r="BI143" s="15">
        <f>IF('ENCUESTA CONDUCTORES'!BQ143="X",1,0)</f>
        <v>0</v>
      </c>
      <c r="BJ143" s="15">
        <f>IF('ENCUESTA CONDUCTORES'!BR143="X",1,0)</f>
        <v>1</v>
      </c>
      <c r="BK143" s="15">
        <f>+'ENCUESTA CONDUCTORES'!BS143</f>
        <v>0</v>
      </c>
      <c r="BL143" s="15">
        <f>IF('ENCUESTA CONDUCTORES'!BT143="X",1,0)</f>
        <v>0</v>
      </c>
      <c r="BM143" s="15">
        <f>IF('ENCUESTA CONDUCTORES'!BU143="X",1,0)</f>
        <v>0</v>
      </c>
      <c r="BN143" s="15">
        <f>IF('ENCUESTA CONDUCTORES'!BV143="X",1,0)</f>
        <v>1</v>
      </c>
      <c r="BO143" s="15">
        <f>IF('ENCUESTA CONDUCTORES'!BW143="X",1,0)</f>
        <v>0</v>
      </c>
      <c r="BP143" s="15">
        <f>+'ENCUESTA CONDUCTORES'!BX143</f>
        <v>2</v>
      </c>
      <c r="BQ143" s="15">
        <f>+'ENCUESTA CONDUCTORES'!BY143</f>
        <v>3</v>
      </c>
      <c r="BR143" s="15">
        <f>+'ENCUESTA CONDUCTORES'!BZ143</f>
        <v>1</v>
      </c>
      <c r="BS143" s="15">
        <f>+'ENCUESTA CONDUCTORES'!CA143</f>
        <v>0</v>
      </c>
      <c r="BT143" s="15">
        <f>IF('ENCUESTA CONDUCTORES'!CB143="X",1,0)</f>
        <v>1</v>
      </c>
      <c r="BU143" s="15">
        <f>IF('ENCUESTA CONDUCTORES'!CC143="X",1,0)</f>
        <v>0</v>
      </c>
      <c r="BV143" s="15">
        <f>IF('ENCUESTA CONDUCTORES'!CD143="X",1,0)</f>
        <v>0</v>
      </c>
      <c r="BW143" s="15">
        <f>IF('ENCUESTA CONDUCTORES'!CE143="X",1,0)</f>
        <v>0</v>
      </c>
      <c r="BX143" s="15">
        <f>IF('ENCUESTA CONDUCTORES'!CF143="X",1,0)</f>
        <v>0</v>
      </c>
      <c r="BY143" s="15">
        <f>IF('ENCUESTA CONDUCTORES'!CG143="X",1,0)</f>
        <v>0</v>
      </c>
      <c r="BZ143" s="15">
        <f>IF('ENCUESTA CONDUCTORES'!CH143="X",1,0)</f>
        <v>0</v>
      </c>
      <c r="CA143" s="15">
        <f>IF('ENCUESTA CONDUCTORES'!CI143="X",1,0)</f>
        <v>0</v>
      </c>
      <c r="CB143" s="15">
        <f>IF('ENCUESTA CONDUCTORES'!CJ143="X",1,0)</f>
        <v>0</v>
      </c>
      <c r="CC143" s="15">
        <f>IF('ENCUESTA CONDUCTORES'!CK143="X",1,0)</f>
        <v>1</v>
      </c>
      <c r="CD143" s="15">
        <f>IF('ENCUESTA CONDUCTORES'!CL143="X",1,0)</f>
        <v>0</v>
      </c>
      <c r="CE143" s="15">
        <f>IF('ENCUESTA CONDUCTORES'!CM143="X",1,0)</f>
        <v>0</v>
      </c>
      <c r="CF143" s="15">
        <f>+'ENCUESTA CONDUCTORES'!CN143</f>
        <v>0</v>
      </c>
      <c r="CG143" s="15">
        <f>IF('ENCUESTA CONDUCTORES'!CO143="X",1,0)</f>
        <v>0</v>
      </c>
      <c r="CH143" s="15" t="str">
        <f>+'ENCUESTA CONDUCTORES'!CP143</f>
        <v>NO SABE</v>
      </c>
      <c r="CI143" s="15" t="str">
        <f>+'ENCUESTA CONDUCTORES'!CQ143</f>
        <v>NO SABE</v>
      </c>
      <c r="CJ143" s="15">
        <f>IF('ENCUESTA CONDUCTORES'!CR143="X",1,0)</f>
        <v>1</v>
      </c>
      <c r="CK143" s="15">
        <f>IF('ENCUESTA CONDUCTORES'!CS143="X",1,0)</f>
        <v>0</v>
      </c>
      <c r="CL143" s="15">
        <f>IF('ENCUESTA CONDUCTORES'!CT143="X",1,0)</f>
        <v>0</v>
      </c>
      <c r="CM143" s="15">
        <f>+'ENCUESTA CONDUCTORES'!CU143</f>
        <v>0</v>
      </c>
      <c r="CN143" s="15">
        <f>IF('ENCUESTA CONDUCTORES'!CV143="X",1,0)</f>
        <v>1</v>
      </c>
      <c r="CO143" s="15" t="str">
        <f>+'ENCUESTA CONDUCTORES'!CW143</f>
        <v>NO TIENE TIEMPO</v>
      </c>
      <c r="CP143" s="15">
        <f>IF('ENCUESTA CONDUCTORES'!CX143="X",1,0)</f>
        <v>0</v>
      </c>
      <c r="CQ143" s="15">
        <f>IF('ENCUESTA CONDUCTORES'!CY143="X",1,0)</f>
        <v>0</v>
      </c>
      <c r="CR143" s="3">
        <f>+'ENCUESTA CONDUCTORES'!CZ143</f>
        <v>0</v>
      </c>
      <c r="CS143" s="49">
        <f>+'ENCUESTA CONDUCTORES'!DA143</f>
        <v>0</v>
      </c>
    </row>
    <row r="144" spans="2:97" x14ac:dyDescent="0.25">
      <c r="B144" s="14" t="str">
        <f>+'ENCUESTA CONDUCTORES'!D144</f>
        <v>C-150</v>
      </c>
      <c r="C144" s="15">
        <f>IF('ENCUESTA CONDUCTORES'!E144="X",1,0)</f>
        <v>0</v>
      </c>
      <c r="D144" s="15">
        <f>IF('ENCUESTA CONDUCTORES'!F144="X",1,0)</f>
        <v>1</v>
      </c>
      <c r="E144" s="15">
        <f>IF('ENCUESTA CONDUCTORES'!G144="X",1,0)</f>
        <v>0</v>
      </c>
      <c r="F144" s="15">
        <f>IF('ENCUESTA CONDUCTORES'!H144="X",1,0)</f>
        <v>0</v>
      </c>
      <c r="G144" s="15">
        <f>+'ENCUESTA CONDUCTORES'!I144</f>
        <v>28</v>
      </c>
      <c r="H144" s="15" t="str">
        <f>+'ENCUESTA CONDUCTORES'!J144</f>
        <v>M</v>
      </c>
      <c r="I144" s="15" t="str">
        <f>+'ENCUESTA CONDUCTORES'!K144</f>
        <v>PRIMARIA</v>
      </c>
      <c r="J144" s="15" t="str">
        <f>+'ENCUESTA CONDUCTORES'!L144</f>
        <v>HUEHUETOCA, EDO. MEX.</v>
      </c>
      <c r="K144" s="15" t="str">
        <f>+'ENCUESTA CONDUCTORES'!M144</f>
        <v>HUEHUETOCA</v>
      </c>
      <c r="L144" s="15" t="str">
        <f>+'ENCUESTA CONDUCTORES'!N144</f>
        <v>EDO. MEX.</v>
      </c>
      <c r="M144" s="15">
        <f>+'ENCUESTA CONDUCTORES'!O144</f>
        <v>2</v>
      </c>
      <c r="N144" s="15">
        <f>IF('ENCUESTA CONDUCTORES'!P144="X",1,0)</f>
        <v>1</v>
      </c>
      <c r="O144" s="15">
        <f>IF('ENCUESTA CONDUCTORES'!Q144="X",1,0)</f>
        <v>0</v>
      </c>
      <c r="P144" s="15">
        <f>IF('ENCUESTA CONDUCTORES'!R144="X",1,0)</f>
        <v>0</v>
      </c>
      <c r="Q144" s="15">
        <f>IF('ENCUESTA CONDUCTORES'!S144="X",1,0)</f>
        <v>0</v>
      </c>
      <c r="R144" s="15">
        <f>IF('ENCUESTA CONDUCTORES'!T144="X",1,0)</f>
        <v>0</v>
      </c>
      <c r="S144" s="15">
        <f>IF('ENCUESTA CONDUCTORES'!U144="X",1,0)</f>
        <v>1</v>
      </c>
      <c r="T144" s="15">
        <f>IF('ENCUESTA CONDUCTORES'!V144="X",1,0)</f>
        <v>0</v>
      </c>
      <c r="U144" s="15">
        <f>IF('ENCUESTA CONDUCTORES'!W144="X",1,0)</f>
        <v>0</v>
      </c>
      <c r="V144" s="15">
        <f>IF('ENCUESTA CONDUCTORES'!X144="X",1,0)</f>
        <v>0</v>
      </c>
      <c r="W144" s="15">
        <f>IF('ENCUESTA CONDUCTORES'!Y144="X",1,0)</f>
        <v>0</v>
      </c>
      <c r="X144" s="15">
        <f>IF('ENCUESTA CONDUCTORES'!Z144="X",1,0)</f>
        <v>0</v>
      </c>
      <c r="Y144" s="15">
        <f>+'ENCUESTA CONDUCTORES'!AG144</f>
        <v>0</v>
      </c>
      <c r="Z144" s="15">
        <f>+'ENCUESTA CONDUCTORES'!AH144</f>
        <v>1999</v>
      </c>
      <c r="AA144" s="1" t="str">
        <f>+'ENCUESTA CONDUCTORES'!AI144</f>
        <v>NO SABE</v>
      </c>
      <c r="AB144" s="15">
        <f>IF('ENCUESTA CONDUCTORES'!AJ144="X",1,0)</f>
        <v>1</v>
      </c>
      <c r="AC144" s="15">
        <f>IF('ENCUESTA CONDUCTORES'!AK144="X",1,0)</f>
        <v>0</v>
      </c>
      <c r="AD144" s="15">
        <f>IF('ENCUESTA CONDUCTORES'!AL144="X",1,0)</f>
        <v>0</v>
      </c>
      <c r="AE144" s="15">
        <f>IF('ENCUESTA CONDUCTORES'!AM144="X",1,0)</f>
        <v>0</v>
      </c>
      <c r="AF144" s="15">
        <f>IF('ENCUESTA CONDUCTORES'!AN144="X",1,0)</f>
        <v>0</v>
      </c>
      <c r="AG144" s="15">
        <f>IF('ENCUESTA CONDUCTORES'!AO144="X",1,0)</f>
        <v>1</v>
      </c>
      <c r="AH144" s="15">
        <f>IF('ENCUESTA CONDUCTORES'!AP144="X",1,0)</f>
        <v>0</v>
      </c>
      <c r="AI144" s="15">
        <f>IF('ENCUESTA CONDUCTORES'!AQ144="X",1,0)</f>
        <v>0</v>
      </c>
      <c r="AJ144" s="15">
        <f>IF('ENCUESTA CONDUCTORES'!AR144="X",1,0)</f>
        <v>0</v>
      </c>
      <c r="AK144" s="15">
        <f>+'ENCUESTA CONDUCTORES'!AS144</f>
        <v>0</v>
      </c>
      <c r="AL144" s="15" t="str">
        <f>+'ENCUESTA CONDUCTORES'!AT144</f>
        <v>FORD</v>
      </c>
      <c r="AM144" s="1">
        <f>+'ENCUESTA CONDUCTORES'!AU144</f>
        <v>3500</v>
      </c>
      <c r="AN144" s="48">
        <f>+'ENCUESTA CONDUCTORES'!AV144</f>
        <v>0.5</v>
      </c>
      <c r="AO144" s="15">
        <f>+'ENCUESTA CONDUCTORES'!AW144</f>
        <v>3</v>
      </c>
      <c r="AP144" s="15">
        <f>+'ENCUESTA CONDUCTORES'!AX144</f>
        <v>2</v>
      </c>
      <c r="AQ144" s="15">
        <f>+'ENCUESTA CONDUCTORES'!AY144</f>
        <v>1</v>
      </c>
      <c r="AR144" s="15">
        <f>+'ENCUESTA CONDUCTORES'!AZ144</f>
        <v>150</v>
      </c>
      <c r="AS144" s="15">
        <f>+'ENCUESTA CONDUCTORES'!BA144</f>
        <v>600</v>
      </c>
      <c r="AT144" s="15">
        <f>IF('ENCUESTA CONDUCTORES'!BB144="X",1,0)</f>
        <v>0</v>
      </c>
      <c r="AU144" s="15">
        <f>IF('ENCUESTA CONDUCTORES'!BC144="X",1,0)</f>
        <v>0</v>
      </c>
      <c r="AV144" s="15">
        <f>IF('ENCUESTA CONDUCTORES'!BD144="X",1,0)</f>
        <v>0</v>
      </c>
      <c r="AW144" s="1">
        <f>+'ENCUESTA CONDUCTORES'!BE144</f>
        <v>21000</v>
      </c>
      <c r="AX144" s="1">
        <f>+'ENCUESTA CONDUCTORES'!BF144</f>
        <v>21000</v>
      </c>
      <c r="AY144" s="1">
        <f>+'ENCUESTA CONDUCTORES'!BG144</f>
        <v>21000</v>
      </c>
      <c r="AZ144" s="1" t="str">
        <f>+'ENCUESTA CONDUCTORES'!BH144</f>
        <v>NO SABE</v>
      </c>
      <c r="BA144" s="1" t="str">
        <f>+'ENCUESTA CONDUCTORES'!BI144</f>
        <v>NO APLICA</v>
      </c>
      <c r="BB144" s="15">
        <f>IF('ENCUESTA CONDUCTORES'!BJ144="X",1,0)</f>
        <v>0</v>
      </c>
      <c r="BC144" s="15">
        <f>IF('ENCUESTA CONDUCTORES'!BK144="X",1,0)</f>
        <v>0</v>
      </c>
      <c r="BD144" s="15">
        <f>IF('ENCUESTA CONDUCTORES'!BL144="X",1,0)</f>
        <v>0</v>
      </c>
      <c r="BE144" s="15">
        <f>IF('ENCUESTA CONDUCTORES'!BM144="X",1,0)</f>
        <v>0</v>
      </c>
      <c r="BF144" s="15">
        <f>IF('ENCUESTA CONDUCTORES'!BN144="X",1,0)</f>
        <v>0</v>
      </c>
      <c r="BG144" s="15">
        <f>IF('ENCUESTA CONDUCTORES'!BO144="X",1,0)</f>
        <v>0</v>
      </c>
      <c r="BH144" s="15">
        <f>IF('ENCUESTA CONDUCTORES'!BP144="X",1,0)</f>
        <v>0</v>
      </c>
      <c r="BI144" s="15">
        <f>IF('ENCUESTA CONDUCTORES'!BQ144="X",1,0)</f>
        <v>0</v>
      </c>
      <c r="BJ144" s="15">
        <f>IF('ENCUESTA CONDUCTORES'!BR144="X",1,0)</f>
        <v>0</v>
      </c>
      <c r="BK144" s="15" t="str">
        <f>+'ENCUESTA CONDUCTORES'!BS144</f>
        <v>GENERAL</v>
      </c>
      <c r="BL144" s="15">
        <f>IF('ENCUESTA CONDUCTORES'!BT144="X",1,0)</f>
        <v>0</v>
      </c>
      <c r="BM144" s="15">
        <f>IF('ENCUESTA CONDUCTORES'!BU144="X",1,0)</f>
        <v>1</v>
      </c>
      <c r="BN144" s="15">
        <f>IF('ENCUESTA CONDUCTORES'!BV144="X",1,0)</f>
        <v>0</v>
      </c>
      <c r="BO144" s="15">
        <f>IF('ENCUESTA CONDUCTORES'!BW144="X",1,0)</f>
        <v>0</v>
      </c>
      <c r="BP144" s="15">
        <f>+'ENCUESTA CONDUCTORES'!BX144</f>
        <v>1</v>
      </c>
      <c r="BQ144" s="15">
        <f>+'ENCUESTA CONDUCTORES'!BY144</f>
        <v>3</v>
      </c>
      <c r="BR144" s="15">
        <f>+'ENCUESTA CONDUCTORES'!BZ144</f>
        <v>2</v>
      </c>
      <c r="BS144" s="15">
        <f>+'ENCUESTA CONDUCTORES'!CA144</f>
        <v>0</v>
      </c>
      <c r="BT144" s="15">
        <f>IF('ENCUESTA CONDUCTORES'!CB144="X",1,0)</f>
        <v>1</v>
      </c>
      <c r="BU144" s="15">
        <f>IF('ENCUESTA CONDUCTORES'!CC144="X",1,0)</f>
        <v>0</v>
      </c>
      <c r="BV144" s="15">
        <f>IF('ENCUESTA CONDUCTORES'!CD144="X",1,0)</f>
        <v>0</v>
      </c>
      <c r="BW144" s="15">
        <f>IF('ENCUESTA CONDUCTORES'!CE144="X",1,0)</f>
        <v>0</v>
      </c>
      <c r="BX144" s="15">
        <f>IF('ENCUESTA CONDUCTORES'!CF144="X",1,0)</f>
        <v>0</v>
      </c>
      <c r="BY144" s="15">
        <f>IF('ENCUESTA CONDUCTORES'!CG144="X",1,0)</f>
        <v>0</v>
      </c>
      <c r="BZ144" s="15">
        <f>IF('ENCUESTA CONDUCTORES'!CH144="X",1,0)</f>
        <v>0</v>
      </c>
      <c r="CA144" s="15">
        <f>IF('ENCUESTA CONDUCTORES'!CI144="X",1,0)</f>
        <v>0</v>
      </c>
      <c r="CB144" s="15">
        <f>IF('ENCUESTA CONDUCTORES'!CJ144="X",1,0)</f>
        <v>0</v>
      </c>
      <c r="CC144" s="15">
        <f>IF('ENCUESTA CONDUCTORES'!CK144="X",1,0)</f>
        <v>1</v>
      </c>
      <c r="CD144" s="15">
        <f>IF('ENCUESTA CONDUCTORES'!CL144="X",1,0)</f>
        <v>0</v>
      </c>
      <c r="CE144" s="15">
        <f>IF('ENCUESTA CONDUCTORES'!CM144="X",1,0)</f>
        <v>0</v>
      </c>
      <c r="CF144" s="15">
        <f>+'ENCUESTA CONDUCTORES'!CN144</f>
        <v>0</v>
      </c>
      <c r="CG144" s="15">
        <f>IF('ENCUESTA CONDUCTORES'!CO144="X",1,0)</f>
        <v>0</v>
      </c>
      <c r="CH144" s="15" t="str">
        <f>+'ENCUESTA CONDUCTORES'!CP144</f>
        <v>NO SABE</v>
      </c>
      <c r="CI144" s="15" t="str">
        <f>+'ENCUESTA CONDUCTORES'!CQ144</f>
        <v>PUBLICIDAD</v>
      </c>
      <c r="CJ144" s="15">
        <f>IF('ENCUESTA CONDUCTORES'!CR144="X",1,0)</f>
        <v>1</v>
      </c>
      <c r="CK144" s="15">
        <f>IF('ENCUESTA CONDUCTORES'!CS144="X",1,0)</f>
        <v>0</v>
      </c>
      <c r="CL144" s="15">
        <f>IF('ENCUESTA CONDUCTORES'!CT144="X",1,0)</f>
        <v>0</v>
      </c>
      <c r="CM144" s="15">
        <f>+'ENCUESTA CONDUCTORES'!CU144</f>
        <v>0</v>
      </c>
      <c r="CN144" s="15">
        <f>IF('ENCUESTA CONDUCTORES'!CV144="X",1,0)</f>
        <v>0</v>
      </c>
      <c r="CO144" s="15">
        <f>+'ENCUESTA CONDUCTORES'!CW144</f>
        <v>0</v>
      </c>
      <c r="CP144" s="15">
        <f>IF('ENCUESTA CONDUCTORES'!CX144="X",1,0)</f>
        <v>0</v>
      </c>
      <c r="CQ144" s="15">
        <f>IF('ENCUESTA CONDUCTORES'!CY144="X",1,0)</f>
        <v>1</v>
      </c>
      <c r="CR144" s="3">
        <f>+'ENCUESTA CONDUCTORES'!CZ144</f>
        <v>0</v>
      </c>
      <c r="CS144" s="49">
        <f>+'ENCUESTA CONDUCTORES'!DA144</f>
        <v>0</v>
      </c>
    </row>
    <row r="145" spans="2:97" x14ac:dyDescent="0.25">
      <c r="B145" s="14" t="str">
        <f>+'ENCUESTA CONDUCTORES'!D145</f>
        <v>C-151</v>
      </c>
      <c r="C145" s="15">
        <f>IF('ENCUESTA CONDUCTORES'!E145="X",1,0)</f>
        <v>0</v>
      </c>
      <c r="D145" s="15">
        <f>IF('ENCUESTA CONDUCTORES'!F145="X",1,0)</f>
        <v>0</v>
      </c>
      <c r="E145" s="15">
        <f>IF('ENCUESTA CONDUCTORES'!G145="X",1,0)</f>
        <v>1</v>
      </c>
      <c r="F145" s="15">
        <f>IF('ENCUESTA CONDUCTORES'!H145="X",1,0)</f>
        <v>0</v>
      </c>
      <c r="G145" s="15">
        <f>+'ENCUESTA CONDUCTORES'!I145</f>
        <v>37</v>
      </c>
      <c r="H145" s="15" t="str">
        <f>+'ENCUESTA CONDUCTORES'!J145</f>
        <v>M</v>
      </c>
      <c r="I145" s="15" t="str">
        <f>+'ENCUESTA CONDUCTORES'!K145</f>
        <v>SECUNDARIA</v>
      </c>
      <c r="J145" s="15" t="str">
        <f>+'ENCUESTA CONDUCTORES'!L145</f>
        <v>TOLUCA, EDO. MEX.</v>
      </c>
      <c r="K145" s="15" t="str">
        <f>+'ENCUESTA CONDUCTORES'!M145</f>
        <v>TOLUCA</v>
      </c>
      <c r="L145" s="15" t="str">
        <f>+'ENCUESTA CONDUCTORES'!N145</f>
        <v>EDO. MEX.</v>
      </c>
      <c r="M145" s="15">
        <f>+'ENCUESTA CONDUCTORES'!O145</f>
        <v>17</v>
      </c>
      <c r="N145" s="15">
        <f>IF('ENCUESTA CONDUCTORES'!P145="X",1,0)</f>
        <v>0</v>
      </c>
      <c r="O145" s="15">
        <f>IF('ENCUESTA CONDUCTORES'!Q145="X",1,0)</f>
        <v>0</v>
      </c>
      <c r="P145" s="15">
        <f>IF('ENCUESTA CONDUCTORES'!R145="X",1,0)</f>
        <v>1</v>
      </c>
      <c r="Q145" s="15">
        <f>IF('ENCUESTA CONDUCTORES'!S145="X",1,0)</f>
        <v>0</v>
      </c>
      <c r="R145" s="15">
        <f>IF('ENCUESTA CONDUCTORES'!T145="X",1,0)</f>
        <v>0</v>
      </c>
      <c r="S145" s="15">
        <f>IF('ENCUESTA CONDUCTORES'!U145="X",1,0)</f>
        <v>0</v>
      </c>
      <c r="T145" s="15">
        <f>IF('ENCUESTA CONDUCTORES'!V145="X",1,0)</f>
        <v>0</v>
      </c>
      <c r="U145" s="15">
        <f>IF('ENCUESTA CONDUCTORES'!W145="X",1,0)</f>
        <v>0</v>
      </c>
      <c r="V145" s="15">
        <f>IF('ENCUESTA CONDUCTORES'!X145="X",1,0)</f>
        <v>0</v>
      </c>
      <c r="W145" s="15">
        <f>IF('ENCUESTA CONDUCTORES'!Y145="X",1,0)</f>
        <v>0</v>
      </c>
      <c r="X145" s="15">
        <f>IF('ENCUESTA CONDUCTORES'!Z145="X",1,0)</f>
        <v>0</v>
      </c>
      <c r="Y145" s="15">
        <f>+'ENCUESTA CONDUCTORES'!AG145</f>
        <v>0</v>
      </c>
      <c r="Z145" s="15">
        <f>+'ENCUESTA CONDUCTORES'!AH145</f>
        <v>2013</v>
      </c>
      <c r="AA145" s="1">
        <f>+'ENCUESTA CONDUCTORES'!AI145</f>
        <v>72300</v>
      </c>
      <c r="AB145" s="15">
        <f>IF('ENCUESTA CONDUCTORES'!AJ145="X",1,0)</f>
        <v>0</v>
      </c>
      <c r="AC145" s="15">
        <f>IF('ENCUESTA CONDUCTORES'!AK145="X",1,0)</f>
        <v>0</v>
      </c>
      <c r="AD145" s="15">
        <f>IF('ENCUESTA CONDUCTORES'!AL145="X",1,0)</f>
        <v>1</v>
      </c>
      <c r="AE145" s="15">
        <f>IF('ENCUESTA CONDUCTORES'!AM145="X",1,0)</f>
        <v>0</v>
      </c>
      <c r="AF145" s="15">
        <f>IF('ENCUESTA CONDUCTORES'!AN145="X",1,0)</f>
        <v>0</v>
      </c>
      <c r="AG145" s="15">
        <f>IF('ENCUESTA CONDUCTORES'!AO145="X",1,0)</f>
        <v>0</v>
      </c>
      <c r="AH145" s="15">
        <f>IF('ENCUESTA CONDUCTORES'!AP145="X",1,0)</f>
        <v>1</v>
      </c>
      <c r="AI145" s="15">
        <f>IF('ENCUESTA CONDUCTORES'!AQ145="X",1,0)</f>
        <v>0</v>
      </c>
      <c r="AJ145" s="15">
        <f>IF('ENCUESTA CONDUCTORES'!AR145="X",1,0)</f>
        <v>0</v>
      </c>
      <c r="AK145" s="15">
        <f>+'ENCUESTA CONDUCTORES'!AS145</f>
        <v>0</v>
      </c>
      <c r="AL145" s="15" t="str">
        <f>+'ENCUESTA CONDUCTORES'!AT145</f>
        <v>CUMMINS</v>
      </c>
      <c r="AM145" s="1">
        <f>+'ENCUESTA CONDUCTORES'!AU145</f>
        <v>8000</v>
      </c>
      <c r="AN145" s="48">
        <f>+'ENCUESTA CONDUCTORES'!AV145</f>
        <v>0.5</v>
      </c>
      <c r="AO145" s="15">
        <f>+'ENCUESTA CONDUCTORES'!AW145</f>
        <v>2.5</v>
      </c>
      <c r="AP145" s="15">
        <f>+'ENCUESTA CONDUCTORES'!AX145</f>
        <v>2.4</v>
      </c>
      <c r="AQ145" s="15">
        <f>+'ENCUESTA CONDUCTORES'!AY145</f>
        <v>2</v>
      </c>
      <c r="AR145" s="15">
        <f>+'ENCUESTA CONDUCTORES'!AZ145</f>
        <v>830</v>
      </c>
      <c r="AS145" s="15">
        <f>+'ENCUESTA CONDUCTORES'!BA145</f>
        <v>2000</v>
      </c>
      <c r="AT145" s="15">
        <f>IF('ENCUESTA CONDUCTORES'!BB145="X",1,0)</f>
        <v>1</v>
      </c>
      <c r="AU145" s="15">
        <f>IF('ENCUESTA CONDUCTORES'!BC145="X",1,0)</f>
        <v>1</v>
      </c>
      <c r="AV145" s="15">
        <f>IF('ENCUESTA CONDUCTORES'!BD145="X",1,0)</f>
        <v>0</v>
      </c>
      <c r="AW145" s="1">
        <f>+'ENCUESTA CONDUCTORES'!BE145</f>
        <v>25000</v>
      </c>
      <c r="AX145" s="1">
        <f>+'ENCUESTA CONDUCTORES'!BF145</f>
        <v>25000</v>
      </c>
      <c r="AY145" s="1">
        <f>+'ENCUESTA CONDUCTORES'!BG145</f>
        <v>25000</v>
      </c>
      <c r="AZ145" s="1">
        <f>+'ENCUESTA CONDUCTORES'!BH145</f>
        <v>100000</v>
      </c>
      <c r="BA145" s="1">
        <f>+'ENCUESTA CONDUCTORES'!BI145</f>
        <v>25000</v>
      </c>
      <c r="BB145" s="15">
        <f>IF('ENCUESTA CONDUCTORES'!BJ145="X",1,0)</f>
        <v>0</v>
      </c>
      <c r="BC145" s="15">
        <f>IF('ENCUESTA CONDUCTORES'!BK145="X",1,0)</f>
        <v>0</v>
      </c>
      <c r="BD145" s="15">
        <f>IF('ENCUESTA CONDUCTORES'!BL145="X",1,0)</f>
        <v>0</v>
      </c>
      <c r="BE145" s="15">
        <f>IF('ENCUESTA CONDUCTORES'!BM145="X",1,0)</f>
        <v>0</v>
      </c>
      <c r="BF145" s="15">
        <f>IF('ENCUESTA CONDUCTORES'!BN145="X",1,0)</f>
        <v>0</v>
      </c>
      <c r="BG145" s="15">
        <f>IF('ENCUESTA CONDUCTORES'!BO145="X",1,0)</f>
        <v>0</v>
      </c>
      <c r="BH145" s="15">
        <f>IF('ENCUESTA CONDUCTORES'!BP145="X",1,0)</f>
        <v>0</v>
      </c>
      <c r="BI145" s="15">
        <f>IF('ENCUESTA CONDUCTORES'!BQ145="X",1,0)</f>
        <v>0</v>
      </c>
      <c r="BJ145" s="15">
        <f>IF('ENCUESTA CONDUCTORES'!BR145="X",1,0)</f>
        <v>0</v>
      </c>
      <c r="BK145" s="15" t="str">
        <f>+'ENCUESTA CONDUCTORES'!BS145</f>
        <v>CHATARRA</v>
      </c>
      <c r="BL145" s="15">
        <f>IF('ENCUESTA CONDUCTORES'!BT145="X",1,0)</f>
        <v>0</v>
      </c>
      <c r="BM145" s="15">
        <f>IF('ENCUESTA CONDUCTORES'!BU145="X",1,0)</f>
        <v>1</v>
      </c>
      <c r="BN145" s="15">
        <f>IF('ENCUESTA CONDUCTORES'!BV145="X",1,0)</f>
        <v>0</v>
      </c>
      <c r="BO145" s="15">
        <f>IF('ENCUESTA CONDUCTORES'!BW145="X",1,0)</f>
        <v>0</v>
      </c>
      <c r="BP145" s="15">
        <f>+'ENCUESTA CONDUCTORES'!BX145</f>
        <v>1</v>
      </c>
      <c r="BQ145" s="15">
        <f>+'ENCUESTA CONDUCTORES'!BY145</f>
        <v>3</v>
      </c>
      <c r="BR145" s="15">
        <f>+'ENCUESTA CONDUCTORES'!BZ145</f>
        <v>2</v>
      </c>
      <c r="BS145" s="15">
        <f>+'ENCUESTA CONDUCTORES'!CA145</f>
        <v>0</v>
      </c>
      <c r="BT145" s="15">
        <f>IF('ENCUESTA CONDUCTORES'!CB145="X",1,0)</f>
        <v>0</v>
      </c>
      <c r="BU145" s="15">
        <f>IF('ENCUESTA CONDUCTORES'!CC145="X",1,0)</f>
        <v>1</v>
      </c>
      <c r="BV145" s="15">
        <f>IF('ENCUESTA CONDUCTORES'!CD145="X",1,0)</f>
        <v>0</v>
      </c>
      <c r="BW145" s="15">
        <f>IF('ENCUESTA CONDUCTORES'!CE145="X",1,0)</f>
        <v>0</v>
      </c>
      <c r="BX145" s="15">
        <f>IF('ENCUESTA CONDUCTORES'!CF145="X",1,0)</f>
        <v>0</v>
      </c>
      <c r="BY145" s="15">
        <f>IF('ENCUESTA CONDUCTORES'!CG145="X",1,0)</f>
        <v>1</v>
      </c>
      <c r="BZ145" s="15">
        <f>IF('ENCUESTA CONDUCTORES'!CH145="X",1,0)</f>
        <v>1</v>
      </c>
      <c r="CA145" s="15">
        <f>IF('ENCUESTA CONDUCTORES'!CI145="X",1,0)</f>
        <v>1</v>
      </c>
      <c r="CB145" s="15">
        <f>IF('ENCUESTA CONDUCTORES'!CJ145="X",1,0)</f>
        <v>0</v>
      </c>
      <c r="CC145" s="15">
        <f>IF('ENCUESTA CONDUCTORES'!CK145="X",1,0)</f>
        <v>1</v>
      </c>
      <c r="CD145" s="15">
        <f>IF('ENCUESTA CONDUCTORES'!CL145="X",1,0)</f>
        <v>0</v>
      </c>
      <c r="CE145" s="15">
        <f>IF('ENCUESTA CONDUCTORES'!CM145="X",1,0)</f>
        <v>0</v>
      </c>
      <c r="CF145" s="15">
        <f>+'ENCUESTA CONDUCTORES'!CN145</f>
        <v>0</v>
      </c>
      <c r="CG145" s="15">
        <f>IF('ENCUESTA CONDUCTORES'!CO145="X",1,0)</f>
        <v>0</v>
      </c>
      <c r="CH145" s="15" t="str">
        <f>+'ENCUESTA CONDUCTORES'!CP145</f>
        <v>NO SABE</v>
      </c>
      <c r="CI145" s="15" t="str">
        <f>+'ENCUESTA CONDUCTORES'!CQ145</f>
        <v>DARLO A CONOCER</v>
      </c>
      <c r="CJ145" s="15">
        <f>IF('ENCUESTA CONDUCTORES'!CR145="X",1,0)</f>
        <v>1</v>
      </c>
      <c r="CK145" s="15">
        <f>IF('ENCUESTA CONDUCTORES'!CS145="X",1,0)</f>
        <v>0</v>
      </c>
      <c r="CL145" s="15">
        <f>IF('ENCUESTA CONDUCTORES'!CT145="X",1,0)</f>
        <v>0</v>
      </c>
      <c r="CM145" s="15">
        <f>+'ENCUESTA CONDUCTORES'!CU145</f>
        <v>0</v>
      </c>
      <c r="CN145" s="15">
        <f>IF('ENCUESTA CONDUCTORES'!CV145="X",1,0)</f>
        <v>0</v>
      </c>
      <c r="CO145" s="15">
        <f>+'ENCUESTA CONDUCTORES'!CW145</f>
        <v>0</v>
      </c>
      <c r="CP145" s="15">
        <f>IF('ENCUESTA CONDUCTORES'!CX145="X",1,0)</f>
        <v>0</v>
      </c>
      <c r="CQ145" s="15">
        <f>IF('ENCUESTA CONDUCTORES'!CY145="X",1,0)</f>
        <v>1</v>
      </c>
      <c r="CR145" s="3">
        <f>+'ENCUESTA CONDUCTORES'!CZ145</f>
        <v>0</v>
      </c>
      <c r="CS145" s="49">
        <f>+'ENCUESTA CONDUCTORES'!DA145</f>
        <v>0</v>
      </c>
    </row>
    <row r="146" spans="2:97" x14ac:dyDescent="0.25">
      <c r="B146" s="14" t="str">
        <f>+'ENCUESTA CONDUCTORES'!D146</f>
        <v>C-152</v>
      </c>
      <c r="C146" s="15">
        <f>IF('ENCUESTA CONDUCTORES'!E146="X",1,0)</f>
        <v>0</v>
      </c>
      <c r="D146" s="15">
        <f>IF('ENCUESTA CONDUCTORES'!F146="X",1,0)</f>
        <v>1</v>
      </c>
      <c r="E146" s="15">
        <f>IF('ENCUESTA CONDUCTORES'!G146="X",1,0)</f>
        <v>0</v>
      </c>
      <c r="F146" s="15">
        <f>IF('ENCUESTA CONDUCTORES'!H146="X",1,0)</f>
        <v>0</v>
      </c>
      <c r="G146" s="15">
        <f>+'ENCUESTA CONDUCTORES'!I146</f>
        <v>25</v>
      </c>
      <c r="H146" s="15" t="str">
        <f>+'ENCUESTA CONDUCTORES'!J146</f>
        <v>M</v>
      </c>
      <c r="I146" s="15" t="str">
        <f>+'ENCUESTA CONDUCTORES'!K146</f>
        <v>PREPARATORIA</v>
      </c>
      <c r="J146" s="15" t="str">
        <f>+'ENCUESTA CONDUCTORES'!L146</f>
        <v>NEZAHUALCÓYOTL, EDO. MEX.</v>
      </c>
      <c r="K146" s="15" t="str">
        <f>+'ENCUESTA CONDUCTORES'!M146</f>
        <v>NEZAHUALCÓYOTL</v>
      </c>
      <c r="L146" s="15" t="str">
        <f>+'ENCUESTA CONDUCTORES'!N146</f>
        <v>EDO. MEX.</v>
      </c>
      <c r="M146" s="15">
        <f>+'ENCUESTA CONDUCTORES'!O146</f>
        <v>6</v>
      </c>
      <c r="N146" s="15">
        <f>IF('ENCUESTA CONDUCTORES'!P146="X",1,0)</f>
        <v>1</v>
      </c>
      <c r="O146" s="15">
        <f>IF('ENCUESTA CONDUCTORES'!Q146="X",1,0)</f>
        <v>0</v>
      </c>
      <c r="P146" s="15">
        <f>IF('ENCUESTA CONDUCTORES'!R146="X",1,0)</f>
        <v>0</v>
      </c>
      <c r="Q146" s="15">
        <f>IF('ENCUESTA CONDUCTORES'!S146="X",1,0)</f>
        <v>0</v>
      </c>
      <c r="R146" s="15">
        <f>IF('ENCUESTA CONDUCTORES'!T146="X",1,0)</f>
        <v>0</v>
      </c>
      <c r="S146" s="15">
        <f>IF('ENCUESTA CONDUCTORES'!U146="X",1,0)</f>
        <v>0</v>
      </c>
      <c r="T146" s="15">
        <f>IF('ENCUESTA CONDUCTORES'!V146="X",1,0)</f>
        <v>1</v>
      </c>
      <c r="U146" s="15">
        <f>IF('ENCUESTA CONDUCTORES'!W146="X",1,0)</f>
        <v>0</v>
      </c>
      <c r="V146" s="15">
        <f>IF('ENCUESTA CONDUCTORES'!X146="X",1,0)</f>
        <v>0</v>
      </c>
      <c r="W146" s="15">
        <f>IF('ENCUESTA CONDUCTORES'!Y146="X",1,0)</f>
        <v>0</v>
      </c>
      <c r="X146" s="15">
        <f>IF('ENCUESTA CONDUCTORES'!Z146="X",1,0)</f>
        <v>0</v>
      </c>
      <c r="Y146" s="15">
        <f>+'ENCUESTA CONDUCTORES'!AG146</f>
        <v>0</v>
      </c>
      <c r="Z146" s="15">
        <f>+'ENCUESTA CONDUCTORES'!AH146</f>
        <v>2009</v>
      </c>
      <c r="AA146" s="1">
        <f>+'ENCUESTA CONDUCTORES'!AI146</f>
        <v>300000</v>
      </c>
      <c r="AB146" s="15">
        <f>IF('ENCUESTA CONDUCTORES'!AJ146="X",1,0)</f>
        <v>0</v>
      </c>
      <c r="AC146" s="15">
        <f>IF('ENCUESTA CONDUCTORES'!AK146="X",1,0)</f>
        <v>0</v>
      </c>
      <c r="AD146" s="15">
        <f>IF('ENCUESTA CONDUCTORES'!AL146="X",1,0)</f>
        <v>1</v>
      </c>
      <c r="AE146" s="15">
        <f>IF('ENCUESTA CONDUCTORES'!AM146="X",1,0)</f>
        <v>0</v>
      </c>
      <c r="AF146" s="15">
        <f>IF('ENCUESTA CONDUCTORES'!AN146="X",1,0)</f>
        <v>0</v>
      </c>
      <c r="AG146" s="15">
        <f>IF('ENCUESTA CONDUCTORES'!AO146="X",1,0)</f>
        <v>0</v>
      </c>
      <c r="AH146" s="15">
        <f>IF('ENCUESTA CONDUCTORES'!AP146="X",1,0)</f>
        <v>1</v>
      </c>
      <c r="AI146" s="15">
        <f>IF('ENCUESTA CONDUCTORES'!AQ146="X",1,0)</f>
        <v>0</v>
      </c>
      <c r="AJ146" s="15">
        <f>IF('ENCUESTA CONDUCTORES'!AR146="X",1,0)</f>
        <v>0</v>
      </c>
      <c r="AK146" s="15">
        <f>+'ENCUESTA CONDUCTORES'!AS146</f>
        <v>0</v>
      </c>
      <c r="AL146" s="15" t="str">
        <f>+'ENCUESTA CONDUCTORES'!AT146</f>
        <v>CUMMINS</v>
      </c>
      <c r="AM146" s="1">
        <f>+'ENCUESTA CONDUCTORES'!AU146</f>
        <v>3000</v>
      </c>
      <c r="AN146" s="48">
        <f>+'ENCUESTA CONDUCTORES'!AV146</f>
        <v>0.5</v>
      </c>
      <c r="AO146" s="15">
        <f>+'ENCUESTA CONDUCTORES'!AW146</f>
        <v>2.2999999999999998</v>
      </c>
      <c r="AP146" s="15">
        <f>+'ENCUESTA CONDUCTORES'!AX146</f>
        <v>2</v>
      </c>
      <c r="AQ146" s="15">
        <f>+'ENCUESTA CONDUCTORES'!AY146</f>
        <v>2</v>
      </c>
      <c r="AR146" s="15">
        <f>+'ENCUESTA CONDUCTORES'!AZ146</f>
        <v>450</v>
      </c>
      <c r="AS146" s="15">
        <f>+'ENCUESTA CONDUCTORES'!BA146</f>
        <v>1000</v>
      </c>
      <c r="AT146" s="15">
        <f>IF('ENCUESTA CONDUCTORES'!BB146="X",1,0)</f>
        <v>0</v>
      </c>
      <c r="AU146" s="15">
        <f>IF('ENCUESTA CONDUCTORES'!BC146="X",1,0)</f>
        <v>1</v>
      </c>
      <c r="AV146" s="15">
        <f>IF('ENCUESTA CONDUCTORES'!BD146="X",1,0)</f>
        <v>0</v>
      </c>
      <c r="AW146" s="1">
        <f>+'ENCUESTA CONDUCTORES'!BE146</f>
        <v>18000</v>
      </c>
      <c r="AX146" s="1">
        <f>+'ENCUESTA CONDUCTORES'!BF146</f>
        <v>18000</v>
      </c>
      <c r="AY146" s="1">
        <f>+'ENCUESTA CONDUCTORES'!BG146</f>
        <v>18000</v>
      </c>
      <c r="AZ146" s="1" t="str">
        <f>+'ENCUESTA CONDUCTORES'!BH146</f>
        <v>NO SABE</v>
      </c>
      <c r="BA146" s="1">
        <f>+'ENCUESTA CONDUCTORES'!BI146</f>
        <v>18000</v>
      </c>
      <c r="BB146" s="15">
        <f>IF('ENCUESTA CONDUCTORES'!BJ146="X",1,0)</f>
        <v>0</v>
      </c>
      <c r="BC146" s="15">
        <f>IF('ENCUESTA CONDUCTORES'!BK146="X",1,0)</f>
        <v>0</v>
      </c>
      <c r="BD146" s="15">
        <f>IF('ENCUESTA CONDUCTORES'!BL146="X",1,0)</f>
        <v>0</v>
      </c>
      <c r="BE146" s="15">
        <f>IF('ENCUESTA CONDUCTORES'!BM146="X",1,0)</f>
        <v>0</v>
      </c>
      <c r="BF146" s="15">
        <f>IF('ENCUESTA CONDUCTORES'!BN146="X",1,0)</f>
        <v>0</v>
      </c>
      <c r="BG146" s="15">
        <f>IF('ENCUESTA CONDUCTORES'!BO146="X",1,0)</f>
        <v>0</v>
      </c>
      <c r="BH146" s="15">
        <f>IF('ENCUESTA CONDUCTORES'!BP146="X",1,0)</f>
        <v>0</v>
      </c>
      <c r="BI146" s="15">
        <f>IF('ENCUESTA CONDUCTORES'!BQ146="X",1,0)</f>
        <v>1</v>
      </c>
      <c r="BJ146" s="15">
        <f>IF('ENCUESTA CONDUCTORES'!BR146="X",1,0)</f>
        <v>0</v>
      </c>
      <c r="BK146" s="15">
        <f>+'ENCUESTA CONDUCTORES'!BS146</f>
        <v>0</v>
      </c>
      <c r="BL146" s="15">
        <f>IF('ENCUESTA CONDUCTORES'!BT146="X",1,0)</f>
        <v>0</v>
      </c>
      <c r="BM146" s="15">
        <f>IF('ENCUESTA CONDUCTORES'!BU146="X",1,0)</f>
        <v>1</v>
      </c>
      <c r="BN146" s="15">
        <f>IF('ENCUESTA CONDUCTORES'!BV146="X",1,0)</f>
        <v>0</v>
      </c>
      <c r="BO146" s="15">
        <f>IF('ENCUESTA CONDUCTORES'!BW146="X",1,0)</f>
        <v>0</v>
      </c>
      <c r="BP146" s="15">
        <f>+'ENCUESTA CONDUCTORES'!BX146</f>
        <v>2</v>
      </c>
      <c r="BQ146" s="15">
        <f>+'ENCUESTA CONDUCTORES'!BY146</f>
        <v>1</v>
      </c>
      <c r="BR146" s="15">
        <f>+'ENCUESTA CONDUCTORES'!BZ146</f>
        <v>3</v>
      </c>
      <c r="BS146" s="15">
        <f>+'ENCUESTA CONDUCTORES'!CA146</f>
        <v>0</v>
      </c>
      <c r="BT146" s="15">
        <f>IF('ENCUESTA CONDUCTORES'!CB146="X",1,0)</f>
        <v>0</v>
      </c>
      <c r="BU146" s="15">
        <f>IF('ENCUESTA CONDUCTORES'!CC146="X",1,0)</f>
        <v>1</v>
      </c>
      <c r="BV146" s="15">
        <f>IF('ENCUESTA CONDUCTORES'!CD146="X",1,0)</f>
        <v>0</v>
      </c>
      <c r="BW146" s="15">
        <f>IF('ENCUESTA CONDUCTORES'!CE146="X",1,0)</f>
        <v>0</v>
      </c>
      <c r="BX146" s="15">
        <f>IF('ENCUESTA CONDUCTORES'!CF146="X",1,0)</f>
        <v>0</v>
      </c>
      <c r="BY146" s="15">
        <f>IF('ENCUESTA CONDUCTORES'!CG146="X",1,0)</f>
        <v>1</v>
      </c>
      <c r="BZ146" s="15">
        <f>IF('ENCUESTA CONDUCTORES'!CH146="X",1,0)</f>
        <v>1</v>
      </c>
      <c r="CA146" s="15">
        <f>IF('ENCUESTA CONDUCTORES'!CI146="X",1,0)</f>
        <v>0</v>
      </c>
      <c r="CB146" s="15">
        <f>IF('ENCUESTA CONDUCTORES'!CJ146="X",1,0)</f>
        <v>0</v>
      </c>
      <c r="CC146" s="15">
        <f>IF('ENCUESTA CONDUCTORES'!CK146="X",1,0)</f>
        <v>1</v>
      </c>
      <c r="CD146" s="15">
        <f>IF('ENCUESTA CONDUCTORES'!CL146="X",1,0)</f>
        <v>0</v>
      </c>
      <c r="CE146" s="15">
        <f>IF('ENCUESTA CONDUCTORES'!CM146="X",1,0)</f>
        <v>0</v>
      </c>
      <c r="CF146" s="15">
        <f>+'ENCUESTA CONDUCTORES'!CN146</f>
        <v>0</v>
      </c>
      <c r="CG146" s="15">
        <f>IF('ENCUESTA CONDUCTORES'!CO146="X",1,0)</f>
        <v>0</v>
      </c>
      <c r="CH146" s="15" t="str">
        <f>+'ENCUESTA CONDUCTORES'!CP146</f>
        <v>NO SABE</v>
      </c>
      <c r="CI146" s="15" t="str">
        <f>+'ENCUESTA CONDUCTORES'!CQ146</f>
        <v>DARLO A CONOCER</v>
      </c>
      <c r="CJ146" s="15">
        <f>IF('ENCUESTA CONDUCTORES'!CR146="X",1,0)</f>
        <v>1</v>
      </c>
      <c r="CK146" s="15">
        <f>IF('ENCUESTA CONDUCTORES'!CS146="X",1,0)</f>
        <v>0</v>
      </c>
      <c r="CL146" s="15">
        <f>IF('ENCUESTA CONDUCTORES'!CT146="X",1,0)</f>
        <v>0</v>
      </c>
      <c r="CM146" s="15">
        <f>+'ENCUESTA CONDUCTORES'!CU146</f>
        <v>0</v>
      </c>
      <c r="CN146" s="15">
        <f>IF('ENCUESTA CONDUCTORES'!CV146="X",1,0)</f>
        <v>0</v>
      </c>
      <c r="CO146" s="15">
        <f>+'ENCUESTA CONDUCTORES'!CW146</f>
        <v>0</v>
      </c>
      <c r="CP146" s="15">
        <f>IF('ENCUESTA CONDUCTORES'!CX146="X",1,0)</f>
        <v>0</v>
      </c>
      <c r="CQ146" s="15">
        <f>IF('ENCUESTA CONDUCTORES'!CY146="X",1,0)</f>
        <v>1</v>
      </c>
      <c r="CR146" s="3">
        <f>+'ENCUESTA CONDUCTORES'!CZ146</f>
        <v>0</v>
      </c>
      <c r="CS146" s="49">
        <f>+'ENCUESTA CONDUCTORES'!DA146</f>
        <v>0</v>
      </c>
    </row>
    <row r="147" spans="2:97" x14ac:dyDescent="0.25">
      <c r="B147" s="14" t="str">
        <f>+'ENCUESTA CONDUCTORES'!D147</f>
        <v>C-153</v>
      </c>
      <c r="C147" s="15">
        <f>IF('ENCUESTA CONDUCTORES'!E147="X",1,0)</f>
        <v>0</v>
      </c>
      <c r="D147" s="15">
        <f>IF('ENCUESTA CONDUCTORES'!F147="X",1,0)</f>
        <v>0</v>
      </c>
      <c r="E147" s="15">
        <f>IF('ENCUESTA CONDUCTORES'!G147="X",1,0)</f>
        <v>1</v>
      </c>
      <c r="F147" s="15">
        <f>IF('ENCUESTA CONDUCTORES'!H147="X",1,0)</f>
        <v>0</v>
      </c>
      <c r="G147" s="15">
        <f>+'ENCUESTA CONDUCTORES'!I147</f>
        <v>49</v>
      </c>
      <c r="H147" s="15" t="str">
        <f>+'ENCUESTA CONDUCTORES'!J147</f>
        <v>M</v>
      </c>
      <c r="I147" s="15" t="str">
        <f>+'ENCUESTA CONDUCTORES'!K147</f>
        <v>SECUNDARIA</v>
      </c>
      <c r="J147" s="15" t="str">
        <f>+'ENCUESTA CONDUCTORES'!L147</f>
        <v>TLÁHUAC, D.F.</v>
      </c>
      <c r="K147" s="15" t="str">
        <f>+'ENCUESTA CONDUCTORES'!M147</f>
        <v>TLÁHUAC</v>
      </c>
      <c r="L147" s="15" t="str">
        <f>+'ENCUESTA CONDUCTORES'!N147</f>
        <v>D.F.</v>
      </c>
      <c r="M147" s="15">
        <f>+'ENCUESTA CONDUCTORES'!O147</f>
        <v>25</v>
      </c>
      <c r="N147" s="15">
        <f>IF('ENCUESTA CONDUCTORES'!P147="X",1,0)</f>
        <v>0</v>
      </c>
      <c r="O147" s="15">
        <f>IF('ENCUESTA CONDUCTORES'!Q147="X",1,0)</f>
        <v>0</v>
      </c>
      <c r="P147" s="15">
        <f>IF('ENCUESTA CONDUCTORES'!R147="X",1,0)</f>
        <v>0</v>
      </c>
      <c r="Q147" s="15">
        <f>IF('ENCUESTA CONDUCTORES'!S147="X",1,0)</f>
        <v>1</v>
      </c>
      <c r="R147" s="15">
        <f>IF('ENCUESTA CONDUCTORES'!T147="X",1,0)</f>
        <v>0</v>
      </c>
      <c r="S147" s="15">
        <f>IF('ENCUESTA CONDUCTORES'!U147="X",1,0)</f>
        <v>0</v>
      </c>
      <c r="T147" s="15">
        <f>IF('ENCUESTA CONDUCTORES'!V147="X",1,0)</f>
        <v>0</v>
      </c>
      <c r="U147" s="15">
        <f>IF('ENCUESTA CONDUCTORES'!W147="X",1,0)</f>
        <v>0</v>
      </c>
      <c r="V147" s="15">
        <f>IF('ENCUESTA CONDUCTORES'!X147="X",1,0)</f>
        <v>1</v>
      </c>
      <c r="W147" s="15">
        <f>IF('ENCUESTA CONDUCTORES'!Y147="X",1,0)</f>
        <v>0</v>
      </c>
      <c r="X147" s="15">
        <f>IF('ENCUESTA CONDUCTORES'!Z147="X",1,0)</f>
        <v>0</v>
      </c>
      <c r="Y147" s="15">
        <f>+'ENCUESTA CONDUCTORES'!AG147</f>
        <v>0</v>
      </c>
      <c r="Z147" s="15">
        <f>+'ENCUESTA CONDUCTORES'!AH147</f>
        <v>2013</v>
      </c>
      <c r="AA147" s="1">
        <f>+'ENCUESTA CONDUCTORES'!AI147</f>
        <v>400000</v>
      </c>
      <c r="AB147" s="15">
        <f>IF('ENCUESTA CONDUCTORES'!AJ147="X",1,0)</f>
        <v>0</v>
      </c>
      <c r="AC147" s="15">
        <f>IF('ENCUESTA CONDUCTORES'!AK147="X",1,0)</f>
        <v>0</v>
      </c>
      <c r="AD147" s="15">
        <f>IF('ENCUESTA CONDUCTORES'!AL147="X",1,0)</f>
        <v>1</v>
      </c>
      <c r="AE147" s="15">
        <f>IF('ENCUESTA CONDUCTORES'!AM147="X",1,0)</f>
        <v>0</v>
      </c>
      <c r="AF147" s="15">
        <f>IF('ENCUESTA CONDUCTORES'!AN147="X",1,0)</f>
        <v>0</v>
      </c>
      <c r="AG147" s="15">
        <f>IF('ENCUESTA CONDUCTORES'!AO147="X",1,0)</f>
        <v>0</v>
      </c>
      <c r="AH147" s="15">
        <f>IF('ENCUESTA CONDUCTORES'!AP147="X",1,0)</f>
        <v>1</v>
      </c>
      <c r="AI147" s="15">
        <f>IF('ENCUESTA CONDUCTORES'!AQ147="X",1,0)</f>
        <v>0</v>
      </c>
      <c r="AJ147" s="15">
        <f>IF('ENCUESTA CONDUCTORES'!AR147="X",1,0)</f>
        <v>0</v>
      </c>
      <c r="AK147" s="15">
        <f>+'ENCUESTA CONDUCTORES'!AS147</f>
        <v>0</v>
      </c>
      <c r="AL147" s="15" t="str">
        <f>+'ENCUESTA CONDUCTORES'!AT147</f>
        <v>KENWORTH</v>
      </c>
      <c r="AM147" s="1">
        <f>+'ENCUESTA CONDUCTORES'!AU147</f>
        <v>3000</v>
      </c>
      <c r="AN147" s="48">
        <f>+'ENCUESTA CONDUCTORES'!AV147</f>
        <v>0.5</v>
      </c>
      <c r="AO147" s="15">
        <f>+'ENCUESTA CONDUCTORES'!AW147</f>
        <v>2.8</v>
      </c>
      <c r="AP147" s="15">
        <f>+'ENCUESTA CONDUCTORES'!AX147</f>
        <v>2.5</v>
      </c>
      <c r="AQ147" s="15">
        <f>+'ENCUESTA CONDUCTORES'!AY147</f>
        <v>2</v>
      </c>
      <c r="AR147" s="15">
        <f>+'ENCUESTA CONDUCTORES'!AZ147</f>
        <v>380</v>
      </c>
      <c r="AS147" s="15">
        <f>+'ENCUESTA CONDUCTORES'!BA147</f>
        <v>1000</v>
      </c>
      <c r="AT147" s="15">
        <f>IF('ENCUESTA CONDUCTORES'!BB147="X",1,0)</f>
        <v>1</v>
      </c>
      <c r="AU147" s="15">
        <f>IF('ENCUESTA CONDUCTORES'!BC147="X",1,0)</f>
        <v>1</v>
      </c>
      <c r="AV147" s="15">
        <f>IF('ENCUESTA CONDUCTORES'!BD147="X",1,0)</f>
        <v>0</v>
      </c>
      <c r="AW147" s="1">
        <f>+'ENCUESTA CONDUCTORES'!BE147</f>
        <v>18000</v>
      </c>
      <c r="AX147" s="1">
        <f>+'ENCUESTA CONDUCTORES'!BF147</f>
        <v>9000</v>
      </c>
      <c r="AY147" s="1">
        <f>+'ENCUESTA CONDUCTORES'!BG147</f>
        <v>18000</v>
      </c>
      <c r="AZ147" s="1">
        <f>+'ENCUESTA CONDUCTORES'!BH147</f>
        <v>90000</v>
      </c>
      <c r="BA147" s="1">
        <f>+'ENCUESTA CONDUCTORES'!BI147</f>
        <v>18000</v>
      </c>
      <c r="BB147" s="15">
        <f>IF('ENCUESTA CONDUCTORES'!BJ147="X",1,0)</f>
        <v>0</v>
      </c>
      <c r="BC147" s="15">
        <f>IF('ENCUESTA CONDUCTORES'!BK147="X",1,0)</f>
        <v>0</v>
      </c>
      <c r="BD147" s="15">
        <f>IF('ENCUESTA CONDUCTORES'!BL147="X",1,0)</f>
        <v>0</v>
      </c>
      <c r="BE147" s="15">
        <f>IF('ENCUESTA CONDUCTORES'!BM147="X",1,0)</f>
        <v>0</v>
      </c>
      <c r="BF147" s="15">
        <f>IF('ENCUESTA CONDUCTORES'!BN147="X",1,0)</f>
        <v>0</v>
      </c>
      <c r="BG147" s="15">
        <f>IF('ENCUESTA CONDUCTORES'!BO147="X",1,0)</f>
        <v>0</v>
      </c>
      <c r="BH147" s="15">
        <f>IF('ENCUESTA CONDUCTORES'!BP147="X",1,0)</f>
        <v>0</v>
      </c>
      <c r="BI147" s="15">
        <f>IF('ENCUESTA CONDUCTORES'!BQ147="X",1,0)</f>
        <v>1</v>
      </c>
      <c r="BJ147" s="15">
        <f>IF('ENCUESTA CONDUCTORES'!BR147="X",1,0)</f>
        <v>0</v>
      </c>
      <c r="BK147" s="15">
        <f>+'ENCUESTA CONDUCTORES'!BS147</f>
        <v>0</v>
      </c>
      <c r="BL147" s="15">
        <f>IF('ENCUESTA CONDUCTORES'!BT147="X",1,0)</f>
        <v>0</v>
      </c>
      <c r="BM147" s="15">
        <f>IF('ENCUESTA CONDUCTORES'!BU147="X",1,0)</f>
        <v>1</v>
      </c>
      <c r="BN147" s="15">
        <f>IF('ENCUESTA CONDUCTORES'!BV147="X",1,0)</f>
        <v>0</v>
      </c>
      <c r="BO147" s="15">
        <f>IF('ENCUESTA CONDUCTORES'!BW147="X",1,0)</f>
        <v>0</v>
      </c>
      <c r="BP147" s="15">
        <f>+'ENCUESTA CONDUCTORES'!BX147</f>
        <v>3</v>
      </c>
      <c r="BQ147" s="15">
        <f>+'ENCUESTA CONDUCTORES'!BY147</f>
        <v>2</v>
      </c>
      <c r="BR147" s="15">
        <f>+'ENCUESTA CONDUCTORES'!BZ147</f>
        <v>1</v>
      </c>
      <c r="BS147" s="15">
        <f>+'ENCUESTA CONDUCTORES'!CA147</f>
        <v>0</v>
      </c>
      <c r="BT147" s="15">
        <f>IF('ENCUESTA CONDUCTORES'!CB147="X",1,0)</f>
        <v>0</v>
      </c>
      <c r="BU147" s="15">
        <f>IF('ENCUESTA CONDUCTORES'!CC147="X",1,0)</f>
        <v>1</v>
      </c>
      <c r="BV147" s="15">
        <f>IF('ENCUESTA CONDUCTORES'!CD147="X",1,0)</f>
        <v>0</v>
      </c>
      <c r="BW147" s="15">
        <f>IF('ENCUESTA CONDUCTORES'!CE147="X",1,0)</f>
        <v>1</v>
      </c>
      <c r="BX147" s="15">
        <f>IF('ENCUESTA CONDUCTORES'!CF147="X",1,0)</f>
        <v>0</v>
      </c>
      <c r="BY147" s="15">
        <f>IF('ENCUESTA CONDUCTORES'!CG147="X",1,0)</f>
        <v>1</v>
      </c>
      <c r="BZ147" s="15">
        <f>IF('ENCUESTA CONDUCTORES'!CH147="X",1,0)</f>
        <v>1</v>
      </c>
      <c r="CA147" s="15">
        <f>IF('ENCUESTA CONDUCTORES'!CI147="X",1,0)</f>
        <v>1</v>
      </c>
      <c r="CB147" s="15">
        <f>IF('ENCUESTA CONDUCTORES'!CJ147="X",1,0)</f>
        <v>0</v>
      </c>
      <c r="CC147" s="15">
        <f>IF('ENCUESTA CONDUCTORES'!CK147="X",1,0)</f>
        <v>1</v>
      </c>
      <c r="CD147" s="15">
        <f>IF('ENCUESTA CONDUCTORES'!CL147="X",1,0)</f>
        <v>0</v>
      </c>
      <c r="CE147" s="15">
        <f>IF('ENCUESTA CONDUCTORES'!CM147="X",1,0)</f>
        <v>0</v>
      </c>
      <c r="CF147" s="15">
        <f>+'ENCUESTA CONDUCTORES'!CN147</f>
        <v>0</v>
      </c>
      <c r="CG147" s="15">
        <f>IF('ENCUESTA CONDUCTORES'!CO147="X",1,0)</f>
        <v>0</v>
      </c>
      <c r="CH147" s="15" t="str">
        <f>+'ENCUESTA CONDUCTORES'!CP147</f>
        <v>NO SABE</v>
      </c>
      <c r="CI147" s="15" t="str">
        <f>+'ENCUESTA CONDUCTORES'!CQ147</f>
        <v>PUBLICIDAD</v>
      </c>
      <c r="CJ147" s="15">
        <f>IF('ENCUESTA CONDUCTORES'!CR147="X",1,0)</f>
        <v>0</v>
      </c>
      <c r="CK147" s="15">
        <f>IF('ENCUESTA CONDUCTORES'!CS147="X",1,0)</f>
        <v>0</v>
      </c>
      <c r="CL147" s="15">
        <f>IF('ENCUESTA CONDUCTORES'!CT147="X",1,0)</f>
        <v>0</v>
      </c>
      <c r="CM147" s="15" t="str">
        <f>+'ENCUESTA CONDUCTORES'!CU147</f>
        <v>DESCARGA DE PRODUCTOS PELIGROSOS</v>
      </c>
      <c r="CN147" s="15">
        <f>IF('ENCUESTA CONDUCTORES'!CV147="X",1,0)</f>
        <v>0</v>
      </c>
      <c r="CO147" s="15">
        <f>+'ENCUESTA CONDUCTORES'!CW147</f>
        <v>0</v>
      </c>
      <c r="CP147" s="15">
        <f>IF('ENCUESTA CONDUCTORES'!CX147="X",1,0)</f>
        <v>0</v>
      </c>
      <c r="CQ147" s="15">
        <f>IF('ENCUESTA CONDUCTORES'!CY147="X",1,0)</f>
        <v>1</v>
      </c>
      <c r="CR147" s="3">
        <f>+'ENCUESTA CONDUCTORES'!CZ147</f>
        <v>0</v>
      </c>
      <c r="CS147" s="49">
        <f>+'ENCUESTA CONDUCTORES'!DA147</f>
        <v>0</v>
      </c>
    </row>
    <row r="148" spans="2:97" x14ac:dyDescent="0.25">
      <c r="B148" s="14" t="str">
        <f>+'ENCUESTA CONDUCTORES'!D148</f>
        <v>C-154</v>
      </c>
      <c r="C148" s="15">
        <f>IF('ENCUESTA CONDUCTORES'!E148="X",1,0)</f>
        <v>0</v>
      </c>
      <c r="D148" s="15">
        <f>IF('ENCUESTA CONDUCTORES'!F148="X",1,0)</f>
        <v>0</v>
      </c>
      <c r="E148" s="15">
        <f>IF('ENCUESTA CONDUCTORES'!G148="X",1,0)</f>
        <v>1</v>
      </c>
      <c r="F148" s="15">
        <f>IF('ENCUESTA CONDUCTORES'!H148="X",1,0)</f>
        <v>0</v>
      </c>
      <c r="G148" s="15">
        <f>+'ENCUESTA CONDUCTORES'!I148</f>
        <v>51</v>
      </c>
      <c r="H148" s="15" t="str">
        <f>+'ENCUESTA CONDUCTORES'!J148</f>
        <v>M</v>
      </c>
      <c r="I148" s="15" t="str">
        <f>+'ENCUESTA CONDUCTORES'!K148</f>
        <v>PRIMARIA</v>
      </c>
      <c r="J148" s="15" t="str">
        <f>+'ENCUESTA CONDUCTORES'!L148</f>
        <v>AZCAPOTZALCO, D.F.</v>
      </c>
      <c r="K148" s="15" t="str">
        <f>+'ENCUESTA CONDUCTORES'!M148</f>
        <v>AZCAPOTZALCO</v>
      </c>
      <c r="L148" s="15" t="str">
        <f>+'ENCUESTA CONDUCTORES'!N148</f>
        <v>D.F.</v>
      </c>
      <c r="M148" s="15">
        <f>+'ENCUESTA CONDUCTORES'!O148</f>
        <v>33</v>
      </c>
      <c r="N148" s="15">
        <f>IF('ENCUESTA CONDUCTORES'!P148="X",1,0)</f>
        <v>0</v>
      </c>
      <c r="O148" s="15">
        <f>IF('ENCUESTA CONDUCTORES'!Q148="X",1,0)</f>
        <v>1</v>
      </c>
      <c r="P148" s="15">
        <f>IF('ENCUESTA CONDUCTORES'!R148="X",1,0)</f>
        <v>0</v>
      </c>
      <c r="Q148" s="15">
        <f>IF('ENCUESTA CONDUCTORES'!S148="X",1,0)</f>
        <v>0</v>
      </c>
      <c r="R148" s="15">
        <f>IF('ENCUESTA CONDUCTORES'!T148="X",1,0)</f>
        <v>0</v>
      </c>
      <c r="S148" s="15">
        <f>IF('ENCUESTA CONDUCTORES'!U148="X",1,0)</f>
        <v>0</v>
      </c>
      <c r="T148" s="15">
        <f>IF('ENCUESTA CONDUCTORES'!V148="X",1,0)</f>
        <v>0</v>
      </c>
      <c r="U148" s="15">
        <f>IF('ENCUESTA CONDUCTORES'!W148="X",1,0)</f>
        <v>0</v>
      </c>
      <c r="V148" s="15">
        <f>IF('ENCUESTA CONDUCTORES'!X148="X",1,0)</f>
        <v>1</v>
      </c>
      <c r="W148" s="15">
        <f>IF('ENCUESTA CONDUCTORES'!Y148="X",1,0)</f>
        <v>0</v>
      </c>
      <c r="X148" s="15">
        <f>IF('ENCUESTA CONDUCTORES'!Z148="X",1,0)</f>
        <v>0</v>
      </c>
      <c r="Y148" s="15">
        <f>+'ENCUESTA CONDUCTORES'!AG148</f>
        <v>0</v>
      </c>
      <c r="Z148" s="15">
        <f>+'ENCUESTA CONDUCTORES'!AH148</f>
        <v>2007</v>
      </c>
      <c r="AA148" s="1">
        <f>+'ENCUESTA CONDUCTORES'!AI148</f>
        <v>900000</v>
      </c>
      <c r="AB148" s="15">
        <f>IF('ENCUESTA CONDUCTORES'!AJ148="X",1,0)</f>
        <v>0</v>
      </c>
      <c r="AC148" s="15">
        <f>IF('ENCUESTA CONDUCTORES'!AK148="X",1,0)</f>
        <v>0</v>
      </c>
      <c r="AD148" s="15">
        <f>IF('ENCUESTA CONDUCTORES'!AL148="X",1,0)</f>
        <v>1</v>
      </c>
      <c r="AE148" s="15">
        <f>IF('ENCUESTA CONDUCTORES'!AM148="X",1,0)</f>
        <v>0</v>
      </c>
      <c r="AF148" s="15">
        <f>IF('ENCUESTA CONDUCTORES'!AN148="X",1,0)</f>
        <v>0</v>
      </c>
      <c r="AG148" s="15">
        <f>IF('ENCUESTA CONDUCTORES'!AO148="X",1,0)</f>
        <v>0</v>
      </c>
      <c r="AH148" s="15">
        <f>IF('ENCUESTA CONDUCTORES'!AP148="X",1,0)</f>
        <v>1</v>
      </c>
      <c r="AI148" s="15">
        <f>IF('ENCUESTA CONDUCTORES'!AQ148="X",1,0)</f>
        <v>0</v>
      </c>
      <c r="AJ148" s="15">
        <f>IF('ENCUESTA CONDUCTORES'!AR148="X",1,0)</f>
        <v>0</v>
      </c>
      <c r="AK148" s="15">
        <f>+'ENCUESTA CONDUCTORES'!AS148</f>
        <v>0</v>
      </c>
      <c r="AL148" s="15" t="str">
        <f>+'ENCUESTA CONDUCTORES'!AT148</f>
        <v>INTERNATIONAL</v>
      </c>
      <c r="AM148" s="1">
        <f>+'ENCUESTA CONDUCTORES'!AU148</f>
        <v>1500</v>
      </c>
      <c r="AN148" s="48">
        <f>+'ENCUESTA CONDUCTORES'!AV148</f>
        <v>0.5</v>
      </c>
      <c r="AO148" s="15">
        <f>+'ENCUESTA CONDUCTORES'!AW148</f>
        <v>3.1</v>
      </c>
      <c r="AP148" s="15">
        <f>+'ENCUESTA CONDUCTORES'!AX148</f>
        <v>2.8</v>
      </c>
      <c r="AQ148" s="15">
        <f>+'ENCUESTA CONDUCTORES'!AY148</f>
        <v>2</v>
      </c>
      <c r="AR148" s="15">
        <f>+'ENCUESTA CONDUCTORES'!AZ148</f>
        <v>240</v>
      </c>
      <c r="AS148" s="15">
        <f>+'ENCUESTA CONDUCTORES'!BA148</f>
        <v>700</v>
      </c>
      <c r="AT148" s="15">
        <f>IF('ENCUESTA CONDUCTORES'!BB148="X",1,0)</f>
        <v>0</v>
      </c>
      <c r="AU148" s="15">
        <f>IF('ENCUESTA CONDUCTORES'!BC148="X",1,0)</f>
        <v>1</v>
      </c>
      <c r="AV148" s="15">
        <f>IF('ENCUESTA CONDUCTORES'!BD148="X",1,0)</f>
        <v>0</v>
      </c>
      <c r="AW148" s="1">
        <f>+'ENCUESTA CONDUCTORES'!BE148</f>
        <v>7500</v>
      </c>
      <c r="AX148" s="1">
        <f>+'ENCUESTA CONDUCTORES'!BF148</f>
        <v>4500</v>
      </c>
      <c r="AY148" s="1">
        <f>+'ENCUESTA CONDUCTORES'!BG148</f>
        <v>7500</v>
      </c>
      <c r="AZ148" s="1">
        <f>+'ENCUESTA CONDUCTORES'!BH148</f>
        <v>90000</v>
      </c>
      <c r="BA148" s="1">
        <f>+'ENCUESTA CONDUCTORES'!BI148</f>
        <v>7500</v>
      </c>
      <c r="BB148" s="15">
        <f>IF('ENCUESTA CONDUCTORES'!BJ148="X",1,0)</f>
        <v>1</v>
      </c>
      <c r="BC148" s="15">
        <f>IF('ENCUESTA CONDUCTORES'!BK148="X",1,0)</f>
        <v>0</v>
      </c>
      <c r="BD148" s="15">
        <f>IF('ENCUESTA CONDUCTORES'!BL148="X",1,0)</f>
        <v>0</v>
      </c>
      <c r="BE148" s="15">
        <f>IF('ENCUESTA CONDUCTORES'!BM148="X",1,0)</f>
        <v>0</v>
      </c>
      <c r="BF148" s="15">
        <f>IF('ENCUESTA CONDUCTORES'!BN148="X",1,0)</f>
        <v>0</v>
      </c>
      <c r="BG148" s="15">
        <f>IF('ENCUESTA CONDUCTORES'!BO148="X",1,0)</f>
        <v>0</v>
      </c>
      <c r="BH148" s="15">
        <f>IF('ENCUESTA CONDUCTORES'!BP148="X",1,0)</f>
        <v>0</v>
      </c>
      <c r="BI148" s="15">
        <f>IF('ENCUESTA CONDUCTORES'!BQ148="X",1,0)</f>
        <v>0</v>
      </c>
      <c r="BJ148" s="15">
        <f>IF('ENCUESTA CONDUCTORES'!BR148="X",1,0)</f>
        <v>0</v>
      </c>
      <c r="BK148" s="15">
        <f>+'ENCUESTA CONDUCTORES'!BS148</f>
        <v>0</v>
      </c>
      <c r="BL148" s="15">
        <f>IF('ENCUESTA CONDUCTORES'!BT148="X",1,0)</f>
        <v>0</v>
      </c>
      <c r="BM148" s="15">
        <f>IF('ENCUESTA CONDUCTORES'!BU148="X",1,0)</f>
        <v>1</v>
      </c>
      <c r="BN148" s="15">
        <f>IF('ENCUESTA CONDUCTORES'!BV148="X",1,0)</f>
        <v>0</v>
      </c>
      <c r="BO148" s="15">
        <f>IF('ENCUESTA CONDUCTORES'!BW148="X",1,0)</f>
        <v>0</v>
      </c>
      <c r="BP148" s="15">
        <f>+'ENCUESTA CONDUCTORES'!BX148</f>
        <v>1</v>
      </c>
      <c r="BQ148" s="15">
        <f>+'ENCUESTA CONDUCTORES'!BY148</f>
        <v>2</v>
      </c>
      <c r="BR148" s="15">
        <f>+'ENCUESTA CONDUCTORES'!BZ148</f>
        <v>3</v>
      </c>
      <c r="BS148" s="15">
        <f>+'ENCUESTA CONDUCTORES'!CA148</f>
        <v>0</v>
      </c>
      <c r="BT148" s="15">
        <f>IF('ENCUESTA CONDUCTORES'!CB148="X",1,0)</f>
        <v>0</v>
      </c>
      <c r="BU148" s="15">
        <f>IF('ENCUESTA CONDUCTORES'!CC148="X",1,0)</f>
        <v>1</v>
      </c>
      <c r="BV148" s="15">
        <f>IF('ENCUESTA CONDUCTORES'!CD148="X",1,0)</f>
        <v>0</v>
      </c>
      <c r="BW148" s="15">
        <f>IF('ENCUESTA CONDUCTORES'!CE148="X",1,0)</f>
        <v>0</v>
      </c>
      <c r="BX148" s="15">
        <f>IF('ENCUESTA CONDUCTORES'!CF148="X",1,0)</f>
        <v>0</v>
      </c>
      <c r="BY148" s="15">
        <f>IF('ENCUESTA CONDUCTORES'!CG148="X",1,0)</f>
        <v>0</v>
      </c>
      <c r="BZ148" s="15">
        <f>IF('ENCUESTA CONDUCTORES'!CH148="X",1,0)</f>
        <v>1</v>
      </c>
      <c r="CA148" s="15">
        <f>IF('ENCUESTA CONDUCTORES'!CI148="X",1,0)</f>
        <v>1</v>
      </c>
      <c r="CB148" s="15">
        <f>IF('ENCUESTA CONDUCTORES'!CJ148="X",1,0)</f>
        <v>0</v>
      </c>
      <c r="CC148" s="15">
        <f>IF('ENCUESTA CONDUCTORES'!CK148="X",1,0)</f>
        <v>1</v>
      </c>
      <c r="CD148" s="15">
        <f>IF('ENCUESTA CONDUCTORES'!CL148="X",1,0)</f>
        <v>0</v>
      </c>
      <c r="CE148" s="15">
        <f>IF('ENCUESTA CONDUCTORES'!CM148="X",1,0)</f>
        <v>0</v>
      </c>
      <c r="CF148" s="15">
        <f>+'ENCUESTA CONDUCTORES'!CN148</f>
        <v>0</v>
      </c>
      <c r="CG148" s="15">
        <f>IF('ENCUESTA CONDUCTORES'!CO148="X",1,0)</f>
        <v>0</v>
      </c>
      <c r="CH148" s="15" t="str">
        <f>+'ENCUESTA CONDUCTORES'!CP148</f>
        <v>NO SABE</v>
      </c>
      <c r="CI148" s="15" t="str">
        <f>+'ENCUESTA CONDUCTORES'!CQ148</f>
        <v>DARLO A CONOCER</v>
      </c>
      <c r="CJ148" s="15">
        <f>IF('ENCUESTA CONDUCTORES'!CR148="X",1,0)</f>
        <v>1</v>
      </c>
      <c r="CK148" s="15">
        <f>IF('ENCUESTA CONDUCTORES'!CS148="X",1,0)</f>
        <v>0</v>
      </c>
      <c r="CL148" s="15">
        <f>IF('ENCUESTA CONDUCTORES'!CT148="X",1,0)</f>
        <v>0</v>
      </c>
      <c r="CM148" s="15">
        <f>+'ENCUESTA CONDUCTORES'!CU148</f>
        <v>0</v>
      </c>
      <c r="CN148" s="15">
        <f>IF('ENCUESTA CONDUCTORES'!CV148="X",1,0)</f>
        <v>0</v>
      </c>
      <c r="CO148" s="15">
        <f>+'ENCUESTA CONDUCTORES'!CW148</f>
        <v>0</v>
      </c>
      <c r="CP148" s="15">
        <f>IF('ENCUESTA CONDUCTORES'!CX148="X",1,0)</f>
        <v>1</v>
      </c>
      <c r="CQ148" s="15">
        <f>IF('ENCUESTA CONDUCTORES'!CY148="X",1,0)</f>
        <v>1</v>
      </c>
      <c r="CR148" s="3">
        <f>+'ENCUESTA CONDUCTORES'!CZ148</f>
        <v>0</v>
      </c>
      <c r="CS148" s="49">
        <f>+'ENCUESTA CONDUCTORES'!DA148</f>
        <v>0</v>
      </c>
    </row>
    <row r="149" spans="2:97" x14ac:dyDescent="0.25">
      <c r="B149" s="14" t="str">
        <f>+'ENCUESTA CONDUCTORES'!D149</f>
        <v>C-155</v>
      </c>
      <c r="C149" s="15">
        <f>IF('ENCUESTA CONDUCTORES'!E149="X",1,0)</f>
        <v>0</v>
      </c>
      <c r="D149" s="15">
        <f>IF('ENCUESTA CONDUCTORES'!F149="X",1,0)</f>
        <v>0</v>
      </c>
      <c r="E149" s="15">
        <f>IF('ENCUESTA CONDUCTORES'!G149="X",1,0)</f>
        <v>0</v>
      </c>
      <c r="F149" s="15">
        <f>IF('ENCUESTA CONDUCTORES'!H149="X",1,0)</f>
        <v>1</v>
      </c>
      <c r="G149" s="15">
        <f>+'ENCUESTA CONDUCTORES'!I149</f>
        <v>54</v>
      </c>
      <c r="H149" s="15" t="str">
        <f>+'ENCUESTA CONDUCTORES'!J149</f>
        <v>M</v>
      </c>
      <c r="I149" s="15" t="str">
        <f>+'ENCUESTA CONDUCTORES'!K149</f>
        <v>SECUNDARIA</v>
      </c>
      <c r="J149" s="15" t="str">
        <f>+'ENCUESTA CONDUCTORES'!L149</f>
        <v>CUERNAVACA, MOR.</v>
      </c>
      <c r="K149" s="15" t="str">
        <f>+'ENCUESTA CONDUCTORES'!M149</f>
        <v>CUERNAVACA</v>
      </c>
      <c r="L149" s="15" t="str">
        <f>+'ENCUESTA CONDUCTORES'!N149</f>
        <v>MORELOS</v>
      </c>
      <c r="M149" s="15">
        <f>+'ENCUESTA CONDUCTORES'!O149</f>
        <v>30</v>
      </c>
      <c r="N149" s="15">
        <f>IF('ENCUESTA CONDUCTORES'!P149="X",1,0)</f>
        <v>0</v>
      </c>
      <c r="O149" s="15">
        <f>IF('ENCUESTA CONDUCTORES'!Q149="X",1,0)</f>
        <v>0</v>
      </c>
      <c r="P149" s="15">
        <f>IF('ENCUESTA CONDUCTORES'!R149="X",1,0)</f>
        <v>1</v>
      </c>
      <c r="Q149" s="15">
        <f>IF('ENCUESTA CONDUCTORES'!S149="X",1,0)</f>
        <v>0</v>
      </c>
      <c r="R149" s="15">
        <f>IF('ENCUESTA CONDUCTORES'!T149="X",1,0)</f>
        <v>0</v>
      </c>
      <c r="S149" s="15">
        <f>IF('ENCUESTA CONDUCTORES'!U149="X",1,0)</f>
        <v>0</v>
      </c>
      <c r="T149" s="15">
        <f>IF('ENCUESTA CONDUCTORES'!V149="X",1,0)</f>
        <v>0</v>
      </c>
      <c r="U149" s="15">
        <f>IF('ENCUESTA CONDUCTORES'!W149="X",1,0)</f>
        <v>0</v>
      </c>
      <c r="V149" s="15">
        <f>IF('ENCUESTA CONDUCTORES'!X149="X",1,0)</f>
        <v>1</v>
      </c>
      <c r="W149" s="15">
        <f>IF('ENCUESTA CONDUCTORES'!Y149="X",1,0)</f>
        <v>0</v>
      </c>
      <c r="X149" s="15">
        <f>IF('ENCUESTA CONDUCTORES'!Z149="X",1,0)</f>
        <v>0</v>
      </c>
      <c r="Y149" s="15">
        <f>+'ENCUESTA CONDUCTORES'!AG149</f>
        <v>0</v>
      </c>
      <c r="Z149" s="15">
        <f>+'ENCUESTA CONDUCTORES'!AH149</f>
        <v>2010</v>
      </c>
      <c r="AA149" s="1">
        <f>+'ENCUESTA CONDUCTORES'!AI149</f>
        <v>70000</v>
      </c>
      <c r="AB149" s="15">
        <f>IF('ENCUESTA CONDUCTORES'!AJ149="X",1,0)</f>
        <v>0</v>
      </c>
      <c r="AC149" s="15">
        <f>IF('ENCUESTA CONDUCTORES'!AK149="X",1,0)</f>
        <v>0</v>
      </c>
      <c r="AD149" s="15">
        <f>IF('ENCUESTA CONDUCTORES'!AL149="X",1,0)</f>
        <v>1</v>
      </c>
      <c r="AE149" s="15">
        <f>IF('ENCUESTA CONDUCTORES'!AM149="X",1,0)</f>
        <v>0</v>
      </c>
      <c r="AF149" s="15">
        <f>IF('ENCUESTA CONDUCTORES'!AN149="X",1,0)</f>
        <v>0</v>
      </c>
      <c r="AG149" s="15">
        <f>IF('ENCUESTA CONDUCTORES'!AO149="X",1,0)</f>
        <v>0</v>
      </c>
      <c r="AH149" s="15">
        <f>IF('ENCUESTA CONDUCTORES'!AP149="X",1,0)</f>
        <v>1</v>
      </c>
      <c r="AI149" s="15">
        <f>IF('ENCUESTA CONDUCTORES'!AQ149="X",1,0)</f>
        <v>0</v>
      </c>
      <c r="AJ149" s="15">
        <f>IF('ENCUESTA CONDUCTORES'!AR149="X",1,0)</f>
        <v>0</v>
      </c>
      <c r="AK149" s="15">
        <f>+'ENCUESTA CONDUCTORES'!AS149</f>
        <v>0</v>
      </c>
      <c r="AL149" s="15" t="str">
        <f>+'ENCUESTA CONDUCTORES'!AT149</f>
        <v>VOLVO</v>
      </c>
      <c r="AM149" s="1">
        <f>+'ENCUESTA CONDUCTORES'!AU149</f>
        <v>2000</v>
      </c>
      <c r="AN149" s="48">
        <f>+'ENCUESTA CONDUCTORES'!AV149</f>
        <v>0.5</v>
      </c>
      <c r="AO149" s="15">
        <f>+'ENCUESTA CONDUCTORES'!AW149</f>
        <v>2.2000000000000002</v>
      </c>
      <c r="AP149" s="15">
        <f>+'ENCUESTA CONDUCTORES'!AX149</f>
        <v>2</v>
      </c>
      <c r="AQ149" s="15">
        <f>+'ENCUESTA CONDUCTORES'!AY149</f>
        <v>2</v>
      </c>
      <c r="AR149" s="15">
        <f>+'ENCUESTA CONDUCTORES'!AZ149</f>
        <v>710</v>
      </c>
      <c r="AS149" s="15">
        <f>+'ENCUESTA CONDUCTORES'!BA149</f>
        <v>1500</v>
      </c>
      <c r="AT149" s="15">
        <f>IF('ENCUESTA CONDUCTORES'!BB149="X",1,0)</f>
        <v>1</v>
      </c>
      <c r="AU149" s="15">
        <f>IF('ENCUESTA CONDUCTORES'!BC149="X",1,0)</f>
        <v>1</v>
      </c>
      <c r="AV149" s="15">
        <f>IF('ENCUESTA CONDUCTORES'!BD149="X",1,0)</f>
        <v>0</v>
      </c>
      <c r="AW149" s="1">
        <f>+'ENCUESTA CONDUCTORES'!BE149</f>
        <v>12000</v>
      </c>
      <c r="AX149" s="1">
        <f>+'ENCUESTA CONDUCTORES'!BF149</f>
        <v>60000</v>
      </c>
      <c r="AY149" s="1">
        <f>+'ENCUESTA CONDUCTORES'!BG149</f>
        <v>12000</v>
      </c>
      <c r="AZ149" s="1">
        <f>+'ENCUESTA CONDUCTORES'!BH149</f>
        <v>100000</v>
      </c>
      <c r="BA149" s="1">
        <f>+'ENCUESTA CONDUCTORES'!BI149</f>
        <v>12000</v>
      </c>
      <c r="BB149" s="15">
        <f>IF('ENCUESTA CONDUCTORES'!BJ149="X",1,0)</f>
        <v>0</v>
      </c>
      <c r="BC149" s="15">
        <f>IF('ENCUESTA CONDUCTORES'!BK149="X",1,0)</f>
        <v>0</v>
      </c>
      <c r="BD149" s="15">
        <f>IF('ENCUESTA CONDUCTORES'!BL149="X",1,0)</f>
        <v>0</v>
      </c>
      <c r="BE149" s="15">
        <f>IF('ENCUESTA CONDUCTORES'!BM149="X",1,0)</f>
        <v>0</v>
      </c>
      <c r="BF149" s="15">
        <f>IF('ENCUESTA CONDUCTORES'!BN149="X",1,0)</f>
        <v>0</v>
      </c>
      <c r="BG149" s="15">
        <f>IF('ENCUESTA CONDUCTORES'!BO149="X",1,0)</f>
        <v>0</v>
      </c>
      <c r="BH149" s="15">
        <f>IF('ENCUESTA CONDUCTORES'!BP149="X",1,0)</f>
        <v>0</v>
      </c>
      <c r="BI149" s="15">
        <f>IF('ENCUESTA CONDUCTORES'!BQ149="X",1,0)</f>
        <v>1</v>
      </c>
      <c r="BJ149" s="15">
        <f>IF('ENCUESTA CONDUCTORES'!BR149="X",1,0)</f>
        <v>0</v>
      </c>
      <c r="BK149" s="15">
        <f>+'ENCUESTA CONDUCTORES'!BS149</f>
        <v>0</v>
      </c>
      <c r="BL149" s="15">
        <f>IF('ENCUESTA CONDUCTORES'!BT149="X",1,0)</f>
        <v>0</v>
      </c>
      <c r="BM149" s="15">
        <f>IF('ENCUESTA CONDUCTORES'!BU149="X",1,0)</f>
        <v>1</v>
      </c>
      <c r="BN149" s="15">
        <f>IF('ENCUESTA CONDUCTORES'!BV149="X",1,0)</f>
        <v>0</v>
      </c>
      <c r="BO149" s="15">
        <f>IF('ENCUESTA CONDUCTORES'!BW149="X",1,0)</f>
        <v>0</v>
      </c>
      <c r="BP149" s="15">
        <f>+'ENCUESTA CONDUCTORES'!BX149</f>
        <v>3</v>
      </c>
      <c r="BQ149" s="15">
        <f>+'ENCUESTA CONDUCTORES'!BY149</f>
        <v>4</v>
      </c>
      <c r="BR149" s="15">
        <f>+'ENCUESTA CONDUCTORES'!BZ149</f>
        <v>2</v>
      </c>
      <c r="BS149" s="15" t="str">
        <f>+'ENCUESTA CONDUCTORES'!CA149</f>
        <v>RUTA</v>
      </c>
      <c r="BT149" s="15">
        <f>IF('ENCUESTA CONDUCTORES'!CB149="X",1,0)</f>
        <v>0</v>
      </c>
      <c r="BU149" s="15">
        <f>IF('ENCUESTA CONDUCTORES'!CC149="X",1,0)</f>
        <v>1</v>
      </c>
      <c r="BV149" s="15">
        <f>IF('ENCUESTA CONDUCTORES'!CD149="X",1,0)</f>
        <v>1</v>
      </c>
      <c r="BW149" s="15">
        <f>IF('ENCUESTA CONDUCTORES'!CE149="X",1,0)</f>
        <v>1</v>
      </c>
      <c r="BX149" s="15">
        <f>IF('ENCUESTA CONDUCTORES'!CF149="X",1,0)</f>
        <v>1</v>
      </c>
      <c r="BY149" s="15">
        <f>IF('ENCUESTA CONDUCTORES'!CG149="X",1,0)</f>
        <v>1</v>
      </c>
      <c r="BZ149" s="15">
        <f>IF('ENCUESTA CONDUCTORES'!CH149="X",1,0)</f>
        <v>1</v>
      </c>
      <c r="CA149" s="15">
        <f>IF('ENCUESTA CONDUCTORES'!CI149="X",1,0)</f>
        <v>1</v>
      </c>
      <c r="CB149" s="15">
        <f>IF('ENCUESTA CONDUCTORES'!CJ149="X",1,0)</f>
        <v>0</v>
      </c>
      <c r="CC149" s="15">
        <f>IF('ENCUESTA CONDUCTORES'!CK149="X",1,0)</f>
        <v>1</v>
      </c>
      <c r="CD149" s="15">
        <f>IF('ENCUESTA CONDUCTORES'!CL149="X",1,0)</f>
        <v>0</v>
      </c>
      <c r="CE149" s="15">
        <f>IF('ENCUESTA CONDUCTORES'!CM149="X",1,0)</f>
        <v>0</v>
      </c>
      <c r="CF149" s="15">
        <f>+'ENCUESTA CONDUCTORES'!CN149</f>
        <v>0</v>
      </c>
      <c r="CG149" s="15">
        <f>IF('ENCUESTA CONDUCTORES'!CO149="X",1,0)</f>
        <v>0</v>
      </c>
      <c r="CH149" s="15" t="str">
        <f>+'ENCUESTA CONDUCTORES'!CP149</f>
        <v>NO SABE</v>
      </c>
      <c r="CI149" s="15" t="str">
        <f>+'ENCUESTA CONDUCTORES'!CQ149</f>
        <v>MAYOR INFORMACION</v>
      </c>
      <c r="CJ149" s="15">
        <f>IF('ENCUESTA CONDUCTORES'!CR149="X",1,0)</f>
        <v>0</v>
      </c>
      <c r="CK149" s="15">
        <f>IF('ENCUESTA CONDUCTORES'!CS149="X",1,0)</f>
        <v>1</v>
      </c>
      <c r="CL149" s="15">
        <f>IF('ENCUESTA CONDUCTORES'!CT149="X",1,0)</f>
        <v>1</v>
      </c>
      <c r="CM149" s="15">
        <f>+'ENCUESTA CONDUCTORES'!CU149</f>
        <v>0</v>
      </c>
      <c r="CN149" s="15">
        <f>IF('ENCUESTA CONDUCTORES'!CV149="X",1,0)</f>
        <v>1</v>
      </c>
      <c r="CO149" s="15" t="str">
        <f>+'ENCUESTA CONDUCTORES'!CW149</f>
        <v>NO TIENE TIEMPO</v>
      </c>
      <c r="CP149" s="15">
        <f>IF('ENCUESTA CONDUCTORES'!CX149="X",1,0)</f>
        <v>0</v>
      </c>
      <c r="CQ149" s="15">
        <f>IF('ENCUESTA CONDUCTORES'!CY149="X",1,0)</f>
        <v>0</v>
      </c>
      <c r="CR149" s="3">
        <f>+'ENCUESTA CONDUCTORES'!CZ149</f>
        <v>0</v>
      </c>
      <c r="CS149" s="49">
        <f>+'ENCUESTA CONDUCTORES'!DA149</f>
        <v>0</v>
      </c>
    </row>
    <row r="150" spans="2:97" x14ac:dyDescent="0.25">
      <c r="B150" s="14" t="str">
        <f>+'ENCUESTA CONDUCTORES'!D150</f>
        <v>C-156</v>
      </c>
      <c r="C150" s="15">
        <f>IF('ENCUESTA CONDUCTORES'!E150="X",1,0)</f>
        <v>0</v>
      </c>
      <c r="D150" s="15">
        <f>IF('ENCUESTA CONDUCTORES'!F150="X",1,0)</f>
        <v>0</v>
      </c>
      <c r="E150" s="15">
        <f>IF('ENCUESTA CONDUCTORES'!G150="X",1,0)</f>
        <v>0</v>
      </c>
      <c r="F150" s="15">
        <f>IF('ENCUESTA CONDUCTORES'!H150="X",1,0)</f>
        <v>1</v>
      </c>
      <c r="G150" s="15">
        <f>+'ENCUESTA CONDUCTORES'!I150</f>
        <v>50</v>
      </c>
      <c r="H150" s="15" t="str">
        <f>+'ENCUESTA CONDUCTORES'!J150</f>
        <v>M</v>
      </c>
      <c r="I150" s="15" t="str">
        <f>+'ENCUESTA CONDUCTORES'!K150</f>
        <v>PRIMARIA</v>
      </c>
      <c r="J150" s="15" t="str">
        <f>+'ENCUESTA CONDUCTORES'!L150</f>
        <v>XOCHIMILCO, D.F.</v>
      </c>
      <c r="K150" s="15" t="str">
        <f>+'ENCUESTA CONDUCTORES'!M150</f>
        <v>XOCHIMILCO</v>
      </c>
      <c r="L150" s="15" t="str">
        <f>+'ENCUESTA CONDUCTORES'!N150</f>
        <v>D.F.</v>
      </c>
      <c r="M150" s="15">
        <f>+'ENCUESTA CONDUCTORES'!O150</f>
        <v>25</v>
      </c>
      <c r="N150" s="15">
        <f>IF('ENCUESTA CONDUCTORES'!P150="X",1,0)</f>
        <v>1</v>
      </c>
      <c r="O150" s="15">
        <f>IF('ENCUESTA CONDUCTORES'!Q150="X",1,0)</f>
        <v>0</v>
      </c>
      <c r="P150" s="15">
        <f>IF('ENCUESTA CONDUCTORES'!R150="X",1,0)</f>
        <v>0</v>
      </c>
      <c r="Q150" s="15">
        <f>IF('ENCUESTA CONDUCTORES'!S150="X",1,0)</f>
        <v>0</v>
      </c>
      <c r="R150" s="15">
        <f>IF('ENCUESTA CONDUCTORES'!T150="X",1,0)</f>
        <v>0</v>
      </c>
      <c r="S150" s="15">
        <f>IF('ENCUESTA CONDUCTORES'!U150="X",1,0)</f>
        <v>1</v>
      </c>
      <c r="T150" s="15">
        <f>IF('ENCUESTA CONDUCTORES'!V150="X",1,0)</f>
        <v>0</v>
      </c>
      <c r="U150" s="15">
        <f>IF('ENCUESTA CONDUCTORES'!W150="X",1,0)</f>
        <v>0</v>
      </c>
      <c r="V150" s="15">
        <f>IF('ENCUESTA CONDUCTORES'!X150="X",1,0)</f>
        <v>0</v>
      </c>
      <c r="W150" s="15">
        <f>IF('ENCUESTA CONDUCTORES'!Y150="X",1,0)</f>
        <v>0</v>
      </c>
      <c r="X150" s="15">
        <f>IF('ENCUESTA CONDUCTORES'!Z150="X",1,0)</f>
        <v>0</v>
      </c>
      <c r="Y150" s="15">
        <f>+'ENCUESTA CONDUCTORES'!AG150</f>
        <v>0</v>
      </c>
      <c r="Z150" s="15">
        <f>+'ENCUESTA CONDUCTORES'!AH150</f>
        <v>2002</v>
      </c>
      <c r="AA150" s="1">
        <f>+'ENCUESTA CONDUCTORES'!AI150</f>
        <v>800000</v>
      </c>
      <c r="AB150" s="15">
        <f>IF('ENCUESTA CONDUCTORES'!AJ150="X",1,0)</f>
        <v>0</v>
      </c>
      <c r="AC150" s="15">
        <f>IF('ENCUESTA CONDUCTORES'!AK150="X",1,0)</f>
        <v>0</v>
      </c>
      <c r="AD150" s="15">
        <f>IF('ENCUESTA CONDUCTORES'!AL150="X",1,0)</f>
        <v>1</v>
      </c>
      <c r="AE150" s="15">
        <f>IF('ENCUESTA CONDUCTORES'!AM150="X",1,0)</f>
        <v>0</v>
      </c>
      <c r="AF150" s="15">
        <f>IF('ENCUESTA CONDUCTORES'!AN150="X",1,0)</f>
        <v>0</v>
      </c>
      <c r="AG150" s="15">
        <f>IF('ENCUESTA CONDUCTORES'!AO150="X",1,0)</f>
        <v>1</v>
      </c>
      <c r="AH150" s="15">
        <f>IF('ENCUESTA CONDUCTORES'!AP150="X",1,0)</f>
        <v>0</v>
      </c>
      <c r="AI150" s="15">
        <f>IF('ENCUESTA CONDUCTORES'!AQ150="X",1,0)</f>
        <v>0</v>
      </c>
      <c r="AJ150" s="15">
        <f>IF('ENCUESTA CONDUCTORES'!AR150="X",1,0)</f>
        <v>0</v>
      </c>
      <c r="AK150" s="15">
        <f>+'ENCUESTA CONDUCTORES'!AS150</f>
        <v>0</v>
      </c>
      <c r="AL150" s="15" t="str">
        <f>+'ENCUESTA CONDUCTORES'!AT150</f>
        <v>CUMMINS</v>
      </c>
      <c r="AM150" s="1">
        <f>+'ENCUESTA CONDUCTORES'!AU150</f>
        <v>2000</v>
      </c>
      <c r="AN150" s="48">
        <f>+'ENCUESTA CONDUCTORES'!AV150</f>
        <v>0.2</v>
      </c>
      <c r="AO150" s="15">
        <f>+'ENCUESTA CONDUCTORES'!AW150</f>
        <v>3</v>
      </c>
      <c r="AP150" s="15">
        <f>+'ENCUESTA CONDUCTORES'!AX150</f>
        <v>2.7</v>
      </c>
      <c r="AQ150" s="15">
        <f>+'ENCUESTA CONDUCTORES'!AY150</f>
        <v>2</v>
      </c>
      <c r="AR150" s="15">
        <f>+'ENCUESTA CONDUCTORES'!AZ150</f>
        <v>410</v>
      </c>
      <c r="AS150" s="15">
        <f>+'ENCUESTA CONDUCTORES'!BA150</f>
        <v>1200</v>
      </c>
      <c r="AT150" s="15">
        <f>IF('ENCUESTA CONDUCTORES'!BB150="X",1,0)</f>
        <v>0</v>
      </c>
      <c r="AU150" s="15">
        <f>IF('ENCUESTA CONDUCTORES'!BC150="X",1,0)</f>
        <v>1</v>
      </c>
      <c r="AV150" s="15">
        <f>IF('ENCUESTA CONDUCTORES'!BD150="X",1,0)</f>
        <v>0</v>
      </c>
      <c r="AW150" s="1">
        <f>+'ENCUESTA CONDUCTORES'!BE150</f>
        <v>8000</v>
      </c>
      <c r="AX150" s="1">
        <f>+'ENCUESTA CONDUCTORES'!BF150</f>
        <v>6000</v>
      </c>
      <c r="AY150" s="1">
        <f>+'ENCUESTA CONDUCTORES'!BG150</f>
        <v>8000</v>
      </c>
      <c r="AZ150" s="1">
        <f>+'ENCUESTA CONDUCTORES'!BH150</f>
        <v>72000</v>
      </c>
      <c r="BA150" s="1">
        <f>+'ENCUESTA CONDUCTORES'!BI150</f>
        <v>8000</v>
      </c>
      <c r="BB150" s="15">
        <f>IF('ENCUESTA CONDUCTORES'!BJ150="X",1,0)</f>
        <v>0</v>
      </c>
      <c r="BC150" s="15">
        <f>IF('ENCUESTA CONDUCTORES'!BK150="X",1,0)</f>
        <v>0</v>
      </c>
      <c r="BD150" s="15">
        <f>IF('ENCUESTA CONDUCTORES'!BL150="X",1,0)</f>
        <v>0</v>
      </c>
      <c r="BE150" s="15">
        <f>IF('ENCUESTA CONDUCTORES'!BM150="X",1,0)</f>
        <v>0</v>
      </c>
      <c r="BF150" s="15">
        <f>IF('ENCUESTA CONDUCTORES'!BN150="X",1,0)</f>
        <v>1</v>
      </c>
      <c r="BG150" s="15">
        <f>IF('ENCUESTA CONDUCTORES'!BO150="X",1,0)</f>
        <v>0</v>
      </c>
      <c r="BH150" s="15">
        <f>IF('ENCUESTA CONDUCTORES'!BP150="X",1,0)</f>
        <v>0</v>
      </c>
      <c r="BI150" s="15">
        <f>IF('ENCUESTA CONDUCTORES'!BQ150="X",1,0)</f>
        <v>0</v>
      </c>
      <c r="BJ150" s="15">
        <f>IF('ENCUESTA CONDUCTORES'!BR150="X",1,0)</f>
        <v>0</v>
      </c>
      <c r="BK150" s="15">
        <f>+'ENCUESTA CONDUCTORES'!BS150</f>
        <v>0</v>
      </c>
      <c r="BL150" s="15">
        <f>IF('ENCUESTA CONDUCTORES'!BT150="X",1,0)</f>
        <v>0</v>
      </c>
      <c r="BM150" s="15">
        <f>IF('ENCUESTA CONDUCTORES'!BU150="X",1,0)</f>
        <v>1</v>
      </c>
      <c r="BN150" s="15">
        <f>IF('ENCUESTA CONDUCTORES'!BV150="X",1,0)</f>
        <v>0</v>
      </c>
      <c r="BO150" s="15">
        <f>IF('ENCUESTA CONDUCTORES'!BW150="X",1,0)</f>
        <v>0</v>
      </c>
      <c r="BP150" s="15">
        <f>+'ENCUESTA CONDUCTORES'!BX150</f>
        <v>2</v>
      </c>
      <c r="BQ150" s="15">
        <f>+'ENCUESTA CONDUCTORES'!BY150</f>
        <v>3</v>
      </c>
      <c r="BR150" s="15">
        <f>+'ENCUESTA CONDUCTORES'!BZ150</f>
        <v>1</v>
      </c>
      <c r="BS150" s="15">
        <f>+'ENCUESTA CONDUCTORES'!CA150</f>
        <v>0</v>
      </c>
      <c r="BT150" s="15">
        <f>IF('ENCUESTA CONDUCTORES'!CB150="X",1,0)</f>
        <v>0</v>
      </c>
      <c r="BU150" s="15">
        <f>IF('ENCUESTA CONDUCTORES'!CC150="X",1,0)</f>
        <v>1</v>
      </c>
      <c r="BV150" s="15">
        <f>IF('ENCUESTA CONDUCTORES'!CD150="X",1,0)</f>
        <v>0</v>
      </c>
      <c r="BW150" s="15">
        <f>IF('ENCUESTA CONDUCTORES'!CE150="X",1,0)</f>
        <v>0</v>
      </c>
      <c r="BX150" s="15">
        <f>IF('ENCUESTA CONDUCTORES'!CF150="X",1,0)</f>
        <v>0</v>
      </c>
      <c r="BY150" s="15">
        <f>IF('ENCUESTA CONDUCTORES'!CG150="X",1,0)</f>
        <v>0</v>
      </c>
      <c r="BZ150" s="15">
        <f>IF('ENCUESTA CONDUCTORES'!CH150="X",1,0)</f>
        <v>1</v>
      </c>
      <c r="CA150" s="15">
        <f>IF('ENCUESTA CONDUCTORES'!CI150="X",1,0)</f>
        <v>1</v>
      </c>
      <c r="CB150" s="15">
        <f>IF('ENCUESTA CONDUCTORES'!CJ150="X",1,0)</f>
        <v>0</v>
      </c>
      <c r="CC150" s="15">
        <f>IF('ENCUESTA CONDUCTORES'!CK150="X",1,0)</f>
        <v>1</v>
      </c>
      <c r="CD150" s="15">
        <f>IF('ENCUESTA CONDUCTORES'!CL150="X",1,0)</f>
        <v>0</v>
      </c>
      <c r="CE150" s="15">
        <f>IF('ENCUESTA CONDUCTORES'!CM150="X",1,0)</f>
        <v>0</v>
      </c>
      <c r="CF150" s="15">
        <f>+'ENCUESTA CONDUCTORES'!CN150</f>
        <v>0</v>
      </c>
      <c r="CG150" s="15">
        <f>IF('ENCUESTA CONDUCTORES'!CO150="X",1,0)</f>
        <v>0</v>
      </c>
      <c r="CH150" s="15" t="str">
        <f>+'ENCUESTA CONDUCTORES'!CP150</f>
        <v>NO SABE</v>
      </c>
      <c r="CI150" s="15" t="str">
        <f>+'ENCUESTA CONDUCTORES'!CQ150</f>
        <v>NO LE INTERESA</v>
      </c>
      <c r="CJ150" s="15">
        <f>IF('ENCUESTA CONDUCTORES'!CR150="X",1,0)</f>
        <v>1</v>
      </c>
      <c r="CK150" s="15">
        <f>IF('ENCUESTA CONDUCTORES'!CS150="X",1,0)</f>
        <v>0</v>
      </c>
      <c r="CL150" s="15">
        <f>IF('ENCUESTA CONDUCTORES'!CT150="X",1,0)</f>
        <v>0</v>
      </c>
      <c r="CM150" s="15">
        <f>+'ENCUESTA CONDUCTORES'!CU150</f>
        <v>0</v>
      </c>
      <c r="CN150" s="15">
        <f>IF('ENCUESTA CONDUCTORES'!CV150="X",1,0)</f>
        <v>0</v>
      </c>
      <c r="CO150" s="15">
        <f>+'ENCUESTA CONDUCTORES'!CW150</f>
        <v>0</v>
      </c>
      <c r="CP150" s="15">
        <f>IF('ENCUESTA CONDUCTORES'!CX150="X",1,0)</f>
        <v>0</v>
      </c>
      <c r="CQ150" s="15">
        <f>IF('ENCUESTA CONDUCTORES'!CY150="X",1,0)</f>
        <v>1</v>
      </c>
      <c r="CR150" s="3">
        <f>+'ENCUESTA CONDUCTORES'!CZ150</f>
        <v>0</v>
      </c>
      <c r="CS150" s="49">
        <f>+'ENCUESTA CONDUCTORES'!DA150</f>
        <v>0</v>
      </c>
    </row>
    <row r="151" spans="2:97" x14ac:dyDescent="0.25">
      <c r="B151" s="14" t="str">
        <f>+'ENCUESTA CONDUCTORES'!D151</f>
        <v>C-157</v>
      </c>
      <c r="C151" s="15">
        <f>IF('ENCUESTA CONDUCTORES'!E151="X",1,0)</f>
        <v>0</v>
      </c>
      <c r="D151" s="15">
        <f>IF('ENCUESTA CONDUCTORES'!F151="X",1,0)</f>
        <v>1</v>
      </c>
      <c r="E151" s="15">
        <f>IF('ENCUESTA CONDUCTORES'!G151="X",1,0)</f>
        <v>0</v>
      </c>
      <c r="F151" s="15">
        <f>IF('ENCUESTA CONDUCTORES'!H151="X",1,0)</f>
        <v>0</v>
      </c>
      <c r="G151" s="15">
        <f>+'ENCUESTA CONDUCTORES'!I151</f>
        <v>33</v>
      </c>
      <c r="H151" s="15" t="str">
        <f>+'ENCUESTA CONDUCTORES'!J151</f>
        <v>M</v>
      </c>
      <c r="I151" s="15" t="str">
        <f>+'ENCUESTA CONDUCTORES'!K151</f>
        <v>BACHILLERATO</v>
      </c>
      <c r="J151" s="15" t="str">
        <f>+'ENCUESTA CONDUCTORES'!L151</f>
        <v>TLALNEPANTLA, EDO. MEX.</v>
      </c>
      <c r="K151" s="15" t="str">
        <f>+'ENCUESTA CONDUCTORES'!M151</f>
        <v>TLALNEPANTLA</v>
      </c>
      <c r="L151" s="15" t="str">
        <f>+'ENCUESTA CONDUCTORES'!N151</f>
        <v>EDO. MEX.</v>
      </c>
      <c r="M151" s="15">
        <f>+'ENCUESTA CONDUCTORES'!O151</f>
        <v>12</v>
      </c>
      <c r="N151" s="15">
        <f>IF('ENCUESTA CONDUCTORES'!P151="X",1,0)</f>
        <v>0</v>
      </c>
      <c r="O151" s="15">
        <f>IF('ENCUESTA CONDUCTORES'!Q151="X",1,0)</f>
        <v>0</v>
      </c>
      <c r="P151" s="15">
        <f>IF('ENCUESTA CONDUCTORES'!R151="X",1,0)</f>
        <v>0</v>
      </c>
      <c r="Q151" s="15">
        <f>IF('ENCUESTA CONDUCTORES'!S151="X",1,0)</f>
        <v>1</v>
      </c>
      <c r="R151" s="15">
        <f>IF('ENCUESTA CONDUCTORES'!T151="X",1,0)</f>
        <v>0</v>
      </c>
      <c r="S151" s="15">
        <f>IF('ENCUESTA CONDUCTORES'!U151="X",1,0)</f>
        <v>1</v>
      </c>
      <c r="T151" s="15">
        <f>IF('ENCUESTA CONDUCTORES'!V151="X",1,0)</f>
        <v>0</v>
      </c>
      <c r="U151" s="15">
        <f>IF('ENCUESTA CONDUCTORES'!W151="X",1,0)</f>
        <v>0</v>
      </c>
      <c r="V151" s="15">
        <f>IF('ENCUESTA CONDUCTORES'!X151="X",1,0)</f>
        <v>0</v>
      </c>
      <c r="W151" s="15">
        <f>IF('ENCUESTA CONDUCTORES'!Y151="X",1,0)</f>
        <v>0</v>
      </c>
      <c r="X151" s="15">
        <f>IF('ENCUESTA CONDUCTORES'!Z151="X",1,0)</f>
        <v>0</v>
      </c>
      <c r="Y151" s="15">
        <f>+'ENCUESTA CONDUCTORES'!AG151</f>
        <v>0</v>
      </c>
      <c r="Z151" s="15">
        <f>+'ENCUESTA CONDUCTORES'!AH151</f>
        <v>2006</v>
      </c>
      <c r="AA151" s="1">
        <f>+'ENCUESTA CONDUCTORES'!AI151</f>
        <v>560000</v>
      </c>
      <c r="AB151" s="15">
        <f>IF('ENCUESTA CONDUCTORES'!AJ151="X",1,0)</f>
        <v>0</v>
      </c>
      <c r="AC151" s="15">
        <f>IF('ENCUESTA CONDUCTORES'!AK151="X",1,0)</f>
        <v>0</v>
      </c>
      <c r="AD151" s="15">
        <f>IF('ENCUESTA CONDUCTORES'!AL151="X",1,0)</f>
        <v>1</v>
      </c>
      <c r="AE151" s="15">
        <f>IF('ENCUESTA CONDUCTORES'!AM151="X",1,0)</f>
        <v>0</v>
      </c>
      <c r="AF151" s="15">
        <f>IF('ENCUESTA CONDUCTORES'!AN151="X",1,0)</f>
        <v>0</v>
      </c>
      <c r="AG151" s="15">
        <f>IF('ENCUESTA CONDUCTORES'!AO151="X",1,0)</f>
        <v>0</v>
      </c>
      <c r="AH151" s="15">
        <f>IF('ENCUESTA CONDUCTORES'!AP151="X",1,0)</f>
        <v>1</v>
      </c>
      <c r="AI151" s="15">
        <f>IF('ENCUESTA CONDUCTORES'!AQ151="X",1,0)</f>
        <v>0</v>
      </c>
      <c r="AJ151" s="15">
        <f>IF('ENCUESTA CONDUCTORES'!AR151="X",1,0)</f>
        <v>0</v>
      </c>
      <c r="AK151" s="15">
        <f>+'ENCUESTA CONDUCTORES'!AS151</f>
        <v>0</v>
      </c>
      <c r="AL151" s="15" t="str">
        <f>+'ENCUESTA CONDUCTORES'!AT151</f>
        <v>DETROIT</v>
      </c>
      <c r="AM151" s="1">
        <f>+'ENCUESTA CONDUCTORES'!AU151</f>
        <v>15000</v>
      </c>
      <c r="AN151" s="48">
        <f>+'ENCUESTA CONDUCTORES'!AV151</f>
        <v>0.05</v>
      </c>
      <c r="AO151" s="15">
        <f>+'ENCUESTA CONDUCTORES'!AW151</f>
        <v>3.5</v>
      </c>
      <c r="AP151" s="15">
        <f>+'ENCUESTA CONDUCTORES'!AX151</f>
        <v>3.2</v>
      </c>
      <c r="AQ151" s="15">
        <f>+'ENCUESTA CONDUCTORES'!AY151</f>
        <v>2</v>
      </c>
      <c r="AR151" s="15">
        <f>+'ENCUESTA CONDUCTORES'!AZ151</f>
        <v>790</v>
      </c>
      <c r="AS151" s="15">
        <f>+'ENCUESTA CONDUCTORES'!BA151</f>
        <v>2700</v>
      </c>
      <c r="AT151" s="15">
        <f>IF('ENCUESTA CONDUCTORES'!BB151="X",1,0)</f>
        <v>1</v>
      </c>
      <c r="AU151" s="15">
        <f>IF('ENCUESTA CONDUCTORES'!BC151="X",1,0)</f>
        <v>1</v>
      </c>
      <c r="AV151" s="15">
        <f>IF('ENCUESTA CONDUCTORES'!BD151="X",1,0)</f>
        <v>0</v>
      </c>
      <c r="AW151" s="1">
        <f>+'ENCUESTA CONDUCTORES'!BE151</f>
        <v>30000</v>
      </c>
      <c r="AX151" s="1" t="str">
        <f>+'ENCUESTA CONDUCTORES'!BF151</f>
        <v>NO SABE</v>
      </c>
      <c r="AY151" s="1">
        <f>+'ENCUESTA CONDUCTORES'!BG151</f>
        <v>30000</v>
      </c>
      <c r="AZ151" s="1" t="str">
        <f>+'ENCUESTA CONDUCTORES'!BH151</f>
        <v>NO SABE</v>
      </c>
      <c r="BA151" s="1">
        <f>+'ENCUESTA CONDUCTORES'!BI151</f>
        <v>30000</v>
      </c>
      <c r="BB151" s="15">
        <f>IF('ENCUESTA CONDUCTORES'!BJ151="X",1,0)</f>
        <v>0</v>
      </c>
      <c r="BC151" s="15">
        <f>IF('ENCUESTA CONDUCTORES'!BK151="X",1,0)</f>
        <v>0</v>
      </c>
      <c r="BD151" s="15">
        <f>IF('ENCUESTA CONDUCTORES'!BL151="X",1,0)</f>
        <v>0</v>
      </c>
      <c r="BE151" s="15">
        <f>IF('ENCUESTA CONDUCTORES'!BM151="X",1,0)</f>
        <v>0</v>
      </c>
      <c r="BF151" s="15">
        <f>IF('ENCUESTA CONDUCTORES'!BN151="X",1,0)</f>
        <v>0</v>
      </c>
      <c r="BG151" s="15">
        <f>IF('ENCUESTA CONDUCTORES'!BO151="X",1,0)</f>
        <v>0</v>
      </c>
      <c r="BH151" s="15">
        <f>IF('ENCUESTA CONDUCTORES'!BP151="X",1,0)</f>
        <v>0</v>
      </c>
      <c r="BI151" s="15">
        <f>IF('ENCUESTA CONDUCTORES'!BQ151="X",1,0)</f>
        <v>0</v>
      </c>
      <c r="BJ151" s="15">
        <f>IF('ENCUESTA CONDUCTORES'!BR151="X",1,0)</f>
        <v>0</v>
      </c>
      <c r="BK151" s="15" t="str">
        <f>+'ENCUESTA CONDUCTORES'!BS151</f>
        <v>LLANTAS</v>
      </c>
      <c r="BL151" s="15">
        <f>IF('ENCUESTA CONDUCTORES'!BT151="X",1,0)</f>
        <v>0</v>
      </c>
      <c r="BM151" s="15">
        <f>IF('ENCUESTA CONDUCTORES'!BU151="X",1,0)</f>
        <v>1</v>
      </c>
      <c r="BN151" s="15">
        <f>IF('ENCUESTA CONDUCTORES'!BV151="X",1,0)</f>
        <v>0</v>
      </c>
      <c r="BO151" s="15">
        <f>IF('ENCUESTA CONDUCTORES'!BW151="X",1,0)</f>
        <v>0</v>
      </c>
      <c r="BP151" s="15">
        <f>+'ENCUESTA CONDUCTORES'!BX151</f>
        <v>1</v>
      </c>
      <c r="BQ151" s="15">
        <f>+'ENCUESTA CONDUCTORES'!BY151</f>
        <v>2</v>
      </c>
      <c r="BR151" s="15">
        <f>+'ENCUESTA CONDUCTORES'!BZ151</f>
        <v>3</v>
      </c>
      <c r="BS151" s="15">
        <f>+'ENCUESTA CONDUCTORES'!CA151</f>
        <v>0</v>
      </c>
      <c r="BT151" s="15">
        <f>IF('ENCUESTA CONDUCTORES'!CB151="X",1,0)</f>
        <v>0</v>
      </c>
      <c r="BU151" s="15">
        <f>IF('ENCUESTA CONDUCTORES'!CC151="X",1,0)</f>
        <v>1</v>
      </c>
      <c r="BV151" s="15">
        <f>IF('ENCUESTA CONDUCTORES'!CD151="X",1,0)</f>
        <v>0</v>
      </c>
      <c r="BW151" s="15">
        <f>IF('ENCUESTA CONDUCTORES'!CE151="X",1,0)</f>
        <v>0</v>
      </c>
      <c r="BX151" s="15">
        <f>IF('ENCUESTA CONDUCTORES'!CF151="X",1,0)</f>
        <v>0</v>
      </c>
      <c r="BY151" s="15">
        <f>IF('ENCUESTA CONDUCTORES'!CG151="X",1,0)</f>
        <v>0</v>
      </c>
      <c r="BZ151" s="15">
        <f>IF('ENCUESTA CONDUCTORES'!CH151="X",1,0)</f>
        <v>0</v>
      </c>
      <c r="CA151" s="15">
        <f>IF('ENCUESTA CONDUCTORES'!CI151="X",1,0)</f>
        <v>1</v>
      </c>
      <c r="CB151" s="15">
        <f>IF('ENCUESTA CONDUCTORES'!CJ151="X",1,0)</f>
        <v>0</v>
      </c>
      <c r="CC151" s="15">
        <f>IF('ENCUESTA CONDUCTORES'!CK151="X",1,0)</f>
        <v>1</v>
      </c>
      <c r="CD151" s="15">
        <f>IF('ENCUESTA CONDUCTORES'!CL151="X",1,0)</f>
        <v>0</v>
      </c>
      <c r="CE151" s="15">
        <f>IF('ENCUESTA CONDUCTORES'!CM151="X",1,0)</f>
        <v>0</v>
      </c>
      <c r="CF151" s="15">
        <f>+'ENCUESTA CONDUCTORES'!CN151</f>
        <v>0</v>
      </c>
      <c r="CG151" s="15">
        <f>IF('ENCUESTA CONDUCTORES'!CO151="X",1,0)</f>
        <v>0</v>
      </c>
      <c r="CH151" s="15" t="str">
        <f>+'ENCUESTA CONDUCTORES'!CP151</f>
        <v>NO SABE</v>
      </c>
      <c r="CI151" s="15" t="str">
        <f>+'ENCUESTA CONDUCTORES'!CQ151</f>
        <v>DARLO A CONOCER</v>
      </c>
      <c r="CJ151" s="15">
        <f>IF('ENCUESTA CONDUCTORES'!CR151="X",1,0)</f>
        <v>1</v>
      </c>
      <c r="CK151" s="15">
        <f>IF('ENCUESTA CONDUCTORES'!CS151="X",1,0)</f>
        <v>0</v>
      </c>
      <c r="CL151" s="15">
        <f>IF('ENCUESTA CONDUCTORES'!CT151="X",1,0)</f>
        <v>0</v>
      </c>
      <c r="CM151" s="15">
        <f>+'ENCUESTA CONDUCTORES'!CU151</f>
        <v>0</v>
      </c>
      <c r="CN151" s="15">
        <f>IF('ENCUESTA CONDUCTORES'!CV151="X",1,0)</f>
        <v>0</v>
      </c>
      <c r="CO151" s="15">
        <f>+'ENCUESTA CONDUCTORES'!CW151</f>
        <v>0</v>
      </c>
      <c r="CP151" s="15">
        <f>IF('ENCUESTA CONDUCTORES'!CX151="X",1,0)</f>
        <v>1</v>
      </c>
      <c r="CQ151" s="15">
        <f>IF('ENCUESTA CONDUCTORES'!CY151="X",1,0)</f>
        <v>1</v>
      </c>
      <c r="CR151" s="3">
        <f>+'ENCUESTA CONDUCTORES'!CZ151</f>
        <v>0</v>
      </c>
      <c r="CS151" s="49">
        <f>+'ENCUESTA CONDUCTORES'!DA151</f>
        <v>0</v>
      </c>
    </row>
    <row r="152" spans="2:97" x14ac:dyDescent="0.25">
      <c r="B152" s="14" t="str">
        <f>+'ENCUESTA CONDUCTORES'!D152</f>
        <v>C-158</v>
      </c>
      <c r="C152" s="15">
        <f>IF('ENCUESTA CONDUCTORES'!E152="X",1,0)</f>
        <v>0</v>
      </c>
      <c r="D152" s="15">
        <f>IF('ENCUESTA CONDUCTORES'!F152="X",1,0)</f>
        <v>0</v>
      </c>
      <c r="E152" s="15">
        <f>IF('ENCUESTA CONDUCTORES'!G152="X",1,0)</f>
        <v>1</v>
      </c>
      <c r="F152" s="15">
        <f>IF('ENCUESTA CONDUCTORES'!H152="X",1,0)</f>
        <v>0</v>
      </c>
      <c r="G152" s="15">
        <f>+'ENCUESTA CONDUCTORES'!I152</f>
        <v>50</v>
      </c>
      <c r="H152" s="15" t="str">
        <f>+'ENCUESTA CONDUCTORES'!J152</f>
        <v>M</v>
      </c>
      <c r="I152" s="15" t="str">
        <f>+'ENCUESTA CONDUCTORES'!K152</f>
        <v>PRIMARIA</v>
      </c>
      <c r="J152" s="15" t="str">
        <f>+'ENCUESTA CONDUCTORES'!L152</f>
        <v>TLÁHUAC, D.F.</v>
      </c>
      <c r="K152" s="15" t="str">
        <f>+'ENCUESTA CONDUCTORES'!M152</f>
        <v>TLÁHUAC</v>
      </c>
      <c r="L152" s="15" t="str">
        <f>+'ENCUESTA CONDUCTORES'!N152</f>
        <v>EDO. MEX.</v>
      </c>
      <c r="M152" s="15">
        <f>+'ENCUESTA CONDUCTORES'!O152</f>
        <v>20</v>
      </c>
      <c r="N152" s="15">
        <f>IF('ENCUESTA CONDUCTORES'!P152="X",1,0)</f>
        <v>1</v>
      </c>
      <c r="O152" s="15">
        <f>IF('ENCUESTA CONDUCTORES'!Q152="X",1,0)</f>
        <v>0</v>
      </c>
      <c r="P152" s="15">
        <f>IF('ENCUESTA CONDUCTORES'!R152="X",1,0)</f>
        <v>0</v>
      </c>
      <c r="Q152" s="15">
        <f>IF('ENCUESTA CONDUCTORES'!S152="X",1,0)</f>
        <v>0</v>
      </c>
      <c r="R152" s="15">
        <f>IF('ENCUESTA CONDUCTORES'!T152="X",1,0)</f>
        <v>0</v>
      </c>
      <c r="S152" s="15">
        <f>IF('ENCUESTA CONDUCTORES'!U152="X",1,0)</f>
        <v>0</v>
      </c>
      <c r="T152" s="15">
        <f>IF('ENCUESTA CONDUCTORES'!V152="X",1,0)</f>
        <v>0</v>
      </c>
      <c r="U152" s="15">
        <f>IF('ENCUESTA CONDUCTORES'!W152="X",1,0)</f>
        <v>0</v>
      </c>
      <c r="V152" s="15">
        <f>IF('ENCUESTA CONDUCTORES'!X152="X",1,0)</f>
        <v>0</v>
      </c>
      <c r="W152" s="15">
        <f>IF('ENCUESTA CONDUCTORES'!Y152="X",1,0)</f>
        <v>1</v>
      </c>
      <c r="X152" s="15">
        <f>IF('ENCUESTA CONDUCTORES'!Z152="X",1,0)</f>
        <v>0</v>
      </c>
      <c r="Y152" s="15">
        <f>+'ENCUESTA CONDUCTORES'!AG152</f>
        <v>0</v>
      </c>
      <c r="Z152" s="15">
        <f>+'ENCUESTA CONDUCTORES'!AH152</f>
        <v>1991</v>
      </c>
      <c r="AA152" s="1">
        <f>+'ENCUESTA CONDUCTORES'!AI152</f>
        <v>500000</v>
      </c>
      <c r="AB152" s="15">
        <f>IF('ENCUESTA CONDUCTORES'!AJ152="X",1,0)</f>
        <v>0</v>
      </c>
      <c r="AC152" s="15">
        <f>IF('ENCUESTA CONDUCTORES'!AK152="X",1,0)</f>
        <v>0</v>
      </c>
      <c r="AD152" s="15">
        <f>IF('ENCUESTA CONDUCTORES'!AL152="X",1,0)</f>
        <v>1</v>
      </c>
      <c r="AE152" s="15">
        <f>IF('ENCUESTA CONDUCTORES'!AM152="X",1,0)</f>
        <v>0</v>
      </c>
      <c r="AF152" s="15">
        <f>IF('ENCUESTA CONDUCTORES'!AN152="X",1,0)</f>
        <v>0</v>
      </c>
      <c r="AG152" s="15">
        <f>IF('ENCUESTA CONDUCTORES'!AO152="X",1,0)</f>
        <v>0</v>
      </c>
      <c r="AH152" s="15">
        <f>IF('ENCUESTA CONDUCTORES'!AP152="X",1,0)</f>
        <v>0</v>
      </c>
      <c r="AI152" s="15">
        <f>IF('ENCUESTA CONDUCTORES'!AQ152="X",1,0)</f>
        <v>0</v>
      </c>
      <c r="AJ152" s="15">
        <f>IF('ENCUESTA CONDUCTORES'!AR152="X",1,0)</f>
        <v>1</v>
      </c>
      <c r="AK152" s="15">
        <f>+'ENCUESTA CONDUCTORES'!AS152</f>
        <v>2000</v>
      </c>
      <c r="AL152" s="15" t="str">
        <f>+'ENCUESTA CONDUCTORES'!AT152</f>
        <v>CUMMINS</v>
      </c>
      <c r="AM152" s="1">
        <f>+'ENCUESTA CONDUCTORES'!AU152</f>
        <v>2000</v>
      </c>
      <c r="AN152" s="48">
        <f>+'ENCUESTA CONDUCTORES'!AV152</f>
        <v>0.5</v>
      </c>
      <c r="AO152" s="15">
        <f>+'ENCUESTA CONDUCTORES'!AW152</f>
        <v>3</v>
      </c>
      <c r="AP152" s="15">
        <f>+'ENCUESTA CONDUCTORES'!AX152</f>
        <v>2.5</v>
      </c>
      <c r="AQ152" s="15">
        <f>+'ENCUESTA CONDUCTORES'!AY152</f>
        <v>2</v>
      </c>
      <c r="AR152" s="15">
        <f>+'ENCUESTA CONDUCTORES'!AZ152</f>
        <v>460</v>
      </c>
      <c r="AS152" s="15">
        <f>+'ENCUESTA CONDUCTORES'!BA152</f>
        <v>1300</v>
      </c>
      <c r="AT152" s="15">
        <f>IF('ENCUESTA CONDUCTORES'!BB152="X",1,0)</f>
        <v>0</v>
      </c>
      <c r="AU152" s="15">
        <f>IF('ENCUESTA CONDUCTORES'!BC152="X",1,0)</f>
        <v>1</v>
      </c>
      <c r="AV152" s="15">
        <f>IF('ENCUESTA CONDUCTORES'!BD152="X",1,0)</f>
        <v>0</v>
      </c>
      <c r="AW152" s="1">
        <f>+'ENCUESTA CONDUCTORES'!BE152</f>
        <v>6000</v>
      </c>
      <c r="AX152" s="1">
        <f>+'ENCUESTA CONDUCTORES'!BF152</f>
        <v>12000</v>
      </c>
      <c r="AY152" s="1">
        <f>+'ENCUESTA CONDUCTORES'!BG152</f>
        <v>6000</v>
      </c>
      <c r="AZ152" s="1">
        <f>+'ENCUESTA CONDUCTORES'!BH152</f>
        <v>72000</v>
      </c>
      <c r="BA152" s="1">
        <f>+'ENCUESTA CONDUCTORES'!BI152</f>
        <v>6000</v>
      </c>
      <c r="BB152" s="15">
        <f>IF('ENCUESTA CONDUCTORES'!BJ152="X",1,0)</f>
        <v>0</v>
      </c>
      <c r="BC152" s="15">
        <f>IF('ENCUESTA CONDUCTORES'!BK152="X",1,0)</f>
        <v>0</v>
      </c>
      <c r="BD152" s="15">
        <f>IF('ENCUESTA CONDUCTORES'!BL152="X",1,0)</f>
        <v>0</v>
      </c>
      <c r="BE152" s="15">
        <f>IF('ENCUESTA CONDUCTORES'!BM152="X",1,0)</f>
        <v>0</v>
      </c>
      <c r="BF152" s="15">
        <f>IF('ENCUESTA CONDUCTORES'!BN152="X",1,0)</f>
        <v>0</v>
      </c>
      <c r="BG152" s="15">
        <f>IF('ENCUESTA CONDUCTORES'!BO152="X",1,0)</f>
        <v>0</v>
      </c>
      <c r="BH152" s="15">
        <f>IF('ENCUESTA CONDUCTORES'!BP152="X",1,0)</f>
        <v>0</v>
      </c>
      <c r="BI152" s="15">
        <f>IF('ENCUESTA CONDUCTORES'!BQ152="X",1,0)</f>
        <v>0</v>
      </c>
      <c r="BJ152" s="15">
        <f>IF('ENCUESTA CONDUCTORES'!BR152="X",1,0)</f>
        <v>1</v>
      </c>
      <c r="BK152" s="15">
        <f>+'ENCUESTA CONDUCTORES'!BS152</f>
        <v>0</v>
      </c>
      <c r="BL152" s="15">
        <f>IF('ENCUESTA CONDUCTORES'!BT152="X",1,0)</f>
        <v>0</v>
      </c>
      <c r="BM152" s="15">
        <f>IF('ENCUESTA CONDUCTORES'!BU152="X",1,0)</f>
        <v>1</v>
      </c>
      <c r="BN152" s="15">
        <f>IF('ENCUESTA CONDUCTORES'!BV152="X",1,0)</f>
        <v>0</v>
      </c>
      <c r="BO152" s="15">
        <f>IF('ENCUESTA CONDUCTORES'!BW152="X",1,0)</f>
        <v>0</v>
      </c>
      <c r="BP152" s="15">
        <f>+'ENCUESTA CONDUCTORES'!BX152</f>
        <v>2</v>
      </c>
      <c r="BQ152" s="15">
        <f>+'ENCUESTA CONDUCTORES'!BY152</f>
        <v>3</v>
      </c>
      <c r="BR152" s="15">
        <f>+'ENCUESTA CONDUCTORES'!BZ152</f>
        <v>1</v>
      </c>
      <c r="BS152" s="15">
        <f>+'ENCUESTA CONDUCTORES'!CA152</f>
        <v>0</v>
      </c>
      <c r="BT152" s="15">
        <f>IF('ENCUESTA CONDUCTORES'!CB152="X",1,0)</f>
        <v>0</v>
      </c>
      <c r="BU152" s="15">
        <f>IF('ENCUESTA CONDUCTORES'!CC152="X",1,0)</f>
        <v>1</v>
      </c>
      <c r="BV152" s="15">
        <f>IF('ENCUESTA CONDUCTORES'!CD152="X",1,0)</f>
        <v>0</v>
      </c>
      <c r="BW152" s="15">
        <f>IF('ENCUESTA CONDUCTORES'!CE152="X",1,0)</f>
        <v>0</v>
      </c>
      <c r="BX152" s="15">
        <f>IF('ENCUESTA CONDUCTORES'!CF152="X",1,0)</f>
        <v>0</v>
      </c>
      <c r="BY152" s="15">
        <f>IF('ENCUESTA CONDUCTORES'!CG152="X",1,0)</f>
        <v>1</v>
      </c>
      <c r="BZ152" s="15">
        <f>IF('ENCUESTA CONDUCTORES'!CH152="X",1,0)</f>
        <v>0</v>
      </c>
      <c r="CA152" s="15">
        <f>IF('ENCUESTA CONDUCTORES'!CI152="X",1,0)</f>
        <v>1</v>
      </c>
      <c r="CB152" s="15">
        <f>IF('ENCUESTA CONDUCTORES'!CJ152="X",1,0)</f>
        <v>0</v>
      </c>
      <c r="CC152" s="15">
        <f>IF('ENCUESTA CONDUCTORES'!CK152="X",1,0)</f>
        <v>1</v>
      </c>
      <c r="CD152" s="15">
        <f>IF('ENCUESTA CONDUCTORES'!CL152="X",1,0)</f>
        <v>0</v>
      </c>
      <c r="CE152" s="15">
        <f>IF('ENCUESTA CONDUCTORES'!CM152="X",1,0)</f>
        <v>0</v>
      </c>
      <c r="CF152" s="15">
        <f>+'ENCUESTA CONDUCTORES'!CN152</f>
        <v>0</v>
      </c>
      <c r="CG152" s="15">
        <f>IF('ENCUESTA CONDUCTORES'!CO152="X",1,0)</f>
        <v>0</v>
      </c>
      <c r="CH152" s="15" t="str">
        <f>+'ENCUESTA CONDUCTORES'!CP152</f>
        <v>NO SABE</v>
      </c>
      <c r="CI152" s="15" t="str">
        <f>+'ENCUESTA CONDUCTORES'!CQ152</f>
        <v>MAYOR INFORMACION</v>
      </c>
      <c r="CJ152" s="15">
        <f>IF('ENCUESTA CONDUCTORES'!CR152="X",1,0)</f>
        <v>0</v>
      </c>
      <c r="CK152" s="15">
        <f>IF('ENCUESTA CONDUCTORES'!CS152="X",1,0)</f>
        <v>0</v>
      </c>
      <c r="CL152" s="15">
        <f>IF('ENCUESTA CONDUCTORES'!CT152="X",1,0)</f>
        <v>0</v>
      </c>
      <c r="CM152" s="15" t="str">
        <f>+'ENCUESTA CONDUCTORES'!CU152</f>
        <v>MANEJO A LA DEFENSIVA</v>
      </c>
      <c r="CN152" s="15">
        <f>IF('ENCUESTA CONDUCTORES'!CV152="X",1,0)</f>
        <v>0</v>
      </c>
      <c r="CO152" s="15">
        <f>+'ENCUESTA CONDUCTORES'!CW152</f>
        <v>0</v>
      </c>
      <c r="CP152" s="15">
        <f>IF('ENCUESTA CONDUCTORES'!CX152="X",1,0)</f>
        <v>0</v>
      </c>
      <c r="CQ152" s="15">
        <f>IF('ENCUESTA CONDUCTORES'!CY152="X",1,0)</f>
        <v>1</v>
      </c>
      <c r="CR152" s="3">
        <f>+'ENCUESTA CONDUCTORES'!CZ152</f>
        <v>0</v>
      </c>
      <c r="CS152" s="49">
        <f>+'ENCUESTA CONDUCTORES'!DA152</f>
        <v>0</v>
      </c>
    </row>
    <row r="153" spans="2:97" x14ac:dyDescent="0.25">
      <c r="B153" s="14" t="str">
        <f>+'ENCUESTA CONDUCTORES'!D153</f>
        <v>C-159</v>
      </c>
      <c r="C153" s="15">
        <f>IF('ENCUESTA CONDUCTORES'!E153="X",1,0)</f>
        <v>0</v>
      </c>
      <c r="D153" s="15">
        <f>IF('ENCUESTA CONDUCTORES'!F153="X",1,0)</f>
        <v>0</v>
      </c>
      <c r="E153" s="15">
        <f>IF('ENCUESTA CONDUCTORES'!G153="X",1,0)</f>
        <v>1</v>
      </c>
      <c r="F153" s="15">
        <f>IF('ENCUESTA CONDUCTORES'!H153="X",1,0)</f>
        <v>0</v>
      </c>
      <c r="G153" s="15">
        <f>+'ENCUESTA CONDUCTORES'!I153</f>
        <v>33</v>
      </c>
      <c r="H153" s="15" t="str">
        <f>+'ENCUESTA CONDUCTORES'!J153</f>
        <v>M</v>
      </c>
      <c r="I153" s="15" t="str">
        <f>+'ENCUESTA CONDUCTORES'!K153</f>
        <v>SECUNDARIA</v>
      </c>
      <c r="J153" s="15" t="str">
        <f>+'ENCUESTA CONDUCTORES'!L153</f>
        <v>MIGUEL HIDALGO, D.F.</v>
      </c>
      <c r="K153" s="15" t="str">
        <f>+'ENCUESTA CONDUCTORES'!M153</f>
        <v>MIGUEL HIDALGO</v>
      </c>
      <c r="L153" s="15" t="str">
        <f>+'ENCUESTA CONDUCTORES'!N153</f>
        <v>D.F.</v>
      </c>
      <c r="M153" s="15">
        <f>+'ENCUESTA CONDUCTORES'!O153</f>
        <v>5</v>
      </c>
      <c r="N153" s="15">
        <f>IF('ENCUESTA CONDUCTORES'!P153="X",1,0)</f>
        <v>1</v>
      </c>
      <c r="O153" s="15">
        <f>IF('ENCUESTA CONDUCTORES'!Q153="X",1,0)</f>
        <v>0</v>
      </c>
      <c r="P153" s="15">
        <f>IF('ENCUESTA CONDUCTORES'!R153="X",1,0)</f>
        <v>0</v>
      </c>
      <c r="Q153" s="15">
        <f>IF('ENCUESTA CONDUCTORES'!S153="X",1,0)</f>
        <v>0</v>
      </c>
      <c r="R153" s="15">
        <f>IF('ENCUESTA CONDUCTORES'!T153="X",1,0)</f>
        <v>0</v>
      </c>
      <c r="S153" s="15">
        <f>IF('ENCUESTA CONDUCTORES'!U153="X",1,0)</f>
        <v>0</v>
      </c>
      <c r="T153" s="15">
        <f>IF('ENCUESTA CONDUCTORES'!V153="X",1,0)</f>
        <v>0</v>
      </c>
      <c r="U153" s="15">
        <f>IF('ENCUESTA CONDUCTORES'!W153="X",1,0)</f>
        <v>0</v>
      </c>
      <c r="V153" s="15">
        <f>IF('ENCUESTA CONDUCTORES'!X153="X",1,0)</f>
        <v>1</v>
      </c>
      <c r="W153" s="15">
        <f>IF('ENCUESTA CONDUCTORES'!Y153="X",1,0)</f>
        <v>0</v>
      </c>
      <c r="X153" s="15">
        <f>IF('ENCUESTA CONDUCTORES'!Z153="X",1,0)</f>
        <v>0</v>
      </c>
      <c r="Y153" s="15">
        <f>+'ENCUESTA CONDUCTORES'!AG153</f>
        <v>0</v>
      </c>
      <c r="Z153" s="15">
        <f>+'ENCUESTA CONDUCTORES'!AH153</f>
        <v>2010</v>
      </c>
      <c r="AA153" s="1">
        <f>+'ENCUESTA CONDUCTORES'!AI153</f>
        <v>750000</v>
      </c>
      <c r="AB153" s="15">
        <f>IF('ENCUESTA CONDUCTORES'!AJ153="X",1,0)</f>
        <v>0</v>
      </c>
      <c r="AC153" s="15">
        <f>IF('ENCUESTA CONDUCTORES'!AK153="X",1,0)</f>
        <v>0</v>
      </c>
      <c r="AD153" s="15">
        <f>IF('ENCUESTA CONDUCTORES'!AL153="X",1,0)</f>
        <v>1</v>
      </c>
      <c r="AE153" s="15">
        <f>IF('ENCUESTA CONDUCTORES'!AM153="X",1,0)</f>
        <v>0</v>
      </c>
      <c r="AF153" s="15">
        <f>IF('ENCUESTA CONDUCTORES'!AN153="X",1,0)</f>
        <v>0</v>
      </c>
      <c r="AG153" s="15">
        <f>IF('ENCUESTA CONDUCTORES'!AO153="X",1,0)</f>
        <v>1</v>
      </c>
      <c r="AH153" s="15">
        <f>IF('ENCUESTA CONDUCTORES'!AP153="X",1,0)</f>
        <v>0</v>
      </c>
      <c r="AI153" s="15">
        <f>IF('ENCUESTA CONDUCTORES'!AQ153="X",1,0)</f>
        <v>0</v>
      </c>
      <c r="AJ153" s="15">
        <f>IF('ENCUESTA CONDUCTORES'!AR153="X",1,0)</f>
        <v>0</v>
      </c>
      <c r="AK153" s="15">
        <f>+'ENCUESTA CONDUCTORES'!AS153</f>
        <v>0</v>
      </c>
      <c r="AL153" s="15" t="str">
        <f>+'ENCUESTA CONDUCTORES'!AT153</f>
        <v>NO SABE</v>
      </c>
      <c r="AM153" s="1">
        <f>+'ENCUESTA CONDUCTORES'!AU153</f>
        <v>3000</v>
      </c>
      <c r="AN153" s="48">
        <f>+'ENCUESTA CONDUCTORES'!AV153</f>
        <v>0.3</v>
      </c>
      <c r="AO153" s="15">
        <f>+'ENCUESTA CONDUCTORES'!AW153</f>
        <v>2.8</v>
      </c>
      <c r="AP153" s="15">
        <f>+'ENCUESTA CONDUCTORES'!AX153</f>
        <v>2.1</v>
      </c>
      <c r="AQ153" s="15">
        <f>+'ENCUESTA CONDUCTORES'!AY153</f>
        <v>2</v>
      </c>
      <c r="AR153" s="15">
        <f>+'ENCUESTA CONDUCTORES'!AZ153</f>
        <v>400</v>
      </c>
      <c r="AS153" s="15">
        <f>+'ENCUESTA CONDUCTORES'!BA153</f>
        <v>1000</v>
      </c>
      <c r="AT153" s="15">
        <f>IF('ENCUESTA CONDUCTORES'!BB153="X",1,0)</f>
        <v>0</v>
      </c>
      <c r="AU153" s="15">
        <f>IF('ENCUESTA CONDUCTORES'!BC153="X",1,0)</f>
        <v>1</v>
      </c>
      <c r="AV153" s="15">
        <f>IF('ENCUESTA CONDUCTORES'!BD153="X",1,0)</f>
        <v>0</v>
      </c>
      <c r="AW153" s="1">
        <f>+'ENCUESTA CONDUCTORES'!BE153</f>
        <v>12000</v>
      </c>
      <c r="AX153" s="1">
        <f>+'ENCUESTA CONDUCTORES'!BF153</f>
        <v>9000</v>
      </c>
      <c r="AY153" s="1">
        <f>+'ENCUESTA CONDUCTORES'!BG153</f>
        <v>12000</v>
      </c>
      <c r="AZ153" s="1">
        <f>+'ENCUESTA CONDUCTORES'!BH153</f>
        <v>100000</v>
      </c>
      <c r="BA153" s="1">
        <f>+'ENCUESTA CONDUCTORES'!BI153</f>
        <v>12000</v>
      </c>
      <c r="BB153" s="15">
        <f>IF('ENCUESTA CONDUCTORES'!BJ153="X",1,0)</f>
        <v>0</v>
      </c>
      <c r="BC153" s="15">
        <f>IF('ENCUESTA CONDUCTORES'!BK153="X",1,0)</f>
        <v>1</v>
      </c>
      <c r="BD153" s="15">
        <f>IF('ENCUESTA CONDUCTORES'!BL153="X",1,0)</f>
        <v>0</v>
      </c>
      <c r="BE153" s="15">
        <f>IF('ENCUESTA CONDUCTORES'!BM153="X",1,0)</f>
        <v>0</v>
      </c>
      <c r="BF153" s="15">
        <f>IF('ENCUESTA CONDUCTORES'!BN153="X",1,0)</f>
        <v>0</v>
      </c>
      <c r="BG153" s="15">
        <f>IF('ENCUESTA CONDUCTORES'!BO153="X",1,0)</f>
        <v>0</v>
      </c>
      <c r="BH153" s="15">
        <f>IF('ENCUESTA CONDUCTORES'!BP153="X",1,0)</f>
        <v>0</v>
      </c>
      <c r="BI153" s="15">
        <f>IF('ENCUESTA CONDUCTORES'!BQ153="X",1,0)</f>
        <v>0</v>
      </c>
      <c r="BJ153" s="15">
        <f>IF('ENCUESTA CONDUCTORES'!BR153="X",1,0)</f>
        <v>0</v>
      </c>
      <c r="BK153" s="15">
        <f>+'ENCUESTA CONDUCTORES'!BS153</f>
        <v>0</v>
      </c>
      <c r="BL153" s="15">
        <f>IF('ENCUESTA CONDUCTORES'!BT153="X",1,0)</f>
        <v>0</v>
      </c>
      <c r="BM153" s="15">
        <f>IF('ENCUESTA CONDUCTORES'!BU153="X",1,0)</f>
        <v>0</v>
      </c>
      <c r="BN153" s="15">
        <f>IF('ENCUESTA CONDUCTORES'!BV153="X",1,0)</f>
        <v>1</v>
      </c>
      <c r="BO153" s="15">
        <f>IF('ENCUESTA CONDUCTORES'!BW153="X",1,0)</f>
        <v>0</v>
      </c>
      <c r="BP153" s="15">
        <f>+'ENCUESTA CONDUCTORES'!BX153</f>
        <v>3</v>
      </c>
      <c r="BQ153" s="15">
        <f>+'ENCUESTA CONDUCTORES'!BY153</f>
        <v>4</v>
      </c>
      <c r="BR153" s="15">
        <f>+'ENCUESTA CONDUCTORES'!BZ153</f>
        <v>2</v>
      </c>
      <c r="BS153" s="15" t="str">
        <f>+'ENCUESTA CONDUCTORES'!CA153</f>
        <v>SEGURIDAD</v>
      </c>
      <c r="BT153" s="15">
        <f>IF('ENCUESTA CONDUCTORES'!CB153="X",1,0)</f>
        <v>1</v>
      </c>
      <c r="BU153" s="15">
        <f>IF('ENCUESTA CONDUCTORES'!CC153="X",1,0)</f>
        <v>0</v>
      </c>
      <c r="BV153" s="15">
        <f>IF('ENCUESTA CONDUCTORES'!CD153="X",1,0)</f>
        <v>0</v>
      </c>
      <c r="BW153" s="15">
        <f>IF('ENCUESTA CONDUCTORES'!CE153="X",1,0)</f>
        <v>0</v>
      </c>
      <c r="BX153" s="15">
        <f>IF('ENCUESTA CONDUCTORES'!CF153="X",1,0)</f>
        <v>0</v>
      </c>
      <c r="BY153" s="15">
        <f>IF('ENCUESTA CONDUCTORES'!CG153="X",1,0)</f>
        <v>0</v>
      </c>
      <c r="BZ153" s="15">
        <f>IF('ENCUESTA CONDUCTORES'!CH153="X",1,0)</f>
        <v>0</v>
      </c>
      <c r="CA153" s="15">
        <f>IF('ENCUESTA CONDUCTORES'!CI153="X",1,0)</f>
        <v>0</v>
      </c>
      <c r="CB153" s="15">
        <f>IF('ENCUESTA CONDUCTORES'!CJ153="X",1,0)</f>
        <v>0</v>
      </c>
      <c r="CC153" s="15">
        <f>IF('ENCUESTA CONDUCTORES'!CK153="X",1,0)</f>
        <v>1</v>
      </c>
      <c r="CD153" s="15">
        <f>IF('ENCUESTA CONDUCTORES'!CL153="X",1,0)</f>
        <v>0</v>
      </c>
      <c r="CE153" s="15">
        <f>IF('ENCUESTA CONDUCTORES'!CM153="X",1,0)</f>
        <v>0</v>
      </c>
      <c r="CF153" s="15">
        <f>+'ENCUESTA CONDUCTORES'!CN153</f>
        <v>0</v>
      </c>
      <c r="CG153" s="15">
        <f>IF('ENCUESTA CONDUCTORES'!CO153="X",1,0)</f>
        <v>0</v>
      </c>
      <c r="CH153" s="15" t="str">
        <f>+'ENCUESTA CONDUCTORES'!CP153</f>
        <v>NO SABE</v>
      </c>
      <c r="CI153" s="15" t="str">
        <f>+'ENCUESTA CONDUCTORES'!CQ153</f>
        <v>PUBLICIDAD</v>
      </c>
      <c r="CJ153" s="15">
        <f>IF('ENCUESTA CONDUCTORES'!CR153="X",1,0)</f>
        <v>1</v>
      </c>
      <c r="CK153" s="15">
        <f>IF('ENCUESTA CONDUCTORES'!CS153="X",1,0)</f>
        <v>0</v>
      </c>
      <c r="CL153" s="15">
        <f>IF('ENCUESTA CONDUCTORES'!CT153="X",1,0)</f>
        <v>0</v>
      </c>
      <c r="CM153" s="15">
        <f>+'ENCUESTA CONDUCTORES'!CU153</f>
        <v>0</v>
      </c>
      <c r="CN153" s="15">
        <f>IF('ENCUESTA CONDUCTORES'!CV153="X",1,0)</f>
        <v>0</v>
      </c>
      <c r="CO153" s="15">
        <f>+'ENCUESTA CONDUCTORES'!CW153</f>
        <v>0</v>
      </c>
      <c r="CP153" s="15">
        <f>IF('ENCUESTA CONDUCTORES'!CX153="X",1,0)</f>
        <v>0</v>
      </c>
      <c r="CQ153" s="15">
        <f>IF('ENCUESTA CONDUCTORES'!CY153="X",1,0)</f>
        <v>1</v>
      </c>
      <c r="CR153" s="3">
        <f>+'ENCUESTA CONDUCTORES'!CZ153</f>
        <v>0</v>
      </c>
      <c r="CS153" s="49">
        <f>+'ENCUESTA CONDUCTORES'!DA153</f>
        <v>0</v>
      </c>
    </row>
    <row r="154" spans="2:97" x14ac:dyDescent="0.25">
      <c r="B154" s="14" t="str">
        <f>+'ENCUESTA CONDUCTORES'!D154</f>
        <v>C-160</v>
      </c>
      <c r="C154" s="15">
        <f>IF('ENCUESTA CONDUCTORES'!E154="X",1,0)</f>
        <v>0</v>
      </c>
      <c r="D154" s="15">
        <f>IF('ENCUESTA CONDUCTORES'!F154="X",1,0)</f>
        <v>0</v>
      </c>
      <c r="E154" s="15">
        <f>IF('ENCUESTA CONDUCTORES'!G154="X",1,0)</f>
        <v>1</v>
      </c>
      <c r="F154" s="15">
        <f>IF('ENCUESTA CONDUCTORES'!H154="X",1,0)</f>
        <v>0</v>
      </c>
      <c r="G154" s="15">
        <f>+'ENCUESTA CONDUCTORES'!I154</f>
        <v>24</v>
      </c>
      <c r="H154" s="15" t="str">
        <f>+'ENCUESTA CONDUCTORES'!J154</f>
        <v>M</v>
      </c>
      <c r="I154" s="15" t="str">
        <f>+'ENCUESTA CONDUCTORES'!K154</f>
        <v>SECUNDARIA</v>
      </c>
      <c r="J154" s="15" t="str">
        <f>+'ENCUESTA CONDUCTORES'!L154</f>
        <v>NAUCALPAN, EDO. MEX.</v>
      </c>
      <c r="K154" s="15" t="str">
        <f>+'ENCUESTA CONDUCTORES'!M154</f>
        <v>NAUCALPAN</v>
      </c>
      <c r="L154" s="15" t="str">
        <f>+'ENCUESTA CONDUCTORES'!N154</f>
        <v>EDO. MEX.</v>
      </c>
      <c r="M154" s="15">
        <f>+'ENCUESTA CONDUCTORES'!O154</f>
        <v>3</v>
      </c>
      <c r="N154" s="15">
        <f>IF('ENCUESTA CONDUCTORES'!P154="X",1,0)</f>
        <v>1</v>
      </c>
      <c r="O154" s="15">
        <f>IF('ENCUESTA CONDUCTORES'!Q154="X",1,0)</f>
        <v>0</v>
      </c>
      <c r="P154" s="15">
        <f>IF('ENCUESTA CONDUCTORES'!R154="X",1,0)</f>
        <v>0</v>
      </c>
      <c r="Q154" s="15">
        <f>IF('ENCUESTA CONDUCTORES'!S154="X",1,0)</f>
        <v>0</v>
      </c>
      <c r="R154" s="15">
        <f>IF('ENCUESTA CONDUCTORES'!T154="X",1,0)</f>
        <v>0</v>
      </c>
      <c r="S154" s="15">
        <f>IF('ENCUESTA CONDUCTORES'!U154="X",1,0)</f>
        <v>0</v>
      </c>
      <c r="T154" s="15">
        <f>IF('ENCUESTA CONDUCTORES'!V154="X",1,0)</f>
        <v>0</v>
      </c>
      <c r="U154" s="15">
        <f>IF('ENCUESTA CONDUCTORES'!W154="X",1,0)</f>
        <v>0</v>
      </c>
      <c r="V154" s="15">
        <f>IF('ENCUESTA CONDUCTORES'!X154="X",1,0)</f>
        <v>0</v>
      </c>
      <c r="W154" s="15">
        <f>IF('ENCUESTA CONDUCTORES'!Y154="X",1,0)</f>
        <v>0</v>
      </c>
      <c r="X154" s="15">
        <f>IF('ENCUESTA CONDUCTORES'!Z154="X",1,0)</f>
        <v>0</v>
      </c>
      <c r="Y154" s="15">
        <f>+'ENCUESTA CONDUCTORES'!AG154</f>
        <v>0</v>
      </c>
      <c r="Z154" s="15">
        <f>+'ENCUESTA CONDUCTORES'!AH154</f>
        <v>1989</v>
      </c>
      <c r="AA154" s="1">
        <f>+'ENCUESTA CONDUCTORES'!AI154</f>
        <v>1200000</v>
      </c>
      <c r="AB154" s="15">
        <f>IF('ENCUESTA CONDUCTORES'!AJ154="X",1,0)</f>
        <v>0</v>
      </c>
      <c r="AC154" s="15">
        <f>IF('ENCUESTA CONDUCTORES'!AK154="X",1,0)</f>
        <v>0</v>
      </c>
      <c r="AD154" s="15">
        <f>IF('ENCUESTA CONDUCTORES'!AL154="X",1,0)</f>
        <v>1</v>
      </c>
      <c r="AE154" s="15">
        <f>IF('ENCUESTA CONDUCTORES'!AM154="X",1,0)</f>
        <v>0</v>
      </c>
      <c r="AF154" s="15">
        <f>IF('ENCUESTA CONDUCTORES'!AN154="X",1,0)</f>
        <v>0</v>
      </c>
      <c r="AG154" s="15">
        <f>IF('ENCUESTA CONDUCTORES'!AO154="X",1,0)</f>
        <v>0</v>
      </c>
      <c r="AH154" s="15">
        <f>IF('ENCUESTA CONDUCTORES'!AP154="X",1,0)</f>
        <v>1</v>
      </c>
      <c r="AI154" s="15">
        <f>IF('ENCUESTA CONDUCTORES'!AQ154="X",1,0)</f>
        <v>0</v>
      </c>
      <c r="AJ154" s="15">
        <f>IF('ENCUESTA CONDUCTORES'!AR154="X",1,0)</f>
        <v>0</v>
      </c>
      <c r="AK154" s="15">
        <f>+'ENCUESTA CONDUCTORES'!AS154</f>
        <v>0</v>
      </c>
      <c r="AL154" s="15" t="str">
        <f>+'ENCUESTA CONDUCTORES'!AT154</f>
        <v>DINA</v>
      </c>
      <c r="AM154" s="1">
        <f>+'ENCUESTA CONDUCTORES'!AU154</f>
        <v>2500</v>
      </c>
      <c r="AN154" s="48">
        <f>+'ENCUESTA CONDUCTORES'!AV154</f>
        <v>0.5</v>
      </c>
      <c r="AO154" s="15">
        <f>+'ENCUESTA CONDUCTORES'!AW154</f>
        <v>3</v>
      </c>
      <c r="AP154" s="15">
        <f>+'ENCUESTA CONDUCTORES'!AX154</f>
        <v>2.5</v>
      </c>
      <c r="AQ154" s="15">
        <f>+'ENCUESTA CONDUCTORES'!AY154</f>
        <v>2</v>
      </c>
      <c r="AR154" s="15">
        <f>+'ENCUESTA CONDUCTORES'!AZ154</f>
        <v>500</v>
      </c>
      <c r="AS154" s="15">
        <f>+'ENCUESTA CONDUCTORES'!BA154</f>
        <v>1400</v>
      </c>
      <c r="AT154" s="15">
        <f>IF('ENCUESTA CONDUCTORES'!BB154="X",1,0)</f>
        <v>0</v>
      </c>
      <c r="AU154" s="15">
        <f>IF('ENCUESTA CONDUCTORES'!BC154="X",1,0)</f>
        <v>0</v>
      </c>
      <c r="AV154" s="15">
        <f>IF('ENCUESTA CONDUCTORES'!BD154="X",1,0)</f>
        <v>0</v>
      </c>
      <c r="AW154" s="1">
        <f>+'ENCUESTA CONDUCTORES'!BE154</f>
        <v>15000</v>
      </c>
      <c r="AX154" s="1">
        <f>+'ENCUESTA CONDUCTORES'!BF154</f>
        <v>12500</v>
      </c>
      <c r="AY154" s="1">
        <f>+'ENCUESTA CONDUCTORES'!BG154</f>
        <v>15000</v>
      </c>
      <c r="AZ154" s="1">
        <f>+'ENCUESTA CONDUCTORES'!BH154</f>
        <v>60000</v>
      </c>
      <c r="BA154" s="1">
        <f>+'ENCUESTA CONDUCTORES'!BI154</f>
        <v>15000</v>
      </c>
      <c r="BB154" s="15">
        <f>IF('ENCUESTA CONDUCTORES'!BJ154="X",1,0)</f>
        <v>0</v>
      </c>
      <c r="BC154" s="15">
        <f>IF('ENCUESTA CONDUCTORES'!BK154="X",1,0)</f>
        <v>0</v>
      </c>
      <c r="BD154" s="15">
        <f>IF('ENCUESTA CONDUCTORES'!BL154="X",1,0)</f>
        <v>0</v>
      </c>
      <c r="BE154" s="15">
        <f>IF('ENCUESTA CONDUCTORES'!BM154="X",1,0)</f>
        <v>1</v>
      </c>
      <c r="BF154" s="15">
        <f>IF('ENCUESTA CONDUCTORES'!BN154="X",1,0)</f>
        <v>0</v>
      </c>
      <c r="BG154" s="15">
        <f>IF('ENCUESTA CONDUCTORES'!BO154="X",1,0)</f>
        <v>0</v>
      </c>
      <c r="BH154" s="15">
        <f>IF('ENCUESTA CONDUCTORES'!BP154="X",1,0)</f>
        <v>0</v>
      </c>
      <c r="BI154" s="15">
        <f>IF('ENCUESTA CONDUCTORES'!BQ154="X",1,0)</f>
        <v>0</v>
      </c>
      <c r="BJ154" s="15">
        <f>IF('ENCUESTA CONDUCTORES'!BR154="X",1,0)</f>
        <v>0</v>
      </c>
      <c r="BK154" s="15">
        <f>+'ENCUESTA CONDUCTORES'!BS154</f>
        <v>0</v>
      </c>
      <c r="BL154" s="15">
        <f>IF('ENCUESTA CONDUCTORES'!BT154="X",1,0)</f>
        <v>0</v>
      </c>
      <c r="BM154" s="15">
        <f>IF('ENCUESTA CONDUCTORES'!BU154="X",1,0)</f>
        <v>0</v>
      </c>
      <c r="BN154" s="15">
        <f>IF('ENCUESTA CONDUCTORES'!BV154="X",1,0)</f>
        <v>1</v>
      </c>
      <c r="BO154" s="15">
        <f>IF('ENCUESTA CONDUCTORES'!BW154="X",1,0)</f>
        <v>0</v>
      </c>
      <c r="BP154" s="15">
        <f>+'ENCUESTA CONDUCTORES'!BX154</f>
        <v>1</v>
      </c>
      <c r="BQ154" s="15">
        <f>+'ENCUESTA CONDUCTORES'!BY154</f>
        <v>3</v>
      </c>
      <c r="BR154" s="15">
        <f>+'ENCUESTA CONDUCTORES'!BZ154</f>
        <v>2</v>
      </c>
      <c r="BS154" s="15">
        <f>+'ENCUESTA CONDUCTORES'!CA154</f>
        <v>0</v>
      </c>
      <c r="BT154" s="15">
        <f>IF('ENCUESTA CONDUCTORES'!CB154="X",1,0)</f>
        <v>1</v>
      </c>
      <c r="BU154" s="15">
        <f>IF('ENCUESTA CONDUCTORES'!CC154="X",1,0)</f>
        <v>0</v>
      </c>
      <c r="BV154" s="15">
        <f>IF('ENCUESTA CONDUCTORES'!CD154="X",1,0)</f>
        <v>0</v>
      </c>
      <c r="BW154" s="15">
        <f>IF('ENCUESTA CONDUCTORES'!CE154="X",1,0)</f>
        <v>0</v>
      </c>
      <c r="BX154" s="15">
        <f>IF('ENCUESTA CONDUCTORES'!CF154="X",1,0)</f>
        <v>0</v>
      </c>
      <c r="BY154" s="15">
        <f>IF('ENCUESTA CONDUCTORES'!CG154="X",1,0)</f>
        <v>0</v>
      </c>
      <c r="BZ154" s="15">
        <f>IF('ENCUESTA CONDUCTORES'!CH154="X",1,0)</f>
        <v>0</v>
      </c>
      <c r="CA154" s="15">
        <f>IF('ENCUESTA CONDUCTORES'!CI154="X",1,0)</f>
        <v>0</v>
      </c>
      <c r="CB154" s="15">
        <f>IF('ENCUESTA CONDUCTORES'!CJ154="X",1,0)</f>
        <v>0</v>
      </c>
      <c r="CC154" s="15">
        <f>IF('ENCUESTA CONDUCTORES'!CK154="X",1,0)</f>
        <v>1</v>
      </c>
      <c r="CD154" s="15">
        <f>IF('ENCUESTA CONDUCTORES'!CL154="X",1,0)</f>
        <v>0</v>
      </c>
      <c r="CE154" s="15">
        <f>IF('ENCUESTA CONDUCTORES'!CM154="X",1,0)</f>
        <v>0</v>
      </c>
      <c r="CF154" s="15">
        <f>+'ENCUESTA CONDUCTORES'!CN154</f>
        <v>0</v>
      </c>
      <c r="CG154" s="15">
        <f>IF('ENCUESTA CONDUCTORES'!CO154="X",1,0)</f>
        <v>0</v>
      </c>
      <c r="CH154" s="15" t="str">
        <f>+'ENCUESTA CONDUCTORES'!CP154</f>
        <v>NO SABE</v>
      </c>
      <c r="CI154" s="15" t="str">
        <f>+'ENCUESTA CONDUCTORES'!CQ154</f>
        <v>NO SABE</v>
      </c>
      <c r="CJ154" s="15">
        <f>IF('ENCUESTA CONDUCTORES'!CR154="X",1,0)</f>
        <v>1</v>
      </c>
      <c r="CK154" s="15">
        <f>IF('ENCUESTA CONDUCTORES'!CS154="X",1,0)</f>
        <v>0</v>
      </c>
      <c r="CL154" s="15">
        <f>IF('ENCUESTA CONDUCTORES'!CT154="X",1,0)</f>
        <v>0</v>
      </c>
      <c r="CM154" s="15">
        <f>+'ENCUESTA CONDUCTORES'!CU154</f>
        <v>0</v>
      </c>
      <c r="CN154" s="15">
        <f>IF('ENCUESTA CONDUCTORES'!CV154="X",1,0)</f>
        <v>1</v>
      </c>
      <c r="CO154" s="15" t="str">
        <f>+'ENCUESTA CONDUCTORES'!CW154</f>
        <v>NO LE INTERESA</v>
      </c>
      <c r="CP154" s="15">
        <f>IF('ENCUESTA CONDUCTORES'!CX154="X",1,0)</f>
        <v>0</v>
      </c>
      <c r="CQ154" s="15">
        <f>IF('ENCUESTA CONDUCTORES'!CY154="X",1,0)</f>
        <v>0</v>
      </c>
      <c r="CR154" s="3">
        <f>+'ENCUESTA CONDUCTORES'!CZ154</f>
        <v>0</v>
      </c>
      <c r="CS154" s="49">
        <f>+'ENCUESTA CONDUCTORES'!DA154</f>
        <v>0</v>
      </c>
    </row>
    <row r="155" spans="2:97" x14ac:dyDescent="0.25">
      <c r="B155" s="14" t="str">
        <f>+'ENCUESTA CONDUCTORES'!D155</f>
        <v>C-161</v>
      </c>
      <c r="C155" s="15">
        <f>IF('ENCUESTA CONDUCTORES'!E155="X",1,0)</f>
        <v>0</v>
      </c>
      <c r="D155" s="15">
        <f>IF('ENCUESTA CONDUCTORES'!F155="X",1,0)</f>
        <v>0</v>
      </c>
      <c r="E155" s="15">
        <f>IF('ENCUESTA CONDUCTORES'!G155="X",1,0)</f>
        <v>0</v>
      </c>
      <c r="F155" s="15">
        <f>IF('ENCUESTA CONDUCTORES'!H155="X",1,0)</f>
        <v>1</v>
      </c>
      <c r="G155" s="15">
        <f>+'ENCUESTA CONDUCTORES'!I155</f>
        <v>32</v>
      </c>
      <c r="H155" s="15" t="str">
        <f>+'ENCUESTA CONDUCTORES'!J155</f>
        <v>M</v>
      </c>
      <c r="I155" s="15" t="str">
        <f>+'ENCUESTA CONDUCTORES'!K155</f>
        <v>SECUNDARIA</v>
      </c>
      <c r="J155" s="15" t="str">
        <f>+'ENCUESTA CONDUCTORES'!L155</f>
        <v>ECATEPEC, EDO. MEX.</v>
      </c>
      <c r="K155" s="15" t="str">
        <f>+'ENCUESTA CONDUCTORES'!M155</f>
        <v>ECATEPEC</v>
      </c>
      <c r="L155" s="15" t="str">
        <f>+'ENCUESTA CONDUCTORES'!N155</f>
        <v>EDO. MEX.</v>
      </c>
      <c r="M155" s="15">
        <f>+'ENCUESTA CONDUCTORES'!O155</f>
        <v>15</v>
      </c>
      <c r="N155" s="15">
        <f>IF('ENCUESTA CONDUCTORES'!P155="X",1,0)</f>
        <v>0</v>
      </c>
      <c r="O155" s="15">
        <f>IF('ENCUESTA CONDUCTORES'!Q155="X",1,0)</f>
        <v>1</v>
      </c>
      <c r="P155" s="15">
        <f>IF('ENCUESTA CONDUCTORES'!R155="X",1,0)</f>
        <v>0</v>
      </c>
      <c r="Q155" s="15">
        <f>IF('ENCUESTA CONDUCTORES'!S155="X",1,0)</f>
        <v>0</v>
      </c>
      <c r="R155" s="15">
        <f>IF('ENCUESTA CONDUCTORES'!T155="X",1,0)</f>
        <v>0</v>
      </c>
      <c r="S155" s="15">
        <f>IF('ENCUESTA CONDUCTORES'!U155="X",1,0)</f>
        <v>0</v>
      </c>
      <c r="T155" s="15">
        <f>IF('ENCUESTA CONDUCTORES'!V155="X",1,0)</f>
        <v>0</v>
      </c>
      <c r="U155" s="15">
        <f>IF('ENCUESTA CONDUCTORES'!W155="X",1,0)</f>
        <v>0</v>
      </c>
      <c r="V155" s="15">
        <f>IF('ENCUESTA CONDUCTORES'!X155="X",1,0)</f>
        <v>0</v>
      </c>
      <c r="W155" s="15">
        <f>IF('ENCUESTA CONDUCTORES'!Y155="X",1,0)</f>
        <v>0</v>
      </c>
      <c r="X155" s="15">
        <f>IF('ENCUESTA CONDUCTORES'!Z155="X",1,0)</f>
        <v>0</v>
      </c>
      <c r="Y155" s="15">
        <f>+'ENCUESTA CONDUCTORES'!AG155</f>
        <v>0</v>
      </c>
      <c r="Z155" s="15">
        <f>+'ENCUESTA CONDUCTORES'!AH155</f>
        <v>1994</v>
      </c>
      <c r="AA155" s="1" t="str">
        <f>+'ENCUESTA CONDUCTORES'!AI155</f>
        <v>NO SABE</v>
      </c>
      <c r="AB155" s="15">
        <f>IF('ENCUESTA CONDUCTORES'!AJ155="X",1,0)</f>
        <v>0</v>
      </c>
      <c r="AC155" s="15">
        <f>IF('ENCUESTA CONDUCTORES'!AK155="X",1,0)</f>
        <v>0</v>
      </c>
      <c r="AD155" s="15">
        <f>IF('ENCUESTA CONDUCTORES'!AL155="X",1,0)</f>
        <v>1</v>
      </c>
      <c r="AE155" s="15">
        <f>IF('ENCUESTA CONDUCTORES'!AM155="X",1,0)</f>
        <v>0</v>
      </c>
      <c r="AF155" s="15">
        <f>IF('ENCUESTA CONDUCTORES'!AN155="X",1,0)</f>
        <v>0</v>
      </c>
      <c r="AG155" s="15">
        <f>IF('ENCUESTA CONDUCTORES'!AO155="X",1,0)</f>
        <v>0</v>
      </c>
      <c r="AH155" s="15">
        <f>IF('ENCUESTA CONDUCTORES'!AP155="X",1,0)</f>
        <v>1</v>
      </c>
      <c r="AI155" s="15">
        <f>IF('ENCUESTA CONDUCTORES'!AQ155="X",1,0)</f>
        <v>0</v>
      </c>
      <c r="AJ155" s="15">
        <f>IF('ENCUESTA CONDUCTORES'!AR155="X",1,0)</f>
        <v>0</v>
      </c>
      <c r="AK155" s="15">
        <f>+'ENCUESTA CONDUCTORES'!AS155</f>
        <v>0</v>
      </c>
      <c r="AL155" s="15" t="str">
        <f>+'ENCUESTA CONDUCTORES'!AT155</f>
        <v>FREIGHTLINER</v>
      </c>
      <c r="AM155" s="1">
        <f>+'ENCUESTA CONDUCTORES'!AU155</f>
        <v>15000</v>
      </c>
      <c r="AN155" s="48">
        <f>+'ENCUESTA CONDUCTORES'!AV155</f>
        <v>0.5</v>
      </c>
      <c r="AO155" s="15">
        <f>+'ENCUESTA CONDUCTORES'!AW155</f>
        <v>3</v>
      </c>
      <c r="AP155" s="15">
        <f>+'ENCUESTA CONDUCTORES'!AX155</f>
        <v>2.5</v>
      </c>
      <c r="AQ155" s="15">
        <f>+'ENCUESTA CONDUCTORES'!AY155</f>
        <v>2</v>
      </c>
      <c r="AR155" s="15">
        <f>+'ENCUESTA CONDUCTORES'!AZ155</f>
        <v>1430</v>
      </c>
      <c r="AS155" s="15">
        <f>+'ENCUESTA CONDUCTORES'!BA155</f>
        <v>4000</v>
      </c>
      <c r="AT155" s="15">
        <f>IF('ENCUESTA CONDUCTORES'!BB155="X",1,0)</f>
        <v>0</v>
      </c>
      <c r="AU155" s="15">
        <f>IF('ENCUESTA CONDUCTORES'!BC155="X",1,0)</f>
        <v>0</v>
      </c>
      <c r="AV155" s="15">
        <f>IF('ENCUESTA CONDUCTORES'!BD155="X",1,0)</f>
        <v>0</v>
      </c>
      <c r="AW155" s="1">
        <f>+'ENCUESTA CONDUCTORES'!BE155</f>
        <v>25000</v>
      </c>
      <c r="AX155" s="1">
        <f>+'ENCUESTA CONDUCTORES'!BF155</f>
        <v>30000</v>
      </c>
      <c r="AY155" s="1">
        <f>+'ENCUESTA CONDUCTORES'!BG155</f>
        <v>25000</v>
      </c>
      <c r="AZ155" s="1">
        <f>+'ENCUESTA CONDUCTORES'!BH155</f>
        <v>72000</v>
      </c>
      <c r="BA155" s="1">
        <f>+'ENCUESTA CONDUCTORES'!BI155</f>
        <v>10000</v>
      </c>
      <c r="BB155" s="15">
        <f>IF('ENCUESTA CONDUCTORES'!BJ155="X",1,0)</f>
        <v>0</v>
      </c>
      <c r="BC155" s="15">
        <f>IF('ENCUESTA CONDUCTORES'!BK155="X",1,0)</f>
        <v>0</v>
      </c>
      <c r="BD155" s="15">
        <f>IF('ENCUESTA CONDUCTORES'!BL155="X",1,0)</f>
        <v>0</v>
      </c>
      <c r="BE155" s="15">
        <f>IF('ENCUESTA CONDUCTORES'!BM155="X",1,0)</f>
        <v>0</v>
      </c>
      <c r="BF155" s="15">
        <f>IF('ENCUESTA CONDUCTORES'!BN155="X",1,0)</f>
        <v>0</v>
      </c>
      <c r="BG155" s="15">
        <f>IF('ENCUESTA CONDUCTORES'!BO155="X",1,0)</f>
        <v>0</v>
      </c>
      <c r="BH155" s="15">
        <f>IF('ENCUESTA CONDUCTORES'!BP155="X",1,0)</f>
        <v>0</v>
      </c>
      <c r="BI155" s="15">
        <f>IF('ENCUESTA CONDUCTORES'!BQ155="X",1,0)</f>
        <v>0</v>
      </c>
      <c r="BJ155" s="15">
        <f>IF('ENCUESTA CONDUCTORES'!BR155="X",1,0)</f>
        <v>0</v>
      </c>
      <c r="BK155" s="15" t="str">
        <f>+'ENCUESTA CONDUCTORES'!BS155</f>
        <v>GENERAL</v>
      </c>
      <c r="BL155" s="15">
        <f>IF('ENCUESTA CONDUCTORES'!BT155="X",1,0)</f>
        <v>0</v>
      </c>
      <c r="BM155" s="15">
        <f>IF('ENCUESTA CONDUCTORES'!BU155="X",1,0)</f>
        <v>0</v>
      </c>
      <c r="BN155" s="15">
        <f>IF('ENCUESTA CONDUCTORES'!BV155="X",1,0)</f>
        <v>1</v>
      </c>
      <c r="BO155" s="15">
        <f>IF('ENCUESTA CONDUCTORES'!BW155="X",1,0)</f>
        <v>0</v>
      </c>
      <c r="BP155" s="15">
        <f>+'ENCUESTA CONDUCTORES'!BX155</f>
        <v>2</v>
      </c>
      <c r="BQ155" s="15">
        <f>+'ENCUESTA CONDUCTORES'!BY155</f>
        <v>3</v>
      </c>
      <c r="BR155" s="15">
        <f>+'ENCUESTA CONDUCTORES'!BZ155</f>
        <v>1</v>
      </c>
      <c r="BS155" s="15">
        <f>+'ENCUESTA CONDUCTORES'!CA155</f>
        <v>0</v>
      </c>
      <c r="BT155" s="15">
        <f>IF('ENCUESTA CONDUCTORES'!CB155="X",1,0)</f>
        <v>0</v>
      </c>
      <c r="BU155" s="15">
        <f>IF('ENCUESTA CONDUCTORES'!CC155="X",1,0)</f>
        <v>1</v>
      </c>
      <c r="BV155" s="15">
        <f>IF('ENCUESTA CONDUCTORES'!CD155="X",1,0)</f>
        <v>0</v>
      </c>
      <c r="BW155" s="15">
        <f>IF('ENCUESTA CONDUCTORES'!CE155="X",1,0)</f>
        <v>1</v>
      </c>
      <c r="BX155" s="15">
        <f>IF('ENCUESTA CONDUCTORES'!CF155="X",1,0)</f>
        <v>1</v>
      </c>
      <c r="BY155" s="15">
        <f>IF('ENCUESTA CONDUCTORES'!CG155="X",1,0)</f>
        <v>1</v>
      </c>
      <c r="BZ155" s="15">
        <f>IF('ENCUESTA CONDUCTORES'!CH155="X",1,0)</f>
        <v>1</v>
      </c>
      <c r="CA155" s="15">
        <f>IF('ENCUESTA CONDUCTORES'!CI155="X",1,0)</f>
        <v>1</v>
      </c>
      <c r="CB155" s="15">
        <f>IF('ENCUESTA CONDUCTORES'!CJ155="X",1,0)</f>
        <v>0</v>
      </c>
      <c r="CC155" s="15">
        <f>IF('ENCUESTA CONDUCTORES'!CK155="X",1,0)</f>
        <v>1</v>
      </c>
      <c r="CD155" s="15">
        <f>IF('ENCUESTA CONDUCTORES'!CL155="X",1,0)</f>
        <v>0</v>
      </c>
      <c r="CE155" s="15">
        <f>IF('ENCUESTA CONDUCTORES'!CM155="X",1,0)</f>
        <v>0</v>
      </c>
      <c r="CF155" s="15">
        <f>+'ENCUESTA CONDUCTORES'!CN155</f>
        <v>0</v>
      </c>
      <c r="CG155" s="15">
        <f>IF('ENCUESTA CONDUCTORES'!CO155="X",1,0)</f>
        <v>0</v>
      </c>
      <c r="CH155" s="15" t="str">
        <f>+'ENCUESTA CONDUCTORES'!CP155</f>
        <v>NO SABE</v>
      </c>
      <c r="CI155" s="15" t="str">
        <f>+'ENCUESTA CONDUCTORES'!CQ155</f>
        <v>NO SABE</v>
      </c>
      <c r="CJ155" s="15">
        <f>IF('ENCUESTA CONDUCTORES'!CR155="X",1,0)</f>
        <v>1</v>
      </c>
      <c r="CK155" s="15">
        <f>IF('ENCUESTA CONDUCTORES'!CS155="X",1,0)</f>
        <v>0</v>
      </c>
      <c r="CL155" s="15">
        <f>IF('ENCUESTA CONDUCTORES'!CT155="X",1,0)</f>
        <v>0</v>
      </c>
      <c r="CM155" s="15">
        <f>+'ENCUESTA CONDUCTORES'!CU155</f>
        <v>0</v>
      </c>
      <c r="CN155" s="15">
        <f>IF('ENCUESTA CONDUCTORES'!CV155="X",1,0)</f>
        <v>0</v>
      </c>
      <c r="CO155" s="15">
        <f>+'ENCUESTA CONDUCTORES'!CW155</f>
        <v>0</v>
      </c>
      <c r="CP155" s="15">
        <f>IF('ENCUESTA CONDUCTORES'!CX155="X",1,0)</f>
        <v>0</v>
      </c>
      <c r="CQ155" s="15">
        <f>IF('ENCUESTA CONDUCTORES'!CY155="X",1,0)</f>
        <v>1</v>
      </c>
      <c r="CR155" s="3">
        <f>+'ENCUESTA CONDUCTORES'!CZ155</f>
        <v>0</v>
      </c>
      <c r="CS155" s="49">
        <f>+'ENCUESTA CONDUCTORES'!DA155</f>
        <v>0</v>
      </c>
    </row>
    <row r="156" spans="2:97" x14ac:dyDescent="0.25">
      <c r="B156" s="14" t="str">
        <f>+'ENCUESTA CONDUCTORES'!D156</f>
        <v>C-162</v>
      </c>
      <c r="C156" s="15">
        <f>IF('ENCUESTA CONDUCTORES'!E156="X",1,0)</f>
        <v>0</v>
      </c>
      <c r="D156" s="15">
        <f>IF('ENCUESTA CONDUCTORES'!F156="X",1,0)</f>
        <v>0</v>
      </c>
      <c r="E156" s="15">
        <f>IF('ENCUESTA CONDUCTORES'!G156="X",1,0)</f>
        <v>1</v>
      </c>
      <c r="F156" s="15">
        <f>IF('ENCUESTA CONDUCTORES'!H156="X",1,0)</f>
        <v>0</v>
      </c>
      <c r="G156" s="15">
        <f>+'ENCUESTA CONDUCTORES'!I156</f>
        <v>54</v>
      </c>
      <c r="H156" s="15" t="str">
        <f>+'ENCUESTA CONDUCTORES'!J156</f>
        <v>M</v>
      </c>
      <c r="I156" s="15" t="str">
        <f>+'ENCUESTA CONDUCTORES'!K156</f>
        <v>PRIMARIA</v>
      </c>
      <c r="J156" s="15" t="str">
        <f>+'ENCUESTA CONDUCTORES'!L156</f>
        <v>TULTITLÁN, EDO. MEX.</v>
      </c>
      <c r="K156" s="15" t="str">
        <f>+'ENCUESTA CONDUCTORES'!M156</f>
        <v>TULTITLÁN</v>
      </c>
      <c r="L156" s="15" t="str">
        <f>+'ENCUESTA CONDUCTORES'!N156</f>
        <v>EDO. MEX.</v>
      </c>
      <c r="M156" s="15">
        <f>+'ENCUESTA CONDUCTORES'!O156</f>
        <v>32</v>
      </c>
      <c r="N156" s="15">
        <f>IF('ENCUESTA CONDUCTORES'!P156="X",1,0)</f>
        <v>1</v>
      </c>
      <c r="O156" s="15">
        <f>IF('ENCUESTA CONDUCTORES'!Q156="X",1,0)</f>
        <v>0</v>
      </c>
      <c r="P156" s="15">
        <f>IF('ENCUESTA CONDUCTORES'!R156="X",1,0)</f>
        <v>0</v>
      </c>
      <c r="Q156" s="15">
        <f>IF('ENCUESTA CONDUCTORES'!S156="X",1,0)</f>
        <v>0</v>
      </c>
      <c r="R156" s="15">
        <f>IF('ENCUESTA CONDUCTORES'!T156="X",1,0)</f>
        <v>0</v>
      </c>
      <c r="S156" s="15">
        <f>IF('ENCUESTA CONDUCTORES'!U156="X",1,0)</f>
        <v>0</v>
      </c>
      <c r="T156" s="15">
        <f>IF('ENCUESTA CONDUCTORES'!V156="X",1,0)</f>
        <v>0</v>
      </c>
      <c r="U156" s="15">
        <f>IF('ENCUESTA CONDUCTORES'!W156="X",1,0)</f>
        <v>0</v>
      </c>
      <c r="V156" s="15">
        <f>IF('ENCUESTA CONDUCTORES'!X156="X",1,0)</f>
        <v>0</v>
      </c>
      <c r="W156" s="15">
        <f>IF('ENCUESTA CONDUCTORES'!Y156="X",1,0)</f>
        <v>1</v>
      </c>
      <c r="X156" s="15">
        <f>IF('ENCUESTA CONDUCTORES'!Z156="X",1,0)</f>
        <v>0</v>
      </c>
      <c r="Y156" s="15">
        <f>+'ENCUESTA CONDUCTORES'!AG156</f>
        <v>0</v>
      </c>
      <c r="Z156" s="15">
        <f>+'ENCUESTA CONDUCTORES'!AH156</f>
        <v>2011</v>
      </c>
      <c r="AA156" s="1">
        <f>+'ENCUESTA CONDUCTORES'!AI156</f>
        <v>265000</v>
      </c>
      <c r="AB156" s="15">
        <f>IF('ENCUESTA CONDUCTORES'!AJ156="X",1,0)</f>
        <v>0</v>
      </c>
      <c r="AC156" s="15">
        <f>IF('ENCUESTA CONDUCTORES'!AK156="X",1,0)</f>
        <v>0</v>
      </c>
      <c r="AD156" s="15">
        <f>IF('ENCUESTA CONDUCTORES'!AL156="X",1,0)</f>
        <v>1</v>
      </c>
      <c r="AE156" s="15">
        <f>IF('ENCUESTA CONDUCTORES'!AM156="X",1,0)</f>
        <v>0</v>
      </c>
      <c r="AF156" s="15">
        <f>IF('ENCUESTA CONDUCTORES'!AN156="X",1,0)</f>
        <v>0</v>
      </c>
      <c r="AG156" s="15">
        <f>IF('ENCUESTA CONDUCTORES'!AO156="X",1,0)</f>
        <v>0</v>
      </c>
      <c r="AH156" s="15">
        <f>IF('ENCUESTA CONDUCTORES'!AP156="X",1,0)</f>
        <v>1</v>
      </c>
      <c r="AI156" s="15">
        <f>IF('ENCUESTA CONDUCTORES'!AQ156="X",1,0)</f>
        <v>0</v>
      </c>
      <c r="AJ156" s="15">
        <f>IF('ENCUESTA CONDUCTORES'!AR156="X",1,0)</f>
        <v>0</v>
      </c>
      <c r="AK156" s="15">
        <f>+'ENCUESTA CONDUCTORES'!AS156</f>
        <v>0</v>
      </c>
      <c r="AL156" s="15" t="str">
        <f>+'ENCUESTA CONDUCTORES'!AT156</f>
        <v>KENWORTH</v>
      </c>
      <c r="AM156" s="1">
        <f>+'ENCUESTA CONDUCTORES'!AU156</f>
        <v>10000</v>
      </c>
      <c r="AN156" s="48">
        <f>+'ENCUESTA CONDUCTORES'!AV156</f>
        <v>0.5</v>
      </c>
      <c r="AO156" s="15">
        <f>+'ENCUESTA CONDUCTORES'!AW156</f>
        <v>3.2</v>
      </c>
      <c r="AP156" s="15">
        <f>+'ENCUESTA CONDUCTORES'!AX156</f>
        <v>2.5</v>
      </c>
      <c r="AQ156" s="15">
        <f>+'ENCUESTA CONDUCTORES'!AY156</f>
        <v>2</v>
      </c>
      <c r="AR156" s="15">
        <f>+'ENCUESTA CONDUCTORES'!AZ156</f>
        <v>710</v>
      </c>
      <c r="AS156" s="15">
        <f>+'ENCUESTA CONDUCTORES'!BA156</f>
        <v>2000</v>
      </c>
      <c r="AT156" s="15">
        <f>IF('ENCUESTA CONDUCTORES'!BB156="X",1,0)</f>
        <v>1</v>
      </c>
      <c r="AU156" s="15">
        <f>IF('ENCUESTA CONDUCTORES'!BC156="X",1,0)</f>
        <v>1</v>
      </c>
      <c r="AV156" s="15">
        <f>IF('ENCUESTA CONDUCTORES'!BD156="X",1,0)</f>
        <v>0</v>
      </c>
      <c r="AW156" s="1">
        <f>+'ENCUESTA CONDUCTORES'!BE156</f>
        <v>40000</v>
      </c>
      <c r="AX156" s="1">
        <f>+'ENCUESTA CONDUCTORES'!BF156</f>
        <v>40000</v>
      </c>
      <c r="AY156" s="1">
        <f>+'ENCUESTA CONDUCTORES'!BG156</f>
        <v>40000</v>
      </c>
      <c r="AZ156" s="1">
        <f>+'ENCUESTA CONDUCTORES'!BH156</f>
        <v>120000</v>
      </c>
      <c r="BA156" s="1">
        <f>+'ENCUESTA CONDUCTORES'!BI156</f>
        <v>40000</v>
      </c>
      <c r="BB156" s="15">
        <f>IF('ENCUESTA CONDUCTORES'!BJ156="X",1,0)</f>
        <v>1</v>
      </c>
      <c r="BC156" s="15">
        <f>IF('ENCUESTA CONDUCTORES'!BK156="X",1,0)</f>
        <v>0</v>
      </c>
      <c r="BD156" s="15">
        <f>IF('ENCUESTA CONDUCTORES'!BL156="X",1,0)</f>
        <v>0</v>
      </c>
      <c r="BE156" s="15">
        <f>IF('ENCUESTA CONDUCTORES'!BM156="X",1,0)</f>
        <v>0</v>
      </c>
      <c r="BF156" s="15">
        <f>IF('ENCUESTA CONDUCTORES'!BN156="X",1,0)</f>
        <v>0</v>
      </c>
      <c r="BG156" s="15">
        <f>IF('ENCUESTA CONDUCTORES'!BO156="X",1,0)</f>
        <v>0</v>
      </c>
      <c r="BH156" s="15">
        <f>IF('ENCUESTA CONDUCTORES'!BP156="X",1,0)</f>
        <v>0</v>
      </c>
      <c r="BI156" s="15">
        <f>IF('ENCUESTA CONDUCTORES'!BQ156="X",1,0)</f>
        <v>0</v>
      </c>
      <c r="BJ156" s="15">
        <f>IF('ENCUESTA CONDUCTORES'!BR156="X",1,0)</f>
        <v>0</v>
      </c>
      <c r="BK156" s="15">
        <f>+'ENCUESTA CONDUCTORES'!BS156</f>
        <v>0</v>
      </c>
      <c r="BL156" s="15">
        <f>IF('ENCUESTA CONDUCTORES'!BT156="X",1,0)</f>
        <v>0</v>
      </c>
      <c r="BM156" s="15">
        <f>IF('ENCUESTA CONDUCTORES'!BU156="X",1,0)</f>
        <v>1</v>
      </c>
      <c r="BN156" s="15">
        <f>IF('ENCUESTA CONDUCTORES'!BV156="X",1,0)</f>
        <v>0</v>
      </c>
      <c r="BO156" s="15">
        <f>IF('ENCUESTA CONDUCTORES'!BW156="X",1,0)</f>
        <v>0</v>
      </c>
      <c r="BP156" s="15">
        <f>+'ENCUESTA CONDUCTORES'!BX156</f>
        <v>3</v>
      </c>
      <c r="BQ156" s="15">
        <f>+'ENCUESTA CONDUCTORES'!BY156</f>
        <v>4</v>
      </c>
      <c r="BR156" s="15">
        <f>+'ENCUESTA CONDUCTORES'!BZ156</f>
        <v>2</v>
      </c>
      <c r="BS156" s="15" t="str">
        <f>+'ENCUESTA CONDUCTORES'!CA156</f>
        <v>SEGURIDAD</v>
      </c>
      <c r="BT156" s="15">
        <f>IF('ENCUESTA CONDUCTORES'!CB156="X",1,0)</f>
        <v>0</v>
      </c>
      <c r="BU156" s="15">
        <f>IF('ENCUESTA CONDUCTORES'!CC156="X",1,0)</f>
        <v>1</v>
      </c>
      <c r="BV156" s="15">
        <f>IF('ENCUESTA CONDUCTORES'!CD156="X",1,0)</f>
        <v>0</v>
      </c>
      <c r="BW156" s="15">
        <f>IF('ENCUESTA CONDUCTORES'!CE156="X",1,0)</f>
        <v>0</v>
      </c>
      <c r="BX156" s="15">
        <f>IF('ENCUESTA CONDUCTORES'!CF156="X",1,0)</f>
        <v>0</v>
      </c>
      <c r="BY156" s="15">
        <f>IF('ENCUESTA CONDUCTORES'!CG156="X",1,0)</f>
        <v>0</v>
      </c>
      <c r="BZ156" s="15">
        <f>IF('ENCUESTA CONDUCTORES'!CH156="X",1,0)</f>
        <v>1</v>
      </c>
      <c r="CA156" s="15">
        <f>IF('ENCUESTA CONDUCTORES'!CI156="X",1,0)</f>
        <v>1</v>
      </c>
      <c r="CB156" s="15">
        <f>IF('ENCUESTA CONDUCTORES'!CJ156="X",1,0)</f>
        <v>0</v>
      </c>
      <c r="CC156" s="15">
        <f>IF('ENCUESTA CONDUCTORES'!CK156="X",1,0)</f>
        <v>1</v>
      </c>
      <c r="CD156" s="15">
        <f>IF('ENCUESTA CONDUCTORES'!CL156="X",1,0)</f>
        <v>0</v>
      </c>
      <c r="CE156" s="15">
        <f>IF('ENCUESTA CONDUCTORES'!CM156="X",1,0)</f>
        <v>0</v>
      </c>
      <c r="CF156" s="15">
        <f>+'ENCUESTA CONDUCTORES'!CN156</f>
        <v>0</v>
      </c>
      <c r="CG156" s="15">
        <f>IF('ENCUESTA CONDUCTORES'!CO156="X",1,0)</f>
        <v>0</v>
      </c>
      <c r="CH156" s="15" t="str">
        <f>+'ENCUESTA CONDUCTORES'!CP156</f>
        <v>NO SABE</v>
      </c>
      <c r="CI156" s="15" t="str">
        <f>+'ENCUESTA CONDUCTORES'!CQ156</f>
        <v>DARLO A CONOCER</v>
      </c>
      <c r="CJ156" s="15">
        <f>IF('ENCUESTA CONDUCTORES'!CR156="X",1,0)</f>
        <v>0</v>
      </c>
      <c r="CK156" s="15">
        <f>IF('ENCUESTA CONDUCTORES'!CS156="X",1,0)</f>
        <v>0</v>
      </c>
      <c r="CL156" s="15">
        <f>IF('ENCUESTA CONDUCTORES'!CT156="X",1,0)</f>
        <v>1</v>
      </c>
      <c r="CM156" s="15">
        <f>+'ENCUESTA CONDUCTORES'!CU156</f>
        <v>0</v>
      </c>
      <c r="CN156" s="15">
        <f>IF('ENCUESTA CONDUCTORES'!CV156="X",1,0)</f>
        <v>0</v>
      </c>
      <c r="CO156" s="15">
        <f>+'ENCUESTA CONDUCTORES'!CW156</f>
        <v>0</v>
      </c>
      <c r="CP156" s="15">
        <f>IF('ENCUESTA CONDUCTORES'!CX156="X",1,0)</f>
        <v>1</v>
      </c>
      <c r="CQ156" s="15">
        <f>IF('ENCUESTA CONDUCTORES'!CY156="X",1,0)</f>
        <v>0</v>
      </c>
      <c r="CR156" s="3">
        <f>+'ENCUESTA CONDUCTORES'!CZ156</f>
        <v>0</v>
      </c>
      <c r="CS156" s="49">
        <f>+'ENCUESTA CONDUCTORES'!DA156</f>
        <v>0</v>
      </c>
    </row>
    <row r="157" spans="2:97" x14ac:dyDescent="0.25">
      <c r="B157" s="14" t="str">
        <f>+'ENCUESTA CONDUCTORES'!D157</f>
        <v>C-163</v>
      </c>
      <c r="C157" s="15">
        <f>IF('ENCUESTA CONDUCTORES'!E157="X",1,0)</f>
        <v>1</v>
      </c>
      <c r="D157" s="15">
        <f>IF('ENCUESTA CONDUCTORES'!F157="X",1,0)</f>
        <v>0</v>
      </c>
      <c r="E157" s="15">
        <f>IF('ENCUESTA CONDUCTORES'!G157="X",1,0)</f>
        <v>0</v>
      </c>
      <c r="F157" s="15">
        <f>IF('ENCUESTA CONDUCTORES'!H157="X",1,0)</f>
        <v>0</v>
      </c>
      <c r="G157" s="15">
        <f>+'ENCUESTA CONDUCTORES'!I157</f>
        <v>30</v>
      </c>
      <c r="H157" s="15" t="str">
        <f>+'ENCUESTA CONDUCTORES'!J157</f>
        <v>M</v>
      </c>
      <c r="I157" s="15" t="str">
        <f>+'ENCUESTA CONDUCTORES'!K157</f>
        <v>SECUNDARIA</v>
      </c>
      <c r="J157" s="15" t="str">
        <f>+'ENCUESTA CONDUCTORES'!L157</f>
        <v>CHICOLOAPAN, EDO. MEX.</v>
      </c>
      <c r="K157" s="15" t="str">
        <f>+'ENCUESTA CONDUCTORES'!M157</f>
        <v>CHICOLOAPAN</v>
      </c>
      <c r="L157" s="15" t="str">
        <f>+'ENCUESTA CONDUCTORES'!N157</f>
        <v>EDO. MEX.</v>
      </c>
      <c r="M157" s="15">
        <f>+'ENCUESTA CONDUCTORES'!O157</f>
        <v>7</v>
      </c>
      <c r="N157" s="15">
        <f>IF('ENCUESTA CONDUCTORES'!P157="X",1,0)</f>
        <v>1</v>
      </c>
      <c r="O157" s="15">
        <f>IF('ENCUESTA CONDUCTORES'!Q157="X",1,0)</f>
        <v>0</v>
      </c>
      <c r="P157" s="15">
        <f>IF('ENCUESTA CONDUCTORES'!R157="X",1,0)</f>
        <v>0</v>
      </c>
      <c r="Q157" s="15">
        <f>IF('ENCUESTA CONDUCTORES'!S157="X",1,0)</f>
        <v>0</v>
      </c>
      <c r="R157" s="15">
        <f>IF('ENCUESTA CONDUCTORES'!T157="X",1,0)</f>
        <v>0</v>
      </c>
      <c r="S157" s="15">
        <f>IF('ENCUESTA CONDUCTORES'!U157="X",1,0)</f>
        <v>1</v>
      </c>
      <c r="T157" s="15">
        <f>IF('ENCUESTA CONDUCTORES'!V157="X",1,0)</f>
        <v>0</v>
      </c>
      <c r="U157" s="15">
        <f>IF('ENCUESTA CONDUCTORES'!W157="X",1,0)</f>
        <v>0</v>
      </c>
      <c r="V157" s="15">
        <f>IF('ENCUESTA CONDUCTORES'!X157="X",1,0)</f>
        <v>0</v>
      </c>
      <c r="W157" s="15">
        <f>IF('ENCUESTA CONDUCTORES'!Y157="X",1,0)</f>
        <v>0</v>
      </c>
      <c r="X157" s="15">
        <f>IF('ENCUESTA CONDUCTORES'!Z157="X",1,0)</f>
        <v>0</v>
      </c>
      <c r="Y157" s="15">
        <f>+'ENCUESTA CONDUCTORES'!AG157</f>
        <v>0</v>
      </c>
      <c r="Z157" s="15">
        <f>+'ENCUESTA CONDUCTORES'!AH157</f>
        <v>1990</v>
      </c>
      <c r="AA157" s="1">
        <f>+'ENCUESTA CONDUCTORES'!AI157</f>
        <v>1200000</v>
      </c>
      <c r="AB157" s="15">
        <f>IF('ENCUESTA CONDUCTORES'!AJ157="X",1,0)</f>
        <v>0</v>
      </c>
      <c r="AC157" s="15">
        <f>IF('ENCUESTA CONDUCTORES'!AK157="X",1,0)</f>
        <v>0</v>
      </c>
      <c r="AD157" s="15">
        <f>IF('ENCUESTA CONDUCTORES'!AL157="X",1,0)</f>
        <v>1</v>
      </c>
      <c r="AE157" s="15">
        <f>IF('ENCUESTA CONDUCTORES'!AM157="X",1,0)</f>
        <v>0</v>
      </c>
      <c r="AF157" s="15">
        <f>IF('ENCUESTA CONDUCTORES'!AN157="X",1,0)</f>
        <v>0</v>
      </c>
      <c r="AG157" s="15">
        <f>IF('ENCUESTA CONDUCTORES'!AO157="X",1,0)</f>
        <v>0</v>
      </c>
      <c r="AH157" s="15">
        <f>IF('ENCUESTA CONDUCTORES'!AP157="X",1,0)</f>
        <v>1</v>
      </c>
      <c r="AI157" s="15">
        <f>IF('ENCUESTA CONDUCTORES'!AQ157="X",1,0)</f>
        <v>0</v>
      </c>
      <c r="AJ157" s="15">
        <f>IF('ENCUESTA CONDUCTORES'!AR157="X",1,0)</f>
        <v>0</v>
      </c>
      <c r="AK157" s="15">
        <f>+'ENCUESTA CONDUCTORES'!AS157</f>
        <v>0</v>
      </c>
      <c r="AL157" s="15" t="str">
        <f>+'ENCUESTA CONDUCTORES'!AT157</f>
        <v>CUMMINS</v>
      </c>
      <c r="AM157" s="1">
        <f>+'ENCUESTA CONDUCTORES'!AU157</f>
        <v>1500</v>
      </c>
      <c r="AN157" s="48">
        <f>+'ENCUESTA CONDUCTORES'!AV157</f>
        <v>0.3</v>
      </c>
      <c r="AO157" s="15">
        <f>+'ENCUESTA CONDUCTORES'!AW157</f>
        <v>3.5</v>
      </c>
      <c r="AP157" s="15">
        <f>+'ENCUESTA CONDUCTORES'!AX157</f>
        <v>3</v>
      </c>
      <c r="AQ157" s="15">
        <f>+'ENCUESTA CONDUCTORES'!AY157</f>
        <v>1</v>
      </c>
      <c r="AR157" s="15">
        <f>+'ENCUESTA CONDUCTORES'!AZ157</f>
        <v>200</v>
      </c>
      <c r="AS157" s="15">
        <f>+'ENCUESTA CONDUCTORES'!BA157</f>
        <v>700</v>
      </c>
      <c r="AT157" s="15">
        <f>IF('ENCUESTA CONDUCTORES'!BB157="X",1,0)</f>
        <v>0</v>
      </c>
      <c r="AU157" s="15">
        <f>IF('ENCUESTA CONDUCTORES'!BC157="X",1,0)</f>
        <v>0</v>
      </c>
      <c r="AV157" s="15">
        <f>IF('ENCUESTA CONDUCTORES'!BD157="X",1,0)</f>
        <v>0</v>
      </c>
      <c r="AW157" s="1">
        <f>+'ENCUESTA CONDUCTORES'!BE157</f>
        <v>10000</v>
      </c>
      <c r="AX157" s="1">
        <f>+'ENCUESTA CONDUCTORES'!BF157</f>
        <v>6000</v>
      </c>
      <c r="AY157" s="1">
        <f>+'ENCUESTA CONDUCTORES'!BG157</f>
        <v>10000</v>
      </c>
      <c r="AZ157" s="1">
        <f>+'ENCUESTA CONDUCTORES'!BH157</f>
        <v>120000</v>
      </c>
      <c r="BA157" s="1">
        <f>+'ENCUESTA CONDUCTORES'!BI157</f>
        <v>10000</v>
      </c>
      <c r="BB157" s="15">
        <f>IF('ENCUESTA CONDUCTORES'!BJ157="X",1,0)</f>
        <v>0</v>
      </c>
      <c r="BC157" s="15">
        <f>IF('ENCUESTA CONDUCTORES'!BK157="X",1,0)</f>
        <v>0</v>
      </c>
      <c r="BD157" s="15">
        <f>IF('ENCUESTA CONDUCTORES'!BL157="X",1,0)</f>
        <v>0</v>
      </c>
      <c r="BE157" s="15">
        <f>IF('ENCUESTA CONDUCTORES'!BM157="X",1,0)</f>
        <v>1</v>
      </c>
      <c r="BF157" s="15">
        <f>IF('ENCUESTA CONDUCTORES'!BN157="X",1,0)</f>
        <v>0</v>
      </c>
      <c r="BG157" s="15">
        <f>IF('ENCUESTA CONDUCTORES'!BO157="X",1,0)</f>
        <v>0</v>
      </c>
      <c r="BH157" s="15">
        <f>IF('ENCUESTA CONDUCTORES'!BP157="X",1,0)</f>
        <v>0</v>
      </c>
      <c r="BI157" s="15">
        <f>IF('ENCUESTA CONDUCTORES'!BQ157="X",1,0)</f>
        <v>0</v>
      </c>
      <c r="BJ157" s="15">
        <f>IF('ENCUESTA CONDUCTORES'!BR157="X",1,0)</f>
        <v>0</v>
      </c>
      <c r="BK157" s="15">
        <f>+'ENCUESTA CONDUCTORES'!BS157</f>
        <v>0</v>
      </c>
      <c r="BL157" s="15">
        <f>IF('ENCUESTA CONDUCTORES'!BT157="X",1,0)</f>
        <v>0</v>
      </c>
      <c r="BM157" s="15">
        <f>IF('ENCUESTA CONDUCTORES'!BU157="X",1,0)</f>
        <v>0</v>
      </c>
      <c r="BN157" s="15">
        <f>IF('ENCUESTA CONDUCTORES'!BV157="X",1,0)</f>
        <v>1</v>
      </c>
      <c r="BO157" s="15">
        <f>IF('ENCUESTA CONDUCTORES'!BW157="X",1,0)</f>
        <v>0</v>
      </c>
      <c r="BP157" s="15">
        <f>+'ENCUESTA CONDUCTORES'!BX157</f>
        <v>3</v>
      </c>
      <c r="BQ157" s="15">
        <f>+'ENCUESTA CONDUCTORES'!BY157</f>
        <v>2</v>
      </c>
      <c r="BR157" s="15">
        <f>+'ENCUESTA CONDUCTORES'!BZ157</f>
        <v>1</v>
      </c>
      <c r="BS157" s="15">
        <f>+'ENCUESTA CONDUCTORES'!CA157</f>
        <v>0</v>
      </c>
      <c r="BT157" s="15">
        <f>IF('ENCUESTA CONDUCTORES'!CB157="X",1,0)</f>
        <v>1</v>
      </c>
      <c r="BU157" s="15">
        <f>IF('ENCUESTA CONDUCTORES'!CC157="X",1,0)</f>
        <v>0</v>
      </c>
      <c r="BV157" s="15">
        <f>IF('ENCUESTA CONDUCTORES'!CD157="X",1,0)</f>
        <v>0</v>
      </c>
      <c r="BW157" s="15">
        <f>IF('ENCUESTA CONDUCTORES'!CE157="X",1,0)</f>
        <v>0</v>
      </c>
      <c r="BX157" s="15">
        <f>IF('ENCUESTA CONDUCTORES'!CF157="X",1,0)</f>
        <v>0</v>
      </c>
      <c r="BY157" s="15">
        <f>IF('ENCUESTA CONDUCTORES'!CG157="X",1,0)</f>
        <v>0</v>
      </c>
      <c r="BZ157" s="15">
        <f>IF('ENCUESTA CONDUCTORES'!CH157="X",1,0)</f>
        <v>0</v>
      </c>
      <c r="CA157" s="15">
        <f>IF('ENCUESTA CONDUCTORES'!CI157="X",1,0)</f>
        <v>0</v>
      </c>
      <c r="CB157" s="15">
        <f>IF('ENCUESTA CONDUCTORES'!CJ157="X",1,0)</f>
        <v>0</v>
      </c>
      <c r="CC157" s="15">
        <f>IF('ENCUESTA CONDUCTORES'!CK157="X",1,0)</f>
        <v>1</v>
      </c>
      <c r="CD157" s="15">
        <f>IF('ENCUESTA CONDUCTORES'!CL157="X",1,0)</f>
        <v>0</v>
      </c>
      <c r="CE157" s="15">
        <f>IF('ENCUESTA CONDUCTORES'!CM157="X",1,0)</f>
        <v>0</v>
      </c>
      <c r="CF157" s="15">
        <f>+'ENCUESTA CONDUCTORES'!CN157</f>
        <v>0</v>
      </c>
      <c r="CG157" s="15">
        <f>IF('ENCUESTA CONDUCTORES'!CO157="X",1,0)</f>
        <v>0</v>
      </c>
      <c r="CH157" s="15" t="str">
        <f>+'ENCUESTA CONDUCTORES'!CP157</f>
        <v>NO SABE</v>
      </c>
      <c r="CI157" s="15" t="str">
        <f>+'ENCUESTA CONDUCTORES'!CQ157</f>
        <v>PUBLICIDAD</v>
      </c>
      <c r="CJ157" s="15">
        <f>IF('ENCUESTA CONDUCTORES'!CR157="X",1,0)</f>
        <v>1</v>
      </c>
      <c r="CK157" s="15">
        <f>IF('ENCUESTA CONDUCTORES'!CS157="X",1,0)</f>
        <v>0</v>
      </c>
      <c r="CL157" s="15">
        <f>IF('ENCUESTA CONDUCTORES'!CT157="X",1,0)</f>
        <v>0</v>
      </c>
      <c r="CM157" s="15">
        <f>+'ENCUESTA CONDUCTORES'!CU157</f>
        <v>0</v>
      </c>
      <c r="CN157" s="15">
        <f>IF('ENCUESTA CONDUCTORES'!CV157="X",1,0)</f>
        <v>0</v>
      </c>
      <c r="CO157" s="15">
        <f>+'ENCUESTA CONDUCTORES'!CW157</f>
        <v>0</v>
      </c>
      <c r="CP157" s="15">
        <f>IF('ENCUESTA CONDUCTORES'!CX157="X",1,0)</f>
        <v>1</v>
      </c>
      <c r="CQ157" s="15">
        <f>IF('ENCUESTA CONDUCTORES'!CY157="X",1,0)</f>
        <v>0</v>
      </c>
      <c r="CR157" s="3">
        <f>+'ENCUESTA CONDUCTORES'!CZ157</f>
        <v>0</v>
      </c>
      <c r="CS157" s="49">
        <f>+'ENCUESTA CONDUCTORES'!DA157</f>
        <v>0</v>
      </c>
    </row>
    <row r="158" spans="2:97" x14ac:dyDescent="0.25">
      <c r="B158" s="14" t="str">
        <f>+'ENCUESTA CONDUCTORES'!D158</f>
        <v>C-164</v>
      </c>
      <c r="C158" s="15">
        <f>IF('ENCUESTA CONDUCTORES'!E158="X",1,0)</f>
        <v>0</v>
      </c>
      <c r="D158" s="15">
        <f>IF('ENCUESTA CONDUCTORES'!F158="X",1,0)</f>
        <v>1</v>
      </c>
      <c r="E158" s="15">
        <f>IF('ENCUESTA CONDUCTORES'!G158="X",1,0)</f>
        <v>0</v>
      </c>
      <c r="F158" s="15">
        <f>IF('ENCUESTA CONDUCTORES'!H158="X",1,0)</f>
        <v>0</v>
      </c>
      <c r="G158" s="15">
        <f>+'ENCUESTA CONDUCTORES'!I158</f>
        <v>30</v>
      </c>
      <c r="H158" s="15" t="str">
        <f>+'ENCUESTA CONDUCTORES'!J158</f>
        <v>M</v>
      </c>
      <c r="I158" s="15" t="str">
        <f>+'ENCUESTA CONDUCTORES'!K158</f>
        <v>SECUNDARIA</v>
      </c>
      <c r="J158" s="15" t="str">
        <f>+'ENCUESTA CONDUCTORES'!L158</f>
        <v>ÁLVARO OBREGÓN, D.F.</v>
      </c>
      <c r="K158" s="50" t="str">
        <f>+'ENCUESTA CONDUCTORES'!M158</f>
        <v>ÁLVARO OBREGÓN</v>
      </c>
      <c r="L158" s="15" t="str">
        <f>+'ENCUESTA CONDUCTORES'!N158</f>
        <v>D.F.</v>
      </c>
      <c r="M158" s="15">
        <f>+'ENCUESTA CONDUCTORES'!O158</f>
        <v>10</v>
      </c>
      <c r="N158" s="15">
        <f>IF('ENCUESTA CONDUCTORES'!P158="X",1,0)</f>
        <v>1</v>
      </c>
      <c r="O158" s="15">
        <f>IF('ENCUESTA CONDUCTORES'!Q158="X",1,0)</f>
        <v>0</v>
      </c>
      <c r="P158" s="15">
        <f>IF('ENCUESTA CONDUCTORES'!R158="X",1,0)</f>
        <v>0</v>
      </c>
      <c r="Q158" s="15">
        <f>IF('ENCUESTA CONDUCTORES'!S158="X",1,0)</f>
        <v>0</v>
      </c>
      <c r="R158" s="15">
        <f>IF('ENCUESTA CONDUCTORES'!T158="X",1,0)</f>
        <v>0</v>
      </c>
      <c r="S158" s="15">
        <f>IF('ENCUESTA CONDUCTORES'!U158="X",1,0)</f>
        <v>1</v>
      </c>
      <c r="T158" s="15">
        <f>IF('ENCUESTA CONDUCTORES'!V158="X",1,0)</f>
        <v>0</v>
      </c>
      <c r="U158" s="15">
        <f>IF('ENCUESTA CONDUCTORES'!W158="X",1,0)</f>
        <v>0</v>
      </c>
      <c r="V158" s="15">
        <f>IF('ENCUESTA CONDUCTORES'!X158="X",1,0)</f>
        <v>0</v>
      </c>
      <c r="W158" s="15">
        <f>IF('ENCUESTA CONDUCTORES'!Y158="X",1,0)</f>
        <v>0</v>
      </c>
      <c r="X158" s="15">
        <f>IF('ENCUESTA CONDUCTORES'!Z158="X",1,0)</f>
        <v>0</v>
      </c>
      <c r="Y158" s="15">
        <f>+'ENCUESTA CONDUCTORES'!AG158</f>
        <v>0</v>
      </c>
      <c r="Z158" s="15">
        <f>+'ENCUESTA CONDUCTORES'!AH158</f>
        <v>1980</v>
      </c>
      <c r="AA158" s="1">
        <f>+'ENCUESTA CONDUCTORES'!AI158</f>
        <v>1500000</v>
      </c>
      <c r="AB158" s="15">
        <f>IF('ENCUESTA CONDUCTORES'!AJ158="X",1,0)</f>
        <v>0</v>
      </c>
      <c r="AC158" s="15">
        <f>IF('ENCUESTA CONDUCTORES'!AK158="X",1,0)</f>
        <v>0</v>
      </c>
      <c r="AD158" s="15">
        <f>IF('ENCUESTA CONDUCTORES'!AL158="X",1,0)</f>
        <v>1</v>
      </c>
      <c r="AE158" s="15">
        <f>IF('ENCUESTA CONDUCTORES'!AM158="X",1,0)</f>
        <v>0</v>
      </c>
      <c r="AF158" s="15">
        <f>IF('ENCUESTA CONDUCTORES'!AN158="X",1,0)</f>
        <v>0</v>
      </c>
      <c r="AG158" s="15">
        <f>IF('ENCUESTA CONDUCTORES'!AO158="X",1,0)</f>
        <v>0</v>
      </c>
      <c r="AH158" s="15">
        <f>IF('ENCUESTA CONDUCTORES'!AP158="X",1,0)</f>
        <v>0</v>
      </c>
      <c r="AI158" s="15">
        <f>IF('ENCUESTA CONDUCTORES'!AQ158="X",1,0)</f>
        <v>0</v>
      </c>
      <c r="AJ158" s="15">
        <f>IF('ENCUESTA CONDUCTORES'!AR158="X",1,0)</f>
        <v>1</v>
      </c>
      <c r="AK158" s="15">
        <f>+'ENCUESTA CONDUCTORES'!AS158</f>
        <v>1998</v>
      </c>
      <c r="AL158" s="15" t="str">
        <f>+'ENCUESTA CONDUCTORES'!AT158</f>
        <v>KENWORTH</v>
      </c>
      <c r="AM158" s="1">
        <f>+'ENCUESTA CONDUCTORES'!AU158</f>
        <v>2000</v>
      </c>
      <c r="AN158" s="48">
        <f>+'ENCUESTA CONDUCTORES'!AV158</f>
        <v>0.3</v>
      </c>
      <c r="AO158" s="15">
        <f>+'ENCUESTA CONDUCTORES'!AW158</f>
        <v>3</v>
      </c>
      <c r="AP158" s="15">
        <f>+'ENCUESTA CONDUCTORES'!AX158</f>
        <v>2.5</v>
      </c>
      <c r="AQ158" s="15">
        <f>+'ENCUESTA CONDUCTORES'!AY158</f>
        <v>2</v>
      </c>
      <c r="AR158" s="15">
        <f>+'ENCUESTA CONDUCTORES'!AZ158</f>
        <v>360</v>
      </c>
      <c r="AS158" s="15">
        <f>+'ENCUESTA CONDUCTORES'!BA158</f>
        <v>1000</v>
      </c>
      <c r="AT158" s="15">
        <f>IF('ENCUESTA CONDUCTORES'!BB158="X",1,0)</f>
        <v>0</v>
      </c>
      <c r="AU158" s="15">
        <f>IF('ENCUESTA CONDUCTORES'!BC158="X",1,0)</f>
        <v>1</v>
      </c>
      <c r="AV158" s="15">
        <f>IF('ENCUESTA CONDUCTORES'!BD158="X",1,0)</f>
        <v>0</v>
      </c>
      <c r="AW158" s="1">
        <f>+'ENCUESTA CONDUCTORES'!BE158</f>
        <v>4000</v>
      </c>
      <c r="AX158" s="1">
        <f>+'ENCUESTA CONDUCTORES'!BF158</f>
        <v>24000</v>
      </c>
      <c r="AY158" s="1">
        <f>+'ENCUESTA CONDUCTORES'!BG158</f>
        <v>4000</v>
      </c>
      <c r="AZ158" s="1">
        <f>+'ENCUESTA CONDUCTORES'!BH158</f>
        <v>24000</v>
      </c>
      <c r="BA158" s="1">
        <f>+'ENCUESTA CONDUCTORES'!BI158</f>
        <v>4000</v>
      </c>
      <c r="BB158" s="15">
        <f>IF('ENCUESTA CONDUCTORES'!BJ158="X",1,0)</f>
        <v>0</v>
      </c>
      <c r="BC158" s="15">
        <f>IF('ENCUESTA CONDUCTORES'!BK158="X",1,0)</f>
        <v>0</v>
      </c>
      <c r="BD158" s="15">
        <f>IF('ENCUESTA CONDUCTORES'!BL158="X",1,0)</f>
        <v>0</v>
      </c>
      <c r="BE158" s="15">
        <f>IF('ENCUESTA CONDUCTORES'!BM158="X",1,0)</f>
        <v>1</v>
      </c>
      <c r="BF158" s="15">
        <f>IF('ENCUESTA CONDUCTORES'!BN158="X",1,0)</f>
        <v>0</v>
      </c>
      <c r="BG158" s="15">
        <f>IF('ENCUESTA CONDUCTORES'!BO158="X",1,0)</f>
        <v>0</v>
      </c>
      <c r="BH158" s="15">
        <f>IF('ENCUESTA CONDUCTORES'!BP158="X",1,0)</f>
        <v>0</v>
      </c>
      <c r="BI158" s="15">
        <f>IF('ENCUESTA CONDUCTORES'!BQ158="X",1,0)</f>
        <v>0</v>
      </c>
      <c r="BJ158" s="15">
        <f>IF('ENCUESTA CONDUCTORES'!BR158="X",1,0)</f>
        <v>0</v>
      </c>
      <c r="BK158" s="15">
        <f>+'ENCUESTA CONDUCTORES'!BS158</f>
        <v>0</v>
      </c>
      <c r="BL158" s="15">
        <f>IF('ENCUESTA CONDUCTORES'!BT158="X",1,0)</f>
        <v>0</v>
      </c>
      <c r="BM158" s="15">
        <f>IF('ENCUESTA CONDUCTORES'!BU158="X",1,0)</f>
        <v>1</v>
      </c>
      <c r="BN158" s="15">
        <f>IF('ENCUESTA CONDUCTORES'!BV158="X",1,0)</f>
        <v>0</v>
      </c>
      <c r="BO158" s="15">
        <f>IF('ENCUESTA CONDUCTORES'!BW158="X",1,0)</f>
        <v>0</v>
      </c>
      <c r="BP158" s="15">
        <f>+'ENCUESTA CONDUCTORES'!BX158</f>
        <v>1</v>
      </c>
      <c r="BQ158" s="15">
        <f>+'ENCUESTA CONDUCTORES'!BY158</f>
        <v>3</v>
      </c>
      <c r="BR158" s="15">
        <f>+'ENCUESTA CONDUCTORES'!BZ158</f>
        <v>2</v>
      </c>
      <c r="BS158" s="15">
        <f>+'ENCUESTA CONDUCTORES'!CA158</f>
        <v>0</v>
      </c>
      <c r="BT158" s="15">
        <f>IF('ENCUESTA CONDUCTORES'!CB158="X",1,0)</f>
        <v>0</v>
      </c>
      <c r="BU158" s="15">
        <f>IF('ENCUESTA CONDUCTORES'!CC158="X",1,0)</f>
        <v>1</v>
      </c>
      <c r="BV158" s="15">
        <f>IF('ENCUESTA CONDUCTORES'!CD158="X",1,0)</f>
        <v>0</v>
      </c>
      <c r="BW158" s="15">
        <f>IF('ENCUESTA CONDUCTORES'!CE158="X",1,0)</f>
        <v>0</v>
      </c>
      <c r="BX158" s="15">
        <f>IF('ENCUESTA CONDUCTORES'!CF158="X",1,0)</f>
        <v>0</v>
      </c>
      <c r="BY158" s="15">
        <f>IF('ENCUESTA CONDUCTORES'!CG158="X",1,0)</f>
        <v>0</v>
      </c>
      <c r="BZ158" s="15">
        <f>IF('ENCUESTA CONDUCTORES'!CH158="X",1,0)</f>
        <v>1</v>
      </c>
      <c r="CA158" s="15">
        <f>IF('ENCUESTA CONDUCTORES'!CI158="X",1,0)</f>
        <v>1</v>
      </c>
      <c r="CB158" s="15">
        <f>IF('ENCUESTA CONDUCTORES'!CJ158="X",1,0)</f>
        <v>0</v>
      </c>
      <c r="CC158" s="15">
        <f>IF('ENCUESTA CONDUCTORES'!CK158="X",1,0)</f>
        <v>1</v>
      </c>
      <c r="CD158" s="15">
        <f>IF('ENCUESTA CONDUCTORES'!CL158="X",1,0)</f>
        <v>0</v>
      </c>
      <c r="CE158" s="15">
        <f>IF('ENCUESTA CONDUCTORES'!CM158="X",1,0)</f>
        <v>0</v>
      </c>
      <c r="CF158" s="15">
        <f>+'ENCUESTA CONDUCTORES'!CN158</f>
        <v>0</v>
      </c>
      <c r="CG158" s="15">
        <f>IF('ENCUESTA CONDUCTORES'!CO158="X",1,0)</f>
        <v>0</v>
      </c>
      <c r="CH158" s="15" t="str">
        <f>+'ENCUESTA CONDUCTORES'!CP158</f>
        <v>NO SABE</v>
      </c>
      <c r="CI158" s="15" t="str">
        <f>+'ENCUESTA CONDUCTORES'!CQ158</f>
        <v>MAYOR INFORMACION</v>
      </c>
      <c r="CJ158" s="15">
        <f>IF('ENCUESTA CONDUCTORES'!CR158="X",1,0)</f>
        <v>0</v>
      </c>
      <c r="CK158" s="15">
        <f>IF('ENCUESTA CONDUCTORES'!CS158="X",1,0)</f>
        <v>0</v>
      </c>
      <c r="CL158" s="15">
        <f>IF('ENCUESTA CONDUCTORES'!CT158="X",1,0)</f>
        <v>1</v>
      </c>
      <c r="CM158" s="15" t="str">
        <f>+'ENCUESTA CONDUCTORES'!CU158</f>
        <v>MANEJO A LA DEFENSIVA</v>
      </c>
      <c r="CN158" s="15">
        <f>IF('ENCUESTA CONDUCTORES'!CV158="X",1,0)</f>
        <v>0</v>
      </c>
      <c r="CO158" s="15">
        <f>+'ENCUESTA CONDUCTORES'!CW158</f>
        <v>0</v>
      </c>
      <c r="CP158" s="15">
        <f>IF('ENCUESTA CONDUCTORES'!CX158="X",1,0)</f>
        <v>0</v>
      </c>
      <c r="CQ158" s="15">
        <f>IF('ENCUESTA CONDUCTORES'!CY158="X",1,0)</f>
        <v>0</v>
      </c>
      <c r="CR158" s="3" t="str">
        <f>+'ENCUESTA CONDUCTORES'!CZ158</f>
        <v>PROTECCION CIVIL Y PRIMEROS AUXILIOS</v>
      </c>
      <c r="CS158" s="49">
        <f>+'ENCUESTA CONDUCTORES'!DA158</f>
        <v>0</v>
      </c>
    </row>
    <row r="159" spans="2:97" x14ac:dyDescent="0.25">
      <c r="B159" s="14" t="str">
        <f>+'ENCUESTA CONDUCTORES'!D159</f>
        <v>C-165</v>
      </c>
      <c r="C159" s="15">
        <f>IF('ENCUESTA CONDUCTORES'!E159="X",1,0)</f>
        <v>0</v>
      </c>
      <c r="D159" s="15">
        <f>IF('ENCUESTA CONDUCTORES'!F159="X",1,0)</f>
        <v>0</v>
      </c>
      <c r="E159" s="15">
        <f>IF('ENCUESTA CONDUCTORES'!G159="X",1,0)</f>
        <v>0</v>
      </c>
      <c r="F159" s="15">
        <f>IF('ENCUESTA CONDUCTORES'!H159="X",1,0)</f>
        <v>1</v>
      </c>
      <c r="G159" s="15">
        <f>+'ENCUESTA CONDUCTORES'!I159</f>
        <v>29</v>
      </c>
      <c r="H159" s="15" t="str">
        <f>+'ENCUESTA CONDUCTORES'!J159</f>
        <v>M</v>
      </c>
      <c r="I159" s="15" t="str">
        <f>+'ENCUESTA CONDUCTORES'!K159</f>
        <v>SECUNDARIA</v>
      </c>
      <c r="J159" s="15" t="str">
        <f>+'ENCUESTA CONDUCTORES'!L159</f>
        <v>TLALNEPANTLA, EDO. MEX.</v>
      </c>
      <c r="K159" s="15" t="str">
        <f>+'ENCUESTA CONDUCTORES'!M159</f>
        <v>TLALNEPANTLA</v>
      </c>
      <c r="L159" s="15" t="str">
        <f>+'ENCUESTA CONDUCTORES'!N159</f>
        <v>EDO. MEX.</v>
      </c>
      <c r="M159" s="15">
        <f>+'ENCUESTA CONDUCTORES'!O159</f>
        <v>11</v>
      </c>
      <c r="N159" s="15">
        <f>IF('ENCUESTA CONDUCTORES'!P159="X",1,0)</f>
        <v>1</v>
      </c>
      <c r="O159" s="15">
        <f>IF('ENCUESTA CONDUCTORES'!Q159="X",1,0)</f>
        <v>0</v>
      </c>
      <c r="P159" s="15">
        <f>IF('ENCUESTA CONDUCTORES'!R159="X",1,0)</f>
        <v>0</v>
      </c>
      <c r="Q159" s="15">
        <f>IF('ENCUESTA CONDUCTORES'!S159="X",1,0)</f>
        <v>0</v>
      </c>
      <c r="R159" s="15">
        <f>IF('ENCUESTA CONDUCTORES'!T159="X",1,0)</f>
        <v>0</v>
      </c>
      <c r="S159" s="15">
        <f>IF('ENCUESTA CONDUCTORES'!U159="X",1,0)</f>
        <v>0</v>
      </c>
      <c r="T159" s="15">
        <f>IF('ENCUESTA CONDUCTORES'!V159="X",1,0)</f>
        <v>0</v>
      </c>
      <c r="U159" s="15">
        <f>IF('ENCUESTA CONDUCTORES'!W159="X",1,0)</f>
        <v>0</v>
      </c>
      <c r="V159" s="15">
        <f>IF('ENCUESTA CONDUCTORES'!X159="X",1,0)</f>
        <v>1</v>
      </c>
      <c r="W159" s="15">
        <f>IF('ENCUESTA CONDUCTORES'!Y159="X",1,0)</f>
        <v>0</v>
      </c>
      <c r="X159" s="15">
        <f>IF('ENCUESTA CONDUCTORES'!Z159="X",1,0)</f>
        <v>0</v>
      </c>
      <c r="Y159" s="15">
        <f>+'ENCUESTA CONDUCTORES'!AG159</f>
        <v>0</v>
      </c>
      <c r="Z159" s="15">
        <f>+'ENCUESTA CONDUCTORES'!AH159</f>
        <v>2010</v>
      </c>
      <c r="AA159" s="1">
        <f>+'ENCUESTA CONDUCTORES'!AI159</f>
        <v>750000</v>
      </c>
      <c r="AB159" s="15">
        <f>IF('ENCUESTA CONDUCTORES'!AJ159="X",1,0)</f>
        <v>0</v>
      </c>
      <c r="AC159" s="15">
        <f>IF('ENCUESTA CONDUCTORES'!AK159="X",1,0)</f>
        <v>0</v>
      </c>
      <c r="AD159" s="15">
        <f>IF('ENCUESTA CONDUCTORES'!AL159="X",1,0)</f>
        <v>1</v>
      </c>
      <c r="AE159" s="15">
        <f>IF('ENCUESTA CONDUCTORES'!AM159="X",1,0)</f>
        <v>0</v>
      </c>
      <c r="AF159" s="15">
        <f>IF('ENCUESTA CONDUCTORES'!AN159="X",1,0)</f>
        <v>0</v>
      </c>
      <c r="AG159" s="15">
        <f>IF('ENCUESTA CONDUCTORES'!AO159="X",1,0)</f>
        <v>0</v>
      </c>
      <c r="AH159" s="15">
        <f>IF('ENCUESTA CONDUCTORES'!AP159="X",1,0)</f>
        <v>1</v>
      </c>
      <c r="AI159" s="15">
        <f>IF('ENCUESTA CONDUCTORES'!AQ159="X",1,0)</f>
        <v>0</v>
      </c>
      <c r="AJ159" s="15">
        <f>IF('ENCUESTA CONDUCTORES'!AR159="X",1,0)</f>
        <v>0</v>
      </c>
      <c r="AK159" s="15">
        <f>+'ENCUESTA CONDUCTORES'!AS159</f>
        <v>0</v>
      </c>
      <c r="AL159" s="15" t="str">
        <f>+'ENCUESTA CONDUCTORES'!AT159</f>
        <v>CUMMINS</v>
      </c>
      <c r="AM159" s="1">
        <f>+'ENCUESTA CONDUCTORES'!AU159</f>
        <v>3000</v>
      </c>
      <c r="AN159" s="48">
        <f>+'ENCUESTA CONDUCTORES'!AV159</f>
        <v>0.3</v>
      </c>
      <c r="AO159" s="15">
        <f>+'ENCUESTA CONDUCTORES'!AW159</f>
        <v>3.3</v>
      </c>
      <c r="AP159" s="15">
        <f>+'ENCUESTA CONDUCTORES'!AX159</f>
        <v>2.7</v>
      </c>
      <c r="AQ159" s="15">
        <f>+'ENCUESTA CONDUCTORES'!AY159</f>
        <v>2</v>
      </c>
      <c r="AR159" s="15">
        <f>+'ENCUESTA CONDUCTORES'!AZ159</f>
        <v>400</v>
      </c>
      <c r="AS159" s="15">
        <f>+'ENCUESTA CONDUCTORES'!BA159</f>
        <v>1200</v>
      </c>
      <c r="AT159" s="15">
        <f>IF('ENCUESTA CONDUCTORES'!BB159="X",1,0)</f>
        <v>0</v>
      </c>
      <c r="AU159" s="15">
        <f>IF('ENCUESTA CONDUCTORES'!BC159="X",1,0)</f>
        <v>1</v>
      </c>
      <c r="AV159" s="15">
        <f>IF('ENCUESTA CONDUCTORES'!BD159="X",1,0)</f>
        <v>0</v>
      </c>
      <c r="AW159" s="1">
        <f>+'ENCUESTA CONDUCTORES'!BE159</f>
        <v>10000</v>
      </c>
      <c r="AX159" s="1">
        <f>+'ENCUESTA CONDUCTORES'!BF159</f>
        <v>15000</v>
      </c>
      <c r="AY159" s="1">
        <f>+'ENCUESTA CONDUCTORES'!BG159</f>
        <v>10000</v>
      </c>
      <c r="AZ159" s="1">
        <f>+'ENCUESTA CONDUCTORES'!BH159</f>
        <v>72000</v>
      </c>
      <c r="BA159" s="1">
        <f>+'ENCUESTA CONDUCTORES'!BI159</f>
        <v>10000</v>
      </c>
      <c r="BB159" s="15">
        <f>IF('ENCUESTA CONDUCTORES'!BJ159="X",1,0)</f>
        <v>0</v>
      </c>
      <c r="BC159" s="15">
        <f>IF('ENCUESTA CONDUCTORES'!BK159="X",1,0)</f>
        <v>1</v>
      </c>
      <c r="BD159" s="15">
        <f>IF('ENCUESTA CONDUCTORES'!BL159="X",1,0)</f>
        <v>0</v>
      </c>
      <c r="BE159" s="15">
        <f>IF('ENCUESTA CONDUCTORES'!BM159="X",1,0)</f>
        <v>0</v>
      </c>
      <c r="BF159" s="15">
        <f>IF('ENCUESTA CONDUCTORES'!BN159="X",1,0)</f>
        <v>0</v>
      </c>
      <c r="BG159" s="15">
        <f>IF('ENCUESTA CONDUCTORES'!BO159="X",1,0)</f>
        <v>0</v>
      </c>
      <c r="BH159" s="15">
        <f>IF('ENCUESTA CONDUCTORES'!BP159="X",1,0)</f>
        <v>0</v>
      </c>
      <c r="BI159" s="15">
        <f>IF('ENCUESTA CONDUCTORES'!BQ159="X",1,0)</f>
        <v>0</v>
      </c>
      <c r="BJ159" s="15">
        <f>IF('ENCUESTA CONDUCTORES'!BR159="X",1,0)</f>
        <v>0</v>
      </c>
      <c r="BK159" s="15">
        <f>+'ENCUESTA CONDUCTORES'!BS159</f>
        <v>0</v>
      </c>
      <c r="BL159" s="15">
        <f>IF('ENCUESTA CONDUCTORES'!BT159="X",1,0)</f>
        <v>0</v>
      </c>
      <c r="BM159" s="15">
        <f>IF('ENCUESTA CONDUCTORES'!BU159="X",1,0)</f>
        <v>0</v>
      </c>
      <c r="BN159" s="15">
        <f>IF('ENCUESTA CONDUCTORES'!BV159="X",1,0)</f>
        <v>1</v>
      </c>
      <c r="BO159" s="15">
        <f>IF('ENCUESTA CONDUCTORES'!BW159="X",1,0)</f>
        <v>0</v>
      </c>
      <c r="BP159" s="15">
        <f>+'ENCUESTA CONDUCTORES'!BX159</f>
        <v>2</v>
      </c>
      <c r="BQ159" s="15">
        <f>+'ENCUESTA CONDUCTORES'!BY159</f>
        <v>3</v>
      </c>
      <c r="BR159" s="15">
        <f>+'ENCUESTA CONDUCTORES'!BZ159</f>
        <v>1</v>
      </c>
      <c r="BS159" s="15">
        <f>+'ENCUESTA CONDUCTORES'!CA159</f>
        <v>0</v>
      </c>
      <c r="BT159" s="15">
        <f>IF('ENCUESTA CONDUCTORES'!CB159="X",1,0)</f>
        <v>0</v>
      </c>
      <c r="BU159" s="15">
        <f>IF('ENCUESTA CONDUCTORES'!CC159="X",1,0)</f>
        <v>1</v>
      </c>
      <c r="BV159" s="15">
        <f>IF('ENCUESTA CONDUCTORES'!CD159="X",1,0)</f>
        <v>0</v>
      </c>
      <c r="BW159" s="15">
        <f>IF('ENCUESTA CONDUCTORES'!CE159="X",1,0)</f>
        <v>0</v>
      </c>
      <c r="BX159" s="15">
        <f>IF('ENCUESTA CONDUCTORES'!CF159="X",1,0)</f>
        <v>0</v>
      </c>
      <c r="BY159" s="15">
        <f>IF('ENCUESTA CONDUCTORES'!CG159="X",1,0)</f>
        <v>0</v>
      </c>
      <c r="BZ159" s="15">
        <f>IF('ENCUESTA CONDUCTORES'!CH159="X",1,0)</f>
        <v>1</v>
      </c>
      <c r="CA159" s="15">
        <f>IF('ENCUESTA CONDUCTORES'!CI159="X",1,0)</f>
        <v>1</v>
      </c>
      <c r="CB159" s="15">
        <f>IF('ENCUESTA CONDUCTORES'!CJ159="X",1,0)</f>
        <v>0</v>
      </c>
      <c r="CC159" s="15">
        <f>IF('ENCUESTA CONDUCTORES'!CK159="X",1,0)</f>
        <v>1</v>
      </c>
      <c r="CD159" s="15">
        <f>IF('ENCUESTA CONDUCTORES'!CL159="X",1,0)</f>
        <v>0</v>
      </c>
      <c r="CE159" s="15">
        <f>IF('ENCUESTA CONDUCTORES'!CM159="X",1,0)</f>
        <v>0</v>
      </c>
      <c r="CF159" s="15">
        <f>+'ENCUESTA CONDUCTORES'!CN159</f>
        <v>0</v>
      </c>
      <c r="CG159" s="15">
        <f>IF('ENCUESTA CONDUCTORES'!CO159="X",1,0)</f>
        <v>0</v>
      </c>
      <c r="CH159" s="15" t="str">
        <f>+'ENCUESTA CONDUCTORES'!CP159</f>
        <v>NO SABE</v>
      </c>
      <c r="CI159" s="15" t="str">
        <f>+'ENCUESTA CONDUCTORES'!CQ159</f>
        <v>PUBLICIDAD</v>
      </c>
      <c r="CJ159" s="15">
        <f>IF('ENCUESTA CONDUCTORES'!CR159="X",1,0)</f>
        <v>0</v>
      </c>
      <c r="CK159" s="15">
        <f>IF('ENCUESTA CONDUCTORES'!CS159="X",1,0)</f>
        <v>0</v>
      </c>
      <c r="CL159" s="15">
        <f>IF('ENCUESTA CONDUCTORES'!CT159="X",1,0)</f>
        <v>0</v>
      </c>
      <c r="CM159" s="15" t="str">
        <f>+'ENCUESTA CONDUCTORES'!CU159</f>
        <v>MANEJO A LA DEFENSIVA</v>
      </c>
      <c r="CN159" s="15">
        <f>IF('ENCUESTA CONDUCTORES'!CV159="X",1,0)</f>
        <v>0</v>
      </c>
      <c r="CO159" s="15">
        <f>+'ENCUESTA CONDUCTORES'!CW159</f>
        <v>0</v>
      </c>
      <c r="CP159" s="15">
        <f>IF('ENCUESTA CONDUCTORES'!CX159="X",1,0)</f>
        <v>0</v>
      </c>
      <c r="CQ159" s="15">
        <f>IF('ENCUESTA CONDUCTORES'!CY159="X",1,0)</f>
        <v>1</v>
      </c>
      <c r="CR159" s="3">
        <f>+'ENCUESTA CONDUCTORES'!CZ159</f>
        <v>0</v>
      </c>
      <c r="CS159" s="49">
        <f>+'ENCUESTA CONDUCTORES'!DA159</f>
        <v>0</v>
      </c>
    </row>
    <row r="160" spans="2:97" x14ac:dyDescent="0.25">
      <c r="B160" s="14" t="str">
        <f>+'ENCUESTA CONDUCTORES'!D160</f>
        <v>C-166</v>
      </c>
      <c r="C160" s="15">
        <f>IF('ENCUESTA CONDUCTORES'!E160="X",1,0)</f>
        <v>0</v>
      </c>
      <c r="D160" s="15">
        <f>IF('ENCUESTA CONDUCTORES'!F160="X",1,0)</f>
        <v>0</v>
      </c>
      <c r="E160" s="15">
        <f>IF('ENCUESTA CONDUCTORES'!G160="X",1,0)</f>
        <v>1</v>
      </c>
      <c r="F160" s="15">
        <f>IF('ENCUESTA CONDUCTORES'!H160="X",1,0)</f>
        <v>0</v>
      </c>
      <c r="G160" s="15">
        <f>+'ENCUESTA CONDUCTORES'!I160</f>
        <v>22</v>
      </c>
      <c r="H160" s="15" t="str">
        <f>+'ENCUESTA CONDUCTORES'!J160</f>
        <v>M</v>
      </c>
      <c r="I160" s="15" t="str">
        <f>+'ENCUESTA CONDUCTORES'!K160</f>
        <v>PREPARATORIA</v>
      </c>
      <c r="J160" s="15" t="str">
        <f>+'ENCUESTA CONDUCTORES'!L160</f>
        <v>IZTACALCO, D.F.</v>
      </c>
      <c r="K160" s="15" t="str">
        <f>+'ENCUESTA CONDUCTORES'!M160</f>
        <v>IZTACALCO</v>
      </c>
      <c r="L160" s="15" t="str">
        <f>+'ENCUESTA CONDUCTORES'!N160</f>
        <v>D.F.</v>
      </c>
      <c r="M160" s="15">
        <f>+'ENCUESTA CONDUCTORES'!O160</f>
        <v>1</v>
      </c>
      <c r="N160" s="15">
        <f>IF('ENCUESTA CONDUCTORES'!P160="X",1,0)</f>
        <v>1</v>
      </c>
      <c r="O160" s="15">
        <f>IF('ENCUESTA CONDUCTORES'!Q160="X",1,0)</f>
        <v>0</v>
      </c>
      <c r="P160" s="15">
        <f>IF('ENCUESTA CONDUCTORES'!R160="X",1,0)</f>
        <v>0</v>
      </c>
      <c r="Q160" s="15">
        <f>IF('ENCUESTA CONDUCTORES'!S160="X",1,0)</f>
        <v>0</v>
      </c>
      <c r="R160" s="15">
        <f>IF('ENCUESTA CONDUCTORES'!T160="X",1,0)</f>
        <v>0</v>
      </c>
      <c r="S160" s="15">
        <f>IF('ENCUESTA CONDUCTORES'!U160="X",1,0)</f>
        <v>1</v>
      </c>
      <c r="T160" s="15">
        <f>IF('ENCUESTA CONDUCTORES'!V160="X",1,0)</f>
        <v>0</v>
      </c>
      <c r="U160" s="15">
        <f>IF('ENCUESTA CONDUCTORES'!W160="X",1,0)</f>
        <v>0</v>
      </c>
      <c r="V160" s="15">
        <f>IF('ENCUESTA CONDUCTORES'!X160="X",1,0)</f>
        <v>0</v>
      </c>
      <c r="W160" s="15">
        <f>IF('ENCUESTA CONDUCTORES'!Y160="X",1,0)</f>
        <v>0</v>
      </c>
      <c r="X160" s="15">
        <f>IF('ENCUESTA CONDUCTORES'!Z160="X",1,0)</f>
        <v>0</v>
      </c>
      <c r="Y160" s="15">
        <f>+'ENCUESTA CONDUCTORES'!AG160</f>
        <v>0</v>
      </c>
      <c r="Z160" s="15">
        <f>+'ENCUESTA CONDUCTORES'!AH160</f>
        <v>1997</v>
      </c>
      <c r="AA160" s="1">
        <f>+'ENCUESTA CONDUCTORES'!AI160</f>
        <v>1000000</v>
      </c>
      <c r="AB160" s="15">
        <f>IF('ENCUESTA CONDUCTORES'!AJ160="X",1,0)</f>
        <v>0</v>
      </c>
      <c r="AC160" s="15">
        <f>IF('ENCUESTA CONDUCTORES'!AK160="X",1,0)</f>
        <v>0</v>
      </c>
      <c r="AD160" s="15">
        <f>IF('ENCUESTA CONDUCTORES'!AL160="X",1,0)</f>
        <v>1</v>
      </c>
      <c r="AE160" s="15">
        <f>IF('ENCUESTA CONDUCTORES'!AM160="X",1,0)</f>
        <v>0</v>
      </c>
      <c r="AF160" s="15">
        <f>IF('ENCUESTA CONDUCTORES'!AN160="X",1,0)</f>
        <v>0</v>
      </c>
      <c r="AG160" s="15">
        <f>IF('ENCUESTA CONDUCTORES'!AO160="X",1,0)</f>
        <v>1</v>
      </c>
      <c r="AH160" s="15">
        <f>IF('ENCUESTA CONDUCTORES'!AP160="X",1,0)</f>
        <v>0</v>
      </c>
      <c r="AI160" s="15">
        <f>IF('ENCUESTA CONDUCTORES'!AQ160="X",1,0)</f>
        <v>0</v>
      </c>
      <c r="AJ160" s="15">
        <f>IF('ENCUESTA CONDUCTORES'!AR160="X",1,0)</f>
        <v>0</v>
      </c>
      <c r="AK160" s="15">
        <f>+'ENCUESTA CONDUCTORES'!AS160</f>
        <v>0</v>
      </c>
      <c r="AL160" s="15" t="str">
        <f>+'ENCUESTA CONDUCTORES'!AT160</f>
        <v>NO SABE</v>
      </c>
      <c r="AM160" s="1">
        <f>+'ENCUESTA CONDUCTORES'!AU160</f>
        <v>1500</v>
      </c>
      <c r="AN160" s="48">
        <f>+'ENCUESTA CONDUCTORES'!AV160</f>
        <v>0.5</v>
      </c>
      <c r="AO160" s="15">
        <f>+'ENCUESTA CONDUCTORES'!AW160</f>
        <v>3</v>
      </c>
      <c r="AP160" s="15">
        <f>+'ENCUESTA CONDUCTORES'!AX160</f>
        <v>2.7</v>
      </c>
      <c r="AQ160" s="15">
        <f>+'ENCUESTA CONDUCTORES'!AY160</f>
        <v>1</v>
      </c>
      <c r="AR160" s="15">
        <f>+'ENCUESTA CONDUCTORES'!AZ160</f>
        <v>240</v>
      </c>
      <c r="AS160" s="15">
        <f>+'ENCUESTA CONDUCTORES'!BA160</f>
        <v>700</v>
      </c>
      <c r="AT160" s="15">
        <f>IF('ENCUESTA CONDUCTORES'!BB160="X",1,0)</f>
        <v>0</v>
      </c>
      <c r="AU160" s="15">
        <f>IF('ENCUESTA CONDUCTORES'!BC160="X",1,0)</f>
        <v>0</v>
      </c>
      <c r="AV160" s="15">
        <f>IF('ENCUESTA CONDUCTORES'!BD160="X",1,0)</f>
        <v>0</v>
      </c>
      <c r="AW160" s="1">
        <f>+'ENCUESTA CONDUCTORES'!BE160</f>
        <v>9000</v>
      </c>
      <c r="AX160" s="1">
        <f>+'ENCUESTA CONDUCTORES'!BF160</f>
        <v>6000</v>
      </c>
      <c r="AY160" s="1">
        <f>+'ENCUESTA CONDUCTORES'!BG160</f>
        <v>9000</v>
      </c>
      <c r="AZ160" s="1" t="str">
        <f>+'ENCUESTA CONDUCTORES'!BH160</f>
        <v>NO SABE</v>
      </c>
      <c r="BA160" s="1">
        <f>+'ENCUESTA CONDUCTORES'!BI160</f>
        <v>9000</v>
      </c>
      <c r="BB160" s="15">
        <f>IF('ENCUESTA CONDUCTORES'!BJ160="X",1,0)</f>
        <v>0</v>
      </c>
      <c r="BC160" s="15">
        <f>IF('ENCUESTA CONDUCTORES'!BK160="X",1,0)</f>
        <v>0</v>
      </c>
      <c r="BD160" s="15">
        <f>IF('ENCUESTA CONDUCTORES'!BL160="X",1,0)</f>
        <v>0</v>
      </c>
      <c r="BE160" s="15">
        <f>IF('ENCUESTA CONDUCTORES'!BM160="X",1,0)</f>
        <v>1</v>
      </c>
      <c r="BF160" s="15">
        <f>IF('ENCUESTA CONDUCTORES'!BN160="X",1,0)</f>
        <v>0</v>
      </c>
      <c r="BG160" s="15">
        <f>IF('ENCUESTA CONDUCTORES'!BO160="X",1,0)</f>
        <v>0</v>
      </c>
      <c r="BH160" s="15">
        <f>IF('ENCUESTA CONDUCTORES'!BP160="X",1,0)</f>
        <v>0</v>
      </c>
      <c r="BI160" s="15">
        <f>IF('ENCUESTA CONDUCTORES'!BQ160="X",1,0)</f>
        <v>0</v>
      </c>
      <c r="BJ160" s="15">
        <f>IF('ENCUESTA CONDUCTORES'!BR160="X",1,0)</f>
        <v>0</v>
      </c>
      <c r="BK160" s="15">
        <f>+'ENCUESTA CONDUCTORES'!BS160</f>
        <v>0</v>
      </c>
      <c r="BL160" s="15">
        <f>IF('ENCUESTA CONDUCTORES'!BT160="X",1,0)</f>
        <v>0</v>
      </c>
      <c r="BM160" s="15">
        <f>IF('ENCUESTA CONDUCTORES'!BU160="X",1,0)</f>
        <v>1</v>
      </c>
      <c r="BN160" s="15">
        <f>IF('ENCUESTA CONDUCTORES'!BV160="X",1,0)</f>
        <v>0</v>
      </c>
      <c r="BO160" s="15">
        <f>IF('ENCUESTA CONDUCTORES'!BW160="X",1,0)</f>
        <v>0</v>
      </c>
      <c r="BP160" s="15">
        <f>+'ENCUESTA CONDUCTORES'!BX160</f>
        <v>1</v>
      </c>
      <c r="BQ160" s="15">
        <f>+'ENCUESTA CONDUCTORES'!BY160</f>
        <v>3</v>
      </c>
      <c r="BR160" s="15">
        <f>+'ENCUESTA CONDUCTORES'!BZ160</f>
        <v>2</v>
      </c>
      <c r="BS160" s="15">
        <f>+'ENCUESTA CONDUCTORES'!CA160</f>
        <v>0</v>
      </c>
      <c r="BT160" s="15">
        <f>IF('ENCUESTA CONDUCTORES'!CB160="X",1,0)</f>
        <v>1</v>
      </c>
      <c r="BU160" s="15">
        <f>IF('ENCUESTA CONDUCTORES'!CC160="X",1,0)</f>
        <v>0</v>
      </c>
      <c r="BV160" s="15">
        <f>IF('ENCUESTA CONDUCTORES'!CD160="X",1,0)</f>
        <v>0</v>
      </c>
      <c r="BW160" s="15">
        <f>IF('ENCUESTA CONDUCTORES'!CE160="X",1,0)</f>
        <v>0</v>
      </c>
      <c r="BX160" s="15">
        <f>IF('ENCUESTA CONDUCTORES'!CF160="X",1,0)</f>
        <v>0</v>
      </c>
      <c r="BY160" s="15">
        <f>IF('ENCUESTA CONDUCTORES'!CG160="X",1,0)</f>
        <v>0</v>
      </c>
      <c r="BZ160" s="15">
        <f>IF('ENCUESTA CONDUCTORES'!CH160="X",1,0)</f>
        <v>0</v>
      </c>
      <c r="CA160" s="15">
        <f>IF('ENCUESTA CONDUCTORES'!CI160="X",1,0)</f>
        <v>0</v>
      </c>
      <c r="CB160" s="15">
        <f>IF('ENCUESTA CONDUCTORES'!CJ160="X",1,0)</f>
        <v>0</v>
      </c>
      <c r="CC160" s="15">
        <f>IF('ENCUESTA CONDUCTORES'!CK160="X",1,0)</f>
        <v>1</v>
      </c>
      <c r="CD160" s="15">
        <f>IF('ENCUESTA CONDUCTORES'!CL160="X",1,0)</f>
        <v>0</v>
      </c>
      <c r="CE160" s="15">
        <f>IF('ENCUESTA CONDUCTORES'!CM160="X",1,0)</f>
        <v>0</v>
      </c>
      <c r="CF160" s="15">
        <f>+'ENCUESTA CONDUCTORES'!CN160</f>
        <v>0</v>
      </c>
      <c r="CG160" s="15">
        <f>IF('ENCUESTA CONDUCTORES'!CO160="X",1,0)</f>
        <v>0</v>
      </c>
      <c r="CH160" s="15" t="str">
        <f>+'ENCUESTA CONDUCTORES'!CP160</f>
        <v>NO SABE</v>
      </c>
      <c r="CI160" s="15" t="str">
        <f>+'ENCUESTA CONDUCTORES'!CQ160</f>
        <v>NO SABE</v>
      </c>
      <c r="CJ160" s="15">
        <f>IF('ENCUESTA CONDUCTORES'!CR160="X",1,0)</f>
        <v>1</v>
      </c>
      <c r="CK160" s="15">
        <f>IF('ENCUESTA CONDUCTORES'!CS160="X",1,0)</f>
        <v>0</v>
      </c>
      <c r="CL160" s="15">
        <f>IF('ENCUESTA CONDUCTORES'!CT160="X",1,0)</f>
        <v>0</v>
      </c>
      <c r="CM160" s="15">
        <f>+'ENCUESTA CONDUCTORES'!CU160</f>
        <v>0</v>
      </c>
      <c r="CN160" s="15">
        <f>IF('ENCUESTA CONDUCTORES'!CV160="X",1,0)</f>
        <v>0</v>
      </c>
      <c r="CO160" s="15">
        <f>+'ENCUESTA CONDUCTORES'!CW160</f>
        <v>0</v>
      </c>
      <c r="CP160" s="15">
        <f>IF('ENCUESTA CONDUCTORES'!CX160="X",1,0)</f>
        <v>0</v>
      </c>
      <c r="CQ160" s="15">
        <f>IF('ENCUESTA CONDUCTORES'!CY160="X",1,0)</f>
        <v>1</v>
      </c>
      <c r="CR160" s="3">
        <f>+'ENCUESTA CONDUCTORES'!CZ160</f>
        <v>0</v>
      </c>
      <c r="CS160" s="49">
        <f>+'ENCUESTA CONDUCTORES'!DA160</f>
        <v>0</v>
      </c>
    </row>
    <row r="161" spans="2:97" x14ac:dyDescent="0.25">
      <c r="B161" s="14" t="str">
        <f>+'ENCUESTA CONDUCTORES'!D161</f>
        <v>C-167</v>
      </c>
      <c r="C161" s="15">
        <f>IF('ENCUESTA CONDUCTORES'!E161="X",1,0)</f>
        <v>0</v>
      </c>
      <c r="D161" s="15">
        <f>IF('ENCUESTA CONDUCTORES'!F161="X",1,0)</f>
        <v>1</v>
      </c>
      <c r="E161" s="15">
        <f>IF('ENCUESTA CONDUCTORES'!G161="X",1,0)</f>
        <v>0</v>
      </c>
      <c r="F161" s="15">
        <f>IF('ENCUESTA CONDUCTORES'!H161="X",1,0)</f>
        <v>0</v>
      </c>
      <c r="G161" s="15">
        <f>+'ENCUESTA CONDUCTORES'!I161</f>
        <v>25</v>
      </c>
      <c r="H161" s="15" t="str">
        <f>+'ENCUESTA CONDUCTORES'!J161</f>
        <v>M</v>
      </c>
      <c r="I161" s="15" t="str">
        <f>+'ENCUESTA CONDUCTORES'!K161</f>
        <v>SECUNDARIA</v>
      </c>
      <c r="J161" s="15" t="str">
        <f>+'ENCUESTA CONDUCTORES'!L161</f>
        <v>SAN MARTIN, EDO. MEX.</v>
      </c>
      <c r="K161" s="15" t="str">
        <f>+'ENCUESTA CONDUCTORES'!M161</f>
        <v>SAN MARTIN</v>
      </c>
      <c r="L161" s="15" t="str">
        <f>+'ENCUESTA CONDUCTORES'!N161</f>
        <v>EDO. MEX.</v>
      </c>
      <c r="M161" s="15">
        <f>+'ENCUESTA CONDUCTORES'!O161</f>
        <v>5</v>
      </c>
      <c r="N161" s="15">
        <f>IF('ENCUESTA CONDUCTORES'!P161="X",1,0)</f>
        <v>1</v>
      </c>
      <c r="O161" s="15">
        <f>IF('ENCUESTA CONDUCTORES'!Q161="X",1,0)</f>
        <v>0</v>
      </c>
      <c r="P161" s="15">
        <f>IF('ENCUESTA CONDUCTORES'!R161="X",1,0)</f>
        <v>0</v>
      </c>
      <c r="Q161" s="15">
        <f>IF('ENCUESTA CONDUCTORES'!S161="X",1,0)</f>
        <v>0</v>
      </c>
      <c r="R161" s="15">
        <f>IF('ENCUESTA CONDUCTORES'!T161="X",1,0)</f>
        <v>0</v>
      </c>
      <c r="S161" s="15">
        <f>IF('ENCUESTA CONDUCTORES'!U161="X",1,0)</f>
        <v>0</v>
      </c>
      <c r="T161" s="15">
        <f>IF('ENCUESTA CONDUCTORES'!V161="X",1,0)</f>
        <v>0</v>
      </c>
      <c r="U161" s="15">
        <f>IF('ENCUESTA CONDUCTORES'!W161="X",1,0)</f>
        <v>0</v>
      </c>
      <c r="V161" s="15">
        <f>IF('ENCUESTA CONDUCTORES'!X161="X",1,0)</f>
        <v>0</v>
      </c>
      <c r="W161" s="15">
        <f>IF('ENCUESTA CONDUCTORES'!Y161="X",1,0)</f>
        <v>0</v>
      </c>
      <c r="X161" s="15">
        <f>IF('ENCUESTA CONDUCTORES'!Z161="X",1,0)</f>
        <v>0</v>
      </c>
      <c r="Y161" s="15">
        <f>+'ENCUESTA CONDUCTORES'!AG161</f>
        <v>0</v>
      </c>
      <c r="Z161" s="15">
        <f>+'ENCUESTA CONDUCTORES'!AH161</f>
        <v>2008</v>
      </c>
      <c r="AA161" s="1">
        <f>+'ENCUESTA CONDUCTORES'!AI161</f>
        <v>800000</v>
      </c>
      <c r="AB161" s="15">
        <f>IF('ENCUESTA CONDUCTORES'!AJ161="X",1,0)</f>
        <v>0</v>
      </c>
      <c r="AC161" s="15">
        <f>IF('ENCUESTA CONDUCTORES'!AK161="X",1,0)</f>
        <v>0</v>
      </c>
      <c r="AD161" s="15">
        <f>IF('ENCUESTA CONDUCTORES'!AL161="X",1,0)</f>
        <v>1</v>
      </c>
      <c r="AE161" s="15">
        <f>IF('ENCUESTA CONDUCTORES'!AM161="X",1,0)</f>
        <v>0</v>
      </c>
      <c r="AF161" s="15">
        <f>IF('ENCUESTA CONDUCTORES'!AN161="X",1,0)</f>
        <v>0</v>
      </c>
      <c r="AG161" s="15">
        <f>IF('ENCUESTA CONDUCTORES'!AO161="X",1,0)</f>
        <v>0</v>
      </c>
      <c r="AH161" s="15">
        <f>IF('ENCUESTA CONDUCTORES'!AP161="X",1,0)</f>
        <v>1</v>
      </c>
      <c r="AI161" s="15">
        <f>IF('ENCUESTA CONDUCTORES'!AQ161="X",1,0)</f>
        <v>0</v>
      </c>
      <c r="AJ161" s="15">
        <f>IF('ENCUESTA CONDUCTORES'!AR161="X",1,0)</f>
        <v>0</v>
      </c>
      <c r="AK161" s="15">
        <f>+'ENCUESTA CONDUCTORES'!AS161</f>
        <v>0</v>
      </c>
      <c r="AL161" s="15" t="str">
        <f>+'ENCUESTA CONDUCTORES'!AT161</f>
        <v>KENWORTH</v>
      </c>
      <c r="AM161" s="1">
        <f>+'ENCUESTA CONDUCTORES'!AU161</f>
        <v>2000</v>
      </c>
      <c r="AN161" s="48">
        <f>+'ENCUESTA CONDUCTORES'!AV161</f>
        <v>0.5</v>
      </c>
      <c r="AO161" s="15">
        <f>+'ENCUESTA CONDUCTORES'!AW161</f>
        <v>3.1</v>
      </c>
      <c r="AP161" s="15">
        <f>+'ENCUESTA CONDUCTORES'!AX161</f>
        <v>2.8</v>
      </c>
      <c r="AQ161" s="15">
        <f>+'ENCUESTA CONDUCTORES'!AY161</f>
        <v>1</v>
      </c>
      <c r="AR161" s="15">
        <f>+'ENCUESTA CONDUCTORES'!AZ161</f>
        <v>380</v>
      </c>
      <c r="AS161" s="15">
        <f>+'ENCUESTA CONDUCTORES'!BA161</f>
        <v>1000</v>
      </c>
      <c r="AT161" s="15">
        <f>IF('ENCUESTA CONDUCTORES'!BB161="X",1,0)</f>
        <v>1</v>
      </c>
      <c r="AU161" s="15">
        <f>IF('ENCUESTA CONDUCTORES'!BC161="X",1,0)</f>
        <v>1</v>
      </c>
      <c r="AV161" s="15">
        <f>IF('ENCUESTA CONDUCTORES'!BD161="X",1,0)</f>
        <v>0</v>
      </c>
      <c r="AW161" s="1">
        <f>+'ENCUESTA CONDUCTORES'!BE161</f>
        <v>4000</v>
      </c>
      <c r="AX161" s="1">
        <f>+'ENCUESTA CONDUCTORES'!BF161</f>
        <v>6000</v>
      </c>
      <c r="AY161" s="1">
        <f>+'ENCUESTA CONDUCTORES'!BG161</f>
        <v>4000</v>
      </c>
      <c r="AZ161" s="1" t="str">
        <f>+'ENCUESTA CONDUCTORES'!BH161</f>
        <v>NO SABE</v>
      </c>
      <c r="BA161" s="1">
        <f>+'ENCUESTA CONDUCTORES'!BI161</f>
        <v>4000</v>
      </c>
      <c r="BB161" s="15">
        <f>IF('ENCUESTA CONDUCTORES'!BJ161="X",1,0)</f>
        <v>0</v>
      </c>
      <c r="BC161" s="15">
        <f>IF('ENCUESTA CONDUCTORES'!BK161="X",1,0)</f>
        <v>0</v>
      </c>
      <c r="BD161" s="15">
        <f>IF('ENCUESTA CONDUCTORES'!BL161="X",1,0)</f>
        <v>0</v>
      </c>
      <c r="BE161" s="15">
        <f>IF('ENCUESTA CONDUCTORES'!BM161="X",1,0)</f>
        <v>1</v>
      </c>
      <c r="BF161" s="15">
        <f>IF('ENCUESTA CONDUCTORES'!BN161="X",1,0)</f>
        <v>0</v>
      </c>
      <c r="BG161" s="15">
        <f>IF('ENCUESTA CONDUCTORES'!BO161="X",1,0)</f>
        <v>0</v>
      </c>
      <c r="BH161" s="15">
        <f>IF('ENCUESTA CONDUCTORES'!BP161="X",1,0)</f>
        <v>0</v>
      </c>
      <c r="BI161" s="15">
        <f>IF('ENCUESTA CONDUCTORES'!BQ161="X",1,0)</f>
        <v>0</v>
      </c>
      <c r="BJ161" s="15">
        <f>IF('ENCUESTA CONDUCTORES'!BR161="X",1,0)</f>
        <v>0</v>
      </c>
      <c r="BK161" s="15">
        <f>+'ENCUESTA CONDUCTORES'!BS161</f>
        <v>0</v>
      </c>
      <c r="BL161" s="15">
        <f>IF('ENCUESTA CONDUCTORES'!BT161="X",1,0)</f>
        <v>0</v>
      </c>
      <c r="BM161" s="15">
        <f>IF('ENCUESTA CONDUCTORES'!BU161="X",1,0)</f>
        <v>1</v>
      </c>
      <c r="BN161" s="15">
        <f>IF('ENCUESTA CONDUCTORES'!BV161="X",1,0)</f>
        <v>0</v>
      </c>
      <c r="BO161" s="15">
        <f>IF('ENCUESTA CONDUCTORES'!BW161="X",1,0)</f>
        <v>0</v>
      </c>
      <c r="BP161" s="15">
        <f>+'ENCUESTA CONDUCTORES'!BX161</f>
        <v>3</v>
      </c>
      <c r="BQ161" s="15">
        <f>+'ENCUESTA CONDUCTORES'!BY161</f>
        <v>1</v>
      </c>
      <c r="BR161" s="15">
        <f>+'ENCUESTA CONDUCTORES'!BZ161</f>
        <v>2</v>
      </c>
      <c r="BS161" s="15">
        <f>+'ENCUESTA CONDUCTORES'!CA161</f>
        <v>0</v>
      </c>
      <c r="BT161" s="15">
        <f>IF('ENCUESTA CONDUCTORES'!CB161="X",1,0)</f>
        <v>1</v>
      </c>
      <c r="BU161" s="15">
        <f>IF('ENCUESTA CONDUCTORES'!CC161="X",1,0)</f>
        <v>0</v>
      </c>
      <c r="BV161" s="15">
        <f>IF('ENCUESTA CONDUCTORES'!CD161="X",1,0)</f>
        <v>0</v>
      </c>
      <c r="BW161" s="15">
        <f>IF('ENCUESTA CONDUCTORES'!CE161="X",1,0)</f>
        <v>0</v>
      </c>
      <c r="BX161" s="15">
        <f>IF('ENCUESTA CONDUCTORES'!CF161="X",1,0)</f>
        <v>0</v>
      </c>
      <c r="BY161" s="15">
        <f>IF('ENCUESTA CONDUCTORES'!CG161="X",1,0)</f>
        <v>0</v>
      </c>
      <c r="BZ161" s="15">
        <f>IF('ENCUESTA CONDUCTORES'!CH161="X",1,0)</f>
        <v>0</v>
      </c>
      <c r="CA161" s="15">
        <f>IF('ENCUESTA CONDUCTORES'!CI161="X",1,0)</f>
        <v>0</v>
      </c>
      <c r="CB161" s="15">
        <f>IF('ENCUESTA CONDUCTORES'!CJ161="X",1,0)</f>
        <v>0</v>
      </c>
      <c r="CC161" s="15">
        <f>IF('ENCUESTA CONDUCTORES'!CK161="X",1,0)</f>
        <v>1</v>
      </c>
      <c r="CD161" s="15">
        <f>IF('ENCUESTA CONDUCTORES'!CL161="X",1,0)</f>
        <v>0</v>
      </c>
      <c r="CE161" s="15">
        <f>IF('ENCUESTA CONDUCTORES'!CM161="X",1,0)</f>
        <v>0</v>
      </c>
      <c r="CF161" s="15">
        <f>+'ENCUESTA CONDUCTORES'!CN161</f>
        <v>0</v>
      </c>
      <c r="CG161" s="15">
        <f>IF('ENCUESTA CONDUCTORES'!CO161="X",1,0)</f>
        <v>0</v>
      </c>
      <c r="CH161" s="15" t="str">
        <f>+'ENCUESTA CONDUCTORES'!CP161</f>
        <v>NO SABE</v>
      </c>
      <c r="CI161" s="15" t="str">
        <f>+'ENCUESTA CONDUCTORES'!CQ161</f>
        <v>DARLO A CONOCER</v>
      </c>
      <c r="CJ161" s="15">
        <f>IF('ENCUESTA CONDUCTORES'!CR161="X",1,0)</f>
        <v>1</v>
      </c>
      <c r="CK161" s="15">
        <f>IF('ENCUESTA CONDUCTORES'!CS161="X",1,0)</f>
        <v>0</v>
      </c>
      <c r="CL161" s="15">
        <f>IF('ENCUESTA CONDUCTORES'!CT161="X",1,0)</f>
        <v>0</v>
      </c>
      <c r="CM161" s="15">
        <f>+'ENCUESTA CONDUCTORES'!CU161</f>
        <v>0</v>
      </c>
      <c r="CN161" s="15">
        <f>IF('ENCUESTA CONDUCTORES'!CV161="X",1,0)</f>
        <v>1</v>
      </c>
      <c r="CO161" s="15" t="str">
        <f>+'ENCUESTA CONDUCTORES'!CW161</f>
        <v>NO TIENE TIEMPO</v>
      </c>
      <c r="CP161" s="15">
        <f>IF('ENCUESTA CONDUCTORES'!CX161="X",1,0)</f>
        <v>0</v>
      </c>
      <c r="CQ161" s="15">
        <f>IF('ENCUESTA CONDUCTORES'!CY161="X",1,0)</f>
        <v>0</v>
      </c>
      <c r="CR161" s="3">
        <f>+'ENCUESTA CONDUCTORES'!CZ161</f>
        <v>0</v>
      </c>
      <c r="CS161" s="49">
        <f>+'ENCUESTA CONDUCTORES'!DA161</f>
        <v>0</v>
      </c>
    </row>
    <row r="162" spans="2:97" x14ac:dyDescent="0.25">
      <c r="B162" s="14" t="str">
        <f>+'ENCUESTA CONDUCTORES'!D162</f>
        <v>C-168</v>
      </c>
      <c r="C162" s="15">
        <f>IF('ENCUESTA CONDUCTORES'!E162="X",1,0)</f>
        <v>0</v>
      </c>
      <c r="D162" s="15">
        <f>IF('ENCUESTA CONDUCTORES'!F162="X",1,0)</f>
        <v>0</v>
      </c>
      <c r="E162" s="15">
        <f>IF('ENCUESTA CONDUCTORES'!G162="X",1,0)</f>
        <v>1</v>
      </c>
      <c r="F162" s="15">
        <f>IF('ENCUESTA CONDUCTORES'!H162="X",1,0)</f>
        <v>0</v>
      </c>
      <c r="G162" s="15">
        <f>+'ENCUESTA CONDUCTORES'!I162</f>
        <v>36</v>
      </c>
      <c r="H162" s="15" t="str">
        <f>+'ENCUESTA CONDUCTORES'!J162</f>
        <v>M</v>
      </c>
      <c r="I162" s="15" t="str">
        <f>+'ENCUESTA CONDUCTORES'!K162</f>
        <v>PREPARATORIA</v>
      </c>
      <c r="J162" s="15" t="str">
        <f>+'ENCUESTA CONDUCTORES'!L162</f>
        <v>TEPOZTLÁN, MOR.</v>
      </c>
      <c r="K162" s="15" t="str">
        <f>+'ENCUESTA CONDUCTORES'!M162</f>
        <v>TEPOZTLÁN</v>
      </c>
      <c r="L162" s="15" t="str">
        <f>+'ENCUESTA CONDUCTORES'!N162</f>
        <v>MORELOS</v>
      </c>
      <c r="M162" s="15">
        <f>+'ENCUESTA CONDUCTORES'!O162</f>
        <v>12</v>
      </c>
      <c r="N162" s="15">
        <f>IF('ENCUESTA CONDUCTORES'!P162="X",1,0)</f>
        <v>0</v>
      </c>
      <c r="O162" s="15">
        <f>IF('ENCUESTA CONDUCTORES'!Q162="X",1,0)</f>
        <v>0</v>
      </c>
      <c r="P162" s="15">
        <f>IF('ENCUESTA CONDUCTORES'!R162="X",1,0)</f>
        <v>0</v>
      </c>
      <c r="Q162" s="15">
        <f>IF('ENCUESTA CONDUCTORES'!S162="X",1,0)</f>
        <v>1</v>
      </c>
      <c r="R162" s="15">
        <f>IF('ENCUESTA CONDUCTORES'!T162="X",1,0)</f>
        <v>0</v>
      </c>
      <c r="S162" s="15">
        <f>IF('ENCUESTA CONDUCTORES'!U162="X",1,0)</f>
        <v>1</v>
      </c>
      <c r="T162" s="15">
        <f>IF('ENCUESTA CONDUCTORES'!V162="X",1,0)</f>
        <v>0</v>
      </c>
      <c r="U162" s="15">
        <f>IF('ENCUESTA CONDUCTORES'!W162="X",1,0)</f>
        <v>0</v>
      </c>
      <c r="V162" s="15">
        <f>IF('ENCUESTA CONDUCTORES'!X162="X",1,0)</f>
        <v>0</v>
      </c>
      <c r="W162" s="15">
        <f>IF('ENCUESTA CONDUCTORES'!Y162="X",1,0)</f>
        <v>0</v>
      </c>
      <c r="X162" s="15">
        <f>IF('ENCUESTA CONDUCTORES'!Z162="X",1,0)</f>
        <v>0</v>
      </c>
      <c r="Y162" s="15">
        <f>+'ENCUESTA CONDUCTORES'!AG162</f>
        <v>0</v>
      </c>
      <c r="Z162" s="15">
        <f>+'ENCUESTA CONDUCTORES'!AH162</f>
        <v>2010</v>
      </c>
      <c r="AA162" s="1">
        <f>+'ENCUESTA CONDUCTORES'!AI162</f>
        <v>600000</v>
      </c>
      <c r="AB162" s="15">
        <f>IF('ENCUESTA CONDUCTORES'!AJ162="X",1,0)</f>
        <v>0</v>
      </c>
      <c r="AC162" s="15">
        <f>IF('ENCUESTA CONDUCTORES'!AK162="X",1,0)</f>
        <v>0</v>
      </c>
      <c r="AD162" s="15">
        <f>IF('ENCUESTA CONDUCTORES'!AL162="X",1,0)</f>
        <v>1</v>
      </c>
      <c r="AE162" s="15">
        <f>IF('ENCUESTA CONDUCTORES'!AM162="X",1,0)</f>
        <v>0</v>
      </c>
      <c r="AF162" s="15">
        <f>IF('ENCUESTA CONDUCTORES'!AN162="X",1,0)</f>
        <v>0</v>
      </c>
      <c r="AG162" s="15">
        <f>IF('ENCUESTA CONDUCTORES'!AO162="X",1,0)</f>
        <v>0</v>
      </c>
      <c r="AH162" s="15">
        <f>IF('ENCUESTA CONDUCTORES'!AP162="X",1,0)</f>
        <v>1</v>
      </c>
      <c r="AI162" s="15">
        <f>IF('ENCUESTA CONDUCTORES'!AQ162="X",1,0)</f>
        <v>0</v>
      </c>
      <c r="AJ162" s="15">
        <f>IF('ENCUESTA CONDUCTORES'!AR162="X",1,0)</f>
        <v>0</v>
      </c>
      <c r="AK162" s="15">
        <f>+'ENCUESTA CONDUCTORES'!AS162</f>
        <v>0</v>
      </c>
      <c r="AL162" s="15" t="str">
        <f>+'ENCUESTA CONDUCTORES'!AT162</f>
        <v>KENWORTH</v>
      </c>
      <c r="AM162" s="1">
        <f>+'ENCUESTA CONDUCTORES'!AU162</f>
        <v>3000</v>
      </c>
      <c r="AN162" s="48">
        <f>+'ENCUESTA CONDUCTORES'!AV162</f>
        <v>0.5</v>
      </c>
      <c r="AO162" s="15">
        <f>+'ENCUESTA CONDUCTORES'!AW162</f>
        <v>3.2</v>
      </c>
      <c r="AP162" s="15">
        <f>+'ENCUESTA CONDUCTORES'!AX162</f>
        <v>2.5</v>
      </c>
      <c r="AQ162" s="15">
        <f>+'ENCUESTA CONDUCTORES'!AY162</f>
        <v>2</v>
      </c>
      <c r="AR162" s="15">
        <f>+'ENCUESTA CONDUCTORES'!AZ162</f>
        <v>660</v>
      </c>
      <c r="AS162" s="15">
        <f>+'ENCUESTA CONDUCTORES'!BA162</f>
        <v>2000</v>
      </c>
      <c r="AT162" s="15">
        <f>IF('ENCUESTA CONDUCTORES'!BB162="X",1,0)</f>
        <v>0</v>
      </c>
      <c r="AU162" s="15">
        <f>IF('ENCUESTA CONDUCTORES'!BC162="X",1,0)</f>
        <v>1</v>
      </c>
      <c r="AV162" s="15">
        <f>IF('ENCUESTA CONDUCTORES'!BD162="X",1,0)</f>
        <v>0</v>
      </c>
      <c r="AW162" s="1">
        <f>+'ENCUESTA CONDUCTORES'!BE162</f>
        <v>12000</v>
      </c>
      <c r="AX162" s="1">
        <f>+'ENCUESTA CONDUCTORES'!BF162</f>
        <v>3000</v>
      </c>
      <c r="AY162" s="1">
        <f>+'ENCUESTA CONDUCTORES'!BG162</f>
        <v>12000</v>
      </c>
      <c r="AZ162" s="1">
        <f>+'ENCUESTA CONDUCTORES'!BH162</f>
        <v>60000</v>
      </c>
      <c r="BA162" s="1">
        <f>+'ENCUESTA CONDUCTORES'!BI162</f>
        <v>12000</v>
      </c>
      <c r="BB162" s="15">
        <f>IF('ENCUESTA CONDUCTORES'!BJ162="X",1,0)</f>
        <v>0</v>
      </c>
      <c r="BC162" s="15">
        <f>IF('ENCUESTA CONDUCTORES'!BK162="X",1,0)</f>
        <v>0</v>
      </c>
      <c r="BD162" s="15">
        <f>IF('ENCUESTA CONDUCTORES'!BL162="X",1,0)</f>
        <v>0</v>
      </c>
      <c r="BE162" s="15">
        <f>IF('ENCUESTA CONDUCTORES'!BM162="X",1,0)</f>
        <v>0</v>
      </c>
      <c r="BF162" s="15">
        <f>IF('ENCUESTA CONDUCTORES'!BN162="X",1,0)</f>
        <v>0</v>
      </c>
      <c r="BG162" s="15">
        <f>IF('ENCUESTA CONDUCTORES'!BO162="X",1,0)</f>
        <v>0</v>
      </c>
      <c r="BH162" s="15">
        <f>IF('ENCUESTA CONDUCTORES'!BP162="X",1,0)</f>
        <v>0</v>
      </c>
      <c r="BI162" s="15">
        <f>IF('ENCUESTA CONDUCTORES'!BQ162="X",1,0)</f>
        <v>0</v>
      </c>
      <c r="BJ162" s="15">
        <f>IF('ENCUESTA CONDUCTORES'!BR162="X",1,0)</f>
        <v>0</v>
      </c>
      <c r="BK162" s="15" t="str">
        <f>+'ENCUESTA CONDUCTORES'!BS162</f>
        <v>GENERAL</v>
      </c>
      <c r="BL162" s="15">
        <f>IF('ENCUESTA CONDUCTORES'!BT162="X",1,0)</f>
        <v>0</v>
      </c>
      <c r="BM162" s="15">
        <f>IF('ENCUESTA CONDUCTORES'!BU162="X",1,0)</f>
        <v>0</v>
      </c>
      <c r="BN162" s="15">
        <f>IF('ENCUESTA CONDUCTORES'!BV162="X",1,0)</f>
        <v>1</v>
      </c>
      <c r="BO162" s="15">
        <f>IF('ENCUESTA CONDUCTORES'!BW162="X",1,0)</f>
        <v>0</v>
      </c>
      <c r="BP162" s="15">
        <f>+'ENCUESTA CONDUCTORES'!BX162</f>
        <v>1</v>
      </c>
      <c r="BQ162" s="15">
        <f>+'ENCUESTA CONDUCTORES'!BY162</f>
        <v>3</v>
      </c>
      <c r="BR162" s="15">
        <f>+'ENCUESTA CONDUCTORES'!BZ162</f>
        <v>2</v>
      </c>
      <c r="BS162" s="15">
        <f>+'ENCUESTA CONDUCTORES'!CA162</f>
        <v>0</v>
      </c>
      <c r="BT162" s="15">
        <f>IF('ENCUESTA CONDUCTORES'!CB162="X",1,0)</f>
        <v>0</v>
      </c>
      <c r="BU162" s="15">
        <f>IF('ENCUESTA CONDUCTORES'!CC162="X",1,0)</f>
        <v>1</v>
      </c>
      <c r="BV162" s="15">
        <f>IF('ENCUESTA CONDUCTORES'!CD162="X",1,0)</f>
        <v>0</v>
      </c>
      <c r="BW162" s="15">
        <f>IF('ENCUESTA CONDUCTORES'!CE162="X",1,0)</f>
        <v>0</v>
      </c>
      <c r="BX162" s="15">
        <f>IF('ENCUESTA CONDUCTORES'!CF162="X",1,0)</f>
        <v>0</v>
      </c>
      <c r="BY162" s="15">
        <f>IF('ENCUESTA CONDUCTORES'!CG162="X",1,0)</f>
        <v>1</v>
      </c>
      <c r="BZ162" s="15">
        <f>IF('ENCUESTA CONDUCTORES'!CH162="X",1,0)</f>
        <v>0</v>
      </c>
      <c r="CA162" s="15">
        <f>IF('ENCUESTA CONDUCTORES'!CI162="X",1,0)</f>
        <v>1</v>
      </c>
      <c r="CB162" s="15">
        <f>IF('ENCUESTA CONDUCTORES'!CJ162="X",1,0)</f>
        <v>0</v>
      </c>
      <c r="CC162" s="15">
        <f>IF('ENCUESTA CONDUCTORES'!CK162="X",1,0)</f>
        <v>0</v>
      </c>
      <c r="CD162" s="15">
        <f>IF('ENCUESTA CONDUCTORES'!CL162="X",1,0)</f>
        <v>1</v>
      </c>
      <c r="CE162" s="15">
        <f>IF('ENCUESTA CONDUCTORES'!CM162="X",1,0)</f>
        <v>1</v>
      </c>
      <c r="CF162" s="15" t="str">
        <f>+'ENCUESTA CONDUCTORES'!CN162</f>
        <v>NO LE INTERESA</v>
      </c>
      <c r="CG162" s="15">
        <f>IF('ENCUESTA CONDUCTORES'!CO162="X",1,0)</f>
        <v>0</v>
      </c>
      <c r="CH162" s="15" t="str">
        <f>+'ENCUESTA CONDUCTORES'!CP162</f>
        <v>NO SABE</v>
      </c>
      <c r="CI162" s="15" t="str">
        <f>+'ENCUESTA CONDUCTORES'!CQ162</f>
        <v>DAR INCENTIVOS</v>
      </c>
      <c r="CJ162" s="15">
        <f>IF('ENCUESTA CONDUCTORES'!CR162="X",1,0)</f>
        <v>0</v>
      </c>
      <c r="CK162" s="15">
        <f>IF('ENCUESTA CONDUCTORES'!CS162="X",1,0)</f>
        <v>0</v>
      </c>
      <c r="CL162" s="15">
        <f>IF('ENCUESTA CONDUCTORES'!CT162="X",1,0)</f>
        <v>0</v>
      </c>
      <c r="CM162" s="15" t="str">
        <f>+'ENCUESTA CONDUCTORES'!CU162</f>
        <v>MANEJO A LA DEFENSIVA</v>
      </c>
      <c r="CN162" s="15">
        <f>IF('ENCUESTA CONDUCTORES'!CV162="X",1,0)</f>
        <v>0</v>
      </c>
      <c r="CO162" s="15">
        <f>+'ENCUESTA CONDUCTORES'!CW162</f>
        <v>0</v>
      </c>
      <c r="CP162" s="15">
        <f>IF('ENCUESTA CONDUCTORES'!CX162="X",1,0)</f>
        <v>1</v>
      </c>
      <c r="CQ162" s="15">
        <f>IF('ENCUESTA CONDUCTORES'!CY162="X",1,0)</f>
        <v>1</v>
      </c>
      <c r="CR162" s="3">
        <f>+'ENCUESTA CONDUCTORES'!CZ162</f>
        <v>0</v>
      </c>
      <c r="CS162" s="49">
        <f>+'ENCUESTA CONDUCTORES'!DA162</f>
        <v>0</v>
      </c>
    </row>
    <row r="163" spans="2:97" x14ac:dyDescent="0.25">
      <c r="B163" s="14" t="str">
        <f>+'ENCUESTA CONDUCTORES'!D163</f>
        <v>C-169</v>
      </c>
      <c r="C163" s="15">
        <f>IF('ENCUESTA CONDUCTORES'!E163="X",1,0)</f>
        <v>0</v>
      </c>
      <c r="D163" s="15">
        <f>IF('ENCUESTA CONDUCTORES'!F163="X",1,0)</f>
        <v>1</v>
      </c>
      <c r="E163" s="15">
        <f>IF('ENCUESTA CONDUCTORES'!G163="X",1,0)</f>
        <v>0</v>
      </c>
      <c r="F163" s="15">
        <f>IF('ENCUESTA CONDUCTORES'!H163="X",1,0)</f>
        <v>0</v>
      </c>
      <c r="G163" s="15">
        <f>+'ENCUESTA CONDUCTORES'!I163</f>
        <v>32</v>
      </c>
      <c r="H163" s="15" t="str">
        <f>+'ENCUESTA CONDUCTORES'!J163</f>
        <v>M</v>
      </c>
      <c r="I163" s="15" t="str">
        <f>+'ENCUESTA CONDUCTORES'!K163</f>
        <v>SECUNDARIA</v>
      </c>
      <c r="J163" s="15" t="str">
        <f>+'ENCUESTA CONDUCTORES'!L163</f>
        <v>BENITO JUÁREZ, D.F.</v>
      </c>
      <c r="K163" s="15" t="str">
        <f>+'ENCUESTA CONDUCTORES'!M163</f>
        <v>BENITO JUÁREZ</v>
      </c>
      <c r="L163" s="15" t="str">
        <f>+'ENCUESTA CONDUCTORES'!N163</f>
        <v>D.F.</v>
      </c>
      <c r="M163" s="15">
        <f>+'ENCUESTA CONDUCTORES'!O163</f>
        <v>8</v>
      </c>
      <c r="N163" s="15">
        <f>IF('ENCUESTA CONDUCTORES'!P163="X",1,0)</f>
        <v>1</v>
      </c>
      <c r="O163" s="15">
        <f>IF('ENCUESTA CONDUCTORES'!Q163="X",1,0)</f>
        <v>0</v>
      </c>
      <c r="P163" s="15">
        <f>IF('ENCUESTA CONDUCTORES'!R163="X",1,0)</f>
        <v>0</v>
      </c>
      <c r="Q163" s="15">
        <f>IF('ENCUESTA CONDUCTORES'!S163="X",1,0)</f>
        <v>0</v>
      </c>
      <c r="R163" s="15">
        <f>IF('ENCUESTA CONDUCTORES'!T163="X",1,0)</f>
        <v>0</v>
      </c>
      <c r="S163" s="15">
        <f>IF('ENCUESTA CONDUCTORES'!U163="X",1,0)</f>
        <v>0</v>
      </c>
      <c r="T163" s="15">
        <f>IF('ENCUESTA CONDUCTORES'!V163="X",1,0)</f>
        <v>0</v>
      </c>
      <c r="U163" s="15">
        <f>IF('ENCUESTA CONDUCTORES'!W163="X",1,0)</f>
        <v>0</v>
      </c>
      <c r="V163" s="15">
        <f>IF('ENCUESTA CONDUCTORES'!X163="X",1,0)</f>
        <v>0</v>
      </c>
      <c r="W163" s="15">
        <f>IF('ENCUESTA CONDUCTORES'!Y163="X",1,0)</f>
        <v>1</v>
      </c>
      <c r="X163" s="15">
        <f>IF('ENCUESTA CONDUCTORES'!Z163="X",1,0)</f>
        <v>0</v>
      </c>
      <c r="Y163" s="15">
        <f>+'ENCUESTA CONDUCTORES'!AG163</f>
        <v>0</v>
      </c>
      <c r="Z163" s="15">
        <f>+'ENCUESTA CONDUCTORES'!AH163</f>
        <v>2012</v>
      </c>
      <c r="AA163" s="1">
        <f>+'ENCUESTA CONDUCTORES'!AI163</f>
        <v>100000</v>
      </c>
      <c r="AB163" s="15">
        <f>IF('ENCUESTA CONDUCTORES'!AJ163="X",1,0)</f>
        <v>0</v>
      </c>
      <c r="AC163" s="15">
        <f>IF('ENCUESTA CONDUCTORES'!AK163="X",1,0)</f>
        <v>0</v>
      </c>
      <c r="AD163" s="15">
        <f>IF('ENCUESTA CONDUCTORES'!AL163="X",1,0)</f>
        <v>1</v>
      </c>
      <c r="AE163" s="15">
        <f>IF('ENCUESTA CONDUCTORES'!AM163="X",1,0)</f>
        <v>0</v>
      </c>
      <c r="AF163" s="15">
        <f>IF('ENCUESTA CONDUCTORES'!AN163="X",1,0)</f>
        <v>0</v>
      </c>
      <c r="AG163" s="15">
        <f>IF('ENCUESTA CONDUCTORES'!AO163="X",1,0)</f>
        <v>0</v>
      </c>
      <c r="AH163" s="15">
        <f>IF('ENCUESTA CONDUCTORES'!AP163="X",1,0)</f>
        <v>1</v>
      </c>
      <c r="AI163" s="15">
        <f>IF('ENCUESTA CONDUCTORES'!AQ163="X",1,0)</f>
        <v>0</v>
      </c>
      <c r="AJ163" s="15">
        <f>IF('ENCUESTA CONDUCTORES'!AR163="X",1,0)</f>
        <v>0</v>
      </c>
      <c r="AK163" s="15">
        <f>+'ENCUESTA CONDUCTORES'!AS163</f>
        <v>0</v>
      </c>
      <c r="AL163" s="15" t="str">
        <f>+'ENCUESTA CONDUCTORES'!AT163</f>
        <v>INTERNATIONAL</v>
      </c>
      <c r="AM163" s="1">
        <f>+'ENCUESTA CONDUCTORES'!AU163</f>
        <v>1000</v>
      </c>
      <c r="AN163" s="48">
        <f>+'ENCUESTA CONDUCTORES'!AV163</f>
        <v>0.3</v>
      </c>
      <c r="AO163" s="15">
        <f>+'ENCUESTA CONDUCTORES'!AW163</f>
        <v>3</v>
      </c>
      <c r="AP163" s="15">
        <f>+'ENCUESTA CONDUCTORES'!AX163</f>
        <v>2.8</v>
      </c>
      <c r="AQ163" s="15">
        <f>+'ENCUESTA CONDUCTORES'!AY163</f>
        <v>2</v>
      </c>
      <c r="AR163" s="15">
        <f>+'ENCUESTA CONDUCTORES'!AZ163</f>
        <v>260</v>
      </c>
      <c r="AS163" s="15">
        <f>+'ENCUESTA CONDUCTORES'!BA163</f>
        <v>750</v>
      </c>
      <c r="AT163" s="15">
        <f>IF('ENCUESTA CONDUCTORES'!BB163="X",1,0)</f>
        <v>1</v>
      </c>
      <c r="AU163" s="15">
        <f>IF('ENCUESTA CONDUCTORES'!BC163="X",1,0)</f>
        <v>1</v>
      </c>
      <c r="AV163" s="15">
        <f>IF('ENCUESTA CONDUCTORES'!BD163="X",1,0)</f>
        <v>0</v>
      </c>
      <c r="AW163" s="1">
        <f>+'ENCUESTA CONDUCTORES'!BE163</f>
        <v>6000</v>
      </c>
      <c r="AX163" s="1">
        <f>+'ENCUESTA CONDUCTORES'!BF163</f>
        <v>3000</v>
      </c>
      <c r="AY163" s="1">
        <f>+'ENCUESTA CONDUCTORES'!BG163</f>
        <v>6000</v>
      </c>
      <c r="AZ163" s="1" t="str">
        <f>+'ENCUESTA CONDUCTORES'!BH163</f>
        <v>NO SABE</v>
      </c>
      <c r="BA163" s="1">
        <f>+'ENCUESTA CONDUCTORES'!BI163</f>
        <v>6000</v>
      </c>
      <c r="BB163" s="15">
        <f>IF('ENCUESTA CONDUCTORES'!BJ163="X",1,0)</f>
        <v>0</v>
      </c>
      <c r="BC163" s="15">
        <f>IF('ENCUESTA CONDUCTORES'!BK163="X",1,0)</f>
        <v>0</v>
      </c>
      <c r="BD163" s="15">
        <f>IF('ENCUESTA CONDUCTORES'!BL163="X",1,0)</f>
        <v>0</v>
      </c>
      <c r="BE163" s="15">
        <f>IF('ENCUESTA CONDUCTORES'!BM163="X",1,0)</f>
        <v>0</v>
      </c>
      <c r="BF163" s="15">
        <f>IF('ENCUESTA CONDUCTORES'!BN163="X",1,0)</f>
        <v>0</v>
      </c>
      <c r="BG163" s="15">
        <f>IF('ENCUESTA CONDUCTORES'!BO163="X",1,0)</f>
        <v>0</v>
      </c>
      <c r="BH163" s="15">
        <f>IF('ENCUESTA CONDUCTORES'!BP163="X",1,0)</f>
        <v>0</v>
      </c>
      <c r="BI163" s="15">
        <f>IF('ENCUESTA CONDUCTORES'!BQ163="X",1,0)</f>
        <v>0</v>
      </c>
      <c r="BJ163" s="15">
        <f>IF('ENCUESTA CONDUCTORES'!BR163="X",1,0)</f>
        <v>0</v>
      </c>
      <c r="BK163" s="15" t="str">
        <f>+'ENCUESTA CONDUCTORES'!BS163</f>
        <v>AGUA</v>
      </c>
      <c r="BL163" s="15">
        <f>IF('ENCUESTA CONDUCTORES'!BT163="X",1,0)</f>
        <v>0</v>
      </c>
      <c r="BM163" s="15">
        <f>IF('ENCUESTA CONDUCTORES'!BU163="X",1,0)</f>
        <v>0</v>
      </c>
      <c r="BN163" s="15">
        <f>IF('ENCUESTA CONDUCTORES'!BV163="X",1,0)</f>
        <v>1</v>
      </c>
      <c r="BO163" s="15">
        <f>IF('ENCUESTA CONDUCTORES'!BW163="X",1,0)</f>
        <v>0</v>
      </c>
      <c r="BP163" s="15">
        <f>+'ENCUESTA CONDUCTORES'!BX163</f>
        <v>1</v>
      </c>
      <c r="BQ163" s="15">
        <f>+'ENCUESTA CONDUCTORES'!BY163</f>
        <v>2</v>
      </c>
      <c r="BR163" s="15">
        <f>+'ENCUESTA CONDUCTORES'!BZ163</f>
        <v>3</v>
      </c>
      <c r="BS163" s="15">
        <f>+'ENCUESTA CONDUCTORES'!CA163</f>
        <v>0</v>
      </c>
      <c r="BT163" s="15">
        <f>IF('ENCUESTA CONDUCTORES'!CB163="X",1,0)</f>
        <v>1</v>
      </c>
      <c r="BU163" s="15">
        <f>IF('ENCUESTA CONDUCTORES'!CC163="X",1,0)</f>
        <v>0</v>
      </c>
      <c r="BV163" s="15">
        <f>IF('ENCUESTA CONDUCTORES'!CD163="X",1,0)</f>
        <v>0</v>
      </c>
      <c r="BW163" s="15">
        <f>IF('ENCUESTA CONDUCTORES'!CE163="X",1,0)</f>
        <v>0</v>
      </c>
      <c r="BX163" s="15">
        <f>IF('ENCUESTA CONDUCTORES'!CF163="X",1,0)</f>
        <v>0</v>
      </c>
      <c r="BY163" s="15">
        <f>IF('ENCUESTA CONDUCTORES'!CG163="X",1,0)</f>
        <v>0</v>
      </c>
      <c r="BZ163" s="15">
        <f>IF('ENCUESTA CONDUCTORES'!CH163="X",1,0)</f>
        <v>0</v>
      </c>
      <c r="CA163" s="15">
        <f>IF('ENCUESTA CONDUCTORES'!CI163="X",1,0)</f>
        <v>0</v>
      </c>
      <c r="CB163" s="15">
        <f>IF('ENCUESTA CONDUCTORES'!CJ163="X",1,0)</f>
        <v>0</v>
      </c>
      <c r="CC163" s="15">
        <f>IF('ENCUESTA CONDUCTORES'!CK163="X",1,0)</f>
        <v>1</v>
      </c>
      <c r="CD163" s="15">
        <f>IF('ENCUESTA CONDUCTORES'!CL163="X",1,0)</f>
        <v>0</v>
      </c>
      <c r="CE163" s="15">
        <f>IF('ENCUESTA CONDUCTORES'!CM163="X",1,0)</f>
        <v>0</v>
      </c>
      <c r="CF163" s="15">
        <f>+'ENCUESTA CONDUCTORES'!CN163</f>
        <v>0</v>
      </c>
      <c r="CG163" s="15">
        <f>IF('ENCUESTA CONDUCTORES'!CO163="X",1,0)</f>
        <v>0</v>
      </c>
      <c r="CH163" s="15" t="str">
        <f>+'ENCUESTA CONDUCTORES'!CP163</f>
        <v>NO SABE</v>
      </c>
      <c r="CI163" s="15" t="str">
        <f>+'ENCUESTA CONDUCTORES'!CQ163</f>
        <v>NO SABE</v>
      </c>
      <c r="CJ163" s="15">
        <f>IF('ENCUESTA CONDUCTORES'!CR163="X",1,0)</f>
        <v>1</v>
      </c>
      <c r="CK163" s="15">
        <f>IF('ENCUESTA CONDUCTORES'!CS163="X",1,0)</f>
        <v>0</v>
      </c>
      <c r="CL163" s="15">
        <f>IF('ENCUESTA CONDUCTORES'!CT163="X",1,0)</f>
        <v>0</v>
      </c>
      <c r="CM163" s="15">
        <f>+'ENCUESTA CONDUCTORES'!CU163</f>
        <v>0</v>
      </c>
      <c r="CN163" s="15">
        <f>IF('ENCUESTA CONDUCTORES'!CV163="X",1,0)</f>
        <v>0</v>
      </c>
      <c r="CO163" s="15">
        <f>+'ENCUESTA CONDUCTORES'!CW163</f>
        <v>0</v>
      </c>
      <c r="CP163" s="15">
        <f>IF('ENCUESTA CONDUCTORES'!CX163="X",1,0)</f>
        <v>0</v>
      </c>
      <c r="CQ163" s="15">
        <f>IF('ENCUESTA CONDUCTORES'!CY163="X",1,0)</f>
        <v>1</v>
      </c>
      <c r="CR163" s="3">
        <f>+'ENCUESTA CONDUCTORES'!CZ163</f>
        <v>0</v>
      </c>
      <c r="CS163" s="49">
        <f>+'ENCUESTA CONDUCTORES'!DA163</f>
        <v>0</v>
      </c>
    </row>
    <row r="164" spans="2:97" x14ac:dyDescent="0.25">
      <c r="B164" s="14" t="str">
        <f>+'ENCUESTA CONDUCTORES'!D164</f>
        <v>C-170</v>
      </c>
      <c r="C164" s="15">
        <f>IF('ENCUESTA CONDUCTORES'!E164="X",1,0)</f>
        <v>0</v>
      </c>
      <c r="D164" s="15">
        <f>IF('ENCUESTA CONDUCTORES'!F164="X",1,0)</f>
        <v>0</v>
      </c>
      <c r="E164" s="15">
        <f>IF('ENCUESTA CONDUCTORES'!G164="X",1,0)</f>
        <v>0</v>
      </c>
      <c r="F164" s="15">
        <f>IF('ENCUESTA CONDUCTORES'!H164="X",1,0)</f>
        <v>1</v>
      </c>
      <c r="G164" s="15">
        <f>+'ENCUESTA CONDUCTORES'!I164</f>
        <v>38</v>
      </c>
      <c r="H164" s="15" t="str">
        <f>+'ENCUESTA CONDUCTORES'!J164</f>
        <v>M</v>
      </c>
      <c r="I164" s="15" t="str">
        <f>+'ENCUESTA CONDUCTORES'!K164</f>
        <v>SECUNDARIA</v>
      </c>
      <c r="J164" s="15" t="str">
        <f>+'ENCUESTA CONDUCTORES'!L164</f>
        <v>ECATEPEC, EDO. MEX.</v>
      </c>
      <c r="K164" s="15" t="str">
        <f>+'ENCUESTA CONDUCTORES'!M164</f>
        <v>ECATEPEC</v>
      </c>
      <c r="L164" s="15" t="str">
        <f>+'ENCUESTA CONDUCTORES'!N164</f>
        <v>EDO. MEX.</v>
      </c>
      <c r="M164" s="15">
        <f>+'ENCUESTA CONDUCTORES'!O164</f>
        <v>15</v>
      </c>
      <c r="N164" s="15">
        <f>IF('ENCUESTA CONDUCTORES'!P164="X",1,0)</f>
        <v>1</v>
      </c>
      <c r="O164" s="15">
        <f>IF('ENCUESTA CONDUCTORES'!Q164="X",1,0)</f>
        <v>0</v>
      </c>
      <c r="P164" s="15">
        <f>IF('ENCUESTA CONDUCTORES'!R164="X",1,0)</f>
        <v>0</v>
      </c>
      <c r="Q164" s="15">
        <f>IF('ENCUESTA CONDUCTORES'!S164="X",1,0)</f>
        <v>0</v>
      </c>
      <c r="R164" s="15">
        <f>IF('ENCUESTA CONDUCTORES'!T164="X",1,0)</f>
        <v>0</v>
      </c>
      <c r="S164" s="15">
        <f>IF('ENCUESTA CONDUCTORES'!U164="X",1,0)</f>
        <v>1</v>
      </c>
      <c r="T164" s="15">
        <f>IF('ENCUESTA CONDUCTORES'!V164="X",1,0)</f>
        <v>0</v>
      </c>
      <c r="U164" s="15">
        <f>IF('ENCUESTA CONDUCTORES'!W164="X",1,0)</f>
        <v>0</v>
      </c>
      <c r="V164" s="15">
        <f>IF('ENCUESTA CONDUCTORES'!X164="X",1,0)</f>
        <v>0</v>
      </c>
      <c r="W164" s="15">
        <f>IF('ENCUESTA CONDUCTORES'!Y164="X",1,0)</f>
        <v>0</v>
      </c>
      <c r="X164" s="15">
        <f>IF('ENCUESTA CONDUCTORES'!Z164="X",1,0)</f>
        <v>0</v>
      </c>
      <c r="Y164" s="15">
        <f>+'ENCUESTA CONDUCTORES'!AG164</f>
        <v>0</v>
      </c>
      <c r="Z164" s="15">
        <f>+'ENCUESTA CONDUCTORES'!AH164</f>
        <v>2010</v>
      </c>
      <c r="AA164" s="1">
        <f>+'ENCUESTA CONDUCTORES'!AI164</f>
        <v>200000</v>
      </c>
      <c r="AB164" s="15">
        <f>IF('ENCUESTA CONDUCTORES'!AJ164="X",1,0)</f>
        <v>0</v>
      </c>
      <c r="AC164" s="15">
        <f>IF('ENCUESTA CONDUCTORES'!AK164="X",1,0)</f>
        <v>0</v>
      </c>
      <c r="AD164" s="15">
        <f>IF('ENCUESTA CONDUCTORES'!AL164="X",1,0)</f>
        <v>1</v>
      </c>
      <c r="AE164" s="15">
        <f>IF('ENCUESTA CONDUCTORES'!AM164="X",1,0)</f>
        <v>0</v>
      </c>
      <c r="AF164" s="15">
        <f>IF('ENCUESTA CONDUCTORES'!AN164="X",1,0)</f>
        <v>0</v>
      </c>
      <c r="AG164" s="15">
        <f>IF('ENCUESTA CONDUCTORES'!AO164="X",1,0)</f>
        <v>0</v>
      </c>
      <c r="AH164" s="15">
        <f>IF('ENCUESTA CONDUCTORES'!AP164="X",1,0)</f>
        <v>1</v>
      </c>
      <c r="AI164" s="15">
        <f>IF('ENCUESTA CONDUCTORES'!AQ164="X",1,0)</f>
        <v>0</v>
      </c>
      <c r="AJ164" s="15">
        <f>IF('ENCUESTA CONDUCTORES'!AR164="X",1,0)</f>
        <v>0</v>
      </c>
      <c r="AK164" s="15">
        <f>+'ENCUESTA CONDUCTORES'!AS164</f>
        <v>0</v>
      </c>
      <c r="AL164" s="15" t="str">
        <f>+'ENCUESTA CONDUCTORES'!AT164</f>
        <v>INTERNATIONAL</v>
      </c>
      <c r="AM164" s="1">
        <f>+'ENCUESTA CONDUCTORES'!AU164</f>
        <v>4000</v>
      </c>
      <c r="AN164" s="48">
        <f>+'ENCUESTA CONDUCTORES'!AV164</f>
        <v>0.5</v>
      </c>
      <c r="AO164" s="15">
        <f>+'ENCUESTA CONDUCTORES'!AW164</f>
        <v>5</v>
      </c>
      <c r="AP164" s="15">
        <f>+'ENCUESTA CONDUCTORES'!AX164</f>
        <v>3</v>
      </c>
      <c r="AQ164" s="15">
        <f>+'ENCUESTA CONDUCTORES'!AY164</f>
        <v>1</v>
      </c>
      <c r="AR164" s="15">
        <f>+'ENCUESTA CONDUCTORES'!AZ164</f>
        <v>375</v>
      </c>
      <c r="AS164" s="15">
        <f>+'ENCUESTA CONDUCTORES'!BA164</f>
        <v>1500</v>
      </c>
      <c r="AT164" s="15">
        <f>IF('ENCUESTA CONDUCTORES'!BB164="X",1,0)</f>
        <v>0</v>
      </c>
      <c r="AU164" s="15">
        <f>IF('ENCUESTA CONDUCTORES'!BC164="X",1,0)</f>
        <v>0</v>
      </c>
      <c r="AV164" s="15">
        <f>IF('ENCUESTA CONDUCTORES'!BD164="X",1,0)</f>
        <v>0</v>
      </c>
      <c r="AW164" s="1">
        <f>+'ENCUESTA CONDUCTORES'!BE164</f>
        <v>24000</v>
      </c>
      <c r="AX164" s="1">
        <f>+'ENCUESTA CONDUCTORES'!BF164</f>
        <v>48000</v>
      </c>
      <c r="AY164" s="1">
        <f>+'ENCUESTA CONDUCTORES'!BG164</f>
        <v>24000</v>
      </c>
      <c r="AZ164" s="1">
        <f>+'ENCUESTA CONDUCTORES'!BH164</f>
        <v>100000</v>
      </c>
      <c r="BA164" s="1">
        <f>+'ENCUESTA CONDUCTORES'!BI164</f>
        <v>24000</v>
      </c>
      <c r="BB164" s="15">
        <f>IF('ENCUESTA CONDUCTORES'!BJ164="X",1,0)</f>
        <v>0</v>
      </c>
      <c r="BC164" s="15">
        <f>IF('ENCUESTA CONDUCTORES'!BK164="X",1,0)</f>
        <v>0</v>
      </c>
      <c r="BD164" s="15">
        <f>IF('ENCUESTA CONDUCTORES'!BL164="X",1,0)</f>
        <v>0</v>
      </c>
      <c r="BE164" s="15">
        <f>IF('ENCUESTA CONDUCTORES'!BM164="X",1,0)</f>
        <v>0</v>
      </c>
      <c r="BF164" s="15">
        <f>IF('ENCUESTA CONDUCTORES'!BN164="X",1,0)</f>
        <v>0</v>
      </c>
      <c r="BG164" s="15">
        <f>IF('ENCUESTA CONDUCTORES'!BO164="X",1,0)</f>
        <v>0</v>
      </c>
      <c r="BH164" s="15">
        <f>IF('ENCUESTA CONDUCTORES'!BP164="X",1,0)</f>
        <v>0</v>
      </c>
      <c r="BI164" s="15">
        <f>IF('ENCUESTA CONDUCTORES'!BQ164="X",1,0)</f>
        <v>0</v>
      </c>
      <c r="BJ164" s="15">
        <f>IF('ENCUESTA CONDUCTORES'!BR164="X",1,0)</f>
        <v>0</v>
      </c>
      <c r="BK164" s="15" t="str">
        <f>+'ENCUESTA CONDUCTORES'!BS164</f>
        <v>GENERAL</v>
      </c>
      <c r="BL164" s="15">
        <f>IF('ENCUESTA CONDUCTORES'!BT164="X",1,0)</f>
        <v>0</v>
      </c>
      <c r="BM164" s="15">
        <f>IF('ENCUESTA CONDUCTORES'!BU164="X",1,0)</f>
        <v>0</v>
      </c>
      <c r="BN164" s="15">
        <f>IF('ENCUESTA CONDUCTORES'!BV164="X",1,0)</f>
        <v>1</v>
      </c>
      <c r="BO164" s="15">
        <f>IF('ENCUESTA CONDUCTORES'!BW164="X",1,0)</f>
        <v>0</v>
      </c>
      <c r="BP164" s="15">
        <f>+'ENCUESTA CONDUCTORES'!BX164</f>
        <v>1</v>
      </c>
      <c r="BQ164" s="15">
        <f>+'ENCUESTA CONDUCTORES'!BY164</f>
        <v>3</v>
      </c>
      <c r="BR164" s="15">
        <f>+'ENCUESTA CONDUCTORES'!BZ164</f>
        <v>2</v>
      </c>
      <c r="BS164" s="15">
        <f>+'ENCUESTA CONDUCTORES'!CA164</f>
        <v>0</v>
      </c>
      <c r="BT164" s="15">
        <f>IF('ENCUESTA CONDUCTORES'!CB164="X",1,0)</f>
        <v>1</v>
      </c>
      <c r="BU164" s="15">
        <f>IF('ENCUESTA CONDUCTORES'!CC164="X",1,0)</f>
        <v>0</v>
      </c>
      <c r="BV164" s="15">
        <f>IF('ENCUESTA CONDUCTORES'!CD164="X",1,0)</f>
        <v>0</v>
      </c>
      <c r="BW164" s="15">
        <f>IF('ENCUESTA CONDUCTORES'!CE164="X",1,0)</f>
        <v>0</v>
      </c>
      <c r="BX164" s="15">
        <f>IF('ENCUESTA CONDUCTORES'!CF164="X",1,0)</f>
        <v>0</v>
      </c>
      <c r="BY164" s="15">
        <f>IF('ENCUESTA CONDUCTORES'!CG164="X",1,0)</f>
        <v>0</v>
      </c>
      <c r="BZ164" s="15">
        <f>IF('ENCUESTA CONDUCTORES'!CH164="X",1,0)</f>
        <v>0</v>
      </c>
      <c r="CA164" s="15">
        <f>IF('ENCUESTA CONDUCTORES'!CI164="X",1,0)</f>
        <v>0</v>
      </c>
      <c r="CB164" s="15">
        <f>IF('ENCUESTA CONDUCTORES'!CJ164="X",1,0)</f>
        <v>0</v>
      </c>
      <c r="CC164" s="15">
        <f>IF('ENCUESTA CONDUCTORES'!CK164="X",1,0)</f>
        <v>1</v>
      </c>
      <c r="CD164" s="15">
        <f>IF('ENCUESTA CONDUCTORES'!CL164="X",1,0)</f>
        <v>0</v>
      </c>
      <c r="CE164" s="15">
        <f>IF('ENCUESTA CONDUCTORES'!CM164="X",1,0)</f>
        <v>0</v>
      </c>
      <c r="CF164" s="15">
        <f>+'ENCUESTA CONDUCTORES'!CN164</f>
        <v>0</v>
      </c>
      <c r="CG164" s="15">
        <f>IF('ENCUESTA CONDUCTORES'!CO164="X",1,0)</f>
        <v>0</v>
      </c>
      <c r="CH164" s="15" t="str">
        <f>+'ENCUESTA CONDUCTORES'!CP164</f>
        <v>NO SABE</v>
      </c>
      <c r="CI164" s="15" t="str">
        <f>+'ENCUESTA CONDUCTORES'!CQ164</f>
        <v>PUBLICIDAD</v>
      </c>
      <c r="CJ164" s="15">
        <f>IF('ENCUESTA CONDUCTORES'!CR164="X",1,0)</f>
        <v>1</v>
      </c>
      <c r="CK164" s="15">
        <f>IF('ENCUESTA CONDUCTORES'!CS164="X",1,0)</f>
        <v>0</v>
      </c>
      <c r="CL164" s="15">
        <f>IF('ENCUESTA CONDUCTORES'!CT164="X",1,0)</f>
        <v>0</v>
      </c>
      <c r="CM164" s="15">
        <f>+'ENCUESTA CONDUCTORES'!CU164</f>
        <v>0</v>
      </c>
      <c r="CN164" s="15">
        <f>IF('ENCUESTA CONDUCTORES'!CV164="X",1,0)</f>
        <v>0</v>
      </c>
      <c r="CO164" s="15">
        <f>+'ENCUESTA CONDUCTORES'!CW164</f>
        <v>0</v>
      </c>
      <c r="CP164" s="15">
        <f>IF('ENCUESTA CONDUCTORES'!CX164="X",1,0)</f>
        <v>1</v>
      </c>
      <c r="CQ164" s="15">
        <f>IF('ENCUESTA CONDUCTORES'!CY164="X",1,0)</f>
        <v>1</v>
      </c>
      <c r="CR164" s="3">
        <f>+'ENCUESTA CONDUCTORES'!CZ164</f>
        <v>0</v>
      </c>
      <c r="CS164" s="49">
        <f>+'ENCUESTA CONDUCTORES'!DA164</f>
        <v>0</v>
      </c>
    </row>
    <row r="165" spans="2:97" x14ac:dyDescent="0.25">
      <c r="B165" s="14" t="str">
        <f>+'ENCUESTA CONDUCTORES'!D165</f>
        <v>C-171</v>
      </c>
      <c r="C165" s="15">
        <f>IF('ENCUESTA CONDUCTORES'!E165="X",1,0)</f>
        <v>0</v>
      </c>
      <c r="D165" s="15">
        <f>IF('ENCUESTA CONDUCTORES'!F165="X",1,0)</f>
        <v>1</v>
      </c>
      <c r="E165" s="15">
        <f>IF('ENCUESTA CONDUCTORES'!G165="X",1,0)</f>
        <v>0</v>
      </c>
      <c r="F165" s="15">
        <f>IF('ENCUESTA CONDUCTORES'!H165="X",1,0)</f>
        <v>0</v>
      </c>
      <c r="G165" s="15">
        <f>+'ENCUESTA CONDUCTORES'!I165</f>
        <v>59</v>
      </c>
      <c r="H165" s="15" t="str">
        <f>+'ENCUESTA CONDUCTORES'!J165</f>
        <v>M</v>
      </c>
      <c r="I165" s="15" t="str">
        <f>+'ENCUESTA CONDUCTORES'!K165</f>
        <v>PRIMARIA</v>
      </c>
      <c r="J165" s="15" t="str">
        <f>+'ENCUESTA CONDUCTORES'!L165</f>
        <v>PACHUCA, HGO.</v>
      </c>
      <c r="K165" s="15" t="str">
        <f>+'ENCUESTA CONDUCTORES'!M165</f>
        <v>PACHUCA</v>
      </c>
      <c r="L165" s="15" t="str">
        <f>+'ENCUESTA CONDUCTORES'!N165</f>
        <v>HIDALGO</v>
      </c>
      <c r="M165" s="15">
        <f>+'ENCUESTA CONDUCTORES'!O165</f>
        <v>40</v>
      </c>
      <c r="N165" s="15">
        <f>IF('ENCUESTA CONDUCTORES'!P165="X",1,0)</f>
        <v>1</v>
      </c>
      <c r="O165" s="15">
        <f>IF('ENCUESTA CONDUCTORES'!Q165="X",1,0)</f>
        <v>0</v>
      </c>
      <c r="P165" s="15">
        <f>IF('ENCUESTA CONDUCTORES'!R165="X",1,0)</f>
        <v>0</v>
      </c>
      <c r="Q165" s="15">
        <f>IF('ENCUESTA CONDUCTORES'!S165="X",1,0)</f>
        <v>0</v>
      </c>
      <c r="R165" s="15">
        <f>IF('ENCUESTA CONDUCTORES'!T165="X",1,0)</f>
        <v>0</v>
      </c>
      <c r="S165" s="15">
        <f>IF('ENCUESTA CONDUCTORES'!U165="X",1,0)</f>
        <v>1</v>
      </c>
      <c r="T165" s="15">
        <f>IF('ENCUESTA CONDUCTORES'!V165="X",1,0)</f>
        <v>0</v>
      </c>
      <c r="U165" s="15">
        <f>IF('ENCUESTA CONDUCTORES'!W165="X",1,0)</f>
        <v>0</v>
      </c>
      <c r="V165" s="15">
        <f>IF('ENCUESTA CONDUCTORES'!X165="X",1,0)</f>
        <v>0</v>
      </c>
      <c r="W165" s="15">
        <f>IF('ENCUESTA CONDUCTORES'!Y165="X",1,0)</f>
        <v>0</v>
      </c>
      <c r="X165" s="15">
        <f>IF('ENCUESTA CONDUCTORES'!Z165="X",1,0)</f>
        <v>0</v>
      </c>
      <c r="Y165" s="15">
        <f>+'ENCUESTA CONDUCTORES'!AG165</f>
        <v>0</v>
      </c>
      <c r="Z165" s="15">
        <f>+'ENCUESTA CONDUCTORES'!AH165</f>
        <v>1980</v>
      </c>
      <c r="AA165" s="1">
        <f>+'ENCUESTA CONDUCTORES'!AI165</f>
        <v>2000000</v>
      </c>
      <c r="AB165" s="15">
        <f>IF('ENCUESTA CONDUCTORES'!AJ165="X",1,0)</f>
        <v>0</v>
      </c>
      <c r="AC165" s="15">
        <f>IF('ENCUESTA CONDUCTORES'!AK165="X",1,0)</f>
        <v>0</v>
      </c>
      <c r="AD165" s="15">
        <f>IF('ENCUESTA CONDUCTORES'!AL165="X",1,0)</f>
        <v>1</v>
      </c>
      <c r="AE165" s="15">
        <f>IF('ENCUESTA CONDUCTORES'!AM165="X",1,0)</f>
        <v>0</v>
      </c>
      <c r="AF165" s="15">
        <f>IF('ENCUESTA CONDUCTORES'!AN165="X",1,0)</f>
        <v>0</v>
      </c>
      <c r="AG165" s="15">
        <f>IF('ENCUESTA CONDUCTORES'!AO165="X",1,0)</f>
        <v>1</v>
      </c>
      <c r="AH165" s="15">
        <f>IF('ENCUESTA CONDUCTORES'!AP165="X",1,0)</f>
        <v>0</v>
      </c>
      <c r="AI165" s="15">
        <f>IF('ENCUESTA CONDUCTORES'!AQ165="X",1,0)</f>
        <v>0</v>
      </c>
      <c r="AJ165" s="15">
        <f>IF('ENCUESTA CONDUCTORES'!AR165="X",1,0)</f>
        <v>0</v>
      </c>
      <c r="AK165" s="15">
        <f>+'ENCUESTA CONDUCTORES'!AS165</f>
        <v>0</v>
      </c>
      <c r="AL165" s="15" t="str">
        <f>+'ENCUESTA CONDUCTORES'!AT165</f>
        <v>KENWORTH</v>
      </c>
      <c r="AM165" s="1">
        <f>+'ENCUESTA CONDUCTORES'!AU165</f>
        <v>5000</v>
      </c>
      <c r="AN165" s="48">
        <f>+'ENCUESTA CONDUCTORES'!AV165</f>
        <v>0.5</v>
      </c>
      <c r="AO165" s="15">
        <f>+'ENCUESTA CONDUCTORES'!AW165</f>
        <v>2.5</v>
      </c>
      <c r="AP165" s="15">
        <f>+'ENCUESTA CONDUCTORES'!AX165</f>
        <v>2</v>
      </c>
      <c r="AQ165" s="15">
        <f>+'ENCUESTA CONDUCTORES'!AY165</f>
        <v>2</v>
      </c>
      <c r="AR165" s="15">
        <f>+'ENCUESTA CONDUCTORES'!AZ165</f>
        <v>650</v>
      </c>
      <c r="AS165" s="15">
        <f>+'ENCUESTA CONDUCTORES'!BA165</f>
        <v>1500</v>
      </c>
      <c r="AT165" s="15">
        <f>IF('ENCUESTA CONDUCTORES'!BB165="X",1,0)</f>
        <v>0</v>
      </c>
      <c r="AU165" s="15">
        <f>IF('ENCUESTA CONDUCTORES'!BC165="X",1,0)</f>
        <v>1</v>
      </c>
      <c r="AV165" s="15">
        <f>IF('ENCUESTA CONDUCTORES'!BD165="X",1,0)</f>
        <v>0</v>
      </c>
      <c r="AW165" s="1">
        <f>+'ENCUESTA CONDUCTORES'!BE165</f>
        <v>20000</v>
      </c>
      <c r="AX165" s="1">
        <f>+'ENCUESTA CONDUCTORES'!BF165</f>
        <v>30000</v>
      </c>
      <c r="AY165" s="1">
        <f>+'ENCUESTA CONDUCTORES'!BG165</f>
        <v>20000</v>
      </c>
      <c r="AZ165" s="1">
        <f>+'ENCUESTA CONDUCTORES'!BH165</f>
        <v>60000</v>
      </c>
      <c r="BA165" s="1">
        <f>+'ENCUESTA CONDUCTORES'!BI165</f>
        <v>20000</v>
      </c>
      <c r="BB165" s="15">
        <f>IF('ENCUESTA CONDUCTORES'!BJ165="X",1,0)</f>
        <v>0</v>
      </c>
      <c r="BC165" s="15">
        <f>IF('ENCUESTA CONDUCTORES'!BK165="X",1,0)</f>
        <v>0</v>
      </c>
      <c r="BD165" s="15">
        <f>IF('ENCUESTA CONDUCTORES'!BL165="X",1,0)</f>
        <v>0</v>
      </c>
      <c r="BE165" s="15">
        <f>IF('ENCUESTA CONDUCTORES'!BM165="X",1,0)</f>
        <v>0</v>
      </c>
      <c r="BF165" s="15">
        <f>IF('ENCUESTA CONDUCTORES'!BN165="X",1,0)</f>
        <v>0</v>
      </c>
      <c r="BG165" s="15">
        <f>IF('ENCUESTA CONDUCTORES'!BO165="X",1,0)</f>
        <v>0</v>
      </c>
      <c r="BH165" s="15">
        <f>IF('ENCUESTA CONDUCTORES'!BP165="X",1,0)</f>
        <v>0</v>
      </c>
      <c r="BI165" s="15">
        <f>IF('ENCUESTA CONDUCTORES'!BQ165="X",1,0)</f>
        <v>0</v>
      </c>
      <c r="BJ165" s="15">
        <f>IF('ENCUESTA CONDUCTORES'!BR165="X",1,0)</f>
        <v>0</v>
      </c>
      <c r="BK165" s="15" t="str">
        <f>+'ENCUESTA CONDUCTORES'!BS165</f>
        <v>GENERAL</v>
      </c>
      <c r="BL165" s="15">
        <f>IF('ENCUESTA CONDUCTORES'!BT165="X",1,0)</f>
        <v>0</v>
      </c>
      <c r="BM165" s="15">
        <f>IF('ENCUESTA CONDUCTORES'!BU165="X",1,0)</f>
        <v>1</v>
      </c>
      <c r="BN165" s="15">
        <f>IF('ENCUESTA CONDUCTORES'!BV165="X",1,0)</f>
        <v>1</v>
      </c>
      <c r="BO165" s="15">
        <f>IF('ENCUESTA CONDUCTORES'!BW165="X",1,0)</f>
        <v>1</v>
      </c>
      <c r="BP165" s="15">
        <f>+'ENCUESTA CONDUCTORES'!BX165</f>
        <v>1</v>
      </c>
      <c r="BQ165" s="15">
        <f>+'ENCUESTA CONDUCTORES'!BY165</f>
        <v>3</v>
      </c>
      <c r="BR165" s="15">
        <f>+'ENCUESTA CONDUCTORES'!BZ165</f>
        <v>2</v>
      </c>
      <c r="BS165" s="15">
        <f>+'ENCUESTA CONDUCTORES'!CA165</f>
        <v>0</v>
      </c>
      <c r="BT165" s="15">
        <f>IF('ENCUESTA CONDUCTORES'!CB165="X",1,0)</f>
        <v>0</v>
      </c>
      <c r="BU165" s="15">
        <f>IF('ENCUESTA CONDUCTORES'!CC165="X",1,0)</f>
        <v>1</v>
      </c>
      <c r="BV165" s="15">
        <f>IF('ENCUESTA CONDUCTORES'!CD165="X",1,0)</f>
        <v>0</v>
      </c>
      <c r="BW165" s="15">
        <f>IF('ENCUESTA CONDUCTORES'!CE165="X",1,0)</f>
        <v>1</v>
      </c>
      <c r="BX165" s="15">
        <f>IF('ENCUESTA CONDUCTORES'!CF165="X",1,0)</f>
        <v>0</v>
      </c>
      <c r="BY165" s="15">
        <f>IF('ENCUESTA CONDUCTORES'!CG165="X",1,0)</f>
        <v>0</v>
      </c>
      <c r="BZ165" s="15">
        <f>IF('ENCUESTA CONDUCTORES'!CH165="X",1,0)</f>
        <v>1</v>
      </c>
      <c r="CA165" s="15">
        <f>IF('ENCUESTA CONDUCTORES'!CI165="X",1,0)</f>
        <v>1</v>
      </c>
      <c r="CB165" s="15">
        <f>IF('ENCUESTA CONDUCTORES'!CJ165="X",1,0)</f>
        <v>0</v>
      </c>
      <c r="CC165" s="15">
        <f>IF('ENCUESTA CONDUCTORES'!CK165="X",1,0)</f>
        <v>1</v>
      </c>
      <c r="CD165" s="15">
        <f>IF('ENCUESTA CONDUCTORES'!CL165="X",1,0)</f>
        <v>0</v>
      </c>
      <c r="CE165" s="15">
        <f>IF('ENCUESTA CONDUCTORES'!CM165="X",1,0)</f>
        <v>0</v>
      </c>
      <c r="CF165" s="15">
        <f>+'ENCUESTA CONDUCTORES'!CN165</f>
        <v>0</v>
      </c>
      <c r="CG165" s="15">
        <f>IF('ENCUESTA CONDUCTORES'!CO165="X",1,0)</f>
        <v>0</v>
      </c>
      <c r="CH165" s="15" t="str">
        <f>+'ENCUESTA CONDUCTORES'!CP165</f>
        <v>NO SABE</v>
      </c>
      <c r="CI165" s="15" t="str">
        <f>+'ENCUESTA CONDUCTORES'!CQ165</f>
        <v>NO SABE</v>
      </c>
      <c r="CJ165" s="15">
        <f>IF('ENCUESTA CONDUCTORES'!CR165="X",1,0)</f>
        <v>0</v>
      </c>
      <c r="CK165" s="15">
        <f>IF('ENCUESTA CONDUCTORES'!CS165="X",1,0)</f>
        <v>1</v>
      </c>
      <c r="CL165" s="15">
        <f>IF('ENCUESTA CONDUCTORES'!CT165="X",1,0)</f>
        <v>1</v>
      </c>
      <c r="CM165" s="15">
        <f>+'ENCUESTA CONDUCTORES'!CU165</f>
        <v>0</v>
      </c>
      <c r="CN165" s="15">
        <f>IF('ENCUESTA CONDUCTORES'!CV165="X",1,0)</f>
        <v>0</v>
      </c>
      <c r="CO165" s="15">
        <f>+'ENCUESTA CONDUCTORES'!CW165</f>
        <v>0</v>
      </c>
      <c r="CP165" s="15">
        <f>IF('ENCUESTA CONDUCTORES'!CX165="X",1,0)</f>
        <v>0</v>
      </c>
      <c r="CQ165" s="15">
        <f>IF('ENCUESTA CONDUCTORES'!CY165="X",1,0)</f>
        <v>0</v>
      </c>
      <c r="CR165" s="3" t="str">
        <f>+'ENCUESTA CONDUCTORES'!CZ165</f>
        <v>PROTECCION CIVIL</v>
      </c>
      <c r="CS165" s="49">
        <f>+'ENCUESTA CONDUCTORES'!DA165</f>
        <v>0</v>
      </c>
    </row>
    <row r="166" spans="2:97" x14ac:dyDescent="0.25">
      <c r="B166" s="14" t="str">
        <f>+'ENCUESTA CONDUCTORES'!D166</f>
        <v>C-172</v>
      </c>
      <c r="C166" s="15">
        <f>IF('ENCUESTA CONDUCTORES'!E166="X",1,0)</f>
        <v>1</v>
      </c>
      <c r="D166" s="15">
        <f>IF('ENCUESTA CONDUCTORES'!F166="X",1,0)</f>
        <v>0</v>
      </c>
      <c r="E166" s="15">
        <f>IF('ENCUESTA CONDUCTORES'!G166="X",1,0)</f>
        <v>0</v>
      </c>
      <c r="F166" s="15">
        <f>IF('ENCUESTA CONDUCTORES'!H166="X",1,0)</f>
        <v>0</v>
      </c>
      <c r="G166" s="15">
        <f>+'ENCUESTA CONDUCTORES'!I166</f>
        <v>45</v>
      </c>
      <c r="H166" s="15" t="str">
        <f>+'ENCUESTA CONDUCTORES'!J166</f>
        <v>M</v>
      </c>
      <c r="I166" s="15" t="str">
        <f>+'ENCUESTA CONDUCTORES'!K166</f>
        <v>PREPARATORIA</v>
      </c>
      <c r="J166" s="15" t="str">
        <f>+'ENCUESTA CONDUCTORES'!L166</f>
        <v>CHICOLOAPAN, EDO. MEX.</v>
      </c>
      <c r="K166" s="15" t="str">
        <f>+'ENCUESTA CONDUCTORES'!M166</f>
        <v>CHICOLOAPAN</v>
      </c>
      <c r="L166" s="15" t="str">
        <f>+'ENCUESTA CONDUCTORES'!N166</f>
        <v>EDO. MEX.</v>
      </c>
      <c r="M166" s="15">
        <f>+'ENCUESTA CONDUCTORES'!O166</f>
        <v>15</v>
      </c>
      <c r="N166" s="15">
        <f>IF('ENCUESTA CONDUCTORES'!P166="X",1,0)</f>
        <v>0</v>
      </c>
      <c r="O166" s="15">
        <f>IF('ENCUESTA CONDUCTORES'!Q166="X",1,0)</f>
        <v>0</v>
      </c>
      <c r="P166" s="15">
        <f>IF('ENCUESTA CONDUCTORES'!R166="X",1,0)</f>
        <v>1</v>
      </c>
      <c r="Q166" s="15">
        <f>IF('ENCUESTA CONDUCTORES'!S166="X",1,0)</f>
        <v>0</v>
      </c>
      <c r="R166" s="15">
        <f>IF('ENCUESTA CONDUCTORES'!T166="X",1,0)</f>
        <v>0</v>
      </c>
      <c r="S166" s="15">
        <f>IF('ENCUESTA CONDUCTORES'!U166="X",1,0)</f>
        <v>1</v>
      </c>
      <c r="T166" s="15">
        <f>IF('ENCUESTA CONDUCTORES'!V166="X",1,0)</f>
        <v>0</v>
      </c>
      <c r="U166" s="15">
        <f>IF('ENCUESTA CONDUCTORES'!W166="X",1,0)</f>
        <v>0</v>
      </c>
      <c r="V166" s="15">
        <f>IF('ENCUESTA CONDUCTORES'!X166="X",1,0)</f>
        <v>0</v>
      </c>
      <c r="W166" s="15">
        <f>IF('ENCUESTA CONDUCTORES'!Y166="X",1,0)</f>
        <v>0</v>
      </c>
      <c r="X166" s="15">
        <f>IF('ENCUESTA CONDUCTORES'!Z166="X",1,0)</f>
        <v>0</v>
      </c>
      <c r="Y166" s="15">
        <f>+'ENCUESTA CONDUCTORES'!AG166</f>
        <v>0</v>
      </c>
      <c r="Z166" s="15">
        <f>+'ENCUESTA CONDUCTORES'!AH166</f>
        <v>2000</v>
      </c>
      <c r="AA166" s="1">
        <f>+'ENCUESTA CONDUCTORES'!AI166</f>
        <v>5000000</v>
      </c>
      <c r="AB166" s="15">
        <f>IF('ENCUESTA CONDUCTORES'!AJ166="X",1,0)</f>
        <v>0</v>
      </c>
      <c r="AC166" s="15">
        <f>IF('ENCUESTA CONDUCTORES'!AK166="X",1,0)</f>
        <v>0</v>
      </c>
      <c r="AD166" s="15">
        <f>IF('ENCUESTA CONDUCTORES'!AL166="X",1,0)</f>
        <v>1</v>
      </c>
      <c r="AE166" s="15">
        <f>IF('ENCUESTA CONDUCTORES'!AM166="X",1,0)</f>
        <v>0</v>
      </c>
      <c r="AF166" s="15">
        <f>IF('ENCUESTA CONDUCTORES'!AN166="X",1,0)</f>
        <v>0</v>
      </c>
      <c r="AG166" s="15">
        <f>IF('ENCUESTA CONDUCTORES'!AO166="X",1,0)</f>
        <v>0</v>
      </c>
      <c r="AH166" s="15">
        <f>IF('ENCUESTA CONDUCTORES'!AP166="X",1,0)</f>
        <v>1</v>
      </c>
      <c r="AI166" s="15">
        <f>IF('ENCUESTA CONDUCTORES'!AQ166="X",1,0)</f>
        <v>0</v>
      </c>
      <c r="AJ166" s="15">
        <f>IF('ENCUESTA CONDUCTORES'!AR166="X",1,0)</f>
        <v>0</v>
      </c>
      <c r="AK166" s="15">
        <f>+'ENCUESTA CONDUCTORES'!AS166</f>
        <v>0</v>
      </c>
      <c r="AL166" s="15" t="str">
        <f>+'ENCUESTA CONDUCTORES'!AT166</f>
        <v>CUMMINS</v>
      </c>
      <c r="AM166" s="1">
        <f>+'ENCUESTA CONDUCTORES'!AU166</f>
        <v>30000</v>
      </c>
      <c r="AN166" s="48">
        <f>+'ENCUESTA CONDUCTORES'!AV166</f>
        <v>0.1</v>
      </c>
      <c r="AO166" s="15">
        <f>+'ENCUESTA CONDUCTORES'!AW166</f>
        <v>2.2999999999999998</v>
      </c>
      <c r="AP166" s="15">
        <f>+'ENCUESTA CONDUCTORES'!AX166</f>
        <v>2</v>
      </c>
      <c r="AQ166" s="15">
        <f>+'ENCUESTA CONDUCTORES'!AY166</f>
        <v>2</v>
      </c>
      <c r="AR166" s="15">
        <f>+'ENCUESTA CONDUCTORES'!AZ166</f>
        <v>640</v>
      </c>
      <c r="AS166" s="15">
        <f>+'ENCUESTA CONDUCTORES'!BA166</f>
        <v>1400</v>
      </c>
      <c r="AT166" s="15">
        <f>IF('ENCUESTA CONDUCTORES'!BB166="X",1,0)</f>
        <v>0</v>
      </c>
      <c r="AU166" s="15">
        <f>IF('ENCUESTA CONDUCTORES'!BC166="X",1,0)</f>
        <v>1</v>
      </c>
      <c r="AV166" s="15">
        <f>IF('ENCUESTA CONDUCTORES'!BD166="X",1,0)</f>
        <v>0</v>
      </c>
      <c r="AW166" s="1">
        <f>+'ENCUESTA CONDUCTORES'!BE166</f>
        <v>12000</v>
      </c>
      <c r="AX166" s="1">
        <f>+'ENCUESTA CONDUCTORES'!BF166</f>
        <v>20000</v>
      </c>
      <c r="AY166" s="1">
        <f>+'ENCUESTA CONDUCTORES'!BG166</f>
        <v>12000</v>
      </c>
      <c r="AZ166" s="1">
        <f>+'ENCUESTA CONDUCTORES'!BH166</f>
        <v>220000</v>
      </c>
      <c r="BA166" s="1">
        <f>+'ENCUESTA CONDUCTORES'!BI166</f>
        <v>12000</v>
      </c>
      <c r="BB166" s="15">
        <f>IF('ENCUESTA CONDUCTORES'!BJ166="X",1,0)</f>
        <v>0</v>
      </c>
      <c r="BC166" s="15">
        <f>IF('ENCUESTA CONDUCTORES'!BK166="X",1,0)</f>
        <v>0</v>
      </c>
      <c r="BD166" s="15">
        <f>IF('ENCUESTA CONDUCTORES'!BL166="X",1,0)</f>
        <v>0</v>
      </c>
      <c r="BE166" s="15">
        <f>IF('ENCUESTA CONDUCTORES'!BM166="X",1,0)</f>
        <v>0</v>
      </c>
      <c r="BF166" s="15">
        <f>IF('ENCUESTA CONDUCTORES'!BN166="X",1,0)</f>
        <v>0</v>
      </c>
      <c r="BG166" s="15">
        <f>IF('ENCUESTA CONDUCTORES'!BO166="X",1,0)</f>
        <v>1</v>
      </c>
      <c r="BH166" s="15">
        <f>IF('ENCUESTA CONDUCTORES'!BP166="X",1,0)</f>
        <v>0</v>
      </c>
      <c r="BI166" s="15">
        <f>IF('ENCUESTA CONDUCTORES'!BQ166="X",1,0)</f>
        <v>0</v>
      </c>
      <c r="BJ166" s="15">
        <f>IF('ENCUESTA CONDUCTORES'!BR166="X",1,0)</f>
        <v>0</v>
      </c>
      <c r="BK166" s="15">
        <f>+'ENCUESTA CONDUCTORES'!BS166</f>
        <v>0</v>
      </c>
      <c r="BL166" s="15">
        <f>IF('ENCUESTA CONDUCTORES'!BT166="X",1,0)</f>
        <v>0</v>
      </c>
      <c r="BM166" s="15">
        <f>IF('ENCUESTA CONDUCTORES'!BU166="X",1,0)</f>
        <v>1</v>
      </c>
      <c r="BN166" s="15">
        <f>IF('ENCUESTA CONDUCTORES'!BV166="X",1,0)</f>
        <v>0</v>
      </c>
      <c r="BO166" s="15">
        <f>IF('ENCUESTA CONDUCTORES'!BW166="X",1,0)</f>
        <v>0</v>
      </c>
      <c r="BP166" s="15">
        <f>+'ENCUESTA CONDUCTORES'!BX166</f>
        <v>3</v>
      </c>
      <c r="BQ166" s="15">
        <f>+'ENCUESTA CONDUCTORES'!BY166</f>
        <v>1</v>
      </c>
      <c r="BR166" s="15">
        <f>+'ENCUESTA CONDUCTORES'!BZ166</f>
        <v>2</v>
      </c>
      <c r="BS166" s="15">
        <f>+'ENCUESTA CONDUCTORES'!CA166</f>
        <v>0</v>
      </c>
      <c r="BT166" s="15">
        <f>IF('ENCUESTA CONDUCTORES'!CB166="X",1,0)</f>
        <v>0</v>
      </c>
      <c r="BU166" s="15">
        <f>IF('ENCUESTA CONDUCTORES'!CC166="X",1,0)</f>
        <v>1</v>
      </c>
      <c r="BV166" s="15">
        <f>IF('ENCUESTA CONDUCTORES'!CD166="X",1,0)</f>
        <v>0</v>
      </c>
      <c r="BW166" s="15">
        <f>IF('ENCUESTA CONDUCTORES'!CE166="X",1,0)</f>
        <v>1</v>
      </c>
      <c r="BX166" s="15">
        <f>IF('ENCUESTA CONDUCTORES'!CF166="X",1,0)</f>
        <v>0</v>
      </c>
      <c r="BY166" s="15">
        <f>IF('ENCUESTA CONDUCTORES'!CG166="X",1,0)</f>
        <v>0</v>
      </c>
      <c r="BZ166" s="15">
        <f>IF('ENCUESTA CONDUCTORES'!CH166="X",1,0)</f>
        <v>1</v>
      </c>
      <c r="CA166" s="15">
        <f>IF('ENCUESTA CONDUCTORES'!CI166="X",1,0)</f>
        <v>1</v>
      </c>
      <c r="CB166" s="15">
        <f>IF('ENCUESTA CONDUCTORES'!CJ166="X",1,0)</f>
        <v>0</v>
      </c>
      <c r="CC166" s="15">
        <f>IF('ENCUESTA CONDUCTORES'!CK166="X",1,0)</f>
        <v>0</v>
      </c>
      <c r="CD166" s="15">
        <f>IF('ENCUESTA CONDUCTORES'!CL166="X",1,0)</f>
        <v>1</v>
      </c>
      <c r="CE166" s="15">
        <f>IF('ENCUESTA CONDUCTORES'!CM166="X",1,0)</f>
        <v>1</v>
      </c>
      <c r="CF166" s="15" t="str">
        <f>+'ENCUESTA CONDUCTORES'!CN166</f>
        <v>NO LE INTERESA AL DUEÑO</v>
      </c>
      <c r="CG166" s="15">
        <f>IF('ENCUESTA CONDUCTORES'!CO166="X",1,0)</f>
        <v>0</v>
      </c>
      <c r="CH166" s="15" t="str">
        <f>+'ENCUESTA CONDUCTORES'!CP166</f>
        <v>BUENO PARA EL AMBIENTE</v>
      </c>
      <c r="CI166" s="15" t="str">
        <f>+'ENCUESTA CONDUCTORES'!CQ166</f>
        <v>NO SABE</v>
      </c>
      <c r="CJ166" s="15">
        <f>IF('ENCUESTA CONDUCTORES'!CR166="X",1,0)</f>
        <v>0</v>
      </c>
      <c r="CK166" s="15">
        <f>IF('ENCUESTA CONDUCTORES'!CS166="X",1,0)</f>
        <v>1</v>
      </c>
      <c r="CL166" s="15">
        <f>IF('ENCUESTA CONDUCTORES'!CT166="X",1,0)</f>
        <v>1</v>
      </c>
      <c r="CM166" s="15">
        <f>+'ENCUESTA CONDUCTORES'!CU166</f>
        <v>0</v>
      </c>
      <c r="CN166" s="15">
        <f>IF('ENCUESTA CONDUCTORES'!CV166="X",1,0)</f>
        <v>0</v>
      </c>
      <c r="CO166" s="15">
        <f>+'ENCUESTA CONDUCTORES'!CW166</f>
        <v>0</v>
      </c>
      <c r="CP166" s="15">
        <f>IF('ENCUESTA CONDUCTORES'!CX166="X",1,0)</f>
        <v>0</v>
      </c>
      <c r="CQ166" s="15">
        <f>IF('ENCUESTA CONDUCTORES'!CY166="X",1,0)</f>
        <v>0</v>
      </c>
      <c r="CR166" s="3" t="str">
        <f>+'ENCUESTA CONDUCTORES'!CZ166</f>
        <v>PRIMEROS AUXILIOS</v>
      </c>
      <c r="CS166" s="49">
        <f>+'ENCUESTA CONDUCTORES'!DA166</f>
        <v>0</v>
      </c>
    </row>
    <row r="167" spans="2:97" x14ac:dyDescent="0.25">
      <c r="B167" s="14" t="str">
        <f>+'ENCUESTA CONDUCTORES'!D167</f>
        <v>C-173</v>
      </c>
      <c r="C167" s="15">
        <f>IF('ENCUESTA CONDUCTORES'!E167="X",1,0)</f>
        <v>0</v>
      </c>
      <c r="D167" s="15">
        <f>IF('ENCUESTA CONDUCTORES'!F167="X",1,0)</f>
        <v>0</v>
      </c>
      <c r="E167" s="15">
        <f>IF('ENCUESTA CONDUCTORES'!G167="X",1,0)</f>
        <v>0</v>
      </c>
      <c r="F167" s="15">
        <f>IF('ENCUESTA CONDUCTORES'!H167="X",1,0)</f>
        <v>1</v>
      </c>
      <c r="G167" s="15">
        <f>+'ENCUESTA CONDUCTORES'!I167</f>
        <v>55</v>
      </c>
      <c r="H167" s="15" t="str">
        <f>+'ENCUESTA CONDUCTORES'!J167</f>
        <v>M</v>
      </c>
      <c r="I167" s="15" t="str">
        <f>+'ENCUESTA CONDUCTORES'!K167</f>
        <v>PRIMARIA</v>
      </c>
      <c r="J167" s="15" t="str">
        <f>+'ENCUESTA CONDUCTORES'!L167</f>
        <v>NAUCALPAN, EDO. MEX.</v>
      </c>
      <c r="K167" s="15" t="str">
        <f>+'ENCUESTA CONDUCTORES'!M167</f>
        <v>NAUCALPAN</v>
      </c>
      <c r="L167" s="15" t="str">
        <f>+'ENCUESTA CONDUCTORES'!N167</f>
        <v>EDO. MEX.</v>
      </c>
      <c r="M167" s="15">
        <f>+'ENCUESTA CONDUCTORES'!O167</f>
        <v>30</v>
      </c>
      <c r="N167" s="15">
        <f>IF('ENCUESTA CONDUCTORES'!P167="X",1,0)</f>
        <v>0</v>
      </c>
      <c r="O167" s="15">
        <f>IF('ENCUESTA CONDUCTORES'!Q167="X",1,0)</f>
        <v>0</v>
      </c>
      <c r="P167" s="15">
        <f>IF('ENCUESTA CONDUCTORES'!R167="X",1,0)</f>
        <v>0</v>
      </c>
      <c r="Q167" s="15">
        <f>IF('ENCUESTA CONDUCTORES'!S167="X",1,0)</f>
        <v>1</v>
      </c>
      <c r="R167" s="15">
        <f>IF('ENCUESTA CONDUCTORES'!T167="X",1,0)</f>
        <v>0</v>
      </c>
      <c r="S167" s="15">
        <f>IF('ENCUESTA CONDUCTORES'!U167="X",1,0)</f>
        <v>1</v>
      </c>
      <c r="T167" s="15">
        <f>IF('ENCUESTA CONDUCTORES'!V167="X",1,0)</f>
        <v>0</v>
      </c>
      <c r="U167" s="15">
        <f>IF('ENCUESTA CONDUCTORES'!W167="X",1,0)</f>
        <v>0</v>
      </c>
      <c r="V167" s="15">
        <f>IF('ENCUESTA CONDUCTORES'!X167="X",1,0)</f>
        <v>0</v>
      </c>
      <c r="W167" s="15">
        <f>IF('ENCUESTA CONDUCTORES'!Y167="X",1,0)</f>
        <v>0</v>
      </c>
      <c r="X167" s="15">
        <f>IF('ENCUESTA CONDUCTORES'!Z167="X",1,0)</f>
        <v>0</v>
      </c>
      <c r="Y167" s="15">
        <f>+'ENCUESTA CONDUCTORES'!AG167</f>
        <v>0</v>
      </c>
      <c r="Z167" s="15">
        <f>+'ENCUESTA CONDUCTORES'!AH167</f>
        <v>2010</v>
      </c>
      <c r="AA167" s="1">
        <f>+'ENCUESTA CONDUCTORES'!AI167</f>
        <v>300000</v>
      </c>
      <c r="AB167" s="15">
        <f>IF('ENCUESTA CONDUCTORES'!AJ167="X",1,0)</f>
        <v>0</v>
      </c>
      <c r="AC167" s="15">
        <f>IF('ENCUESTA CONDUCTORES'!AK167="X",1,0)</f>
        <v>0</v>
      </c>
      <c r="AD167" s="15">
        <f>IF('ENCUESTA CONDUCTORES'!AL167="X",1,0)</f>
        <v>1</v>
      </c>
      <c r="AE167" s="15">
        <f>IF('ENCUESTA CONDUCTORES'!AM167="X",1,0)</f>
        <v>0</v>
      </c>
      <c r="AF167" s="15">
        <f>IF('ENCUESTA CONDUCTORES'!AN167="X",1,0)</f>
        <v>0</v>
      </c>
      <c r="AG167" s="15">
        <f>IF('ENCUESTA CONDUCTORES'!AO167="X",1,0)</f>
        <v>0</v>
      </c>
      <c r="AH167" s="15">
        <f>IF('ENCUESTA CONDUCTORES'!AP167="X",1,0)</f>
        <v>1</v>
      </c>
      <c r="AI167" s="15">
        <f>IF('ENCUESTA CONDUCTORES'!AQ167="X",1,0)</f>
        <v>0</v>
      </c>
      <c r="AJ167" s="15">
        <f>IF('ENCUESTA CONDUCTORES'!AR167="X",1,0)</f>
        <v>0</v>
      </c>
      <c r="AK167" s="15">
        <f>+'ENCUESTA CONDUCTORES'!AS167</f>
        <v>0</v>
      </c>
      <c r="AL167" s="15" t="str">
        <f>+'ENCUESTA CONDUCTORES'!AT167</f>
        <v>KENWORTH</v>
      </c>
      <c r="AM167" s="1">
        <f>+'ENCUESTA CONDUCTORES'!AU167</f>
        <v>5000</v>
      </c>
      <c r="AN167" s="48">
        <f>+'ENCUESTA CONDUCTORES'!AV167</f>
        <v>0.2</v>
      </c>
      <c r="AO167" s="15">
        <f>+'ENCUESTA CONDUCTORES'!AW167</f>
        <v>3.5</v>
      </c>
      <c r="AP167" s="15">
        <f>+'ENCUESTA CONDUCTORES'!AX167</f>
        <v>3.1</v>
      </c>
      <c r="AQ167" s="15">
        <f>+'ENCUESTA CONDUCTORES'!AY167</f>
        <v>2</v>
      </c>
      <c r="AR167" s="15">
        <f>+'ENCUESTA CONDUCTORES'!AZ167</f>
        <v>390</v>
      </c>
      <c r="AS167" s="15">
        <f>+'ENCUESTA CONDUCTORES'!BA167</f>
        <v>1300</v>
      </c>
      <c r="AT167" s="15">
        <f>IF('ENCUESTA CONDUCTORES'!BB167="X",1,0)</f>
        <v>1</v>
      </c>
      <c r="AU167" s="15">
        <f>IF('ENCUESTA CONDUCTORES'!BC167="X",1,0)</f>
        <v>1</v>
      </c>
      <c r="AV167" s="15">
        <f>IF('ENCUESTA CONDUCTORES'!BD167="X",1,0)</f>
        <v>0</v>
      </c>
      <c r="AW167" s="1">
        <f>+'ENCUESTA CONDUCTORES'!BE167</f>
        <v>15000</v>
      </c>
      <c r="AX167" s="1">
        <f>+'ENCUESTA CONDUCTORES'!BF167</f>
        <v>9000</v>
      </c>
      <c r="AY167" s="1">
        <f>+'ENCUESTA CONDUCTORES'!BG167</f>
        <v>15000</v>
      </c>
      <c r="AZ167" s="1">
        <f>+'ENCUESTA CONDUCTORES'!BH167</f>
        <v>130000</v>
      </c>
      <c r="BA167" s="1">
        <f>+'ENCUESTA CONDUCTORES'!BI167</f>
        <v>15000</v>
      </c>
      <c r="BB167" s="15">
        <f>IF('ENCUESTA CONDUCTORES'!BJ167="X",1,0)</f>
        <v>0</v>
      </c>
      <c r="BC167" s="15">
        <f>IF('ENCUESTA CONDUCTORES'!BK167="X",1,0)</f>
        <v>0</v>
      </c>
      <c r="BD167" s="15">
        <f>IF('ENCUESTA CONDUCTORES'!BL167="X",1,0)</f>
        <v>0</v>
      </c>
      <c r="BE167" s="15">
        <f>IF('ENCUESTA CONDUCTORES'!BM167="X",1,0)</f>
        <v>0</v>
      </c>
      <c r="BF167" s="15">
        <f>IF('ENCUESTA CONDUCTORES'!BN167="X",1,0)</f>
        <v>0</v>
      </c>
      <c r="BG167" s="15">
        <f>IF('ENCUESTA CONDUCTORES'!BO167="X",1,0)</f>
        <v>0</v>
      </c>
      <c r="BH167" s="15">
        <f>IF('ENCUESTA CONDUCTORES'!BP167="X",1,0)</f>
        <v>0</v>
      </c>
      <c r="BI167" s="15">
        <f>IF('ENCUESTA CONDUCTORES'!BQ167="X",1,0)</f>
        <v>0</v>
      </c>
      <c r="BJ167" s="15">
        <f>IF('ENCUESTA CONDUCTORES'!BR167="X",1,0)</f>
        <v>0</v>
      </c>
      <c r="BK167" s="15" t="str">
        <f>+'ENCUESTA CONDUCTORES'!BS167</f>
        <v>ANIMALES</v>
      </c>
      <c r="BL167" s="15">
        <f>IF('ENCUESTA CONDUCTORES'!BT167="X",1,0)</f>
        <v>0</v>
      </c>
      <c r="BM167" s="15">
        <f>IF('ENCUESTA CONDUCTORES'!BU167="X",1,0)</f>
        <v>1</v>
      </c>
      <c r="BN167" s="15">
        <f>IF('ENCUESTA CONDUCTORES'!BV167="X",1,0)</f>
        <v>0</v>
      </c>
      <c r="BO167" s="15">
        <f>IF('ENCUESTA CONDUCTORES'!BW167="X",1,0)</f>
        <v>0</v>
      </c>
      <c r="BP167" s="15">
        <f>+'ENCUESTA CONDUCTORES'!BX167</f>
        <v>1</v>
      </c>
      <c r="BQ167" s="15">
        <f>+'ENCUESTA CONDUCTORES'!BY167</f>
        <v>2</v>
      </c>
      <c r="BR167" s="15">
        <f>+'ENCUESTA CONDUCTORES'!BZ167</f>
        <v>3</v>
      </c>
      <c r="BS167" s="15">
        <f>+'ENCUESTA CONDUCTORES'!CA167</f>
        <v>0</v>
      </c>
      <c r="BT167" s="15">
        <f>IF('ENCUESTA CONDUCTORES'!CB167="X",1,0)</f>
        <v>0</v>
      </c>
      <c r="BU167" s="15">
        <f>IF('ENCUESTA CONDUCTORES'!CC167="X",1,0)</f>
        <v>1</v>
      </c>
      <c r="BV167" s="15">
        <f>IF('ENCUESTA CONDUCTORES'!CD167="X",1,0)</f>
        <v>0</v>
      </c>
      <c r="BW167" s="15">
        <f>IF('ENCUESTA CONDUCTORES'!CE167="X",1,0)</f>
        <v>0</v>
      </c>
      <c r="BX167" s="15">
        <f>IF('ENCUESTA CONDUCTORES'!CF167="X",1,0)</f>
        <v>1</v>
      </c>
      <c r="BY167" s="15">
        <f>IF('ENCUESTA CONDUCTORES'!CG167="X",1,0)</f>
        <v>0</v>
      </c>
      <c r="BZ167" s="15">
        <f>IF('ENCUESTA CONDUCTORES'!CH167="X",1,0)</f>
        <v>1</v>
      </c>
      <c r="CA167" s="15">
        <f>IF('ENCUESTA CONDUCTORES'!CI167="X",1,0)</f>
        <v>1</v>
      </c>
      <c r="CB167" s="15">
        <f>IF('ENCUESTA CONDUCTORES'!CJ167="X",1,0)</f>
        <v>0</v>
      </c>
      <c r="CC167" s="15">
        <f>IF('ENCUESTA CONDUCTORES'!CK167="X",1,0)</f>
        <v>0</v>
      </c>
      <c r="CD167" s="15">
        <f>IF('ENCUESTA CONDUCTORES'!CL167="X",1,0)</f>
        <v>1</v>
      </c>
      <c r="CE167" s="15">
        <f>IF('ENCUESTA CONDUCTORES'!CM167="X",1,0)</f>
        <v>1</v>
      </c>
      <c r="CF167" s="15" t="str">
        <f>+'ENCUESTA CONDUCTORES'!CN167</f>
        <v>NO LE INTERESA</v>
      </c>
      <c r="CG167" s="15">
        <f>IF('ENCUESTA CONDUCTORES'!CO167="X",1,0)</f>
        <v>0</v>
      </c>
      <c r="CH167" s="15" t="str">
        <f>+'ENCUESTA CONDUCTORES'!CP167</f>
        <v>NO SABE</v>
      </c>
      <c r="CI167" s="15" t="str">
        <f>+'ENCUESTA CONDUCTORES'!CQ167</f>
        <v>MAYOR INFORMACION</v>
      </c>
      <c r="CJ167" s="15">
        <f>IF('ENCUESTA CONDUCTORES'!CR167="X",1,0)</f>
        <v>0</v>
      </c>
      <c r="CK167" s="15">
        <f>IF('ENCUESTA CONDUCTORES'!CS167="X",1,0)</f>
        <v>0</v>
      </c>
      <c r="CL167" s="15">
        <f>IF('ENCUESTA CONDUCTORES'!CT167="X",1,0)</f>
        <v>0</v>
      </c>
      <c r="CM167" s="15" t="str">
        <f>+'ENCUESTA CONDUCTORES'!CU167</f>
        <v>MANEJO A LA DEFENSIVA</v>
      </c>
      <c r="CN167" s="15">
        <f>IF('ENCUESTA CONDUCTORES'!CV167="X",1,0)</f>
        <v>0</v>
      </c>
      <c r="CO167" s="15">
        <f>+'ENCUESTA CONDUCTORES'!CW167</f>
        <v>0</v>
      </c>
      <c r="CP167" s="15">
        <f>IF('ENCUESTA CONDUCTORES'!CX167="X",1,0)</f>
        <v>0</v>
      </c>
      <c r="CQ167" s="15">
        <f>IF('ENCUESTA CONDUCTORES'!CY167="X",1,0)</f>
        <v>1</v>
      </c>
      <c r="CR167" s="3">
        <f>+'ENCUESTA CONDUCTORES'!CZ167</f>
        <v>0</v>
      </c>
      <c r="CS167" s="49">
        <f>+'ENCUESTA CONDUCTORES'!DA167</f>
        <v>0</v>
      </c>
    </row>
    <row r="168" spans="2:97" x14ac:dyDescent="0.25">
      <c r="B168" s="14" t="str">
        <f>+'ENCUESTA CONDUCTORES'!D168</f>
        <v>C-174</v>
      </c>
      <c r="C168" s="15">
        <f>IF('ENCUESTA CONDUCTORES'!E168="X",1,0)</f>
        <v>0</v>
      </c>
      <c r="D168" s="15">
        <f>IF('ENCUESTA CONDUCTORES'!F168="X",1,0)</f>
        <v>0</v>
      </c>
      <c r="E168" s="15">
        <f>IF('ENCUESTA CONDUCTORES'!G168="X",1,0)</f>
        <v>1</v>
      </c>
      <c r="F168" s="15">
        <f>IF('ENCUESTA CONDUCTORES'!H168="X",1,0)</f>
        <v>0</v>
      </c>
      <c r="G168" s="15">
        <f>+'ENCUESTA CONDUCTORES'!I168</f>
        <v>24</v>
      </c>
      <c r="H168" s="15" t="str">
        <f>+'ENCUESTA CONDUCTORES'!J168</f>
        <v>M</v>
      </c>
      <c r="I168" s="15" t="str">
        <f>+'ENCUESTA CONDUCTORES'!K168</f>
        <v>PREPARATORIA</v>
      </c>
      <c r="J168" s="15" t="str">
        <f>+'ENCUESTA CONDUCTORES'!L168</f>
        <v>IZTAPALAPA, D.F.</v>
      </c>
      <c r="K168" s="15" t="str">
        <f>+'ENCUESTA CONDUCTORES'!M168</f>
        <v>IZTAPALAPA</v>
      </c>
      <c r="L168" s="15" t="str">
        <f>+'ENCUESTA CONDUCTORES'!N168</f>
        <v>D.F.</v>
      </c>
      <c r="M168" s="15">
        <f>+'ENCUESTA CONDUCTORES'!O168</f>
        <v>3</v>
      </c>
      <c r="N168" s="15">
        <f>IF('ENCUESTA CONDUCTORES'!P168="X",1,0)</f>
        <v>1</v>
      </c>
      <c r="O168" s="15">
        <f>IF('ENCUESTA CONDUCTORES'!Q168="X",1,0)</f>
        <v>0</v>
      </c>
      <c r="P168" s="15">
        <f>IF('ENCUESTA CONDUCTORES'!R168="X",1,0)</f>
        <v>0</v>
      </c>
      <c r="Q168" s="15">
        <f>IF('ENCUESTA CONDUCTORES'!S168="X",1,0)</f>
        <v>0</v>
      </c>
      <c r="R168" s="15">
        <f>IF('ENCUESTA CONDUCTORES'!T168="X",1,0)</f>
        <v>0</v>
      </c>
      <c r="S168" s="15">
        <f>IF('ENCUESTA CONDUCTORES'!U168="X",1,0)</f>
        <v>1</v>
      </c>
      <c r="T168" s="15">
        <f>IF('ENCUESTA CONDUCTORES'!V168="X",1,0)</f>
        <v>0</v>
      </c>
      <c r="U168" s="15">
        <f>IF('ENCUESTA CONDUCTORES'!W168="X",1,0)</f>
        <v>0</v>
      </c>
      <c r="V168" s="15">
        <f>IF('ENCUESTA CONDUCTORES'!X168="X",1,0)</f>
        <v>0</v>
      </c>
      <c r="W168" s="15">
        <f>IF('ENCUESTA CONDUCTORES'!Y168="X",1,0)</f>
        <v>0</v>
      </c>
      <c r="X168" s="15">
        <f>IF('ENCUESTA CONDUCTORES'!Z168="X",1,0)</f>
        <v>0</v>
      </c>
      <c r="Y168" s="15">
        <f>+'ENCUESTA CONDUCTORES'!AG168</f>
        <v>0</v>
      </c>
      <c r="Z168" s="15">
        <f>+'ENCUESTA CONDUCTORES'!AH168</f>
        <v>2008</v>
      </c>
      <c r="AA168" s="1">
        <f>+'ENCUESTA CONDUCTORES'!AI168</f>
        <v>200000</v>
      </c>
      <c r="AB168" s="15">
        <f>IF('ENCUESTA CONDUCTORES'!AJ168="X",1,0)</f>
        <v>1</v>
      </c>
      <c r="AC168" s="15">
        <f>IF('ENCUESTA CONDUCTORES'!AK168="X",1,0)</f>
        <v>0</v>
      </c>
      <c r="AD168" s="15">
        <f>IF('ENCUESTA CONDUCTORES'!AL168="X",1,0)</f>
        <v>0</v>
      </c>
      <c r="AE168" s="15">
        <f>IF('ENCUESTA CONDUCTORES'!AM168="X",1,0)</f>
        <v>0</v>
      </c>
      <c r="AF168" s="15">
        <f>IF('ENCUESTA CONDUCTORES'!AN168="X",1,0)</f>
        <v>0</v>
      </c>
      <c r="AG168" s="15">
        <f>IF('ENCUESTA CONDUCTORES'!AO168="X",1,0)</f>
        <v>0</v>
      </c>
      <c r="AH168" s="15">
        <f>IF('ENCUESTA CONDUCTORES'!AP168="X",1,0)</f>
        <v>1</v>
      </c>
      <c r="AI168" s="15">
        <f>IF('ENCUESTA CONDUCTORES'!AQ168="X",1,0)</f>
        <v>0</v>
      </c>
      <c r="AJ168" s="15">
        <f>IF('ENCUESTA CONDUCTORES'!AR168="X",1,0)</f>
        <v>0</v>
      </c>
      <c r="AK168" s="15">
        <f>+'ENCUESTA CONDUCTORES'!AS168</f>
        <v>0</v>
      </c>
      <c r="AL168" s="15" t="str">
        <f>+'ENCUESTA CONDUCTORES'!AT168</f>
        <v>FORD</v>
      </c>
      <c r="AM168" s="1">
        <f>+'ENCUESTA CONDUCTORES'!AU168</f>
        <v>1000</v>
      </c>
      <c r="AN168" s="48">
        <f>+'ENCUESTA CONDUCTORES'!AV168</f>
        <v>0.5</v>
      </c>
      <c r="AO168" s="15">
        <f>+'ENCUESTA CONDUCTORES'!AW168</f>
        <v>4</v>
      </c>
      <c r="AP168" s="15">
        <f>+'ENCUESTA CONDUCTORES'!AX168</f>
        <v>3.7</v>
      </c>
      <c r="AQ168" s="15">
        <f>+'ENCUESTA CONDUCTORES'!AY168</f>
        <v>1</v>
      </c>
      <c r="AR168" s="15">
        <f>+'ENCUESTA CONDUCTORES'!AZ168</f>
        <v>180</v>
      </c>
      <c r="AS168" s="15">
        <f>+'ENCUESTA CONDUCTORES'!BA168</f>
        <v>700</v>
      </c>
      <c r="AT168" s="15">
        <f>IF('ENCUESTA CONDUCTORES'!BB168="X",1,0)</f>
        <v>0</v>
      </c>
      <c r="AU168" s="15">
        <f>IF('ENCUESTA CONDUCTORES'!BC168="X",1,0)</f>
        <v>0</v>
      </c>
      <c r="AV168" s="15">
        <f>IF('ENCUESTA CONDUCTORES'!BD168="X",1,0)</f>
        <v>0</v>
      </c>
      <c r="AW168" s="1">
        <f>+'ENCUESTA CONDUCTORES'!BE168</f>
        <v>15000</v>
      </c>
      <c r="AX168" s="1">
        <f>+'ENCUESTA CONDUCTORES'!BF168</f>
        <v>10000</v>
      </c>
      <c r="AY168" s="1">
        <f>+'ENCUESTA CONDUCTORES'!BG168</f>
        <v>15000</v>
      </c>
      <c r="AZ168" s="1">
        <f>+'ENCUESTA CONDUCTORES'!BH168</f>
        <v>60000</v>
      </c>
      <c r="BA168" s="1">
        <f>+'ENCUESTA CONDUCTORES'!BI168</f>
        <v>15000</v>
      </c>
      <c r="BB168" s="15">
        <f>IF('ENCUESTA CONDUCTORES'!BJ168="X",1,0)</f>
        <v>0</v>
      </c>
      <c r="BC168" s="15">
        <f>IF('ENCUESTA CONDUCTORES'!BK168="X",1,0)</f>
        <v>0</v>
      </c>
      <c r="BD168" s="15">
        <f>IF('ENCUESTA CONDUCTORES'!BL168="X",1,0)</f>
        <v>0</v>
      </c>
      <c r="BE168" s="15">
        <f>IF('ENCUESTA CONDUCTORES'!BM168="X",1,0)</f>
        <v>0</v>
      </c>
      <c r="BF168" s="15">
        <f>IF('ENCUESTA CONDUCTORES'!BN168="X",1,0)</f>
        <v>0</v>
      </c>
      <c r="BG168" s="15">
        <f>IF('ENCUESTA CONDUCTORES'!BO168="X",1,0)</f>
        <v>0</v>
      </c>
      <c r="BH168" s="15">
        <f>IF('ENCUESTA CONDUCTORES'!BP168="X",1,0)</f>
        <v>0</v>
      </c>
      <c r="BI168" s="15">
        <f>IF('ENCUESTA CONDUCTORES'!BQ168="X",1,0)</f>
        <v>0</v>
      </c>
      <c r="BJ168" s="15">
        <f>IF('ENCUESTA CONDUCTORES'!BR168="X",1,0)</f>
        <v>0</v>
      </c>
      <c r="BK168" s="15" t="str">
        <f>+'ENCUESTA CONDUCTORES'!BS168</f>
        <v>MUEBLES</v>
      </c>
      <c r="BL168" s="15">
        <f>IF('ENCUESTA CONDUCTORES'!BT168="X",1,0)</f>
        <v>0</v>
      </c>
      <c r="BM168" s="15">
        <f>IF('ENCUESTA CONDUCTORES'!BU168="X",1,0)</f>
        <v>0</v>
      </c>
      <c r="BN168" s="15">
        <f>IF('ENCUESTA CONDUCTORES'!BV168="X",1,0)</f>
        <v>1</v>
      </c>
      <c r="BO168" s="15">
        <f>IF('ENCUESTA CONDUCTORES'!BW168="X",1,0)</f>
        <v>0</v>
      </c>
      <c r="BP168" s="15">
        <f>+'ENCUESTA CONDUCTORES'!BX168</f>
        <v>1</v>
      </c>
      <c r="BQ168" s="15">
        <f>+'ENCUESTA CONDUCTORES'!BY168</f>
        <v>3</v>
      </c>
      <c r="BR168" s="15">
        <f>+'ENCUESTA CONDUCTORES'!BZ168</f>
        <v>2</v>
      </c>
      <c r="BS168" s="15">
        <f>+'ENCUESTA CONDUCTORES'!CA168</f>
        <v>0</v>
      </c>
      <c r="BT168" s="15">
        <f>IF('ENCUESTA CONDUCTORES'!CB168="X",1,0)</f>
        <v>1</v>
      </c>
      <c r="BU168" s="15">
        <f>IF('ENCUESTA CONDUCTORES'!CC168="X",1,0)</f>
        <v>0</v>
      </c>
      <c r="BV168" s="15">
        <f>IF('ENCUESTA CONDUCTORES'!CD168="X",1,0)</f>
        <v>0</v>
      </c>
      <c r="BW168" s="15">
        <f>IF('ENCUESTA CONDUCTORES'!CE168="X",1,0)</f>
        <v>0</v>
      </c>
      <c r="BX168" s="15">
        <f>IF('ENCUESTA CONDUCTORES'!CF168="X",1,0)</f>
        <v>0</v>
      </c>
      <c r="BY168" s="15">
        <f>IF('ENCUESTA CONDUCTORES'!CG168="X",1,0)</f>
        <v>0</v>
      </c>
      <c r="BZ168" s="15">
        <f>IF('ENCUESTA CONDUCTORES'!CH168="X",1,0)</f>
        <v>0</v>
      </c>
      <c r="CA168" s="15">
        <f>IF('ENCUESTA CONDUCTORES'!CI168="X",1,0)</f>
        <v>0</v>
      </c>
      <c r="CB168" s="15">
        <f>IF('ENCUESTA CONDUCTORES'!CJ168="X",1,0)</f>
        <v>0</v>
      </c>
      <c r="CC168" s="15">
        <f>IF('ENCUESTA CONDUCTORES'!CK168="X",1,0)</f>
        <v>1</v>
      </c>
      <c r="CD168" s="15">
        <f>IF('ENCUESTA CONDUCTORES'!CL168="X",1,0)</f>
        <v>0</v>
      </c>
      <c r="CE168" s="15">
        <f>IF('ENCUESTA CONDUCTORES'!CM168="X",1,0)</f>
        <v>0</v>
      </c>
      <c r="CF168" s="15">
        <f>+'ENCUESTA CONDUCTORES'!CN168</f>
        <v>0</v>
      </c>
      <c r="CG168" s="15">
        <f>IF('ENCUESTA CONDUCTORES'!CO168="X",1,0)</f>
        <v>0</v>
      </c>
      <c r="CH168" s="15" t="str">
        <f>+'ENCUESTA CONDUCTORES'!CP168</f>
        <v>NO SABE</v>
      </c>
      <c r="CI168" s="15" t="str">
        <f>+'ENCUESTA CONDUCTORES'!CQ168</f>
        <v>PUBLICIDAD</v>
      </c>
      <c r="CJ168" s="15">
        <f>IF('ENCUESTA CONDUCTORES'!CR168="X",1,0)</f>
        <v>1</v>
      </c>
      <c r="CK168" s="15">
        <f>IF('ENCUESTA CONDUCTORES'!CS168="X",1,0)</f>
        <v>0</v>
      </c>
      <c r="CL168" s="15">
        <f>IF('ENCUESTA CONDUCTORES'!CT168="X",1,0)</f>
        <v>0</v>
      </c>
      <c r="CM168" s="15">
        <f>+'ENCUESTA CONDUCTORES'!CU168</f>
        <v>0</v>
      </c>
      <c r="CN168" s="15">
        <f>IF('ENCUESTA CONDUCTORES'!CV168="X",1,0)</f>
        <v>1</v>
      </c>
      <c r="CO168" s="15" t="str">
        <f>+'ENCUESTA CONDUCTORES'!CW168</f>
        <v>NO SIRVEN</v>
      </c>
      <c r="CP168" s="15">
        <f>IF('ENCUESTA CONDUCTORES'!CX168="X",1,0)</f>
        <v>0</v>
      </c>
      <c r="CQ168" s="15">
        <f>IF('ENCUESTA CONDUCTORES'!CY168="X",1,0)</f>
        <v>0</v>
      </c>
      <c r="CR168" s="3">
        <f>+'ENCUESTA CONDUCTORES'!CZ168</f>
        <v>0</v>
      </c>
      <c r="CS168" s="49">
        <f>+'ENCUESTA CONDUCTORES'!DA168</f>
        <v>0</v>
      </c>
    </row>
    <row r="169" spans="2:97" x14ac:dyDescent="0.25">
      <c r="B169" s="14" t="str">
        <f>+'ENCUESTA CONDUCTORES'!D169</f>
        <v>C-175</v>
      </c>
      <c r="C169" s="15">
        <f>IF('ENCUESTA CONDUCTORES'!E169="X",1,0)</f>
        <v>0</v>
      </c>
      <c r="D169" s="15">
        <f>IF('ENCUESTA CONDUCTORES'!F169="X",1,0)</f>
        <v>0</v>
      </c>
      <c r="E169" s="15">
        <f>IF('ENCUESTA CONDUCTORES'!G169="X",1,0)</f>
        <v>1</v>
      </c>
      <c r="F169" s="15">
        <f>IF('ENCUESTA CONDUCTORES'!H169="X",1,0)</f>
        <v>0</v>
      </c>
      <c r="G169" s="15">
        <f>+'ENCUESTA CONDUCTORES'!I169</f>
        <v>37</v>
      </c>
      <c r="H169" s="15" t="str">
        <f>+'ENCUESTA CONDUCTORES'!J169</f>
        <v>M</v>
      </c>
      <c r="I169" s="15" t="str">
        <f>+'ENCUESTA CONDUCTORES'!K169</f>
        <v>SECUNDARIA</v>
      </c>
      <c r="J169" s="15" t="str">
        <f>+'ENCUESTA CONDUCTORES'!L169</f>
        <v>NAUCALPAN, EDO. MEX.</v>
      </c>
      <c r="K169" s="15" t="str">
        <f>+'ENCUESTA CONDUCTORES'!M169</f>
        <v>NAUCALPAN</v>
      </c>
      <c r="L169" s="15" t="str">
        <f>+'ENCUESTA CONDUCTORES'!N169</f>
        <v>EDO. MEX.</v>
      </c>
      <c r="M169" s="15">
        <f>+'ENCUESTA CONDUCTORES'!O169</f>
        <v>15</v>
      </c>
      <c r="N169" s="15">
        <f>IF('ENCUESTA CONDUCTORES'!P169="X",1,0)</f>
        <v>0</v>
      </c>
      <c r="O169" s="15">
        <f>IF('ENCUESTA CONDUCTORES'!Q169="X",1,0)</f>
        <v>0</v>
      </c>
      <c r="P169" s="15">
        <f>IF('ENCUESTA CONDUCTORES'!R169="X",1,0)</f>
        <v>1</v>
      </c>
      <c r="Q169" s="15">
        <f>IF('ENCUESTA CONDUCTORES'!S169="X",1,0)</f>
        <v>0</v>
      </c>
      <c r="R169" s="15">
        <f>IF('ENCUESTA CONDUCTORES'!T169="X",1,0)</f>
        <v>0</v>
      </c>
      <c r="S169" s="15">
        <f>IF('ENCUESTA CONDUCTORES'!U169="X",1,0)</f>
        <v>1</v>
      </c>
      <c r="T169" s="15">
        <f>IF('ENCUESTA CONDUCTORES'!V169="X",1,0)</f>
        <v>0</v>
      </c>
      <c r="U169" s="15">
        <f>IF('ENCUESTA CONDUCTORES'!W169="X",1,0)</f>
        <v>0</v>
      </c>
      <c r="V169" s="15">
        <f>IF('ENCUESTA CONDUCTORES'!X169="X",1,0)</f>
        <v>0</v>
      </c>
      <c r="W169" s="15">
        <f>IF('ENCUESTA CONDUCTORES'!Y169="X",1,0)</f>
        <v>0</v>
      </c>
      <c r="X169" s="15">
        <f>IF('ENCUESTA CONDUCTORES'!Z169="X",1,0)</f>
        <v>0</v>
      </c>
      <c r="Y169" s="15">
        <f>+'ENCUESTA CONDUCTORES'!AG169</f>
        <v>0</v>
      </c>
      <c r="Z169" s="15">
        <f>+'ENCUESTA CONDUCTORES'!AH169</f>
        <v>1988</v>
      </c>
      <c r="AA169" s="1">
        <f>+'ENCUESTA CONDUCTORES'!AI169</f>
        <v>1200000</v>
      </c>
      <c r="AB169" s="15">
        <f>IF('ENCUESTA CONDUCTORES'!AJ169="X",1,0)</f>
        <v>0</v>
      </c>
      <c r="AC169" s="15">
        <f>IF('ENCUESTA CONDUCTORES'!AK169="X",1,0)</f>
        <v>0</v>
      </c>
      <c r="AD169" s="15">
        <f>IF('ENCUESTA CONDUCTORES'!AL169="X",1,0)</f>
        <v>1</v>
      </c>
      <c r="AE169" s="15">
        <f>IF('ENCUESTA CONDUCTORES'!AM169="X",1,0)</f>
        <v>0</v>
      </c>
      <c r="AF169" s="15">
        <f>IF('ENCUESTA CONDUCTORES'!AN169="X",1,0)</f>
        <v>0</v>
      </c>
      <c r="AG169" s="15">
        <f>IF('ENCUESTA CONDUCTORES'!AO169="X",1,0)</f>
        <v>1</v>
      </c>
      <c r="AH169" s="15">
        <f>IF('ENCUESTA CONDUCTORES'!AP169="X",1,0)</f>
        <v>0</v>
      </c>
      <c r="AI169" s="15">
        <f>IF('ENCUESTA CONDUCTORES'!AQ169="X",1,0)</f>
        <v>0</v>
      </c>
      <c r="AJ169" s="15">
        <f>IF('ENCUESTA CONDUCTORES'!AR169="X",1,0)</f>
        <v>0</v>
      </c>
      <c r="AK169" s="15">
        <f>+'ENCUESTA CONDUCTORES'!AS169</f>
        <v>0</v>
      </c>
      <c r="AL169" s="15" t="str">
        <f>+'ENCUESTA CONDUCTORES'!AT169</f>
        <v>FREIGHTLINER</v>
      </c>
      <c r="AM169" s="1">
        <f>+'ENCUESTA CONDUCTORES'!AU169</f>
        <v>2000</v>
      </c>
      <c r="AN169" s="48">
        <f>+'ENCUESTA CONDUCTORES'!AV169</f>
        <v>0.5</v>
      </c>
      <c r="AO169" s="15">
        <f>+'ENCUESTA CONDUCTORES'!AW169</f>
        <v>2.8</v>
      </c>
      <c r="AP169" s="15">
        <f>+'ENCUESTA CONDUCTORES'!AX169</f>
        <v>2.2999999999999998</v>
      </c>
      <c r="AQ169" s="15">
        <f>+'ENCUESTA CONDUCTORES'!AY169</f>
        <v>2</v>
      </c>
      <c r="AR169" s="15">
        <f>+'ENCUESTA CONDUCTORES'!AZ169</f>
        <v>580</v>
      </c>
      <c r="AS169" s="15">
        <f>+'ENCUESTA CONDUCTORES'!BA169</f>
        <v>1500</v>
      </c>
      <c r="AT169" s="15">
        <f>IF('ENCUESTA CONDUCTORES'!BB169="X",1,0)</f>
        <v>0</v>
      </c>
      <c r="AU169" s="15">
        <f>IF('ENCUESTA CONDUCTORES'!BC169="X",1,0)</f>
        <v>1</v>
      </c>
      <c r="AV169" s="15">
        <f>IF('ENCUESTA CONDUCTORES'!BD169="X",1,0)</f>
        <v>0</v>
      </c>
      <c r="AW169" s="1">
        <f>+'ENCUESTA CONDUCTORES'!BE169</f>
        <v>12000</v>
      </c>
      <c r="AX169" s="1">
        <f>+'ENCUESTA CONDUCTORES'!BF169</f>
        <v>60000</v>
      </c>
      <c r="AY169" s="1">
        <f>+'ENCUESTA CONDUCTORES'!BG169</f>
        <v>12000</v>
      </c>
      <c r="AZ169" s="1">
        <f>+'ENCUESTA CONDUCTORES'!BH169</f>
        <v>60000</v>
      </c>
      <c r="BA169" s="1">
        <f>+'ENCUESTA CONDUCTORES'!BI169</f>
        <v>12000</v>
      </c>
      <c r="BB169" s="15">
        <f>IF('ENCUESTA CONDUCTORES'!BJ169="X",1,0)</f>
        <v>0</v>
      </c>
      <c r="BC169" s="15">
        <f>IF('ENCUESTA CONDUCTORES'!BK169="X",1,0)</f>
        <v>0</v>
      </c>
      <c r="BD169" s="15">
        <f>IF('ENCUESTA CONDUCTORES'!BL169="X",1,0)</f>
        <v>0</v>
      </c>
      <c r="BE169" s="15">
        <f>IF('ENCUESTA CONDUCTORES'!BM169="X",1,0)</f>
        <v>0</v>
      </c>
      <c r="BF169" s="15">
        <f>IF('ENCUESTA CONDUCTORES'!BN169="X",1,0)</f>
        <v>0</v>
      </c>
      <c r="BG169" s="15">
        <f>IF('ENCUESTA CONDUCTORES'!BO169="X",1,0)</f>
        <v>1</v>
      </c>
      <c r="BH169" s="15">
        <f>IF('ENCUESTA CONDUCTORES'!BP169="X",1,0)</f>
        <v>0</v>
      </c>
      <c r="BI169" s="15">
        <f>IF('ENCUESTA CONDUCTORES'!BQ169="X",1,0)</f>
        <v>0</v>
      </c>
      <c r="BJ169" s="15">
        <f>IF('ENCUESTA CONDUCTORES'!BR169="X",1,0)</f>
        <v>0</v>
      </c>
      <c r="BK169" s="15">
        <f>+'ENCUESTA CONDUCTORES'!BS169</f>
        <v>0</v>
      </c>
      <c r="BL169" s="15">
        <f>IF('ENCUESTA CONDUCTORES'!BT169="X",1,0)</f>
        <v>0</v>
      </c>
      <c r="BM169" s="15">
        <f>IF('ENCUESTA CONDUCTORES'!BU169="X",1,0)</f>
        <v>1</v>
      </c>
      <c r="BN169" s="15">
        <f>IF('ENCUESTA CONDUCTORES'!BV169="X",1,0)</f>
        <v>0</v>
      </c>
      <c r="BO169" s="15">
        <f>IF('ENCUESTA CONDUCTORES'!BW169="X",1,0)</f>
        <v>0</v>
      </c>
      <c r="BP169" s="15">
        <f>+'ENCUESTA CONDUCTORES'!BX169</f>
        <v>1</v>
      </c>
      <c r="BQ169" s="15">
        <f>+'ENCUESTA CONDUCTORES'!BY169</f>
        <v>2</v>
      </c>
      <c r="BR169" s="15">
        <f>+'ENCUESTA CONDUCTORES'!BZ169</f>
        <v>3</v>
      </c>
      <c r="BS169" s="15">
        <f>+'ENCUESTA CONDUCTORES'!CA169</f>
        <v>0</v>
      </c>
      <c r="BT169" s="15">
        <f>IF('ENCUESTA CONDUCTORES'!CB169="X",1,0)</f>
        <v>1</v>
      </c>
      <c r="BU169" s="15">
        <f>IF('ENCUESTA CONDUCTORES'!CC169="X",1,0)</f>
        <v>0</v>
      </c>
      <c r="BV169" s="15">
        <f>IF('ENCUESTA CONDUCTORES'!CD169="X",1,0)</f>
        <v>0</v>
      </c>
      <c r="BW169" s="15">
        <f>IF('ENCUESTA CONDUCTORES'!CE169="X",1,0)</f>
        <v>0</v>
      </c>
      <c r="BX169" s="15">
        <f>IF('ENCUESTA CONDUCTORES'!CF169="X",1,0)</f>
        <v>0</v>
      </c>
      <c r="BY169" s="15">
        <f>IF('ENCUESTA CONDUCTORES'!CG169="X",1,0)</f>
        <v>0</v>
      </c>
      <c r="BZ169" s="15">
        <f>IF('ENCUESTA CONDUCTORES'!CH169="X",1,0)</f>
        <v>0</v>
      </c>
      <c r="CA169" s="15">
        <f>IF('ENCUESTA CONDUCTORES'!CI169="X",1,0)</f>
        <v>0</v>
      </c>
      <c r="CB169" s="15">
        <f>IF('ENCUESTA CONDUCTORES'!CJ169="X",1,0)</f>
        <v>0</v>
      </c>
      <c r="CC169" s="15">
        <f>IF('ENCUESTA CONDUCTORES'!CK169="X",1,0)</f>
        <v>1</v>
      </c>
      <c r="CD169" s="15">
        <f>IF('ENCUESTA CONDUCTORES'!CL169="X",1,0)</f>
        <v>0</v>
      </c>
      <c r="CE169" s="15">
        <f>IF('ENCUESTA CONDUCTORES'!CM169="X",1,0)</f>
        <v>0</v>
      </c>
      <c r="CF169" s="15" t="str">
        <f>+'ENCUESTA CONDUCTORES'!CN169</f>
        <v>NO LE INTERESA</v>
      </c>
      <c r="CG169" s="15">
        <f>IF('ENCUESTA CONDUCTORES'!CO169="X",1,0)</f>
        <v>0</v>
      </c>
      <c r="CH169" s="15" t="str">
        <f>+'ENCUESTA CONDUCTORES'!CP169</f>
        <v>NO SABE</v>
      </c>
      <c r="CI169" s="15" t="str">
        <f>+'ENCUESTA CONDUCTORES'!CQ169</f>
        <v>NO SABE</v>
      </c>
      <c r="CJ169" s="15">
        <f>IF('ENCUESTA CONDUCTORES'!CR169="X",1,0)</f>
        <v>0</v>
      </c>
      <c r="CK169" s="15">
        <f>IF('ENCUESTA CONDUCTORES'!CS169="X",1,0)</f>
        <v>1</v>
      </c>
      <c r="CL169" s="15">
        <f>IF('ENCUESTA CONDUCTORES'!CT169="X",1,0)</f>
        <v>1</v>
      </c>
      <c r="CM169" s="15">
        <f>+'ENCUESTA CONDUCTORES'!CU169</f>
        <v>0</v>
      </c>
      <c r="CN169" s="15">
        <f>IF('ENCUESTA CONDUCTORES'!CV169="X",1,0)</f>
        <v>1</v>
      </c>
      <c r="CO169" s="15" t="str">
        <f>+'ENCUESTA CONDUCTORES'!CW169</f>
        <v>NO TIENE TIEMPO</v>
      </c>
      <c r="CP169" s="15">
        <f>IF('ENCUESTA CONDUCTORES'!CX169="X",1,0)</f>
        <v>0</v>
      </c>
      <c r="CQ169" s="15">
        <f>IF('ENCUESTA CONDUCTORES'!CY169="X",1,0)</f>
        <v>0</v>
      </c>
      <c r="CR169" s="3">
        <f>+'ENCUESTA CONDUCTORES'!CZ169</f>
        <v>0</v>
      </c>
      <c r="CS169" s="49">
        <f>+'ENCUESTA CONDUCTORES'!DA169</f>
        <v>0</v>
      </c>
    </row>
    <row r="170" spans="2:97" x14ac:dyDescent="0.25">
      <c r="B170" s="14" t="str">
        <f>+'ENCUESTA CONDUCTORES'!D170</f>
        <v>C-176</v>
      </c>
      <c r="C170" s="15">
        <f>IF('ENCUESTA CONDUCTORES'!E170="X",1,0)</f>
        <v>0</v>
      </c>
      <c r="D170" s="15">
        <f>IF('ENCUESTA CONDUCTORES'!F170="X",1,0)</f>
        <v>0</v>
      </c>
      <c r="E170" s="15">
        <f>IF('ENCUESTA CONDUCTORES'!G170="X",1,0)</f>
        <v>1</v>
      </c>
      <c r="F170" s="15">
        <f>IF('ENCUESTA CONDUCTORES'!H170="X",1,0)</f>
        <v>0</v>
      </c>
      <c r="G170" s="15">
        <f>+'ENCUESTA CONDUCTORES'!I170</f>
        <v>36</v>
      </c>
      <c r="H170" s="15" t="str">
        <f>+'ENCUESTA CONDUCTORES'!J170</f>
        <v>M</v>
      </c>
      <c r="I170" s="15" t="str">
        <f>+'ENCUESTA CONDUCTORES'!K170</f>
        <v>SECUNDARIA</v>
      </c>
      <c r="J170" s="15" t="str">
        <f>+'ENCUESTA CONDUCTORES'!L170</f>
        <v>STA. ROSA JÁUREGUI, QRO.</v>
      </c>
      <c r="K170" s="50" t="str">
        <f>+'ENCUESTA CONDUCTORES'!M170</f>
        <v>STA. ROSA JÁUREGUI</v>
      </c>
      <c r="L170" s="50" t="str">
        <f>+'ENCUESTA CONDUCTORES'!N170</f>
        <v>QUERÉTARO</v>
      </c>
      <c r="M170" s="15">
        <f>+'ENCUESTA CONDUCTORES'!O170</f>
        <v>22</v>
      </c>
      <c r="N170" s="15">
        <f>IF('ENCUESTA CONDUCTORES'!P170="X",1,0)</f>
        <v>0</v>
      </c>
      <c r="O170" s="15">
        <f>IF('ENCUESTA CONDUCTORES'!Q170="X",1,0)</f>
        <v>0</v>
      </c>
      <c r="P170" s="15">
        <f>IF('ENCUESTA CONDUCTORES'!R170="X",1,0)</f>
        <v>0</v>
      </c>
      <c r="Q170" s="15">
        <f>IF('ENCUESTA CONDUCTORES'!S170="X",1,0)</f>
        <v>1</v>
      </c>
      <c r="R170" s="15">
        <f>IF('ENCUESTA CONDUCTORES'!T170="X",1,0)</f>
        <v>0</v>
      </c>
      <c r="S170" s="15">
        <f>IF('ENCUESTA CONDUCTORES'!U170="X",1,0)</f>
        <v>1</v>
      </c>
      <c r="T170" s="15">
        <f>IF('ENCUESTA CONDUCTORES'!V170="X",1,0)</f>
        <v>0</v>
      </c>
      <c r="U170" s="15">
        <f>IF('ENCUESTA CONDUCTORES'!W170="X",1,0)</f>
        <v>0</v>
      </c>
      <c r="V170" s="15">
        <f>IF('ENCUESTA CONDUCTORES'!X170="X",1,0)</f>
        <v>0</v>
      </c>
      <c r="W170" s="15">
        <f>IF('ENCUESTA CONDUCTORES'!Y170="X",1,0)</f>
        <v>0</v>
      </c>
      <c r="X170" s="15">
        <f>IF('ENCUESTA CONDUCTORES'!Z170="X",1,0)</f>
        <v>0</v>
      </c>
      <c r="Y170" s="15">
        <f>+'ENCUESTA CONDUCTORES'!AG170</f>
        <v>0</v>
      </c>
      <c r="Z170" s="15">
        <f>+'ENCUESTA CONDUCTORES'!AH170</f>
        <v>2003</v>
      </c>
      <c r="AA170" s="1">
        <f>+'ENCUESTA CONDUCTORES'!AI170</f>
        <v>915203</v>
      </c>
      <c r="AB170" s="15">
        <f>IF('ENCUESTA CONDUCTORES'!AJ170="X",1,0)</f>
        <v>0</v>
      </c>
      <c r="AC170" s="15">
        <f>IF('ENCUESTA CONDUCTORES'!AK170="X",1,0)</f>
        <v>0</v>
      </c>
      <c r="AD170" s="15">
        <f>IF('ENCUESTA CONDUCTORES'!AL170="X",1,0)</f>
        <v>1</v>
      </c>
      <c r="AE170" s="15">
        <f>IF('ENCUESTA CONDUCTORES'!AM170="X",1,0)</f>
        <v>0</v>
      </c>
      <c r="AF170" s="15">
        <f>IF('ENCUESTA CONDUCTORES'!AN170="X",1,0)</f>
        <v>0</v>
      </c>
      <c r="AG170" s="15">
        <f>IF('ENCUESTA CONDUCTORES'!AO170="X",1,0)</f>
        <v>0</v>
      </c>
      <c r="AH170" s="15">
        <f>IF('ENCUESTA CONDUCTORES'!AP170="X",1,0)</f>
        <v>1</v>
      </c>
      <c r="AI170" s="15">
        <f>IF('ENCUESTA CONDUCTORES'!AQ170="X",1,0)</f>
        <v>0</v>
      </c>
      <c r="AJ170" s="15">
        <f>IF('ENCUESTA CONDUCTORES'!AR170="X",1,0)</f>
        <v>0</v>
      </c>
      <c r="AK170" s="15">
        <f>+'ENCUESTA CONDUCTORES'!AS170</f>
        <v>0</v>
      </c>
      <c r="AL170" s="15" t="str">
        <f>+'ENCUESTA CONDUCTORES'!AT170</f>
        <v>CUMMINS</v>
      </c>
      <c r="AM170" s="1">
        <f>+'ENCUESTA CONDUCTORES'!AU170</f>
        <v>12000</v>
      </c>
      <c r="AN170" s="48">
        <f>+'ENCUESTA CONDUCTORES'!AV170</f>
        <v>0</v>
      </c>
      <c r="AO170" s="15">
        <f>+'ENCUESTA CONDUCTORES'!AW170</f>
        <v>2.8</v>
      </c>
      <c r="AP170" s="15">
        <f>+'ENCUESTA CONDUCTORES'!AX170</f>
        <v>2.4</v>
      </c>
      <c r="AQ170" s="15">
        <f>+'ENCUESTA CONDUCTORES'!AY170</f>
        <v>3</v>
      </c>
      <c r="AR170" s="15">
        <f>+'ENCUESTA CONDUCTORES'!AZ170</f>
        <v>1040</v>
      </c>
      <c r="AS170" s="15">
        <f>+'ENCUESTA CONDUCTORES'!BA170</f>
        <v>2600</v>
      </c>
      <c r="AT170" s="15">
        <f>IF('ENCUESTA CONDUCTORES'!BB170="X",1,0)</f>
        <v>1</v>
      </c>
      <c r="AU170" s="15">
        <f>IF('ENCUESTA CONDUCTORES'!BC170="X",1,0)</f>
        <v>1</v>
      </c>
      <c r="AV170" s="15">
        <f>IF('ENCUESTA CONDUCTORES'!BD170="X",1,0)</f>
        <v>0</v>
      </c>
      <c r="AW170" s="1">
        <f>+'ENCUESTA CONDUCTORES'!BE170</f>
        <v>20000</v>
      </c>
      <c r="AX170" s="1">
        <f>+'ENCUESTA CONDUCTORES'!BF170</f>
        <v>120000</v>
      </c>
      <c r="AY170" s="1">
        <f>+'ENCUESTA CONDUCTORES'!BG170</f>
        <v>20000</v>
      </c>
      <c r="AZ170" s="1">
        <f>+'ENCUESTA CONDUCTORES'!BH170</f>
        <v>120000</v>
      </c>
      <c r="BA170" s="1" t="str">
        <f>+'ENCUESTA CONDUCTORES'!BI170</f>
        <v>NO SABE</v>
      </c>
      <c r="BB170" s="15">
        <f>IF('ENCUESTA CONDUCTORES'!BJ170="X",1,0)</f>
        <v>0</v>
      </c>
      <c r="BC170" s="15">
        <f>IF('ENCUESTA CONDUCTORES'!BK170="X",1,0)</f>
        <v>0</v>
      </c>
      <c r="BD170" s="15">
        <f>IF('ENCUESTA CONDUCTORES'!BL170="X",1,0)</f>
        <v>0</v>
      </c>
      <c r="BE170" s="15">
        <f>IF('ENCUESTA CONDUCTORES'!BM170="X",1,0)</f>
        <v>0</v>
      </c>
      <c r="BF170" s="15">
        <f>IF('ENCUESTA CONDUCTORES'!BN170="X",1,0)</f>
        <v>0</v>
      </c>
      <c r="BG170" s="15">
        <f>IF('ENCUESTA CONDUCTORES'!BO170="X",1,0)</f>
        <v>0</v>
      </c>
      <c r="BH170" s="15">
        <f>IF('ENCUESTA CONDUCTORES'!BP170="X",1,0)</f>
        <v>0</v>
      </c>
      <c r="BI170" s="15">
        <f>IF('ENCUESTA CONDUCTORES'!BQ170="X",1,0)</f>
        <v>0</v>
      </c>
      <c r="BJ170" s="15">
        <f>IF('ENCUESTA CONDUCTORES'!BR170="X",1,0)</f>
        <v>0</v>
      </c>
      <c r="BK170" s="15" t="str">
        <f>+'ENCUESTA CONDUCTORES'!BS170</f>
        <v>TV REFRIGERADORES</v>
      </c>
      <c r="BL170" s="15">
        <f>IF('ENCUESTA CONDUCTORES'!BT170="X",1,0)</f>
        <v>0</v>
      </c>
      <c r="BM170" s="15">
        <f>IF('ENCUESTA CONDUCTORES'!BU170="X",1,0)</f>
        <v>1</v>
      </c>
      <c r="BN170" s="15">
        <f>IF('ENCUESTA CONDUCTORES'!BV170="X",1,0)</f>
        <v>0</v>
      </c>
      <c r="BO170" s="15">
        <f>IF('ENCUESTA CONDUCTORES'!BW170="X",1,0)</f>
        <v>0</v>
      </c>
      <c r="BP170" s="15">
        <f>+'ENCUESTA CONDUCTORES'!BX170</f>
        <v>1</v>
      </c>
      <c r="BQ170" s="15">
        <f>+'ENCUESTA CONDUCTORES'!BY170</f>
        <v>3</v>
      </c>
      <c r="BR170" s="15">
        <f>+'ENCUESTA CONDUCTORES'!BZ170</f>
        <v>2</v>
      </c>
      <c r="BS170" s="15">
        <f>+'ENCUESTA CONDUCTORES'!CA170</f>
        <v>0</v>
      </c>
      <c r="BT170" s="15">
        <f>IF('ENCUESTA CONDUCTORES'!CB170="X",1,0)</f>
        <v>0</v>
      </c>
      <c r="BU170" s="15">
        <f>IF('ENCUESTA CONDUCTORES'!CC170="X",1,0)</f>
        <v>1</v>
      </c>
      <c r="BV170" s="15">
        <f>IF('ENCUESTA CONDUCTORES'!CD170="X",1,0)</f>
        <v>0</v>
      </c>
      <c r="BW170" s="15">
        <f>IF('ENCUESTA CONDUCTORES'!CE170="X",1,0)</f>
        <v>0</v>
      </c>
      <c r="BX170" s="15">
        <f>IF('ENCUESTA CONDUCTORES'!CF170="X",1,0)</f>
        <v>0</v>
      </c>
      <c r="BY170" s="15">
        <f>IF('ENCUESTA CONDUCTORES'!CG170="X",1,0)</f>
        <v>0</v>
      </c>
      <c r="BZ170" s="15">
        <f>IF('ENCUESTA CONDUCTORES'!CH170="X",1,0)</f>
        <v>1</v>
      </c>
      <c r="CA170" s="15">
        <f>IF('ENCUESTA CONDUCTORES'!CI170="X",1,0)</f>
        <v>0</v>
      </c>
      <c r="CB170" s="15">
        <f>IF('ENCUESTA CONDUCTORES'!CJ170="X",1,0)</f>
        <v>0</v>
      </c>
      <c r="CC170" s="15">
        <f>IF('ENCUESTA CONDUCTORES'!CK170="X",1,0)</f>
        <v>1</v>
      </c>
      <c r="CD170" s="15">
        <f>IF('ENCUESTA CONDUCTORES'!CL170="X",1,0)</f>
        <v>0</v>
      </c>
      <c r="CE170" s="15">
        <f>IF('ENCUESTA CONDUCTORES'!CM170="X",1,0)</f>
        <v>0</v>
      </c>
      <c r="CF170" s="15">
        <f>+'ENCUESTA CONDUCTORES'!CN170</f>
        <v>0</v>
      </c>
      <c r="CG170" s="15">
        <f>IF('ENCUESTA CONDUCTORES'!CO170="X",1,0)</f>
        <v>0</v>
      </c>
      <c r="CH170" s="15" t="str">
        <f>+'ENCUESTA CONDUCTORES'!CP170</f>
        <v>NO SABE</v>
      </c>
      <c r="CI170" s="15" t="str">
        <f>+'ENCUESTA CONDUCTORES'!CQ170</f>
        <v>NO CONTESTA</v>
      </c>
      <c r="CJ170" s="15">
        <f>IF('ENCUESTA CONDUCTORES'!CR170="X",1,0)</f>
        <v>0</v>
      </c>
      <c r="CK170" s="15">
        <f>IF('ENCUESTA CONDUCTORES'!CS170="X",1,0)</f>
        <v>0</v>
      </c>
      <c r="CL170" s="15">
        <f>IF('ENCUESTA CONDUCTORES'!CT170="X",1,0)</f>
        <v>1</v>
      </c>
      <c r="CM170" s="15">
        <f>+'ENCUESTA CONDUCTORES'!CU170</f>
        <v>0</v>
      </c>
      <c r="CN170" s="15">
        <f>IF('ENCUESTA CONDUCTORES'!CV170="X",1,0)</f>
        <v>0</v>
      </c>
      <c r="CO170" s="15">
        <f>+'ENCUESTA CONDUCTORES'!CW170</f>
        <v>0</v>
      </c>
      <c r="CP170" s="15">
        <f>IF('ENCUESTA CONDUCTORES'!CX170="X",1,0)</f>
        <v>1</v>
      </c>
      <c r="CQ170" s="15">
        <f>IF('ENCUESTA CONDUCTORES'!CY170="X",1,0)</f>
        <v>0</v>
      </c>
      <c r="CR170" s="3">
        <f>+'ENCUESTA CONDUCTORES'!CZ170</f>
        <v>0</v>
      </c>
      <c r="CS170" s="49" t="str">
        <f>+'ENCUESTA CONDUCTORES'!DA170</f>
        <v>CUMMINS ISX</v>
      </c>
    </row>
    <row r="171" spans="2:97" x14ac:dyDescent="0.25">
      <c r="B171" s="14" t="str">
        <f>+'ENCUESTA CONDUCTORES'!D171</f>
        <v>C-177</v>
      </c>
      <c r="C171" s="15">
        <f>IF('ENCUESTA CONDUCTORES'!E171="X",1,0)</f>
        <v>0</v>
      </c>
      <c r="D171" s="15">
        <f>IF('ENCUESTA CONDUCTORES'!F171="X",1,0)</f>
        <v>0</v>
      </c>
      <c r="E171" s="15">
        <f>IF('ENCUESTA CONDUCTORES'!G171="X",1,0)</f>
        <v>1</v>
      </c>
      <c r="F171" s="15">
        <f>IF('ENCUESTA CONDUCTORES'!H171="X",1,0)</f>
        <v>0</v>
      </c>
      <c r="G171" s="15">
        <f>+'ENCUESTA CONDUCTORES'!I171</f>
        <v>26</v>
      </c>
      <c r="H171" s="15" t="str">
        <f>+'ENCUESTA CONDUCTORES'!J171</f>
        <v>M</v>
      </c>
      <c r="I171" s="15" t="str">
        <f>+'ENCUESTA CONDUCTORES'!K171</f>
        <v>SECUNDARIA</v>
      </c>
      <c r="J171" s="15" t="str">
        <f>+'ENCUESTA CONDUCTORES'!L171</f>
        <v>STA. ROSA JÁUREGUI, QRO.</v>
      </c>
      <c r="K171" s="15" t="str">
        <f>+'ENCUESTA CONDUCTORES'!M171</f>
        <v>STA. ROSA JÁUREGUI</v>
      </c>
      <c r="L171" s="50" t="str">
        <f>+'ENCUESTA CONDUCTORES'!N171</f>
        <v>QUERÉTARO</v>
      </c>
      <c r="M171" s="15">
        <f>+'ENCUESTA CONDUCTORES'!O171</f>
        <v>8</v>
      </c>
      <c r="N171" s="15">
        <f>IF('ENCUESTA CONDUCTORES'!P171="X",1,0)</f>
        <v>0</v>
      </c>
      <c r="O171" s="15">
        <f>IF('ENCUESTA CONDUCTORES'!Q171="X",1,0)</f>
        <v>1</v>
      </c>
      <c r="P171" s="15">
        <f>IF('ENCUESTA CONDUCTORES'!R171="X",1,0)</f>
        <v>0</v>
      </c>
      <c r="Q171" s="15">
        <f>IF('ENCUESTA CONDUCTORES'!S171="X",1,0)</f>
        <v>0</v>
      </c>
      <c r="R171" s="15">
        <f>IF('ENCUESTA CONDUCTORES'!T171="X",1,0)</f>
        <v>0</v>
      </c>
      <c r="S171" s="15">
        <f>IF('ENCUESTA CONDUCTORES'!U171="X",1,0)</f>
        <v>0</v>
      </c>
      <c r="T171" s="15">
        <f>IF('ENCUESTA CONDUCTORES'!V171="X",1,0)</f>
        <v>0</v>
      </c>
      <c r="U171" s="15">
        <f>IF('ENCUESTA CONDUCTORES'!W171="X",1,0)</f>
        <v>0</v>
      </c>
      <c r="V171" s="15">
        <f>IF('ENCUESTA CONDUCTORES'!X171="X",1,0)</f>
        <v>0</v>
      </c>
      <c r="W171" s="15">
        <f>IF('ENCUESTA CONDUCTORES'!Y171="X",1,0)</f>
        <v>0</v>
      </c>
      <c r="X171" s="15">
        <f>IF('ENCUESTA CONDUCTORES'!Z171="X",1,0)</f>
        <v>0</v>
      </c>
      <c r="Y171" s="15">
        <f>+'ENCUESTA CONDUCTORES'!AG171</f>
        <v>0</v>
      </c>
      <c r="Z171" s="15">
        <f>+'ENCUESTA CONDUCTORES'!AH171</f>
        <v>1997</v>
      </c>
      <c r="AA171" s="1">
        <f>+'ENCUESTA CONDUCTORES'!AI171</f>
        <v>915534</v>
      </c>
      <c r="AB171" s="15">
        <f>IF('ENCUESTA CONDUCTORES'!AJ171="X",1,0)</f>
        <v>0</v>
      </c>
      <c r="AC171" s="15">
        <f>IF('ENCUESTA CONDUCTORES'!AK171="X",1,0)</f>
        <v>0</v>
      </c>
      <c r="AD171" s="15">
        <f>IF('ENCUESTA CONDUCTORES'!AL171="X",1,0)</f>
        <v>1</v>
      </c>
      <c r="AE171" s="15">
        <f>IF('ENCUESTA CONDUCTORES'!AM171="X",1,0)</f>
        <v>0</v>
      </c>
      <c r="AF171" s="15">
        <f>IF('ENCUESTA CONDUCTORES'!AN171="X",1,0)</f>
        <v>0</v>
      </c>
      <c r="AG171" s="15">
        <f>IF('ENCUESTA CONDUCTORES'!AO171="X",1,0)</f>
        <v>1</v>
      </c>
      <c r="AH171" s="15">
        <f>IF('ENCUESTA CONDUCTORES'!AP171="X",1,0)</f>
        <v>0</v>
      </c>
      <c r="AI171" s="15">
        <f>IF('ENCUESTA CONDUCTORES'!AQ171="X",1,0)</f>
        <v>0</v>
      </c>
      <c r="AJ171" s="15">
        <f>IF('ENCUESTA CONDUCTORES'!AR171="X",1,0)</f>
        <v>0</v>
      </c>
      <c r="AK171" s="15">
        <f>+'ENCUESTA CONDUCTORES'!AS171</f>
        <v>0</v>
      </c>
      <c r="AL171" s="15" t="str">
        <f>+'ENCUESTA CONDUCTORES'!AT171</f>
        <v>INTERNATIONAL</v>
      </c>
      <c r="AM171" s="1">
        <f>+'ENCUESTA CONDUCTORES'!AU171</f>
        <v>4000</v>
      </c>
      <c r="AN171" s="48">
        <f>+'ENCUESTA CONDUCTORES'!AV171</f>
        <v>0</v>
      </c>
      <c r="AO171" s="15">
        <f>+'ENCUESTA CONDUCTORES'!AW171</f>
        <v>4</v>
      </c>
      <c r="AP171" s="15">
        <f>+'ENCUESTA CONDUCTORES'!AX171</f>
        <v>3</v>
      </c>
      <c r="AQ171" s="15">
        <f>+'ENCUESTA CONDUCTORES'!AY171</f>
        <v>2</v>
      </c>
      <c r="AR171" s="15">
        <f>+'ENCUESTA CONDUCTORES'!AZ171</f>
        <v>330</v>
      </c>
      <c r="AS171" s="15">
        <f>+'ENCUESTA CONDUCTORES'!BA171</f>
        <v>1000</v>
      </c>
      <c r="AT171" s="15">
        <f>IF('ENCUESTA CONDUCTORES'!BB171="X",1,0)</f>
        <v>0</v>
      </c>
      <c r="AU171" s="15">
        <f>IF('ENCUESTA CONDUCTORES'!BC171="X",1,0)</f>
        <v>0</v>
      </c>
      <c r="AV171" s="15">
        <f>IF('ENCUESTA CONDUCTORES'!BD171="X",1,0)</f>
        <v>0</v>
      </c>
      <c r="AW171" s="1">
        <f>+'ENCUESTA CONDUCTORES'!BE171</f>
        <v>20000</v>
      </c>
      <c r="AX171" s="1">
        <f>+'ENCUESTA CONDUCTORES'!BF171</f>
        <v>20000</v>
      </c>
      <c r="AY171" s="1">
        <f>+'ENCUESTA CONDUCTORES'!BG171</f>
        <v>20000</v>
      </c>
      <c r="AZ171" s="1">
        <f>+'ENCUESTA CONDUCTORES'!BH171</f>
        <v>120000</v>
      </c>
      <c r="BA171" s="1">
        <f>+'ENCUESTA CONDUCTORES'!BI171</f>
        <v>20000</v>
      </c>
      <c r="BB171" s="15">
        <f>IF('ENCUESTA CONDUCTORES'!BJ171="X",1,0)</f>
        <v>0</v>
      </c>
      <c r="BC171" s="15">
        <f>IF('ENCUESTA CONDUCTORES'!BK171="X",1,0)</f>
        <v>0</v>
      </c>
      <c r="BD171" s="15">
        <f>IF('ENCUESTA CONDUCTORES'!BL171="X",1,0)</f>
        <v>0</v>
      </c>
      <c r="BE171" s="15">
        <f>IF('ENCUESTA CONDUCTORES'!BM171="X",1,0)</f>
        <v>0</v>
      </c>
      <c r="BF171" s="15">
        <f>IF('ENCUESTA CONDUCTORES'!BN171="X",1,0)</f>
        <v>0</v>
      </c>
      <c r="BG171" s="15">
        <f>IF('ENCUESTA CONDUCTORES'!BO171="X",1,0)</f>
        <v>1</v>
      </c>
      <c r="BH171" s="15">
        <f>IF('ENCUESTA CONDUCTORES'!BP171="X",1,0)</f>
        <v>0</v>
      </c>
      <c r="BI171" s="15">
        <f>IF('ENCUESTA CONDUCTORES'!BQ171="X",1,0)</f>
        <v>0</v>
      </c>
      <c r="BJ171" s="15">
        <f>IF('ENCUESTA CONDUCTORES'!BR171="X",1,0)</f>
        <v>0</v>
      </c>
      <c r="BK171" s="15">
        <f>+'ENCUESTA CONDUCTORES'!BS171</f>
        <v>0</v>
      </c>
      <c r="BL171" s="15">
        <f>IF('ENCUESTA CONDUCTORES'!BT171="X",1,0)</f>
        <v>0</v>
      </c>
      <c r="BM171" s="15">
        <f>IF('ENCUESTA CONDUCTORES'!BU171="X",1,0)</f>
        <v>1</v>
      </c>
      <c r="BN171" s="15">
        <f>IF('ENCUESTA CONDUCTORES'!BV171="X",1,0)</f>
        <v>0</v>
      </c>
      <c r="BO171" s="15">
        <f>IF('ENCUESTA CONDUCTORES'!BW171="X",1,0)</f>
        <v>0</v>
      </c>
      <c r="BP171" s="15">
        <f>+'ENCUESTA CONDUCTORES'!BX171</f>
        <v>1</v>
      </c>
      <c r="BQ171" s="15">
        <f>+'ENCUESTA CONDUCTORES'!BY171</f>
        <v>2</v>
      </c>
      <c r="BR171" s="15">
        <f>+'ENCUESTA CONDUCTORES'!BZ171</f>
        <v>3</v>
      </c>
      <c r="BS171" s="15">
        <f>+'ENCUESTA CONDUCTORES'!CA171</f>
        <v>0</v>
      </c>
      <c r="BT171" s="15">
        <f>IF('ENCUESTA CONDUCTORES'!CB171="X",1,0)</f>
        <v>1</v>
      </c>
      <c r="BU171" s="15">
        <f>IF('ENCUESTA CONDUCTORES'!CC171="X",1,0)</f>
        <v>0</v>
      </c>
      <c r="BV171" s="15">
        <f>IF('ENCUESTA CONDUCTORES'!CD171="X",1,0)</f>
        <v>0</v>
      </c>
      <c r="BW171" s="15">
        <f>IF('ENCUESTA CONDUCTORES'!CE171="X",1,0)</f>
        <v>0</v>
      </c>
      <c r="BX171" s="15">
        <f>IF('ENCUESTA CONDUCTORES'!CF171="X",1,0)</f>
        <v>0</v>
      </c>
      <c r="BY171" s="15">
        <f>IF('ENCUESTA CONDUCTORES'!CG171="X",1,0)</f>
        <v>0</v>
      </c>
      <c r="BZ171" s="15">
        <f>IF('ENCUESTA CONDUCTORES'!CH171="X",1,0)</f>
        <v>0</v>
      </c>
      <c r="CA171" s="15">
        <f>IF('ENCUESTA CONDUCTORES'!CI171="X",1,0)</f>
        <v>0</v>
      </c>
      <c r="CB171" s="15">
        <f>IF('ENCUESTA CONDUCTORES'!CJ171="X",1,0)</f>
        <v>0</v>
      </c>
      <c r="CC171" s="15">
        <f>IF('ENCUESTA CONDUCTORES'!CK171="X",1,0)</f>
        <v>1</v>
      </c>
      <c r="CD171" s="15">
        <f>IF('ENCUESTA CONDUCTORES'!CL171="X",1,0)</f>
        <v>0</v>
      </c>
      <c r="CE171" s="15">
        <f>IF('ENCUESTA CONDUCTORES'!CM171="X",1,0)</f>
        <v>0</v>
      </c>
      <c r="CF171" s="15">
        <f>+'ENCUESTA CONDUCTORES'!CN171</f>
        <v>0</v>
      </c>
      <c r="CG171" s="15">
        <f>IF('ENCUESTA CONDUCTORES'!CO171="X",1,0)</f>
        <v>0</v>
      </c>
      <c r="CH171" s="15" t="str">
        <f>+'ENCUESTA CONDUCTORES'!CP171</f>
        <v>NO SABE</v>
      </c>
      <c r="CI171" s="15" t="str">
        <f>+'ENCUESTA CONDUCTORES'!CQ171</f>
        <v>DARLO A CONOCER</v>
      </c>
      <c r="CJ171" s="15">
        <f>IF('ENCUESTA CONDUCTORES'!CR171="X",1,0)</f>
        <v>1</v>
      </c>
      <c r="CK171" s="15">
        <f>IF('ENCUESTA CONDUCTORES'!CS171="X",1,0)</f>
        <v>0</v>
      </c>
      <c r="CL171" s="15">
        <f>IF('ENCUESTA CONDUCTORES'!CT171="X",1,0)</f>
        <v>0</v>
      </c>
      <c r="CM171" s="15">
        <f>+'ENCUESTA CONDUCTORES'!CU171</f>
        <v>0</v>
      </c>
      <c r="CN171" s="15">
        <f>IF('ENCUESTA CONDUCTORES'!CV171="X",1,0)</f>
        <v>0</v>
      </c>
      <c r="CO171" s="15">
        <f>+'ENCUESTA CONDUCTORES'!CW171</f>
        <v>0</v>
      </c>
      <c r="CP171" s="15">
        <f>IF('ENCUESTA CONDUCTORES'!CX171="X",1,0)</f>
        <v>0</v>
      </c>
      <c r="CQ171" s="15">
        <f>IF('ENCUESTA CONDUCTORES'!CY171="X",1,0)</f>
        <v>1</v>
      </c>
      <c r="CR171" s="3">
        <f>+'ENCUESTA CONDUCTORES'!CZ171</f>
        <v>0</v>
      </c>
      <c r="CS171" s="49">
        <f>+'ENCUESTA CONDUCTORES'!DA171</f>
        <v>0</v>
      </c>
    </row>
    <row r="172" spans="2:97" x14ac:dyDescent="0.25">
      <c r="B172" s="14" t="str">
        <f>+'ENCUESTA CONDUCTORES'!D172</f>
        <v>C-178</v>
      </c>
      <c r="C172" s="15">
        <f>IF('ENCUESTA CONDUCTORES'!E172="X",1,0)</f>
        <v>0</v>
      </c>
      <c r="D172" s="15">
        <f>IF('ENCUESTA CONDUCTORES'!F172="X",1,0)</f>
        <v>0</v>
      </c>
      <c r="E172" s="15">
        <f>IF('ENCUESTA CONDUCTORES'!G172="X",1,0)</f>
        <v>0</v>
      </c>
      <c r="F172" s="15">
        <f>IF('ENCUESTA CONDUCTORES'!H172="X",1,0)</f>
        <v>1</v>
      </c>
      <c r="G172" s="15">
        <f>+'ENCUESTA CONDUCTORES'!I172</f>
        <v>38</v>
      </c>
      <c r="H172" s="15" t="str">
        <f>+'ENCUESTA CONDUCTORES'!J172</f>
        <v>M</v>
      </c>
      <c r="I172" s="15" t="str">
        <f>+'ENCUESTA CONDUCTORES'!K172</f>
        <v>PRIMARIA</v>
      </c>
      <c r="J172" s="15" t="str">
        <f>+'ENCUESTA CONDUCTORES'!L172</f>
        <v>JOFRE, QRO.</v>
      </c>
      <c r="K172" s="50" t="str">
        <f>+'ENCUESTA CONDUCTORES'!M172</f>
        <v>JOFRE</v>
      </c>
      <c r="L172" s="50" t="str">
        <f>+'ENCUESTA CONDUCTORES'!N172</f>
        <v>QUERÉTARO</v>
      </c>
      <c r="M172" s="15">
        <f>+'ENCUESTA CONDUCTORES'!O172</f>
        <v>20</v>
      </c>
      <c r="N172" s="15">
        <f>IF('ENCUESTA CONDUCTORES'!P172="X",1,0)</f>
        <v>0</v>
      </c>
      <c r="O172" s="15">
        <f>IF('ENCUESTA CONDUCTORES'!Q172="X",1,0)</f>
        <v>0</v>
      </c>
      <c r="P172" s="15">
        <f>IF('ENCUESTA CONDUCTORES'!R172="X",1,0)</f>
        <v>0</v>
      </c>
      <c r="Q172" s="15">
        <f>IF('ENCUESTA CONDUCTORES'!S172="X",1,0)</f>
        <v>1</v>
      </c>
      <c r="R172" s="15">
        <f>IF('ENCUESTA CONDUCTORES'!T172="X",1,0)</f>
        <v>0</v>
      </c>
      <c r="S172" s="15">
        <f>IF('ENCUESTA CONDUCTORES'!U172="X",1,0)</f>
        <v>1</v>
      </c>
      <c r="T172" s="15">
        <f>IF('ENCUESTA CONDUCTORES'!V172="X",1,0)</f>
        <v>0</v>
      </c>
      <c r="U172" s="15">
        <f>IF('ENCUESTA CONDUCTORES'!W172="X",1,0)</f>
        <v>0</v>
      </c>
      <c r="V172" s="15">
        <f>IF('ENCUESTA CONDUCTORES'!X172="X",1,0)</f>
        <v>0</v>
      </c>
      <c r="W172" s="15">
        <f>IF('ENCUESTA CONDUCTORES'!Y172="X",1,0)</f>
        <v>0</v>
      </c>
      <c r="X172" s="15">
        <f>IF('ENCUESTA CONDUCTORES'!Z172="X",1,0)</f>
        <v>0</v>
      </c>
      <c r="Y172" s="15">
        <f>+'ENCUESTA CONDUCTORES'!AG172</f>
        <v>0</v>
      </c>
      <c r="Z172" s="15">
        <f>+'ENCUESTA CONDUCTORES'!AH172</f>
        <v>2001</v>
      </c>
      <c r="AA172" s="1">
        <f>+'ENCUESTA CONDUCTORES'!AI172</f>
        <v>862417</v>
      </c>
      <c r="AB172" s="15">
        <f>IF('ENCUESTA CONDUCTORES'!AJ172="X",1,0)</f>
        <v>0</v>
      </c>
      <c r="AC172" s="15">
        <f>IF('ENCUESTA CONDUCTORES'!AK172="X",1,0)</f>
        <v>0</v>
      </c>
      <c r="AD172" s="15">
        <f>IF('ENCUESTA CONDUCTORES'!AL172="X",1,0)</f>
        <v>1</v>
      </c>
      <c r="AE172" s="15">
        <f>IF('ENCUESTA CONDUCTORES'!AM172="X",1,0)</f>
        <v>0</v>
      </c>
      <c r="AF172" s="15">
        <f>IF('ENCUESTA CONDUCTORES'!AN172="X",1,0)</f>
        <v>0</v>
      </c>
      <c r="AG172" s="15">
        <f>IF('ENCUESTA CONDUCTORES'!AO172="X",1,0)</f>
        <v>0</v>
      </c>
      <c r="AH172" s="15">
        <f>IF('ENCUESTA CONDUCTORES'!AP172="X",1,0)</f>
        <v>1</v>
      </c>
      <c r="AI172" s="15">
        <f>IF('ENCUESTA CONDUCTORES'!AQ172="X",1,0)</f>
        <v>0</v>
      </c>
      <c r="AJ172" s="15">
        <f>IF('ENCUESTA CONDUCTORES'!AR172="X",1,0)</f>
        <v>0</v>
      </c>
      <c r="AK172" s="15">
        <f>+'ENCUESTA CONDUCTORES'!AS172</f>
        <v>0</v>
      </c>
      <c r="AL172" s="15" t="str">
        <f>+'ENCUESTA CONDUCTORES'!AT172</f>
        <v>DETROIT</v>
      </c>
      <c r="AM172" s="1">
        <f>+'ENCUESTA CONDUCTORES'!AU172</f>
        <v>9000</v>
      </c>
      <c r="AN172" s="48">
        <f>+'ENCUESTA CONDUCTORES'!AV172</f>
        <v>0.05</v>
      </c>
      <c r="AO172" s="15">
        <f>+'ENCUESTA CONDUCTORES'!AW172</f>
        <v>2.7</v>
      </c>
      <c r="AP172" s="15">
        <f>+'ENCUESTA CONDUCTORES'!AX172</f>
        <v>2.4</v>
      </c>
      <c r="AQ172" s="15">
        <f>+'ENCUESTA CONDUCTORES'!AY172</f>
        <v>2</v>
      </c>
      <c r="AR172" s="15">
        <f>+'ENCUESTA CONDUCTORES'!AZ172</f>
        <v>850</v>
      </c>
      <c r="AS172" s="15">
        <f>+'ENCUESTA CONDUCTORES'!BA172</f>
        <v>2200</v>
      </c>
      <c r="AT172" s="15">
        <f>IF('ENCUESTA CONDUCTORES'!BB172="X",1,0)</f>
        <v>1</v>
      </c>
      <c r="AU172" s="15">
        <f>IF('ENCUESTA CONDUCTORES'!BC172="X",1,0)</f>
        <v>0</v>
      </c>
      <c r="AV172" s="15">
        <f>IF('ENCUESTA CONDUCTORES'!BD172="X",1,0)</f>
        <v>0</v>
      </c>
      <c r="AW172" s="1">
        <f>+'ENCUESTA CONDUCTORES'!BE172</f>
        <v>23000</v>
      </c>
      <c r="AX172" s="1">
        <f>+'ENCUESTA CONDUCTORES'!BF172</f>
        <v>100000</v>
      </c>
      <c r="AY172" s="1">
        <f>+'ENCUESTA CONDUCTORES'!BG172</f>
        <v>23000</v>
      </c>
      <c r="AZ172" s="1">
        <f>+'ENCUESTA CONDUCTORES'!BH172</f>
        <v>100000</v>
      </c>
      <c r="BA172" s="1" t="str">
        <f>+'ENCUESTA CONDUCTORES'!BI172</f>
        <v>NO SABE</v>
      </c>
      <c r="BB172" s="15">
        <f>IF('ENCUESTA CONDUCTORES'!BJ172="X",1,0)</f>
        <v>0</v>
      </c>
      <c r="BC172" s="15">
        <f>IF('ENCUESTA CONDUCTORES'!BK172="X",1,0)</f>
        <v>0</v>
      </c>
      <c r="BD172" s="15">
        <f>IF('ENCUESTA CONDUCTORES'!BL172="X",1,0)</f>
        <v>0</v>
      </c>
      <c r="BE172" s="15">
        <f>IF('ENCUESTA CONDUCTORES'!BM172="X",1,0)</f>
        <v>0</v>
      </c>
      <c r="BF172" s="15">
        <f>IF('ENCUESTA CONDUCTORES'!BN172="X",1,0)</f>
        <v>1</v>
      </c>
      <c r="BG172" s="15">
        <f>IF('ENCUESTA CONDUCTORES'!BO172="X",1,0)</f>
        <v>0</v>
      </c>
      <c r="BH172" s="15">
        <f>IF('ENCUESTA CONDUCTORES'!BP172="X",1,0)</f>
        <v>0</v>
      </c>
      <c r="BI172" s="15">
        <f>IF('ENCUESTA CONDUCTORES'!BQ172="X",1,0)</f>
        <v>0</v>
      </c>
      <c r="BJ172" s="15">
        <f>IF('ENCUESTA CONDUCTORES'!BR172="X",1,0)</f>
        <v>0</v>
      </c>
      <c r="BK172" s="15">
        <f>+'ENCUESTA CONDUCTORES'!BS172</f>
        <v>0</v>
      </c>
      <c r="BL172" s="15">
        <f>IF('ENCUESTA CONDUCTORES'!BT172="X",1,0)</f>
        <v>0</v>
      </c>
      <c r="BM172" s="15">
        <f>IF('ENCUESTA CONDUCTORES'!BU172="X",1,0)</f>
        <v>0</v>
      </c>
      <c r="BN172" s="15">
        <f>IF('ENCUESTA CONDUCTORES'!BV172="X",1,0)</f>
        <v>1</v>
      </c>
      <c r="BO172" s="15">
        <f>IF('ENCUESTA CONDUCTORES'!BW172="X",1,0)</f>
        <v>0</v>
      </c>
      <c r="BP172" s="15">
        <f>+'ENCUESTA CONDUCTORES'!BX172</f>
        <v>2</v>
      </c>
      <c r="BQ172" s="15">
        <f>+'ENCUESTA CONDUCTORES'!BY172</f>
        <v>3</v>
      </c>
      <c r="BR172" s="15">
        <f>+'ENCUESTA CONDUCTORES'!BZ172</f>
        <v>4</v>
      </c>
      <c r="BS172" s="15" t="str">
        <f>+'ENCUESTA CONDUCTORES'!CA172</f>
        <v>SEGURIDAD</v>
      </c>
      <c r="BT172" s="15">
        <f>IF('ENCUESTA CONDUCTORES'!CB172="X",1,0)</f>
        <v>1</v>
      </c>
      <c r="BU172" s="15">
        <f>IF('ENCUESTA CONDUCTORES'!CC172="X",1,0)</f>
        <v>0</v>
      </c>
      <c r="BV172" s="15">
        <f>IF('ENCUESTA CONDUCTORES'!CD172="X",1,0)</f>
        <v>0</v>
      </c>
      <c r="BW172" s="15">
        <f>IF('ENCUESTA CONDUCTORES'!CE172="X",1,0)</f>
        <v>0</v>
      </c>
      <c r="BX172" s="15">
        <f>IF('ENCUESTA CONDUCTORES'!CF172="X",1,0)</f>
        <v>0</v>
      </c>
      <c r="BY172" s="15">
        <f>IF('ENCUESTA CONDUCTORES'!CG172="X",1,0)</f>
        <v>0</v>
      </c>
      <c r="BZ172" s="15">
        <f>IF('ENCUESTA CONDUCTORES'!CH172="X",1,0)</f>
        <v>0</v>
      </c>
      <c r="CA172" s="15">
        <f>IF('ENCUESTA CONDUCTORES'!CI172="X",1,0)</f>
        <v>0</v>
      </c>
      <c r="CB172" s="15">
        <f>IF('ENCUESTA CONDUCTORES'!CJ172="X",1,0)</f>
        <v>0</v>
      </c>
      <c r="CC172" s="15">
        <f>IF('ENCUESTA CONDUCTORES'!CK172="X",1,0)</f>
        <v>1</v>
      </c>
      <c r="CD172" s="15">
        <f>IF('ENCUESTA CONDUCTORES'!CL172="X",1,0)</f>
        <v>0</v>
      </c>
      <c r="CE172" s="15">
        <f>IF('ENCUESTA CONDUCTORES'!CM172="X",1,0)</f>
        <v>0</v>
      </c>
      <c r="CF172" s="15">
        <f>+'ENCUESTA CONDUCTORES'!CN172</f>
        <v>0</v>
      </c>
      <c r="CG172" s="15">
        <f>IF('ENCUESTA CONDUCTORES'!CO172="X",1,0)</f>
        <v>0</v>
      </c>
      <c r="CH172" s="15" t="str">
        <f>+'ENCUESTA CONDUCTORES'!CP172</f>
        <v>NO SABE</v>
      </c>
      <c r="CI172" s="15" t="str">
        <f>+'ENCUESTA CONDUCTORES'!CQ172</f>
        <v>DARLO A CONOCER</v>
      </c>
      <c r="CJ172" s="15">
        <f>IF('ENCUESTA CONDUCTORES'!CR172="X",1,0)</f>
        <v>0</v>
      </c>
      <c r="CK172" s="15">
        <f>IF('ENCUESTA CONDUCTORES'!CS172="X",1,0)</f>
        <v>0</v>
      </c>
      <c r="CL172" s="15">
        <f>IF('ENCUESTA CONDUCTORES'!CT172="X",1,0)</f>
        <v>1</v>
      </c>
      <c r="CM172" s="15">
        <f>+'ENCUESTA CONDUCTORES'!CU172</f>
        <v>0</v>
      </c>
      <c r="CN172" s="15">
        <f>IF('ENCUESTA CONDUCTORES'!CV172="X",1,0)</f>
        <v>0</v>
      </c>
      <c r="CO172" s="15">
        <f>+'ENCUESTA CONDUCTORES'!CW172</f>
        <v>0</v>
      </c>
      <c r="CP172" s="15">
        <f>IF('ENCUESTA CONDUCTORES'!CX172="X",1,0)</f>
        <v>1</v>
      </c>
      <c r="CQ172" s="15">
        <f>IF('ENCUESTA CONDUCTORES'!CY172="X",1,0)</f>
        <v>0</v>
      </c>
      <c r="CR172" s="3" t="str">
        <f>+'ENCUESTA CONDUCTORES'!CZ172</f>
        <v>MANEJO  LA DEFENSIVA</v>
      </c>
      <c r="CS172" s="49" t="str">
        <f>+'ENCUESTA CONDUCTORES'!DA172</f>
        <v>DETROIT S-60 / PIEZAS AUTOMOTRICES</v>
      </c>
    </row>
    <row r="173" spans="2:97" x14ac:dyDescent="0.25">
      <c r="B173" s="14" t="str">
        <f>+'ENCUESTA CONDUCTORES'!D173</f>
        <v>C-179</v>
      </c>
      <c r="C173" s="15">
        <f>IF('ENCUESTA CONDUCTORES'!E173="X",1,0)</f>
        <v>0</v>
      </c>
      <c r="D173" s="15">
        <f>IF('ENCUESTA CONDUCTORES'!F173="X",1,0)</f>
        <v>0</v>
      </c>
      <c r="E173" s="15">
        <f>IF('ENCUESTA CONDUCTORES'!G173="X",1,0)</f>
        <v>0</v>
      </c>
      <c r="F173" s="15">
        <f>IF('ENCUESTA CONDUCTORES'!H173="X",1,0)</f>
        <v>1</v>
      </c>
      <c r="G173" s="15">
        <f>+'ENCUESTA CONDUCTORES'!I173</f>
        <v>52</v>
      </c>
      <c r="H173" s="15" t="str">
        <f>+'ENCUESTA CONDUCTORES'!J173</f>
        <v>M</v>
      </c>
      <c r="I173" s="15" t="str">
        <f>+'ENCUESTA CONDUCTORES'!K173</f>
        <v>SIN ESTUDIOS</v>
      </c>
      <c r="J173" s="15" t="str">
        <f>+'ENCUESTA CONDUCTORES'!L173</f>
        <v>OTUMBA, EDO. MEX.</v>
      </c>
      <c r="K173" s="15" t="str">
        <f>+'ENCUESTA CONDUCTORES'!M173</f>
        <v>OTUMBA</v>
      </c>
      <c r="L173" s="15" t="str">
        <f>+'ENCUESTA CONDUCTORES'!N173</f>
        <v>EDO. MEX.</v>
      </c>
      <c r="M173" s="15">
        <f>+'ENCUESTA CONDUCTORES'!O173</f>
        <v>30</v>
      </c>
      <c r="N173" s="15">
        <f>IF('ENCUESTA CONDUCTORES'!P173="X",1,0)</f>
        <v>0</v>
      </c>
      <c r="O173" s="15">
        <f>IF('ENCUESTA CONDUCTORES'!Q173="X",1,0)</f>
        <v>0</v>
      </c>
      <c r="P173" s="15">
        <f>IF('ENCUESTA CONDUCTORES'!R173="X",1,0)</f>
        <v>0</v>
      </c>
      <c r="Q173" s="15">
        <f>IF('ENCUESTA CONDUCTORES'!S173="X",1,0)</f>
        <v>1</v>
      </c>
      <c r="R173" s="15">
        <f>IF('ENCUESTA CONDUCTORES'!T173="X",1,0)</f>
        <v>0</v>
      </c>
      <c r="S173" s="15">
        <f>IF('ENCUESTA CONDUCTORES'!U173="X",1,0)</f>
        <v>1</v>
      </c>
      <c r="T173" s="15">
        <f>IF('ENCUESTA CONDUCTORES'!V173="X",1,0)</f>
        <v>0</v>
      </c>
      <c r="U173" s="15">
        <f>IF('ENCUESTA CONDUCTORES'!W173="X",1,0)</f>
        <v>0</v>
      </c>
      <c r="V173" s="15">
        <f>IF('ENCUESTA CONDUCTORES'!X173="X",1,0)</f>
        <v>0</v>
      </c>
      <c r="W173" s="15">
        <f>IF('ENCUESTA CONDUCTORES'!Y173="X",1,0)</f>
        <v>0</v>
      </c>
      <c r="X173" s="15">
        <f>IF('ENCUESTA CONDUCTORES'!Z173="X",1,0)</f>
        <v>0</v>
      </c>
      <c r="Y173" s="15">
        <f>+'ENCUESTA CONDUCTORES'!AG173</f>
        <v>0</v>
      </c>
      <c r="Z173" s="15">
        <f>+'ENCUESTA CONDUCTORES'!AH173</f>
        <v>2005</v>
      </c>
      <c r="AA173" s="1">
        <f>+'ENCUESTA CONDUCTORES'!AI173</f>
        <v>718942</v>
      </c>
      <c r="AB173" s="15">
        <f>IF('ENCUESTA CONDUCTORES'!AJ173="X",1,0)</f>
        <v>0</v>
      </c>
      <c r="AC173" s="15">
        <f>IF('ENCUESTA CONDUCTORES'!AK173="X",1,0)</f>
        <v>0</v>
      </c>
      <c r="AD173" s="15">
        <f>IF('ENCUESTA CONDUCTORES'!AL173="X",1,0)</f>
        <v>1</v>
      </c>
      <c r="AE173" s="15">
        <f>IF('ENCUESTA CONDUCTORES'!AM173="X",1,0)</f>
        <v>0</v>
      </c>
      <c r="AF173" s="15">
        <f>IF('ENCUESTA CONDUCTORES'!AN173="X",1,0)</f>
        <v>0</v>
      </c>
      <c r="AG173" s="15">
        <f>IF('ENCUESTA CONDUCTORES'!AO173="X",1,0)</f>
        <v>0</v>
      </c>
      <c r="AH173" s="15">
        <f>IF('ENCUESTA CONDUCTORES'!AP173="X",1,0)</f>
        <v>1</v>
      </c>
      <c r="AI173" s="15">
        <f>IF('ENCUESTA CONDUCTORES'!AQ173="X",1,0)</f>
        <v>0</v>
      </c>
      <c r="AJ173" s="15">
        <f>IF('ENCUESTA CONDUCTORES'!AR173="X",1,0)</f>
        <v>0</v>
      </c>
      <c r="AK173" s="15">
        <f>+'ENCUESTA CONDUCTORES'!AS173</f>
        <v>0</v>
      </c>
      <c r="AL173" s="15" t="str">
        <f>+'ENCUESTA CONDUCTORES'!AT173</f>
        <v>DETROIT</v>
      </c>
      <c r="AM173" s="1">
        <f>+'ENCUESTA CONDUCTORES'!AU173</f>
        <v>12000</v>
      </c>
      <c r="AN173" s="48">
        <f>+'ENCUESTA CONDUCTORES'!AV173</f>
        <v>0.05</v>
      </c>
      <c r="AO173" s="15">
        <f>+'ENCUESTA CONDUCTORES'!AW173</f>
        <v>2.9</v>
      </c>
      <c r="AP173" s="15">
        <f>+'ENCUESTA CONDUCTORES'!AX173</f>
        <v>2.5</v>
      </c>
      <c r="AQ173" s="15">
        <f>+'ENCUESTA CONDUCTORES'!AY173</f>
        <v>2</v>
      </c>
      <c r="AR173" s="15">
        <f>+'ENCUESTA CONDUCTORES'!AZ173</f>
        <v>920</v>
      </c>
      <c r="AS173" s="15">
        <f>+'ENCUESTA CONDUCTORES'!BA173</f>
        <v>2500</v>
      </c>
      <c r="AT173" s="15">
        <f>IF('ENCUESTA CONDUCTORES'!BB173="X",1,0)</f>
        <v>1</v>
      </c>
      <c r="AU173" s="15">
        <f>IF('ENCUESTA CONDUCTORES'!BC173="X",1,0)</f>
        <v>1</v>
      </c>
      <c r="AV173" s="15">
        <f>IF('ENCUESTA CONDUCTORES'!BD173="X",1,0)</f>
        <v>0</v>
      </c>
      <c r="AW173" s="1">
        <f>+'ENCUESTA CONDUCTORES'!BE173</f>
        <v>18000</v>
      </c>
      <c r="AX173" s="1">
        <f>+'ENCUESTA CONDUCTORES'!BF173</f>
        <v>150000</v>
      </c>
      <c r="AY173" s="1">
        <f>+'ENCUESTA CONDUCTORES'!BG173</f>
        <v>18000</v>
      </c>
      <c r="AZ173" s="1">
        <f>+'ENCUESTA CONDUCTORES'!BH173</f>
        <v>100000</v>
      </c>
      <c r="BA173" s="1" t="str">
        <f>+'ENCUESTA CONDUCTORES'!BI173</f>
        <v>NO SABE</v>
      </c>
      <c r="BB173" s="15">
        <f>IF('ENCUESTA CONDUCTORES'!BJ173="X",1,0)</f>
        <v>0</v>
      </c>
      <c r="BC173" s="15">
        <f>IF('ENCUESTA CONDUCTORES'!BK173="X",1,0)</f>
        <v>0</v>
      </c>
      <c r="BD173" s="15">
        <f>IF('ENCUESTA CONDUCTORES'!BL173="X",1,0)</f>
        <v>0</v>
      </c>
      <c r="BE173" s="15">
        <f>IF('ENCUESTA CONDUCTORES'!BM173="X",1,0)</f>
        <v>0</v>
      </c>
      <c r="BF173" s="15">
        <f>IF('ENCUESTA CONDUCTORES'!BN173="X",1,0)</f>
        <v>0</v>
      </c>
      <c r="BG173" s="15">
        <f>IF('ENCUESTA CONDUCTORES'!BO173="X",1,0)</f>
        <v>0</v>
      </c>
      <c r="BH173" s="15">
        <f>IF('ENCUESTA CONDUCTORES'!BP173="X",1,0)</f>
        <v>1</v>
      </c>
      <c r="BI173" s="15">
        <f>IF('ENCUESTA CONDUCTORES'!BQ173="X",1,0)</f>
        <v>0</v>
      </c>
      <c r="BJ173" s="15">
        <f>IF('ENCUESTA CONDUCTORES'!BR173="X",1,0)</f>
        <v>0</v>
      </c>
      <c r="BK173" s="15">
        <f>+'ENCUESTA CONDUCTORES'!BS173</f>
        <v>0</v>
      </c>
      <c r="BL173" s="15">
        <f>IF('ENCUESTA CONDUCTORES'!BT173="X",1,0)</f>
        <v>0</v>
      </c>
      <c r="BM173" s="15">
        <f>IF('ENCUESTA CONDUCTORES'!BU173="X",1,0)</f>
        <v>0</v>
      </c>
      <c r="BN173" s="15">
        <f>IF('ENCUESTA CONDUCTORES'!BV173="X",1,0)</f>
        <v>1</v>
      </c>
      <c r="BO173" s="15">
        <f>IF('ENCUESTA CONDUCTORES'!BW173="X",1,0)</f>
        <v>0</v>
      </c>
      <c r="BP173" s="15">
        <f>+'ENCUESTA CONDUCTORES'!BX173</f>
        <v>1</v>
      </c>
      <c r="BQ173" s="15">
        <f>+'ENCUESTA CONDUCTORES'!BY173</f>
        <v>3</v>
      </c>
      <c r="BR173" s="15">
        <f>+'ENCUESTA CONDUCTORES'!BZ173</f>
        <v>2</v>
      </c>
      <c r="BS173" s="15">
        <f>+'ENCUESTA CONDUCTORES'!CA173</f>
        <v>0</v>
      </c>
      <c r="BT173" s="15">
        <f>IF('ENCUESTA CONDUCTORES'!CB173="X",1,0)</f>
        <v>0</v>
      </c>
      <c r="BU173" s="15">
        <f>IF('ENCUESTA CONDUCTORES'!CC173="X",1,0)</f>
        <v>1</v>
      </c>
      <c r="BV173" s="15">
        <f>IF('ENCUESTA CONDUCTORES'!CD173="X",1,0)</f>
        <v>0</v>
      </c>
      <c r="BW173" s="15">
        <f>IF('ENCUESTA CONDUCTORES'!CE173="X",1,0)</f>
        <v>0</v>
      </c>
      <c r="BX173" s="15">
        <f>IF('ENCUESTA CONDUCTORES'!CF173="X",1,0)</f>
        <v>0</v>
      </c>
      <c r="BY173" s="15">
        <f>IF('ENCUESTA CONDUCTORES'!CG173="X",1,0)</f>
        <v>0</v>
      </c>
      <c r="BZ173" s="15">
        <f>IF('ENCUESTA CONDUCTORES'!CH173="X",1,0)</f>
        <v>1</v>
      </c>
      <c r="CA173" s="15">
        <f>IF('ENCUESTA CONDUCTORES'!CI173="X",1,0)</f>
        <v>1</v>
      </c>
      <c r="CB173" s="15">
        <f>IF('ENCUESTA CONDUCTORES'!CJ173="X",1,0)</f>
        <v>0</v>
      </c>
      <c r="CC173" s="15">
        <f>IF('ENCUESTA CONDUCTORES'!CK173="X",1,0)</f>
        <v>1</v>
      </c>
      <c r="CD173" s="15">
        <f>IF('ENCUESTA CONDUCTORES'!CL173="X",1,0)</f>
        <v>0</v>
      </c>
      <c r="CE173" s="15">
        <f>IF('ENCUESTA CONDUCTORES'!CM173="X",1,0)</f>
        <v>0</v>
      </c>
      <c r="CF173" s="15">
        <f>+'ENCUESTA CONDUCTORES'!CN173</f>
        <v>0</v>
      </c>
      <c r="CG173" s="15">
        <f>IF('ENCUESTA CONDUCTORES'!CO173="X",1,0)</f>
        <v>0</v>
      </c>
      <c r="CH173" s="15" t="str">
        <f>+'ENCUESTA CONDUCTORES'!CP173</f>
        <v>NO SABE</v>
      </c>
      <c r="CI173" s="15" t="str">
        <f>+'ENCUESTA CONDUCTORES'!CQ173</f>
        <v>NO SABE</v>
      </c>
      <c r="CJ173" s="15">
        <f>IF('ENCUESTA CONDUCTORES'!CR173="X",1,0)</f>
        <v>0</v>
      </c>
      <c r="CK173" s="15">
        <f>IF('ENCUESTA CONDUCTORES'!CS173="X",1,0)</f>
        <v>1</v>
      </c>
      <c r="CL173" s="15">
        <f>IF('ENCUESTA CONDUCTORES'!CT173="X",1,0)</f>
        <v>0</v>
      </c>
      <c r="CM173" s="15">
        <f>+'ENCUESTA CONDUCTORES'!CU173</f>
        <v>0</v>
      </c>
      <c r="CN173" s="15">
        <f>IF('ENCUESTA CONDUCTORES'!CV173="X",1,0)</f>
        <v>0</v>
      </c>
      <c r="CO173" s="15">
        <f>+'ENCUESTA CONDUCTORES'!CW173</f>
        <v>0</v>
      </c>
      <c r="CP173" s="15">
        <f>IF('ENCUESTA CONDUCTORES'!CX173="X",1,0)</f>
        <v>0</v>
      </c>
      <c r="CQ173" s="15">
        <f>IF('ENCUESTA CONDUCTORES'!CY173="X",1,0)</f>
        <v>1</v>
      </c>
      <c r="CR173" s="3">
        <f>+'ENCUESTA CONDUCTORES'!CZ173</f>
        <v>0</v>
      </c>
      <c r="CS173" s="49" t="str">
        <f>+'ENCUESTA CONDUCTORES'!DA173</f>
        <v>DETROIT S-60</v>
      </c>
    </row>
    <row r="174" spans="2:97" x14ac:dyDescent="0.25">
      <c r="B174" s="14" t="str">
        <f>+'ENCUESTA CONDUCTORES'!D174</f>
        <v>C-180</v>
      </c>
      <c r="C174" s="15">
        <f>IF('ENCUESTA CONDUCTORES'!E174="X",1,0)</f>
        <v>0</v>
      </c>
      <c r="D174" s="15">
        <f>IF('ENCUESTA CONDUCTORES'!F174="X",1,0)</f>
        <v>0</v>
      </c>
      <c r="E174" s="15">
        <f>IF('ENCUESTA CONDUCTORES'!G174="X",1,0)</f>
        <v>1</v>
      </c>
      <c r="F174" s="15">
        <f>IF('ENCUESTA CONDUCTORES'!H174="X",1,0)</f>
        <v>0</v>
      </c>
      <c r="G174" s="15">
        <f>+'ENCUESTA CONDUCTORES'!I174</f>
        <v>23</v>
      </c>
      <c r="H174" s="15" t="str">
        <f>+'ENCUESTA CONDUCTORES'!J174</f>
        <v>M</v>
      </c>
      <c r="I174" s="15" t="str">
        <f>+'ENCUESTA CONDUCTORES'!K174</f>
        <v>PREPARATORIA</v>
      </c>
      <c r="J174" s="15" t="str">
        <f>+'ENCUESTA CONDUCTORES'!L174</f>
        <v>QUERÉTARO, QRO.</v>
      </c>
      <c r="K174" s="15" t="str">
        <f>+'ENCUESTA CONDUCTORES'!M174</f>
        <v>QUERÉTARO</v>
      </c>
      <c r="L174" s="50" t="str">
        <f>+'ENCUESTA CONDUCTORES'!N174</f>
        <v>QUERÉTARO</v>
      </c>
      <c r="M174" s="15">
        <f>+'ENCUESTA CONDUCTORES'!O174</f>
        <v>3</v>
      </c>
      <c r="N174" s="15">
        <f>IF('ENCUESTA CONDUCTORES'!P174="X",1,0)</f>
        <v>0</v>
      </c>
      <c r="O174" s="15">
        <f>IF('ENCUESTA CONDUCTORES'!Q174="X",1,0)</f>
        <v>0</v>
      </c>
      <c r="P174" s="15">
        <f>IF('ENCUESTA CONDUCTORES'!R174="X",1,0)</f>
        <v>0</v>
      </c>
      <c r="Q174" s="15">
        <f>IF('ENCUESTA CONDUCTORES'!S174="X",1,0)</f>
        <v>1</v>
      </c>
      <c r="R174" s="15">
        <f>IF('ENCUESTA CONDUCTORES'!T174="X",1,0)</f>
        <v>0</v>
      </c>
      <c r="S174" s="15">
        <f>IF('ENCUESTA CONDUCTORES'!U174="X",1,0)</f>
        <v>1</v>
      </c>
      <c r="T174" s="15">
        <f>IF('ENCUESTA CONDUCTORES'!V174="X",1,0)</f>
        <v>0</v>
      </c>
      <c r="U174" s="15">
        <f>IF('ENCUESTA CONDUCTORES'!W174="X",1,0)</f>
        <v>0</v>
      </c>
      <c r="V174" s="15">
        <f>IF('ENCUESTA CONDUCTORES'!X174="X",1,0)</f>
        <v>0</v>
      </c>
      <c r="W174" s="15">
        <f>IF('ENCUESTA CONDUCTORES'!Y174="X",1,0)</f>
        <v>0</v>
      </c>
      <c r="X174" s="15">
        <f>IF('ENCUESTA CONDUCTORES'!Z174="X",1,0)</f>
        <v>0</v>
      </c>
      <c r="Y174" s="15">
        <f>+'ENCUESTA CONDUCTORES'!AG174</f>
        <v>0</v>
      </c>
      <c r="Z174" s="15">
        <f>+'ENCUESTA CONDUCTORES'!AH174</f>
        <v>2008</v>
      </c>
      <c r="AA174" s="1">
        <f>+'ENCUESTA CONDUCTORES'!AI174</f>
        <v>537655</v>
      </c>
      <c r="AB174" s="15">
        <f>IF('ENCUESTA CONDUCTORES'!AJ174="X",1,0)</f>
        <v>0</v>
      </c>
      <c r="AC174" s="15">
        <f>IF('ENCUESTA CONDUCTORES'!AK174="X",1,0)</f>
        <v>0</v>
      </c>
      <c r="AD174" s="15">
        <f>IF('ENCUESTA CONDUCTORES'!AL174="X",1,0)</f>
        <v>1</v>
      </c>
      <c r="AE174" s="15">
        <f>IF('ENCUESTA CONDUCTORES'!AM174="X",1,0)</f>
        <v>0</v>
      </c>
      <c r="AF174" s="15">
        <f>IF('ENCUESTA CONDUCTORES'!AN174="X",1,0)</f>
        <v>0</v>
      </c>
      <c r="AG174" s="15">
        <f>IF('ENCUESTA CONDUCTORES'!AO174="X",1,0)</f>
        <v>0</v>
      </c>
      <c r="AH174" s="15">
        <f>IF('ENCUESTA CONDUCTORES'!AP174="X",1,0)</f>
        <v>1</v>
      </c>
      <c r="AI174" s="15">
        <f>IF('ENCUESTA CONDUCTORES'!AQ174="X",1,0)</f>
        <v>0</v>
      </c>
      <c r="AJ174" s="15">
        <f>IF('ENCUESTA CONDUCTORES'!AR174="X",1,0)</f>
        <v>0</v>
      </c>
      <c r="AK174" s="15">
        <f>+'ENCUESTA CONDUCTORES'!AS174</f>
        <v>0</v>
      </c>
      <c r="AL174" s="15" t="str">
        <f>+'ENCUESTA CONDUCTORES'!AT174</f>
        <v>CUMMINS</v>
      </c>
      <c r="AM174" s="1">
        <f>+'ENCUESTA CONDUCTORES'!AU174</f>
        <v>10000</v>
      </c>
      <c r="AN174" s="48">
        <f>+'ENCUESTA CONDUCTORES'!AV174</f>
        <v>0.1</v>
      </c>
      <c r="AO174" s="15">
        <f>+'ENCUESTA CONDUCTORES'!AW174</f>
        <v>2.9</v>
      </c>
      <c r="AP174" s="15">
        <f>+'ENCUESTA CONDUCTORES'!AX174</f>
        <v>2.5</v>
      </c>
      <c r="AQ174" s="15">
        <f>+'ENCUESTA CONDUCTORES'!AY174</f>
        <v>2</v>
      </c>
      <c r="AR174" s="15">
        <f>+'ENCUESTA CONDUCTORES'!AZ174</f>
        <v>850</v>
      </c>
      <c r="AS174" s="15">
        <f>+'ENCUESTA CONDUCTORES'!BA174</f>
        <v>2300</v>
      </c>
      <c r="AT174" s="15">
        <f>IF('ENCUESTA CONDUCTORES'!BB174="X",1,0)</f>
        <v>1</v>
      </c>
      <c r="AU174" s="15">
        <f>IF('ENCUESTA CONDUCTORES'!BC174="X",1,0)</f>
        <v>1</v>
      </c>
      <c r="AV174" s="15">
        <f>IF('ENCUESTA CONDUCTORES'!BD174="X",1,0)</f>
        <v>0</v>
      </c>
      <c r="AW174" s="1">
        <f>+'ENCUESTA CONDUCTORES'!BE174</f>
        <v>19000</v>
      </c>
      <c r="AX174" s="1">
        <f>+'ENCUESTA CONDUCTORES'!BF174</f>
        <v>120000</v>
      </c>
      <c r="AY174" s="1">
        <f>+'ENCUESTA CONDUCTORES'!BG174</f>
        <v>25000</v>
      </c>
      <c r="AZ174" s="1">
        <f>+'ENCUESTA CONDUCTORES'!BH174</f>
        <v>120000</v>
      </c>
      <c r="BA174" s="1" t="str">
        <f>+'ENCUESTA CONDUCTORES'!BI174</f>
        <v>NO SABE</v>
      </c>
      <c r="BB174" s="15">
        <f>IF('ENCUESTA CONDUCTORES'!BJ174="X",1,0)</f>
        <v>0</v>
      </c>
      <c r="BC174" s="15">
        <f>IF('ENCUESTA CONDUCTORES'!BK174="X",1,0)</f>
        <v>0</v>
      </c>
      <c r="BD174" s="15">
        <f>IF('ENCUESTA CONDUCTORES'!BL174="X",1,0)</f>
        <v>0</v>
      </c>
      <c r="BE174" s="15">
        <f>IF('ENCUESTA CONDUCTORES'!BM174="X",1,0)</f>
        <v>0</v>
      </c>
      <c r="BF174" s="15">
        <f>IF('ENCUESTA CONDUCTORES'!BN174="X",1,0)</f>
        <v>0</v>
      </c>
      <c r="BG174" s="15">
        <f>IF('ENCUESTA CONDUCTORES'!BO174="X",1,0)</f>
        <v>0</v>
      </c>
      <c r="BH174" s="15">
        <f>IF('ENCUESTA CONDUCTORES'!BP174="X",1,0)</f>
        <v>0</v>
      </c>
      <c r="BI174" s="15">
        <f>IF('ENCUESTA CONDUCTORES'!BQ174="X",1,0)</f>
        <v>0</v>
      </c>
      <c r="BJ174" s="15">
        <f>IF('ENCUESTA CONDUCTORES'!BR174="X",1,0)</f>
        <v>0</v>
      </c>
      <c r="BK174" s="15" t="str">
        <f>+'ENCUESTA CONDUCTORES'!BS174</f>
        <v>LÍNEA BLANCA</v>
      </c>
      <c r="BL174" s="15">
        <f>IF('ENCUESTA CONDUCTORES'!BT174="X",1,0)</f>
        <v>0</v>
      </c>
      <c r="BM174" s="15">
        <f>IF('ENCUESTA CONDUCTORES'!BU174="X",1,0)</f>
        <v>0</v>
      </c>
      <c r="BN174" s="15">
        <f>IF('ENCUESTA CONDUCTORES'!BV174="X",1,0)</f>
        <v>1</v>
      </c>
      <c r="BO174" s="15">
        <f>IF('ENCUESTA CONDUCTORES'!BW174="X",1,0)</f>
        <v>0</v>
      </c>
      <c r="BP174" s="15">
        <f>+'ENCUESTA CONDUCTORES'!BX174</f>
        <v>1</v>
      </c>
      <c r="BQ174" s="15">
        <f>+'ENCUESTA CONDUCTORES'!BY174</f>
        <v>3</v>
      </c>
      <c r="BR174" s="15">
        <f>+'ENCUESTA CONDUCTORES'!BZ174</f>
        <v>2</v>
      </c>
      <c r="BS174" s="15">
        <f>+'ENCUESTA CONDUCTORES'!CA174</f>
        <v>0</v>
      </c>
      <c r="BT174" s="15">
        <f>IF('ENCUESTA CONDUCTORES'!CB174="X",1,0)</f>
        <v>0</v>
      </c>
      <c r="BU174" s="15">
        <f>IF('ENCUESTA CONDUCTORES'!CC174="X",1,0)</f>
        <v>1</v>
      </c>
      <c r="BV174" s="15">
        <f>IF('ENCUESTA CONDUCTORES'!CD174="X",1,0)</f>
        <v>0</v>
      </c>
      <c r="BW174" s="15">
        <f>IF('ENCUESTA CONDUCTORES'!CE174="X",1,0)</f>
        <v>0</v>
      </c>
      <c r="BX174" s="15">
        <f>IF('ENCUESTA CONDUCTORES'!CF174="X",1,0)</f>
        <v>0</v>
      </c>
      <c r="BY174" s="15">
        <f>IF('ENCUESTA CONDUCTORES'!CG174="X",1,0)</f>
        <v>0</v>
      </c>
      <c r="BZ174" s="15">
        <f>IF('ENCUESTA CONDUCTORES'!CH174="X",1,0)</f>
        <v>1</v>
      </c>
      <c r="CA174" s="15">
        <f>IF('ENCUESTA CONDUCTORES'!CI174="X",1,0)</f>
        <v>0</v>
      </c>
      <c r="CB174" s="15">
        <f>IF('ENCUESTA CONDUCTORES'!CJ174="X",1,0)</f>
        <v>0</v>
      </c>
      <c r="CC174" s="15">
        <f>IF('ENCUESTA CONDUCTORES'!CK174="X",1,0)</f>
        <v>1</v>
      </c>
      <c r="CD174" s="15">
        <f>IF('ENCUESTA CONDUCTORES'!CL174="X",1,0)</f>
        <v>0</v>
      </c>
      <c r="CE174" s="15">
        <f>IF('ENCUESTA CONDUCTORES'!CM174="X",1,0)</f>
        <v>0</v>
      </c>
      <c r="CF174" s="15">
        <f>+'ENCUESTA CONDUCTORES'!CN174</f>
        <v>0</v>
      </c>
      <c r="CG174" s="15">
        <f>IF('ENCUESTA CONDUCTORES'!CO174="X",1,0)</f>
        <v>0</v>
      </c>
      <c r="CH174" s="15" t="str">
        <f>+'ENCUESTA CONDUCTORES'!CP174</f>
        <v>NO SABE</v>
      </c>
      <c r="CI174" s="15" t="str">
        <f>+'ENCUESTA CONDUCTORES'!CQ174</f>
        <v>PUBLICIDAD</v>
      </c>
      <c r="CJ174" s="15">
        <f>IF('ENCUESTA CONDUCTORES'!CR174="X",1,0)</f>
        <v>1</v>
      </c>
      <c r="CK174" s="15">
        <f>IF('ENCUESTA CONDUCTORES'!CS174="X",1,0)</f>
        <v>0</v>
      </c>
      <c r="CL174" s="15">
        <f>IF('ENCUESTA CONDUCTORES'!CT174="X",1,0)</f>
        <v>0</v>
      </c>
      <c r="CM174" s="15">
        <f>+'ENCUESTA CONDUCTORES'!CU174</f>
        <v>0</v>
      </c>
      <c r="CN174" s="15">
        <f>IF('ENCUESTA CONDUCTORES'!CV174="X",1,0)</f>
        <v>0</v>
      </c>
      <c r="CO174" s="15">
        <f>+'ENCUESTA CONDUCTORES'!CW174</f>
        <v>0</v>
      </c>
      <c r="CP174" s="15">
        <f>IF('ENCUESTA CONDUCTORES'!CX174="X",1,0)</f>
        <v>1</v>
      </c>
      <c r="CQ174" s="15">
        <f>IF('ENCUESTA CONDUCTORES'!CY174="X",1,0)</f>
        <v>0</v>
      </c>
      <c r="CR174" s="3">
        <f>+'ENCUESTA CONDUCTORES'!CZ174</f>
        <v>0</v>
      </c>
      <c r="CS174" s="49" t="str">
        <f>+'ENCUESTA CONDUCTORES'!DA174</f>
        <v>CUMMINS ISX</v>
      </c>
    </row>
    <row r="175" spans="2:97" x14ac:dyDescent="0.25">
      <c r="B175" s="14" t="str">
        <f>+'ENCUESTA CONDUCTORES'!D175</f>
        <v>C-181</v>
      </c>
      <c r="C175" s="15">
        <f>IF('ENCUESTA CONDUCTORES'!E175="X",1,0)</f>
        <v>0</v>
      </c>
      <c r="D175" s="15">
        <f>IF('ENCUESTA CONDUCTORES'!F175="X",1,0)</f>
        <v>0</v>
      </c>
      <c r="E175" s="15">
        <f>IF('ENCUESTA CONDUCTORES'!G175="X",1,0)</f>
        <v>1</v>
      </c>
      <c r="F175" s="15">
        <f>IF('ENCUESTA CONDUCTORES'!H175="X",1,0)</f>
        <v>0</v>
      </c>
      <c r="G175" s="15">
        <f>+'ENCUESTA CONDUCTORES'!I175</f>
        <v>46</v>
      </c>
      <c r="H175" s="15" t="str">
        <f>+'ENCUESTA CONDUCTORES'!J175</f>
        <v>M</v>
      </c>
      <c r="I175" s="15" t="str">
        <f>+'ENCUESTA CONDUCTORES'!K175</f>
        <v>SECUNDARIA</v>
      </c>
      <c r="J175" s="15" t="str">
        <f>+'ENCUESTA CONDUCTORES'!L175</f>
        <v>BUENAVISTA, QRO.</v>
      </c>
      <c r="K175" s="15" t="str">
        <f>+'ENCUESTA CONDUCTORES'!M175</f>
        <v>BUENAVISTA</v>
      </c>
      <c r="L175" s="50" t="str">
        <f>+'ENCUESTA CONDUCTORES'!N175</f>
        <v>QUERÉTARO</v>
      </c>
      <c r="M175" s="15">
        <f>+'ENCUESTA CONDUCTORES'!O175</f>
        <v>16</v>
      </c>
      <c r="N175" s="15">
        <f>IF('ENCUESTA CONDUCTORES'!P175="X",1,0)</f>
        <v>0</v>
      </c>
      <c r="O175" s="15">
        <f>IF('ENCUESTA CONDUCTORES'!Q175="X",1,0)</f>
        <v>0</v>
      </c>
      <c r="P175" s="15">
        <f>IF('ENCUESTA CONDUCTORES'!R175="X",1,0)</f>
        <v>0</v>
      </c>
      <c r="Q175" s="15">
        <f>IF('ENCUESTA CONDUCTORES'!S175="X",1,0)</f>
        <v>1</v>
      </c>
      <c r="R175" s="15">
        <f>IF('ENCUESTA CONDUCTORES'!T175="X",1,0)</f>
        <v>0</v>
      </c>
      <c r="S175" s="15">
        <f>IF('ENCUESTA CONDUCTORES'!U175="X",1,0)</f>
        <v>1</v>
      </c>
      <c r="T175" s="15">
        <f>IF('ENCUESTA CONDUCTORES'!V175="X",1,0)</f>
        <v>0</v>
      </c>
      <c r="U175" s="15">
        <f>IF('ENCUESTA CONDUCTORES'!W175="X",1,0)</f>
        <v>0</v>
      </c>
      <c r="V175" s="15">
        <f>IF('ENCUESTA CONDUCTORES'!X175="X",1,0)</f>
        <v>0</v>
      </c>
      <c r="W175" s="15">
        <f>IF('ENCUESTA CONDUCTORES'!Y175="X",1,0)</f>
        <v>0</v>
      </c>
      <c r="X175" s="15">
        <f>IF('ENCUESTA CONDUCTORES'!Z175="X",1,0)</f>
        <v>0</v>
      </c>
      <c r="Y175" s="15">
        <f>+'ENCUESTA CONDUCTORES'!AG175</f>
        <v>0</v>
      </c>
      <c r="Z175" s="15">
        <f>+'ENCUESTA CONDUCTORES'!AH175</f>
        <v>2002</v>
      </c>
      <c r="AA175" s="1">
        <f>+'ENCUESTA CONDUCTORES'!AI175</f>
        <v>897614</v>
      </c>
      <c r="AB175" s="15">
        <f>IF('ENCUESTA CONDUCTORES'!AJ175="X",1,0)</f>
        <v>0</v>
      </c>
      <c r="AC175" s="15">
        <f>IF('ENCUESTA CONDUCTORES'!AK175="X",1,0)</f>
        <v>0</v>
      </c>
      <c r="AD175" s="15">
        <f>IF('ENCUESTA CONDUCTORES'!AL175="X",1,0)</f>
        <v>1</v>
      </c>
      <c r="AE175" s="15">
        <f>IF('ENCUESTA CONDUCTORES'!AM175="X",1,0)</f>
        <v>0</v>
      </c>
      <c r="AF175" s="15">
        <f>IF('ENCUESTA CONDUCTORES'!AN175="X",1,0)</f>
        <v>0</v>
      </c>
      <c r="AG175" s="15">
        <f>IF('ENCUESTA CONDUCTORES'!AO175="X",1,0)</f>
        <v>0</v>
      </c>
      <c r="AH175" s="15">
        <f>IF('ENCUESTA CONDUCTORES'!AP175="X",1,0)</f>
        <v>1</v>
      </c>
      <c r="AI175" s="15">
        <f>IF('ENCUESTA CONDUCTORES'!AQ175="X",1,0)</f>
        <v>0</v>
      </c>
      <c r="AJ175" s="15">
        <f>IF('ENCUESTA CONDUCTORES'!AR175="X",1,0)</f>
        <v>0</v>
      </c>
      <c r="AK175" s="15">
        <f>+'ENCUESTA CONDUCTORES'!AS175</f>
        <v>0</v>
      </c>
      <c r="AL175" s="15" t="str">
        <f>+'ENCUESTA CONDUCTORES'!AT175</f>
        <v>CUMMINS</v>
      </c>
      <c r="AM175" s="1">
        <f>+'ENCUESTA CONDUCTORES'!AU175</f>
        <v>10000</v>
      </c>
      <c r="AN175" s="48">
        <f>+'ENCUESTA CONDUCTORES'!AV175</f>
        <v>0.05</v>
      </c>
      <c r="AO175" s="15">
        <f>+'ENCUESTA CONDUCTORES'!AW175</f>
        <v>2.8</v>
      </c>
      <c r="AP175" s="15">
        <f>+'ENCUESTA CONDUCTORES'!AX175</f>
        <v>2.5</v>
      </c>
      <c r="AQ175" s="15">
        <f>+'ENCUESTA CONDUCTORES'!AY175</f>
        <v>2</v>
      </c>
      <c r="AR175" s="15">
        <f>+'ENCUESTA CONDUCTORES'!AZ175</f>
        <v>740</v>
      </c>
      <c r="AS175" s="15">
        <f>+'ENCUESTA CONDUCTORES'!BA175</f>
        <v>2000</v>
      </c>
      <c r="AT175" s="15">
        <f>IF('ENCUESTA CONDUCTORES'!BB175="X",1,0)</f>
        <v>1</v>
      </c>
      <c r="AU175" s="15">
        <f>IF('ENCUESTA CONDUCTORES'!BC175="X",1,0)</f>
        <v>1</v>
      </c>
      <c r="AV175" s="15">
        <f>IF('ENCUESTA CONDUCTORES'!BD175="X",1,0)</f>
        <v>0</v>
      </c>
      <c r="AW175" s="1">
        <f>+'ENCUESTA CONDUCTORES'!BE175</f>
        <v>22000</v>
      </c>
      <c r="AX175" s="1" t="str">
        <f>+'ENCUESTA CONDUCTORES'!BF175</f>
        <v>NO SABE</v>
      </c>
      <c r="AY175" s="1">
        <f>+'ENCUESTA CONDUCTORES'!BG175</f>
        <v>22000</v>
      </c>
      <c r="AZ175" s="1">
        <f>+'ENCUESTA CONDUCTORES'!BH175</f>
        <v>120000</v>
      </c>
      <c r="BA175" s="1" t="str">
        <f>+'ENCUESTA CONDUCTORES'!BI175</f>
        <v>NO SABE</v>
      </c>
      <c r="BB175" s="15">
        <f>IF('ENCUESTA CONDUCTORES'!BJ175="X",1,0)</f>
        <v>0</v>
      </c>
      <c r="BC175" s="15">
        <f>IF('ENCUESTA CONDUCTORES'!BK175="X",1,0)</f>
        <v>0</v>
      </c>
      <c r="BD175" s="15">
        <f>IF('ENCUESTA CONDUCTORES'!BL175="X",1,0)</f>
        <v>0</v>
      </c>
      <c r="BE175" s="15">
        <f>IF('ENCUESTA CONDUCTORES'!BM175="X",1,0)</f>
        <v>0</v>
      </c>
      <c r="BF175" s="15">
        <f>IF('ENCUESTA CONDUCTORES'!BN175="X",1,0)</f>
        <v>0</v>
      </c>
      <c r="BG175" s="15">
        <f>IF('ENCUESTA CONDUCTORES'!BO175="X",1,0)</f>
        <v>0</v>
      </c>
      <c r="BH175" s="15">
        <f>IF('ENCUESTA CONDUCTORES'!BP175="X",1,0)</f>
        <v>0</v>
      </c>
      <c r="BI175" s="15">
        <f>IF('ENCUESTA CONDUCTORES'!BQ175="X",1,0)</f>
        <v>0</v>
      </c>
      <c r="BJ175" s="15">
        <f>IF('ENCUESTA CONDUCTORES'!BR175="X",1,0)</f>
        <v>0</v>
      </c>
      <c r="BK175" s="15" t="str">
        <f>+'ENCUESTA CONDUCTORES'!BS175</f>
        <v>LÍNEA BLANCA</v>
      </c>
      <c r="BL175" s="15">
        <f>IF('ENCUESTA CONDUCTORES'!BT175="X",1,0)</f>
        <v>0</v>
      </c>
      <c r="BM175" s="15">
        <f>IF('ENCUESTA CONDUCTORES'!BU175="X",1,0)</f>
        <v>0</v>
      </c>
      <c r="BN175" s="15">
        <f>IF('ENCUESTA CONDUCTORES'!BV175="X",1,0)</f>
        <v>1</v>
      </c>
      <c r="BO175" s="15">
        <f>IF('ENCUESTA CONDUCTORES'!BW175="X",1,0)</f>
        <v>0</v>
      </c>
      <c r="BP175" s="15">
        <f>+'ENCUESTA CONDUCTORES'!BX175</f>
        <v>1</v>
      </c>
      <c r="BQ175" s="15">
        <f>+'ENCUESTA CONDUCTORES'!BY175</f>
        <v>3</v>
      </c>
      <c r="BR175" s="15">
        <f>+'ENCUESTA CONDUCTORES'!BZ175</f>
        <v>2</v>
      </c>
      <c r="BS175" s="15">
        <f>+'ENCUESTA CONDUCTORES'!CA175</f>
        <v>0</v>
      </c>
      <c r="BT175" s="15">
        <f>IF('ENCUESTA CONDUCTORES'!CB175="X",1,0)</f>
        <v>1</v>
      </c>
      <c r="BU175" s="15">
        <f>IF('ENCUESTA CONDUCTORES'!CC175="X",1,0)</f>
        <v>0</v>
      </c>
      <c r="BV175" s="15">
        <f>IF('ENCUESTA CONDUCTORES'!CD175="X",1,0)</f>
        <v>0</v>
      </c>
      <c r="BW175" s="15">
        <f>IF('ENCUESTA CONDUCTORES'!CE175="X",1,0)</f>
        <v>0</v>
      </c>
      <c r="BX175" s="15">
        <f>IF('ENCUESTA CONDUCTORES'!CF175="X",1,0)</f>
        <v>0</v>
      </c>
      <c r="BY175" s="15">
        <f>IF('ENCUESTA CONDUCTORES'!CG175="X",1,0)</f>
        <v>0</v>
      </c>
      <c r="BZ175" s="15">
        <f>IF('ENCUESTA CONDUCTORES'!CH175="X",1,0)</f>
        <v>0</v>
      </c>
      <c r="CA175" s="15">
        <f>IF('ENCUESTA CONDUCTORES'!CI175="X",1,0)</f>
        <v>0</v>
      </c>
      <c r="CB175" s="15">
        <f>IF('ENCUESTA CONDUCTORES'!CJ175="X",1,0)</f>
        <v>0</v>
      </c>
      <c r="CC175" s="15">
        <f>IF('ENCUESTA CONDUCTORES'!CK175="X",1,0)</f>
        <v>1</v>
      </c>
      <c r="CD175" s="15">
        <f>IF('ENCUESTA CONDUCTORES'!CL175="X",1,0)</f>
        <v>0</v>
      </c>
      <c r="CE175" s="15">
        <f>IF('ENCUESTA CONDUCTORES'!CM175="X",1,0)</f>
        <v>0</v>
      </c>
      <c r="CF175" s="15">
        <f>+'ENCUESTA CONDUCTORES'!CN175</f>
        <v>0</v>
      </c>
      <c r="CG175" s="15">
        <f>IF('ENCUESTA CONDUCTORES'!CO175="X",1,0)</f>
        <v>0</v>
      </c>
      <c r="CH175" s="15" t="str">
        <f>+'ENCUESTA CONDUCTORES'!CP175</f>
        <v>NO SABE</v>
      </c>
      <c r="CI175" s="15" t="str">
        <f>+'ENCUESTA CONDUCTORES'!CQ175</f>
        <v>DARLO A CONOCER</v>
      </c>
      <c r="CJ175" s="15">
        <f>IF('ENCUESTA CONDUCTORES'!CR175="X",1,0)</f>
        <v>1</v>
      </c>
      <c r="CK175" s="15">
        <f>IF('ENCUESTA CONDUCTORES'!CS175="X",1,0)</f>
        <v>0</v>
      </c>
      <c r="CL175" s="15">
        <f>IF('ENCUESTA CONDUCTORES'!CT175="X",1,0)</f>
        <v>0</v>
      </c>
      <c r="CM175" s="15">
        <f>+'ENCUESTA CONDUCTORES'!CU175</f>
        <v>0</v>
      </c>
      <c r="CN175" s="15">
        <f>IF('ENCUESTA CONDUCTORES'!CV175="X",1,0)</f>
        <v>0</v>
      </c>
      <c r="CO175" s="15">
        <f>+'ENCUESTA CONDUCTORES'!CW175</f>
        <v>0</v>
      </c>
      <c r="CP175" s="15">
        <f>IF('ENCUESTA CONDUCTORES'!CX175="X",1,0)</f>
        <v>1</v>
      </c>
      <c r="CQ175" s="15">
        <f>IF('ENCUESTA CONDUCTORES'!CY175="X",1,0)</f>
        <v>1</v>
      </c>
      <c r="CR175" s="3">
        <f>+'ENCUESTA CONDUCTORES'!CZ175</f>
        <v>0</v>
      </c>
      <c r="CS175" s="49" t="str">
        <f>+'ENCUESTA CONDUCTORES'!DA175</f>
        <v>CUMMINS N14 SELECT PLUS</v>
      </c>
    </row>
    <row r="176" spans="2:97" x14ac:dyDescent="0.25">
      <c r="B176" s="14" t="str">
        <f>+'ENCUESTA CONDUCTORES'!D176</f>
        <v>C-182</v>
      </c>
      <c r="C176" s="15">
        <f>IF('ENCUESTA CONDUCTORES'!E176="X",1,0)</f>
        <v>0</v>
      </c>
      <c r="D176" s="15">
        <f>IF('ENCUESTA CONDUCTORES'!F176="X",1,0)</f>
        <v>0</v>
      </c>
      <c r="E176" s="15">
        <f>IF('ENCUESTA CONDUCTORES'!G176="X",1,0)</f>
        <v>1</v>
      </c>
      <c r="F176" s="15">
        <f>IF('ENCUESTA CONDUCTORES'!H176="X",1,0)</f>
        <v>0</v>
      </c>
      <c r="G176" s="15">
        <f>+'ENCUESTA CONDUCTORES'!I176</f>
        <v>35</v>
      </c>
      <c r="H176" s="15" t="str">
        <f>+'ENCUESTA CONDUCTORES'!J176</f>
        <v>M</v>
      </c>
      <c r="I176" s="15" t="str">
        <f>+'ENCUESTA CONDUCTORES'!K176</f>
        <v>SECUNDARIA</v>
      </c>
      <c r="J176" s="15" t="str">
        <f>+'ENCUESTA CONDUCTORES'!L176</f>
        <v>QUERÉTARO, QRO.</v>
      </c>
      <c r="K176" s="15" t="str">
        <f>+'ENCUESTA CONDUCTORES'!M176</f>
        <v>QUERÉTARO</v>
      </c>
      <c r="L176" s="50" t="str">
        <f>+'ENCUESTA CONDUCTORES'!N176</f>
        <v>QUERÉTARO</v>
      </c>
      <c r="M176" s="15">
        <f>+'ENCUESTA CONDUCTORES'!O176</f>
        <v>10</v>
      </c>
      <c r="N176" s="15">
        <f>IF('ENCUESTA CONDUCTORES'!P176="X",1,0)</f>
        <v>0</v>
      </c>
      <c r="O176" s="15">
        <f>IF('ENCUESTA CONDUCTORES'!Q176="X",1,0)</f>
        <v>0</v>
      </c>
      <c r="P176" s="15">
        <f>IF('ENCUESTA CONDUCTORES'!R176="X",1,0)</f>
        <v>0</v>
      </c>
      <c r="Q176" s="15">
        <f>IF('ENCUESTA CONDUCTORES'!S176="X",1,0)</f>
        <v>1</v>
      </c>
      <c r="R176" s="15">
        <f>IF('ENCUESTA CONDUCTORES'!T176="X",1,0)</f>
        <v>0</v>
      </c>
      <c r="S176" s="15">
        <f>IF('ENCUESTA CONDUCTORES'!U176="X",1,0)</f>
        <v>1</v>
      </c>
      <c r="T176" s="15">
        <f>IF('ENCUESTA CONDUCTORES'!V176="X",1,0)</f>
        <v>0</v>
      </c>
      <c r="U176" s="15">
        <f>IF('ENCUESTA CONDUCTORES'!W176="X",1,0)</f>
        <v>0</v>
      </c>
      <c r="V176" s="15">
        <f>IF('ENCUESTA CONDUCTORES'!X176="X",1,0)</f>
        <v>0</v>
      </c>
      <c r="W176" s="15">
        <f>IF('ENCUESTA CONDUCTORES'!Y176="X",1,0)</f>
        <v>0</v>
      </c>
      <c r="X176" s="15">
        <f>IF('ENCUESTA CONDUCTORES'!Z176="X",1,0)</f>
        <v>0</v>
      </c>
      <c r="Y176" s="15">
        <f>+'ENCUESTA CONDUCTORES'!AG176</f>
        <v>0</v>
      </c>
      <c r="Z176" s="15">
        <f>+'ENCUESTA CONDUCTORES'!AH176</f>
        <v>2006</v>
      </c>
      <c r="AA176" s="1">
        <f>+'ENCUESTA CONDUCTORES'!AI176</f>
        <v>752813</v>
      </c>
      <c r="AB176" s="15">
        <f>IF('ENCUESTA CONDUCTORES'!AJ176="X",1,0)</f>
        <v>0</v>
      </c>
      <c r="AC176" s="15">
        <f>IF('ENCUESTA CONDUCTORES'!AK176="X",1,0)</f>
        <v>0</v>
      </c>
      <c r="AD176" s="15">
        <f>IF('ENCUESTA CONDUCTORES'!AL176="X",1,0)</f>
        <v>1</v>
      </c>
      <c r="AE176" s="15">
        <f>IF('ENCUESTA CONDUCTORES'!AM176="X",1,0)</f>
        <v>0</v>
      </c>
      <c r="AF176" s="15">
        <f>IF('ENCUESTA CONDUCTORES'!AN176="X",1,0)</f>
        <v>0</v>
      </c>
      <c r="AG176" s="15">
        <f>IF('ENCUESTA CONDUCTORES'!AO176="X",1,0)</f>
        <v>1</v>
      </c>
      <c r="AH176" s="15">
        <f>IF('ENCUESTA CONDUCTORES'!AP176="X",1,0)</f>
        <v>0</v>
      </c>
      <c r="AI176" s="15">
        <f>IF('ENCUESTA CONDUCTORES'!AQ176="X",1,0)</f>
        <v>0</v>
      </c>
      <c r="AJ176" s="15">
        <f>IF('ENCUESTA CONDUCTORES'!AR176="X",1,0)</f>
        <v>0</v>
      </c>
      <c r="AK176" s="15">
        <f>+'ENCUESTA CONDUCTORES'!AS176</f>
        <v>0</v>
      </c>
      <c r="AL176" s="15" t="str">
        <f>+'ENCUESTA CONDUCTORES'!AT176</f>
        <v>NO SABE</v>
      </c>
      <c r="AM176" s="1">
        <f>+'ENCUESTA CONDUCTORES'!AU176</f>
        <v>10000</v>
      </c>
      <c r="AN176" s="48">
        <f>+'ENCUESTA CONDUCTORES'!AV176</f>
        <v>0</v>
      </c>
      <c r="AO176" s="15">
        <f>+'ENCUESTA CONDUCTORES'!AW176</f>
        <v>2.8</v>
      </c>
      <c r="AP176" s="15">
        <f>+'ENCUESTA CONDUCTORES'!AX176</f>
        <v>2.4</v>
      </c>
      <c r="AQ176" s="15">
        <f>+'ENCUESTA CONDUCTORES'!AY176</f>
        <v>2</v>
      </c>
      <c r="AR176" s="15">
        <f>+'ENCUESTA CONDUCTORES'!AZ176</f>
        <v>920</v>
      </c>
      <c r="AS176" s="15">
        <f>+'ENCUESTA CONDUCTORES'!BA176</f>
        <v>2500</v>
      </c>
      <c r="AT176" s="15">
        <f>IF('ENCUESTA CONDUCTORES'!BB176="X",1,0)</f>
        <v>1</v>
      </c>
      <c r="AU176" s="15">
        <f>IF('ENCUESTA CONDUCTORES'!BC176="X",1,0)</f>
        <v>1</v>
      </c>
      <c r="AV176" s="15">
        <f>IF('ENCUESTA CONDUCTORES'!BD176="X",1,0)</f>
        <v>0</v>
      </c>
      <c r="AW176" s="1">
        <f>+'ENCUESTA CONDUCTORES'!BE176</f>
        <v>21000</v>
      </c>
      <c r="AX176" s="1">
        <f>+'ENCUESTA CONDUCTORES'!BF176</f>
        <v>150000</v>
      </c>
      <c r="AY176" s="1">
        <f>+'ENCUESTA CONDUCTORES'!BG176</f>
        <v>21000</v>
      </c>
      <c r="AZ176" s="1">
        <f>+'ENCUESTA CONDUCTORES'!BH176</f>
        <v>150000</v>
      </c>
      <c r="BA176" s="1" t="str">
        <f>+'ENCUESTA CONDUCTORES'!BI176</f>
        <v>NO SABE</v>
      </c>
      <c r="BB176" s="15">
        <f>IF('ENCUESTA CONDUCTORES'!BJ176="X",1,0)</f>
        <v>0</v>
      </c>
      <c r="BC176" s="15">
        <f>IF('ENCUESTA CONDUCTORES'!BK176="X",1,0)</f>
        <v>1</v>
      </c>
      <c r="BD176" s="15">
        <f>IF('ENCUESTA CONDUCTORES'!BL176="X",1,0)</f>
        <v>0</v>
      </c>
      <c r="BE176" s="15">
        <f>IF('ENCUESTA CONDUCTORES'!BM176="X",1,0)</f>
        <v>0</v>
      </c>
      <c r="BF176" s="15">
        <f>IF('ENCUESTA CONDUCTORES'!BN176="X",1,0)</f>
        <v>0</v>
      </c>
      <c r="BG176" s="15">
        <f>IF('ENCUESTA CONDUCTORES'!BO176="X",1,0)</f>
        <v>0</v>
      </c>
      <c r="BH176" s="15">
        <f>IF('ENCUESTA CONDUCTORES'!BP176="X",1,0)</f>
        <v>0</v>
      </c>
      <c r="BI176" s="15">
        <f>IF('ENCUESTA CONDUCTORES'!BQ176="X",1,0)</f>
        <v>0</v>
      </c>
      <c r="BJ176" s="15">
        <f>IF('ENCUESTA CONDUCTORES'!BR176="X",1,0)</f>
        <v>0</v>
      </c>
      <c r="BK176" s="15">
        <f>+'ENCUESTA CONDUCTORES'!BS176</f>
        <v>0</v>
      </c>
      <c r="BL176" s="15">
        <f>IF('ENCUESTA CONDUCTORES'!BT176="X",1,0)</f>
        <v>0</v>
      </c>
      <c r="BM176" s="15">
        <f>IF('ENCUESTA CONDUCTORES'!BU176="X",1,0)</f>
        <v>1</v>
      </c>
      <c r="BN176" s="15">
        <f>IF('ENCUESTA CONDUCTORES'!BV176="X",1,0)</f>
        <v>0</v>
      </c>
      <c r="BO176" s="15">
        <f>IF('ENCUESTA CONDUCTORES'!BW176="X",1,0)</f>
        <v>0</v>
      </c>
      <c r="BP176" s="15">
        <f>+'ENCUESTA CONDUCTORES'!BX176</f>
        <v>3</v>
      </c>
      <c r="BQ176" s="15">
        <f>+'ENCUESTA CONDUCTORES'!BY176</f>
        <v>1</v>
      </c>
      <c r="BR176" s="15">
        <f>+'ENCUESTA CONDUCTORES'!BZ176</f>
        <v>2</v>
      </c>
      <c r="BS176" s="15">
        <f>+'ENCUESTA CONDUCTORES'!CA176</f>
        <v>0</v>
      </c>
      <c r="BT176" s="15">
        <f>IF('ENCUESTA CONDUCTORES'!CB176="X",1,0)</f>
        <v>1</v>
      </c>
      <c r="BU176" s="15">
        <f>IF('ENCUESTA CONDUCTORES'!CC176="X",1,0)</f>
        <v>0</v>
      </c>
      <c r="BV176" s="15">
        <f>IF('ENCUESTA CONDUCTORES'!CD176="X",1,0)</f>
        <v>0</v>
      </c>
      <c r="BW176" s="15">
        <f>IF('ENCUESTA CONDUCTORES'!CE176="X",1,0)</f>
        <v>0</v>
      </c>
      <c r="BX176" s="15">
        <f>IF('ENCUESTA CONDUCTORES'!CF176="X",1,0)</f>
        <v>0</v>
      </c>
      <c r="BY176" s="15">
        <f>IF('ENCUESTA CONDUCTORES'!CG176="X",1,0)</f>
        <v>0</v>
      </c>
      <c r="BZ176" s="15">
        <f>IF('ENCUESTA CONDUCTORES'!CH176="X",1,0)</f>
        <v>0</v>
      </c>
      <c r="CA176" s="15">
        <f>IF('ENCUESTA CONDUCTORES'!CI176="X",1,0)</f>
        <v>0</v>
      </c>
      <c r="CB176" s="15">
        <f>IF('ENCUESTA CONDUCTORES'!CJ176="X",1,0)</f>
        <v>0</v>
      </c>
      <c r="CC176" s="15">
        <f>IF('ENCUESTA CONDUCTORES'!CK176="X",1,0)</f>
        <v>1</v>
      </c>
      <c r="CD176" s="15">
        <f>IF('ENCUESTA CONDUCTORES'!CL176="X",1,0)</f>
        <v>0</v>
      </c>
      <c r="CE176" s="15">
        <f>IF('ENCUESTA CONDUCTORES'!CM176="X",1,0)</f>
        <v>0</v>
      </c>
      <c r="CF176" s="15">
        <f>+'ENCUESTA CONDUCTORES'!CN176</f>
        <v>0</v>
      </c>
      <c r="CG176" s="15">
        <f>IF('ENCUESTA CONDUCTORES'!CO176="X",1,0)</f>
        <v>0</v>
      </c>
      <c r="CH176" s="15" t="str">
        <f>+'ENCUESTA CONDUCTORES'!CP176</f>
        <v>NO SABE</v>
      </c>
      <c r="CI176" s="15" t="str">
        <f>+'ENCUESTA CONDUCTORES'!CQ176</f>
        <v>NO SABE</v>
      </c>
      <c r="CJ176" s="15">
        <f>IF('ENCUESTA CONDUCTORES'!CR176="X",1,0)</f>
        <v>1</v>
      </c>
      <c r="CK176" s="15">
        <f>IF('ENCUESTA CONDUCTORES'!CS176="X",1,0)</f>
        <v>0</v>
      </c>
      <c r="CL176" s="15">
        <f>IF('ENCUESTA CONDUCTORES'!CT176="X",1,0)</f>
        <v>0</v>
      </c>
      <c r="CM176" s="15">
        <f>+'ENCUESTA CONDUCTORES'!CU176</f>
        <v>0</v>
      </c>
      <c r="CN176" s="15">
        <f>IF('ENCUESTA CONDUCTORES'!CV176="X",1,0)</f>
        <v>0</v>
      </c>
      <c r="CO176" s="15">
        <f>+'ENCUESTA CONDUCTORES'!CW176</f>
        <v>0</v>
      </c>
      <c r="CP176" s="15">
        <f>IF('ENCUESTA CONDUCTORES'!CX176="X",1,0)</f>
        <v>1</v>
      </c>
      <c r="CQ176" s="15">
        <f>IF('ENCUESTA CONDUCTORES'!CY176="X",1,0)</f>
        <v>1</v>
      </c>
      <c r="CR176" s="3">
        <f>+'ENCUESTA CONDUCTORES'!CZ176</f>
        <v>0</v>
      </c>
      <c r="CS176" s="49">
        <f>+'ENCUESTA CONDUCTORES'!DA176</f>
        <v>0</v>
      </c>
    </row>
    <row r="177" spans="2:97" x14ac:dyDescent="0.25">
      <c r="B177" s="14" t="str">
        <f>+'ENCUESTA CONDUCTORES'!D177</f>
        <v>C-183</v>
      </c>
      <c r="C177" s="15">
        <f>IF('ENCUESTA CONDUCTORES'!E177="X",1,0)</f>
        <v>1</v>
      </c>
      <c r="D177" s="15">
        <f>IF('ENCUESTA CONDUCTORES'!F177="X",1,0)</f>
        <v>0</v>
      </c>
      <c r="E177" s="15">
        <f>IF('ENCUESTA CONDUCTORES'!G177="X",1,0)</f>
        <v>0</v>
      </c>
      <c r="F177" s="15">
        <f>IF('ENCUESTA CONDUCTORES'!H177="X",1,0)</f>
        <v>0</v>
      </c>
      <c r="G177" s="15">
        <f>+'ENCUESTA CONDUCTORES'!I177</f>
        <v>39</v>
      </c>
      <c r="H177" s="15" t="str">
        <f>+'ENCUESTA CONDUCTORES'!J177</f>
        <v>M</v>
      </c>
      <c r="I177" s="15" t="str">
        <f>+'ENCUESTA CONDUCTORES'!K177</f>
        <v>SECUNDARIA</v>
      </c>
      <c r="J177" s="15" t="str">
        <f>+'ENCUESTA CONDUCTORES'!L177</f>
        <v>SAN JUAN DEL RÍO, QRO.</v>
      </c>
      <c r="K177" s="15" t="str">
        <f>+'ENCUESTA CONDUCTORES'!M177</f>
        <v>SAN JUAN DEL RÍO</v>
      </c>
      <c r="L177" s="50" t="str">
        <f>+'ENCUESTA CONDUCTORES'!N177</f>
        <v>QUERÉTARO</v>
      </c>
      <c r="M177" s="15">
        <f>+'ENCUESTA CONDUCTORES'!O177</f>
        <v>19</v>
      </c>
      <c r="N177" s="15">
        <f>IF('ENCUESTA CONDUCTORES'!P177="X",1,0)</f>
        <v>0</v>
      </c>
      <c r="O177" s="15">
        <f>IF('ENCUESTA CONDUCTORES'!Q177="X",1,0)</f>
        <v>0</v>
      </c>
      <c r="P177" s="15">
        <f>IF('ENCUESTA CONDUCTORES'!R177="X",1,0)</f>
        <v>0</v>
      </c>
      <c r="Q177" s="15">
        <f>IF('ENCUESTA CONDUCTORES'!S177="X",1,0)</f>
        <v>1</v>
      </c>
      <c r="R177" s="15">
        <f>IF('ENCUESTA CONDUCTORES'!T177="X",1,0)</f>
        <v>0</v>
      </c>
      <c r="S177" s="15">
        <f>IF('ENCUESTA CONDUCTORES'!U177="X",1,0)</f>
        <v>1</v>
      </c>
      <c r="T177" s="15">
        <f>IF('ENCUESTA CONDUCTORES'!V177="X",1,0)</f>
        <v>0</v>
      </c>
      <c r="U177" s="15">
        <f>IF('ENCUESTA CONDUCTORES'!W177="X",1,0)</f>
        <v>0</v>
      </c>
      <c r="V177" s="15">
        <f>IF('ENCUESTA CONDUCTORES'!X177="X",1,0)</f>
        <v>0</v>
      </c>
      <c r="W177" s="15">
        <f>IF('ENCUESTA CONDUCTORES'!Y177="X",1,0)</f>
        <v>0</v>
      </c>
      <c r="X177" s="15">
        <f>IF('ENCUESTA CONDUCTORES'!Z177="X",1,0)</f>
        <v>0</v>
      </c>
      <c r="Y177" s="15">
        <f>+'ENCUESTA CONDUCTORES'!AG177</f>
        <v>0</v>
      </c>
      <c r="Z177" s="15">
        <f>+'ENCUESTA CONDUCTORES'!AH177</f>
        <v>2004</v>
      </c>
      <c r="AA177" s="1">
        <f>+'ENCUESTA CONDUCTORES'!AI177</f>
        <v>823617</v>
      </c>
      <c r="AB177" s="15">
        <f>IF('ENCUESTA CONDUCTORES'!AJ177="X",1,0)</f>
        <v>0</v>
      </c>
      <c r="AC177" s="15">
        <f>IF('ENCUESTA CONDUCTORES'!AK177="X",1,0)</f>
        <v>0</v>
      </c>
      <c r="AD177" s="15">
        <f>IF('ENCUESTA CONDUCTORES'!AL177="X",1,0)</f>
        <v>1</v>
      </c>
      <c r="AE177" s="15">
        <f>IF('ENCUESTA CONDUCTORES'!AM177="X",1,0)</f>
        <v>0</v>
      </c>
      <c r="AF177" s="15">
        <f>IF('ENCUESTA CONDUCTORES'!AN177="X",1,0)</f>
        <v>0</v>
      </c>
      <c r="AG177" s="15">
        <f>IF('ENCUESTA CONDUCTORES'!AO177="X",1,0)</f>
        <v>0</v>
      </c>
      <c r="AH177" s="15">
        <f>IF('ENCUESTA CONDUCTORES'!AP177="X",1,0)</f>
        <v>1</v>
      </c>
      <c r="AI177" s="15">
        <f>IF('ENCUESTA CONDUCTORES'!AQ177="X",1,0)</f>
        <v>0</v>
      </c>
      <c r="AJ177" s="15">
        <f>IF('ENCUESTA CONDUCTORES'!AR177="X",1,0)</f>
        <v>0</v>
      </c>
      <c r="AK177" s="15">
        <f>+'ENCUESTA CONDUCTORES'!AS177</f>
        <v>0</v>
      </c>
      <c r="AL177" s="15" t="str">
        <f>+'ENCUESTA CONDUCTORES'!AT177</f>
        <v>CUMMINS</v>
      </c>
      <c r="AM177" s="1">
        <f>+'ENCUESTA CONDUCTORES'!AU177</f>
        <v>8000</v>
      </c>
      <c r="AN177" s="48">
        <f>+'ENCUESTA CONDUCTORES'!AV177</f>
        <v>0</v>
      </c>
      <c r="AO177" s="15">
        <f>+'ENCUESTA CONDUCTORES'!AW177</f>
        <v>2.7</v>
      </c>
      <c r="AP177" s="15">
        <f>+'ENCUESTA CONDUCTORES'!AX177</f>
        <v>2.5</v>
      </c>
      <c r="AQ177" s="15">
        <f>+'ENCUESTA CONDUCTORES'!AY177</f>
        <v>2</v>
      </c>
      <c r="AR177" s="15">
        <f>+'ENCUESTA CONDUCTORES'!AZ177</f>
        <v>1000</v>
      </c>
      <c r="AS177" s="15">
        <f>+'ENCUESTA CONDUCTORES'!BA177</f>
        <v>2600</v>
      </c>
      <c r="AT177" s="15">
        <f>IF('ENCUESTA CONDUCTORES'!BB177="X",1,0)</f>
        <v>1</v>
      </c>
      <c r="AU177" s="15">
        <f>IF('ENCUESTA CONDUCTORES'!BC177="X",1,0)</f>
        <v>1</v>
      </c>
      <c r="AV177" s="15">
        <f>IF('ENCUESTA CONDUCTORES'!BD177="X",1,0)</f>
        <v>0</v>
      </c>
      <c r="AW177" s="1">
        <f>+'ENCUESTA CONDUCTORES'!BE177</f>
        <v>16000</v>
      </c>
      <c r="AX177" s="1">
        <f>+'ENCUESTA CONDUCTORES'!BF177</f>
        <v>160000</v>
      </c>
      <c r="AY177" s="1">
        <f>+'ENCUESTA CONDUCTORES'!BG177</f>
        <v>24000</v>
      </c>
      <c r="AZ177" s="1">
        <f>+'ENCUESTA CONDUCTORES'!BH177</f>
        <v>100000</v>
      </c>
      <c r="BA177" s="1" t="str">
        <f>+'ENCUESTA CONDUCTORES'!BI177</f>
        <v>NO SABE</v>
      </c>
      <c r="BB177" s="15">
        <f>IF('ENCUESTA CONDUCTORES'!BJ177="X",1,0)</f>
        <v>1</v>
      </c>
      <c r="BC177" s="15">
        <f>IF('ENCUESTA CONDUCTORES'!BK177="X",1,0)</f>
        <v>0</v>
      </c>
      <c r="BD177" s="15">
        <f>IF('ENCUESTA CONDUCTORES'!BL177="X",1,0)</f>
        <v>0</v>
      </c>
      <c r="BE177" s="15">
        <f>IF('ENCUESTA CONDUCTORES'!BM177="X",1,0)</f>
        <v>0</v>
      </c>
      <c r="BF177" s="15">
        <f>IF('ENCUESTA CONDUCTORES'!BN177="X",1,0)</f>
        <v>0</v>
      </c>
      <c r="BG177" s="15">
        <f>IF('ENCUESTA CONDUCTORES'!BO177="X",1,0)</f>
        <v>0</v>
      </c>
      <c r="BH177" s="15">
        <f>IF('ENCUESTA CONDUCTORES'!BP177="X",1,0)</f>
        <v>0</v>
      </c>
      <c r="BI177" s="15">
        <f>IF('ENCUESTA CONDUCTORES'!BQ177="X",1,0)</f>
        <v>0</v>
      </c>
      <c r="BJ177" s="15">
        <f>IF('ENCUESTA CONDUCTORES'!BR177="X",1,0)</f>
        <v>0</v>
      </c>
      <c r="BK177" s="15">
        <f>+'ENCUESTA CONDUCTORES'!BS177</f>
        <v>0</v>
      </c>
      <c r="BL177" s="15">
        <f>IF('ENCUESTA CONDUCTORES'!BT177="X",1,0)</f>
        <v>0</v>
      </c>
      <c r="BM177" s="15">
        <f>IF('ENCUESTA CONDUCTORES'!BU177="X",1,0)</f>
        <v>1</v>
      </c>
      <c r="BN177" s="15">
        <f>IF('ENCUESTA CONDUCTORES'!BV177="X",1,0)</f>
        <v>0</v>
      </c>
      <c r="BO177" s="15">
        <f>IF('ENCUESTA CONDUCTORES'!BW177="X",1,0)</f>
        <v>0</v>
      </c>
      <c r="BP177" s="15">
        <f>+'ENCUESTA CONDUCTORES'!BX177</f>
        <v>3</v>
      </c>
      <c r="BQ177" s="15">
        <f>+'ENCUESTA CONDUCTORES'!BY177</f>
        <v>2</v>
      </c>
      <c r="BR177" s="15">
        <f>+'ENCUESTA CONDUCTORES'!BZ177</f>
        <v>1</v>
      </c>
      <c r="BS177" s="15">
        <f>+'ENCUESTA CONDUCTORES'!CA177</f>
        <v>0</v>
      </c>
      <c r="BT177" s="15">
        <f>IF('ENCUESTA CONDUCTORES'!CB177="X",1,0)</f>
        <v>1</v>
      </c>
      <c r="BU177" s="15">
        <f>IF('ENCUESTA CONDUCTORES'!CC177="X",1,0)</f>
        <v>0</v>
      </c>
      <c r="BV177" s="15">
        <f>IF('ENCUESTA CONDUCTORES'!CD177="X",1,0)</f>
        <v>0</v>
      </c>
      <c r="BW177" s="15">
        <f>IF('ENCUESTA CONDUCTORES'!CE177="X",1,0)</f>
        <v>0</v>
      </c>
      <c r="BX177" s="15">
        <f>IF('ENCUESTA CONDUCTORES'!CF177="X",1,0)</f>
        <v>0</v>
      </c>
      <c r="BY177" s="15">
        <f>IF('ENCUESTA CONDUCTORES'!CG177="X",1,0)</f>
        <v>0</v>
      </c>
      <c r="BZ177" s="15">
        <f>IF('ENCUESTA CONDUCTORES'!CH177="X",1,0)</f>
        <v>0</v>
      </c>
      <c r="CA177" s="15">
        <f>IF('ENCUESTA CONDUCTORES'!CI177="X",1,0)</f>
        <v>0</v>
      </c>
      <c r="CB177" s="15">
        <f>IF('ENCUESTA CONDUCTORES'!CJ177="X",1,0)</f>
        <v>0</v>
      </c>
      <c r="CC177" s="15">
        <f>IF('ENCUESTA CONDUCTORES'!CK177="X",1,0)</f>
        <v>1</v>
      </c>
      <c r="CD177" s="15">
        <f>IF('ENCUESTA CONDUCTORES'!CL177="X",1,0)</f>
        <v>0</v>
      </c>
      <c r="CE177" s="15">
        <f>IF('ENCUESTA CONDUCTORES'!CM177="X",1,0)</f>
        <v>0</v>
      </c>
      <c r="CF177" s="15">
        <f>+'ENCUESTA CONDUCTORES'!CN177</f>
        <v>0</v>
      </c>
      <c r="CG177" s="15">
        <f>IF('ENCUESTA CONDUCTORES'!CO177="X",1,0)</f>
        <v>0</v>
      </c>
      <c r="CH177" s="15" t="str">
        <f>+'ENCUESTA CONDUCTORES'!CP177</f>
        <v>NO SABE</v>
      </c>
      <c r="CI177" s="15" t="str">
        <f>+'ENCUESTA CONDUCTORES'!CQ177</f>
        <v>DARLO A CONOCER</v>
      </c>
      <c r="CJ177" s="15">
        <f>IF('ENCUESTA CONDUCTORES'!CR177="X",1,0)</f>
        <v>1</v>
      </c>
      <c r="CK177" s="15">
        <f>IF('ENCUESTA CONDUCTORES'!CS177="X",1,0)</f>
        <v>0</v>
      </c>
      <c r="CL177" s="15">
        <f>IF('ENCUESTA CONDUCTORES'!CT177="X",1,0)</f>
        <v>0</v>
      </c>
      <c r="CM177" s="15">
        <f>+'ENCUESTA CONDUCTORES'!CU177</f>
        <v>0</v>
      </c>
      <c r="CN177" s="15">
        <f>IF('ENCUESTA CONDUCTORES'!CV177="X",1,0)</f>
        <v>0</v>
      </c>
      <c r="CO177" s="15">
        <f>+'ENCUESTA CONDUCTORES'!CW177</f>
        <v>0</v>
      </c>
      <c r="CP177" s="15">
        <f>IF('ENCUESTA CONDUCTORES'!CX177="X",1,0)</f>
        <v>1</v>
      </c>
      <c r="CQ177" s="15">
        <f>IF('ENCUESTA CONDUCTORES'!CY177="X",1,0)</f>
        <v>0</v>
      </c>
      <c r="CR177" s="3">
        <f>+'ENCUESTA CONDUCTORES'!CZ177</f>
        <v>0</v>
      </c>
      <c r="CS177" s="49" t="str">
        <f>+'ENCUESTA CONDUCTORES'!DA177</f>
        <v>CUMMINS ISX</v>
      </c>
    </row>
    <row r="178" spans="2:97" x14ac:dyDescent="0.25">
      <c r="B178" s="14" t="str">
        <f>+'ENCUESTA CONDUCTORES'!D178</f>
        <v>C-184</v>
      </c>
      <c r="C178" s="15">
        <f>IF('ENCUESTA CONDUCTORES'!E178="X",1,0)</f>
        <v>0</v>
      </c>
      <c r="D178" s="15">
        <f>IF('ENCUESTA CONDUCTORES'!F178="X",1,0)</f>
        <v>0</v>
      </c>
      <c r="E178" s="15">
        <f>IF('ENCUESTA CONDUCTORES'!G178="X",1,0)</f>
        <v>0</v>
      </c>
      <c r="F178" s="15">
        <f>IF('ENCUESTA CONDUCTORES'!H178="X",1,0)</f>
        <v>1</v>
      </c>
      <c r="G178" s="15">
        <f>+'ENCUESTA CONDUCTORES'!I178</f>
        <v>48</v>
      </c>
      <c r="H178" s="15" t="str">
        <f>+'ENCUESTA CONDUCTORES'!J178</f>
        <v>M</v>
      </c>
      <c r="I178" s="15" t="str">
        <f>+'ENCUESTA CONDUCTORES'!K178</f>
        <v>PRIMARIA</v>
      </c>
      <c r="J178" s="15" t="str">
        <f>+'ENCUESTA CONDUCTORES'!L178</f>
        <v>QUERÉTARO, QRO.</v>
      </c>
      <c r="K178" s="50" t="str">
        <f>+'ENCUESTA CONDUCTORES'!M178</f>
        <v>QUERÉTARO</v>
      </c>
      <c r="L178" s="50" t="str">
        <f>+'ENCUESTA CONDUCTORES'!N178</f>
        <v>QUERÉTARO</v>
      </c>
      <c r="M178" s="15">
        <f>+'ENCUESTA CONDUCTORES'!O178</f>
        <v>30</v>
      </c>
      <c r="N178" s="15">
        <f>IF('ENCUESTA CONDUCTORES'!P178="X",1,0)</f>
        <v>0</v>
      </c>
      <c r="O178" s="15">
        <f>IF('ENCUESTA CONDUCTORES'!Q178="X",1,0)</f>
        <v>0</v>
      </c>
      <c r="P178" s="15">
        <f>IF('ENCUESTA CONDUCTORES'!R178="X",1,0)</f>
        <v>0</v>
      </c>
      <c r="Q178" s="15">
        <f>IF('ENCUESTA CONDUCTORES'!S178="X",1,0)</f>
        <v>1</v>
      </c>
      <c r="R178" s="15">
        <f>IF('ENCUESTA CONDUCTORES'!T178="X",1,0)</f>
        <v>0</v>
      </c>
      <c r="S178" s="15">
        <f>IF('ENCUESTA CONDUCTORES'!U178="X",1,0)</f>
        <v>1</v>
      </c>
      <c r="T178" s="15">
        <f>IF('ENCUESTA CONDUCTORES'!V178="X",1,0)</f>
        <v>0</v>
      </c>
      <c r="U178" s="15">
        <f>IF('ENCUESTA CONDUCTORES'!W178="X",1,0)</f>
        <v>0</v>
      </c>
      <c r="V178" s="15">
        <f>IF('ENCUESTA CONDUCTORES'!X178="X",1,0)</f>
        <v>0</v>
      </c>
      <c r="W178" s="15">
        <f>IF('ENCUESTA CONDUCTORES'!Y178="X",1,0)</f>
        <v>0</v>
      </c>
      <c r="X178" s="15">
        <f>IF('ENCUESTA CONDUCTORES'!Z178="X",1,0)</f>
        <v>0</v>
      </c>
      <c r="Y178" s="15">
        <f>+'ENCUESTA CONDUCTORES'!AG178</f>
        <v>0</v>
      </c>
      <c r="Z178" s="15">
        <f>+'ENCUESTA CONDUCTORES'!AH178</f>
        <v>2005</v>
      </c>
      <c r="AA178" s="1">
        <f>+'ENCUESTA CONDUCTORES'!AI178</f>
        <v>752813</v>
      </c>
      <c r="AB178" s="15">
        <f>IF('ENCUESTA CONDUCTORES'!AJ178="X",1,0)</f>
        <v>0</v>
      </c>
      <c r="AC178" s="15">
        <f>IF('ENCUESTA CONDUCTORES'!AK178="X",1,0)</f>
        <v>0</v>
      </c>
      <c r="AD178" s="15">
        <f>IF('ENCUESTA CONDUCTORES'!AL178="X",1,0)</f>
        <v>1</v>
      </c>
      <c r="AE178" s="15">
        <f>IF('ENCUESTA CONDUCTORES'!AM178="X",1,0)</f>
        <v>0</v>
      </c>
      <c r="AF178" s="15">
        <f>IF('ENCUESTA CONDUCTORES'!AN178="X",1,0)</f>
        <v>0</v>
      </c>
      <c r="AG178" s="15">
        <f>IF('ENCUESTA CONDUCTORES'!AO178="X",1,0)</f>
        <v>1</v>
      </c>
      <c r="AH178" s="15">
        <f>IF('ENCUESTA CONDUCTORES'!AP178="X",1,0)</f>
        <v>0</v>
      </c>
      <c r="AI178" s="15">
        <f>IF('ENCUESTA CONDUCTORES'!AQ178="X",1,0)</f>
        <v>0</v>
      </c>
      <c r="AJ178" s="15">
        <f>IF('ENCUESTA CONDUCTORES'!AR178="X",1,0)</f>
        <v>0</v>
      </c>
      <c r="AK178" s="15">
        <f>+'ENCUESTA CONDUCTORES'!AS178</f>
        <v>0</v>
      </c>
      <c r="AL178" s="15" t="str">
        <f>+'ENCUESTA CONDUCTORES'!AT178</f>
        <v>CUMMINS</v>
      </c>
      <c r="AM178" s="1">
        <f>+'ENCUESTA CONDUCTORES'!AU178</f>
        <v>12000</v>
      </c>
      <c r="AN178" s="48">
        <f>+'ENCUESTA CONDUCTORES'!AV178</f>
        <v>0.1</v>
      </c>
      <c r="AO178" s="15">
        <f>+'ENCUESTA CONDUCTORES'!AW178</f>
        <v>2.8</v>
      </c>
      <c r="AP178" s="15">
        <f>+'ENCUESTA CONDUCTORES'!AX178</f>
        <v>2.5</v>
      </c>
      <c r="AQ178" s="15">
        <f>+'ENCUESTA CONDUCTORES'!AY178</f>
        <v>2</v>
      </c>
      <c r="AR178" s="15">
        <f>+'ENCUESTA CONDUCTORES'!AZ178</f>
        <v>810</v>
      </c>
      <c r="AS178" s="15">
        <f>+'ENCUESTA CONDUCTORES'!BA178</f>
        <v>2200</v>
      </c>
      <c r="AT178" s="15">
        <f>IF('ENCUESTA CONDUCTORES'!BB178="X",1,0)</f>
        <v>1</v>
      </c>
      <c r="AU178" s="15">
        <f>IF('ENCUESTA CONDUCTORES'!BC178="X",1,0)</f>
        <v>1</v>
      </c>
      <c r="AV178" s="15">
        <f>IF('ENCUESTA CONDUCTORES'!BD178="X",1,0)</f>
        <v>0</v>
      </c>
      <c r="AW178" s="1">
        <f>+'ENCUESTA CONDUCTORES'!BE178</f>
        <v>24000</v>
      </c>
      <c r="AX178" s="1">
        <f>+'ENCUESTA CONDUCTORES'!BF178</f>
        <v>150000</v>
      </c>
      <c r="AY178" s="1">
        <f>+'ENCUESTA CONDUCTORES'!BG178</f>
        <v>24000</v>
      </c>
      <c r="AZ178" s="1">
        <f>+'ENCUESTA CONDUCTORES'!BH178</f>
        <v>150000</v>
      </c>
      <c r="BA178" s="1" t="str">
        <f>+'ENCUESTA CONDUCTORES'!BI178</f>
        <v>NO SABE</v>
      </c>
      <c r="BB178" s="15">
        <f>IF('ENCUESTA CONDUCTORES'!BJ178="X",1,0)</f>
        <v>0</v>
      </c>
      <c r="BC178" s="15">
        <f>IF('ENCUESTA CONDUCTORES'!BK178="X",1,0)</f>
        <v>0</v>
      </c>
      <c r="BD178" s="15">
        <f>IF('ENCUESTA CONDUCTORES'!BL178="X",1,0)</f>
        <v>0</v>
      </c>
      <c r="BE178" s="15">
        <f>IF('ENCUESTA CONDUCTORES'!BM178="X",1,0)</f>
        <v>0</v>
      </c>
      <c r="BF178" s="15">
        <f>IF('ENCUESTA CONDUCTORES'!BN178="X",1,0)</f>
        <v>0</v>
      </c>
      <c r="BG178" s="15">
        <f>IF('ENCUESTA CONDUCTORES'!BO178="X",1,0)</f>
        <v>0</v>
      </c>
      <c r="BH178" s="15">
        <f>IF('ENCUESTA CONDUCTORES'!BP178="X",1,0)</f>
        <v>1</v>
      </c>
      <c r="BI178" s="15">
        <f>IF('ENCUESTA CONDUCTORES'!BQ178="X",1,0)</f>
        <v>0</v>
      </c>
      <c r="BJ178" s="15">
        <f>IF('ENCUESTA CONDUCTORES'!BR178="X",1,0)</f>
        <v>0</v>
      </c>
      <c r="BK178" s="15" t="str">
        <f>+'ENCUESTA CONDUCTORES'!BS178</f>
        <v>LLANTAS</v>
      </c>
      <c r="BL178" s="15">
        <f>IF('ENCUESTA CONDUCTORES'!BT178="X",1,0)</f>
        <v>0</v>
      </c>
      <c r="BM178" s="15">
        <f>IF('ENCUESTA CONDUCTORES'!BU178="X",1,0)</f>
        <v>0</v>
      </c>
      <c r="BN178" s="15">
        <f>IF('ENCUESTA CONDUCTORES'!BV178="X",1,0)</f>
        <v>1</v>
      </c>
      <c r="BO178" s="15">
        <f>IF('ENCUESTA CONDUCTORES'!BW178="X",1,0)</f>
        <v>0</v>
      </c>
      <c r="BP178" s="15">
        <f>+'ENCUESTA CONDUCTORES'!BX178</f>
        <v>2</v>
      </c>
      <c r="BQ178" s="15">
        <f>+'ENCUESTA CONDUCTORES'!BY178</f>
        <v>3</v>
      </c>
      <c r="BR178" s="15">
        <f>+'ENCUESTA CONDUCTORES'!BZ178</f>
        <v>1</v>
      </c>
      <c r="BS178" s="15">
        <f>+'ENCUESTA CONDUCTORES'!CA178</f>
        <v>0</v>
      </c>
      <c r="BT178" s="15">
        <f>IF('ENCUESTA CONDUCTORES'!CB178="X",1,0)</f>
        <v>1</v>
      </c>
      <c r="BU178" s="15">
        <f>IF('ENCUESTA CONDUCTORES'!CC178="X",1,0)</f>
        <v>0</v>
      </c>
      <c r="BV178" s="15">
        <f>IF('ENCUESTA CONDUCTORES'!CD178="X",1,0)</f>
        <v>0</v>
      </c>
      <c r="BW178" s="15">
        <f>IF('ENCUESTA CONDUCTORES'!CE178="X",1,0)</f>
        <v>0</v>
      </c>
      <c r="BX178" s="15">
        <f>IF('ENCUESTA CONDUCTORES'!CF178="X",1,0)</f>
        <v>0</v>
      </c>
      <c r="BY178" s="15">
        <f>IF('ENCUESTA CONDUCTORES'!CG178="X",1,0)</f>
        <v>0</v>
      </c>
      <c r="BZ178" s="15">
        <f>IF('ENCUESTA CONDUCTORES'!CH178="X",1,0)</f>
        <v>0</v>
      </c>
      <c r="CA178" s="15">
        <f>IF('ENCUESTA CONDUCTORES'!CI178="X",1,0)</f>
        <v>0</v>
      </c>
      <c r="CB178" s="15">
        <f>IF('ENCUESTA CONDUCTORES'!CJ178="X",1,0)</f>
        <v>0</v>
      </c>
      <c r="CC178" s="15">
        <f>IF('ENCUESTA CONDUCTORES'!CK178="X",1,0)</f>
        <v>1</v>
      </c>
      <c r="CD178" s="15">
        <f>IF('ENCUESTA CONDUCTORES'!CL178="X",1,0)</f>
        <v>0</v>
      </c>
      <c r="CE178" s="15">
        <f>IF('ENCUESTA CONDUCTORES'!CM178="X",1,0)</f>
        <v>0</v>
      </c>
      <c r="CF178" s="15">
        <f>+'ENCUESTA CONDUCTORES'!CN178</f>
        <v>0</v>
      </c>
      <c r="CG178" s="15">
        <f>IF('ENCUESTA CONDUCTORES'!CO178="X",1,0)</f>
        <v>0</v>
      </c>
      <c r="CH178" s="15" t="str">
        <f>+'ENCUESTA CONDUCTORES'!CP178</f>
        <v>NO SABE</v>
      </c>
      <c r="CI178" s="15" t="str">
        <f>+'ENCUESTA CONDUCTORES'!CQ178</f>
        <v>NO SABE</v>
      </c>
      <c r="CJ178" s="15">
        <f>IF('ENCUESTA CONDUCTORES'!CR178="X",1,0)</f>
        <v>1</v>
      </c>
      <c r="CK178" s="15">
        <f>IF('ENCUESTA CONDUCTORES'!CS178="X",1,0)</f>
        <v>0</v>
      </c>
      <c r="CL178" s="15">
        <f>IF('ENCUESTA CONDUCTORES'!CT178="X",1,0)</f>
        <v>0</v>
      </c>
      <c r="CM178" s="15">
        <f>+'ENCUESTA CONDUCTORES'!CU178</f>
        <v>0</v>
      </c>
      <c r="CN178" s="15">
        <f>IF('ENCUESTA CONDUCTORES'!CV178="X",1,0)</f>
        <v>1</v>
      </c>
      <c r="CO178" s="15" t="str">
        <f>+'ENCUESTA CONDUCTORES'!CW178</f>
        <v>NO TIENE TIEMPO</v>
      </c>
      <c r="CP178" s="15">
        <f>IF('ENCUESTA CONDUCTORES'!CX178="X",1,0)</f>
        <v>0</v>
      </c>
      <c r="CQ178" s="15">
        <f>IF('ENCUESTA CONDUCTORES'!CY178="X",1,0)</f>
        <v>0</v>
      </c>
      <c r="CR178" s="3">
        <f>+'ENCUESTA CONDUCTORES'!CZ178</f>
        <v>0</v>
      </c>
      <c r="CS178" s="49" t="str">
        <f>+'ENCUESTA CONDUCTORES'!DA178</f>
        <v>DETROIT S-60</v>
      </c>
    </row>
    <row r="179" spans="2:97" x14ac:dyDescent="0.25">
      <c r="B179" s="14" t="str">
        <f>+'ENCUESTA CONDUCTORES'!D179</f>
        <v>C-185</v>
      </c>
      <c r="C179" s="15">
        <f>IF('ENCUESTA CONDUCTORES'!E179="X",1,0)</f>
        <v>0</v>
      </c>
      <c r="D179" s="15">
        <f>IF('ENCUESTA CONDUCTORES'!F179="X",1,0)</f>
        <v>0</v>
      </c>
      <c r="E179" s="15">
        <f>IF('ENCUESTA CONDUCTORES'!G179="X",1,0)</f>
        <v>0</v>
      </c>
      <c r="F179" s="15">
        <f>IF('ENCUESTA CONDUCTORES'!H179="X",1,0)</f>
        <v>1</v>
      </c>
      <c r="G179" s="15">
        <f>+'ENCUESTA CONDUCTORES'!I179</f>
        <v>42</v>
      </c>
      <c r="H179" s="15" t="str">
        <f>+'ENCUESTA CONDUCTORES'!J179</f>
        <v>M</v>
      </c>
      <c r="I179" s="15" t="str">
        <f>+'ENCUESTA CONDUCTORES'!K179</f>
        <v>SECUNDARIA</v>
      </c>
      <c r="J179" s="15" t="str">
        <f>+'ENCUESTA CONDUCTORES'!L179</f>
        <v>CORREGIDORA, QRO.</v>
      </c>
      <c r="K179" s="15" t="str">
        <f>+'ENCUESTA CONDUCTORES'!M179</f>
        <v>CORREGIDORA</v>
      </c>
      <c r="L179" s="15" t="str">
        <f>+'ENCUESTA CONDUCTORES'!N179</f>
        <v>QUERÉTARO</v>
      </c>
      <c r="M179" s="15">
        <f>+'ENCUESTA CONDUCTORES'!O179</f>
        <v>20</v>
      </c>
      <c r="N179" s="15">
        <f>IF('ENCUESTA CONDUCTORES'!P179="X",1,0)</f>
        <v>0</v>
      </c>
      <c r="O179" s="15">
        <f>IF('ENCUESTA CONDUCTORES'!Q179="X",1,0)</f>
        <v>0</v>
      </c>
      <c r="P179" s="15">
        <f>IF('ENCUESTA CONDUCTORES'!R179="X",1,0)</f>
        <v>0</v>
      </c>
      <c r="Q179" s="15">
        <f>IF('ENCUESTA CONDUCTORES'!S179="X",1,0)</f>
        <v>1</v>
      </c>
      <c r="R179" s="15">
        <f>IF('ENCUESTA CONDUCTORES'!T179="X",1,0)</f>
        <v>0</v>
      </c>
      <c r="S179" s="15">
        <f>IF('ENCUESTA CONDUCTORES'!U179="X",1,0)</f>
        <v>1</v>
      </c>
      <c r="T179" s="15">
        <f>IF('ENCUESTA CONDUCTORES'!V179="X",1,0)</f>
        <v>0</v>
      </c>
      <c r="U179" s="15">
        <f>IF('ENCUESTA CONDUCTORES'!W179="X",1,0)</f>
        <v>0</v>
      </c>
      <c r="V179" s="15">
        <f>IF('ENCUESTA CONDUCTORES'!X179="X",1,0)</f>
        <v>0</v>
      </c>
      <c r="W179" s="15">
        <f>IF('ENCUESTA CONDUCTORES'!Y179="X",1,0)</f>
        <v>0</v>
      </c>
      <c r="X179" s="15">
        <f>IF('ENCUESTA CONDUCTORES'!Z179="X",1,0)</f>
        <v>0</v>
      </c>
      <c r="Y179" s="15">
        <f>+'ENCUESTA CONDUCTORES'!AG179</f>
        <v>0</v>
      </c>
      <c r="Z179" s="15">
        <f>+'ENCUESTA CONDUCTORES'!AH179</f>
        <v>1998</v>
      </c>
      <c r="AA179" s="1">
        <f>+'ENCUESTA CONDUCTORES'!AI179</f>
        <v>714206</v>
      </c>
      <c r="AB179" s="15">
        <f>IF('ENCUESTA CONDUCTORES'!AJ179="X",1,0)</f>
        <v>0</v>
      </c>
      <c r="AC179" s="15">
        <f>IF('ENCUESTA CONDUCTORES'!AK179="X",1,0)</f>
        <v>0</v>
      </c>
      <c r="AD179" s="15">
        <f>IF('ENCUESTA CONDUCTORES'!AL179="X",1,0)</f>
        <v>1</v>
      </c>
      <c r="AE179" s="15">
        <f>IF('ENCUESTA CONDUCTORES'!AM179="X",1,0)</f>
        <v>0</v>
      </c>
      <c r="AF179" s="15">
        <f>IF('ENCUESTA CONDUCTORES'!AN179="X",1,0)</f>
        <v>0</v>
      </c>
      <c r="AG179" s="15">
        <f>IF('ENCUESTA CONDUCTORES'!AO179="X",1,0)</f>
        <v>0</v>
      </c>
      <c r="AH179" s="15">
        <f>IF('ENCUESTA CONDUCTORES'!AP179="X",1,0)</f>
        <v>0</v>
      </c>
      <c r="AI179" s="15">
        <f>IF('ENCUESTA CONDUCTORES'!AQ179="X",1,0)</f>
        <v>0</v>
      </c>
      <c r="AJ179" s="15">
        <f>IF('ENCUESTA CONDUCTORES'!AR179="X",1,0)</f>
        <v>1</v>
      </c>
      <c r="AK179" s="15">
        <f>+'ENCUESTA CONDUCTORES'!AS179</f>
        <v>2005</v>
      </c>
      <c r="AL179" s="15" t="str">
        <f>+'ENCUESTA CONDUCTORES'!AT179</f>
        <v>CUMMINS</v>
      </c>
      <c r="AM179" s="1">
        <f>+'ENCUESTA CONDUCTORES'!AU179</f>
        <v>3600</v>
      </c>
      <c r="AN179" s="48">
        <f>+'ENCUESTA CONDUCTORES'!AV179</f>
        <v>0.5</v>
      </c>
      <c r="AO179" s="15">
        <f>+'ENCUESTA CONDUCTORES'!AW179</f>
        <v>3</v>
      </c>
      <c r="AP179" s="15">
        <f>+'ENCUESTA CONDUCTORES'!AX179</f>
        <v>2.7</v>
      </c>
      <c r="AQ179" s="15">
        <f>+'ENCUESTA CONDUCTORES'!AY179</f>
        <v>2</v>
      </c>
      <c r="AR179" s="15">
        <f>+'ENCUESTA CONDUCTORES'!AZ179</f>
        <v>670</v>
      </c>
      <c r="AS179" s="15">
        <f>+'ENCUESTA CONDUCTORES'!BA179</f>
        <v>2000</v>
      </c>
      <c r="AT179" s="15">
        <f>IF('ENCUESTA CONDUCTORES'!BB179="X",1,0)</f>
        <v>0</v>
      </c>
      <c r="AU179" s="15">
        <f>IF('ENCUESTA CONDUCTORES'!BC179="X",1,0)</f>
        <v>0</v>
      </c>
      <c r="AV179" s="15">
        <f>IF('ENCUESTA CONDUCTORES'!BD179="X",1,0)</f>
        <v>0</v>
      </c>
      <c r="AW179" s="1">
        <f>+'ENCUESTA CONDUCTORES'!BE179</f>
        <v>30000</v>
      </c>
      <c r="AX179" s="1" t="str">
        <f>+'ENCUESTA CONDUCTORES'!BF179</f>
        <v>NO SABE</v>
      </c>
      <c r="AY179" s="1">
        <f>+'ENCUESTA CONDUCTORES'!BG179</f>
        <v>30000</v>
      </c>
      <c r="AZ179" s="1" t="str">
        <f>+'ENCUESTA CONDUCTORES'!BH179</f>
        <v>NO SABE</v>
      </c>
      <c r="BA179" s="1" t="str">
        <f>+'ENCUESTA CONDUCTORES'!BI179</f>
        <v>NO SABE</v>
      </c>
      <c r="BB179" s="15">
        <f>IF('ENCUESTA CONDUCTORES'!BJ179="X",1,0)</f>
        <v>0</v>
      </c>
      <c r="BC179" s="15">
        <f>IF('ENCUESTA CONDUCTORES'!BK179="X",1,0)</f>
        <v>0</v>
      </c>
      <c r="BD179" s="15">
        <f>IF('ENCUESTA CONDUCTORES'!BL179="X",1,0)</f>
        <v>0</v>
      </c>
      <c r="BE179" s="15">
        <f>IF('ENCUESTA CONDUCTORES'!BM179="X",1,0)</f>
        <v>0</v>
      </c>
      <c r="BF179" s="15">
        <f>IF('ENCUESTA CONDUCTORES'!BN179="X",1,0)</f>
        <v>1</v>
      </c>
      <c r="BG179" s="15">
        <f>IF('ENCUESTA CONDUCTORES'!BO179="X",1,0)</f>
        <v>0</v>
      </c>
      <c r="BH179" s="15">
        <f>IF('ENCUESTA CONDUCTORES'!BP179="X",1,0)</f>
        <v>0</v>
      </c>
      <c r="BI179" s="15">
        <f>IF('ENCUESTA CONDUCTORES'!BQ179="X",1,0)</f>
        <v>0</v>
      </c>
      <c r="BJ179" s="15">
        <f>IF('ENCUESTA CONDUCTORES'!BR179="X",1,0)</f>
        <v>0</v>
      </c>
      <c r="BK179" s="15">
        <f>+'ENCUESTA CONDUCTORES'!BS179</f>
        <v>0</v>
      </c>
      <c r="BL179" s="15">
        <f>IF('ENCUESTA CONDUCTORES'!BT179="X",1,0)</f>
        <v>0</v>
      </c>
      <c r="BM179" s="15">
        <f>IF('ENCUESTA CONDUCTORES'!BU179="X",1,0)</f>
        <v>1</v>
      </c>
      <c r="BN179" s="15">
        <f>IF('ENCUESTA CONDUCTORES'!BV179="X",1,0)</f>
        <v>0</v>
      </c>
      <c r="BO179" s="15">
        <f>IF('ENCUESTA CONDUCTORES'!BW179="X",1,0)</f>
        <v>0</v>
      </c>
      <c r="BP179" s="15">
        <f>+'ENCUESTA CONDUCTORES'!BX179</f>
        <v>1</v>
      </c>
      <c r="BQ179" s="15">
        <f>+'ENCUESTA CONDUCTORES'!BY179</f>
        <v>3</v>
      </c>
      <c r="BR179" s="15">
        <f>+'ENCUESTA CONDUCTORES'!BZ179</f>
        <v>2</v>
      </c>
      <c r="BS179" s="15">
        <f>+'ENCUESTA CONDUCTORES'!CA179</f>
        <v>0</v>
      </c>
      <c r="BT179" s="15">
        <f>IF('ENCUESTA CONDUCTORES'!CB179="X",1,0)</f>
        <v>1</v>
      </c>
      <c r="BU179" s="15">
        <f>IF('ENCUESTA CONDUCTORES'!CC179="X",1,0)</f>
        <v>0</v>
      </c>
      <c r="BV179" s="15">
        <f>IF('ENCUESTA CONDUCTORES'!CD179="X",1,0)</f>
        <v>0</v>
      </c>
      <c r="BW179" s="15">
        <f>IF('ENCUESTA CONDUCTORES'!CE179="X",1,0)</f>
        <v>0</v>
      </c>
      <c r="BX179" s="15">
        <f>IF('ENCUESTA CONDUCTORES'!CF179="X",1,0)</f>
        <v>0</v>
      </c>
      <c r="BY179" s="15">
        <f>IF('ENCUESTA CONDUCTORES'!CG179="X",1,0)</f>
        <v>0</v>
      </c>
      <c r="BZ179" s="15">
        <f>IF('ENCUESTA CONDUCTORES'!CH179="X",1,0)</f>
        <v>0</v>
      </c>
      <c r="CA179" s="15">
        <f>IF('ENCUESTA CONDUCTORES'!CI179="X",1,0)</f>
        <v>0</v>
      </c>
      <c r="CB179" s="15">
        <f>IF('ENCUESTA CONDUCTORES'!CJ179="X",1,0)</f>
        <v>0</v>
      </c>
      <c r="CC179" s="15">
        <f>IF('ENCUESTA CONDUCTORES'!CK179="X",1,0)</f>
        <v>1</v>
      </c>
      <c r="CD179" s="15">
        <f>IF('ENCUESTA CONDUCTORES'!CL179="X",1,0)</f>
        <v>0</v>
      </c>
      <c r="CE179" s="15">
        <f>IF('ENCUESTA CONDUCTORES'!CM179="X",1,0)</f>
        <v>0</v>
      </c>
      <c r="CF179" s="15">
        <f>+'ENCUESTA CONDUCTORES'!CN179</f>
        <v>0</v>
      </c>
      <c r="CG179" s="15">
        <f>IF('ENCUESTA CONDUCTORES'!CO179="X",1,0)</f>
        <v>0</v>
      </c>
      <c r="CH179" s="15" t="str">
        <f>+'ENCUESTA CONDUCTORES'!CP179</f>
        <v>NO SABE</v>
      </c>
      <c r="CI179" s="15" t="str">
        <f>+'ENCUESTA CONDUCTORES'!CQ179</f>
        <v>NO SABE</v>
      </c>
      <c r="CJ179" s="15">
        <f>IF('ENCUESTA CONDUCTORES'!CR179="X",1,0)</f>
        <v>1</v>
      </c>
      <c r="CK179" s="15">
        <f>IF('ENCUESTA CONDUCTORES'!CS179="X",1,0)</f>
        <v>0</v>
      </c>
      <c r="CL179" s="15">
        <f>IF('ENCUESTA CONDUCTORES'!CT179="X",1,0)</f>
        <v>0</v>
      </c>
      <c r="CM179" s="15">
        <f>+'ENCUESTA CONDUCTORES'!CU179</f>
        <v>0</v>
      </c>
      <c r="CN179" s="15">
        <f>IF('ENCUESTA CONDUCTORES'!CV179="X",1,0)</f>
        <v>0</v>
      </c>
      <c r="CO179" s="15">
        <f>+'ENCUESTA CONDUCTORES'!CW179</f>
        <v>0</v>
      </c>
      <c r="CP179" s="15">
        <f>IF('ENCUESTA CONDUCTORES'!CX179="X",1,0)</f>
        <v>0</v>
      </c>
      <c r="CQ179" s="15">
        <f>IF('ENCUESTA CONDUCTORES'!CY179="X",1,0)</f>
        <v>1</v>
      </c>
      <c r="CR179" s="3">
        <f>+'ENCUESTA CONDUCTORES'!CZ179</f>
        <v>0</v>
      </c>
      <c r="CS179" s="49" t="str">
        <f>+'ENCUESTA CONDUCTORES'!DA179</f>
        <v>CUMMINS ISM</v>
      </c>
    </row>
    <row r="180" spans="2:97" x14ac:dyDescent="0.25">
      <c r="B180" s="14" t="str">
        <f>+'ENCUESTA CONDUCTORES'!D180</f>
        <v>C-186</v>
      </c>
      <c r="C180" s="15">
        <f>IF('ENCUESTA CONDUCTORES'!E180="X",1,0)</f>
        <v>0</v>
      </c>
      <c r="D180" s="15">
        <f>IF('ENCUESTA CONDUCTORES'!F180="X",1,0)</f>
        <v>0</v>
      </c>
      <c r="E180" s="15">
        <f>IF('ENCUESTA CONDUCTORES'!G180="X",1,0)</f>
        <v>0</v>
      </c>
      <c r="F180" s="15">
        <f>IF('ENCUESTA CONDUCTORES'!H180="X",1,0)</f>
        <v>1</v>
      </c>
      <c r="G180" s="15">
        <f>+'ENCUESTA CONDUCTORES'!I180</f>
        <v>28</v>
      </c>
      <c r="H180" s="15" t="str">
        <f>+'ENCUESTA CONDUCTORES'!J180</f>
        <v>M</v>
      </c>
      <c r="I180" s="15" t="str">
        <f>+'ENCUESTA CONDUCTORES'!K180</f>
        <v>SECUNDARIA</v>
      </c>
      <c r="J180" s="15" t="str">
        <f>+'ENCUESTA CONDUCTORES'!L180</f>
        <v>QUERÉTARO, QRO.</v>
      </c>
      <c r="K180" s="15" t="str">
        <f>+'ENCUESTA CONDUCTORES'!M180</f>
        <v>QUERÉTARO</v>
      </c>
      <c r="L180" s="15" t="str">
        <f>+'ENCUESTA CONDUCTORES'!N180</f>
        <v>QUERÉTARO</v>
      </c>
      <c r="M180" s="15">
        <f>+'ENCUESTA CONDUCTORES'!O180</f>
        <v>10</v>
      </c>
      <c r="N180" s="15">
        <f>IF('ENCUESTA CONDUCTORES'!P180="X",1,0)</f>
        <v>0</v>
      </c>
      <c r="O180" s="15">
        <f>IF('ENCUESTA CONDUCTORES'!Q180="X",1,0)</f>
        <v>0</v>
      </c>
      <c r="P180" s="15">
        <f>IF('ENCUESTA CONDUCTORES'!R180="X",1,0)</f>
        <v>0</v>
      </c>
      <c r="Q180" s="15">
        <f>IF('ENCUESTA CONDUCTORES'!S180="X",1,0)</f>
        <v>1</v>
      </c>
      <c r="R180" s="15">
        <f>IF('ENCUESTA CONDUCTORES'!T180="X",1,0)</f>
        <v>0</v>
      </c>
      <c r="S180" s="15">
        <f>IF('ENCUESTA CONDUCTORES'!U180="X",1,0)</f>
        <v>1</v>
      </c>
      <c r="T180" s="15">
        <f>IF('ENCUESTA CONDUCTORES'!V180="X",1,0)</f>
        <v>0</v>
      </c>
      <c r="U180" s="15">
        <f>IF('ENCUESTA CONDUCTORES'!W180="X",1,0)</f>
        <v>0</v>
      </c>
      <c r="V180" s="15">
        <f>IF('ENCUESTA CONDUCTORES'!X180="X",1,0)</f>
        <v>0</v>
      </c>
      <c r="W180" s="15">
        <f>IF('ENCUESTA CONDUCTORES'!Y180="X",1,0)</f>
        <v>0</v>
      </c>
      <c r="X180" s="15">
        <f>IF('ENCUESTA CONDUCTORES'!Z180="X",1,0)</f>
        <v>0</v>
      </c>
      <c r="Y180" s="15">
        <f>+'ENCUESTA CONDUCTORES'!AG180</f>
        <v>0</v>
      </c>
      <c r="Z180" s="15">
        <f>+'ENCUESTA CONDUCTORES'!AH180</f>
        <v>2007</v>
      </c>
      <c r="AA180" s="1">
        <f>+'ENCUESTA CONDUCTORES'!AI180</f>
        <v>581334</v>
      </c>
      <c r="AB180" s="15">
        <f>IF('ENCUESTA CONDUCTORES'!AJ180="X",1,0)</f>
        <v>0</v>
      </c>
      <c r="AC180" s="15">
        <f>IF('ENCUESTA CONDUCTORES'!AK180="X",1,0)</f>
        <v>0</v>
      </c>
      <c r="AD180" s="15">
        <f>IF('ENCUESTA CONDUCTORES'!AL180="X",1,0)</f>
        <v>1</v>
      </c>
      <c r="AE180" s="15">
        <f>IF('ENCUESTA CONDUCTORES'!AM180="X",1,0)</f>
        <v>0</v>
      </c>
      <c r="AF180" s="15">
        <f>IF('ENCUESTA CONDUCTORES'!AN180="X",1,0)</f>
        <v>0</v>
      </c>
      <c r="AG180" s="15">
        <f>IF('ENCUESTA CONDUCTORES'!AO180="X",1,0)</f>
        <v>1</v>
      </c>
      <c r="AH180" s="15">
        <f>IF('ENCUESTA CONDUCTORES'!AP180="X",1,0)</f>
        <v>0</v>
      </c>
      <c r="AI180" s="15">
        <f>IF('ENCUESTA CONDUCTORES'!AQ180="X",1,0)</f>
        <v>0</v>
      </c>
      <c r="AJ180" s="15">
        <f>IF('ENCUESTA CONDUCTORES'!AR180="X",1,0)</f>
        <v>0</v>
      </c>
      <c r="AK180" s="15">
        <f>+'ENCUESTA CONDUCTORES'!AS180</f>
        <v>0</v>
      </c>
      <c r="AL180" s="15" t="str">
        <f>+'ENCUESTA CONDUCTORES'!AT180</f>
        <v>CUMMINS</v>
      </c>
      <c r="AM180" s="1">
        <f>+'ENCUESTA CONDUCTORES'!AU180</f>
        <v>11000</v>
      </c>
      <c r="AN180" s="48">
        <f>+'ENCUESTA CONDUCTORES'!AV180</f>
        <v>0</v>
      </c>
      <c r="AO180" s="15">
        <f>+'ENCUESTA CONDUCTORES'!AW180</f>
        <v>2.9</v>
      </c>
      <c r="AP180" s="15">
        <f>+'ENCUESTA CONDUCTORES'!AX180</f>
        <v>2.6</v>
      </c>
      <c r="AQ180" s="15">
        <f>+'ENCUESTA CONDUCTORES'!AY180</f>
        <v>2</v>
      </c>
      <c r="AR180" s="15">
        <f>+'ENCUESTA CONDUCTORES'!AZ180</f>
        <v>800</v>
      </c>
      <c r="AS180" s="15">
        <f>+'ENCUESTA CONDUCTORES'!BA180</f>
        <v>2250</v>
      </c>
      <c r="AT180" s="15">
        <f>IF('ENCUESTA CONDUCTORES'!BB180="X",1,0)</f>
        <v>1</v>
      </c>
      <c r="AU180" s="15">
        <f>IF('ENCUESTA CONDUCTORES'!BC180="X",1,0)</f>
        <v>1</v>
      </c>
      <c r="AV180" s="15">
        <f>IF('ENCUESTA CONDUCTORES'!BD180="X",1,0)</f>
        <v>0</v>
      </c>
      <c r="AW180" s="1">
        <f>+'ENCUESTA CONDUCTORES'!BE180</f>
        <v>20000</v>
      </c>
      <c r="AX180" s="1">
        <f>+'ENCUESTA CONDUCTORES'!BF180</f>
        <v>100000</v>
      </c>
      <c r="AY180" s="1">
        <f>+'ENCUESTA CONDUCTORES'!BG180</f>
        <v>20000</v>
      </c>
      <c r="AZ180" s="1">
        <f>+'ENCUESTA CONDUCTORES'!BH180</f>
        <v>100000</v>
      </c>
      <c r="BA180" s="1" t="str">
        <f>+'ENCUESTA CONDUCTORES'!BI180</f>
        <v>NO SABE</v>
      </c>
      <c r="BB180" s="15">
        <f>IF('ENCUESTA CONDUCTORES'!BJ180="X",1,0)</f>
        <v>0</v>
      </c>
      <c r="BC180" s="15">
        <f>IF('ENCUESTA CONDUCTORES'!BK180="X",1,0)</f>
        <v>0</v>
      </c>
      <c r="BD180" s="15">
        <f>IF('ENCUESTA CONDUCTORES'!BL180="X",1,0)</f>
        <v>0</v>
      </c>
      <c r="BE180" s="15">
        <f>IF('ENCUESTA CONDUCTORES'!BM180="X",1,0)</f>
        <v>0</v>
      </c>
      <c r="BF180" s="15">
        <f>IF('ENCUESTA CONDUCTORES'!BN180="X",1,0)</f>
        <v>1</v>
      </c>
      <c r="BG180" s="15">
        <f>IF('ENCUESTA CONDUCTORES'!BO180="X",1,0)</f>
        <v>0</v>
      </c>
      <c r="BH180" s="15">
        <f>IF('ENCUESTA CONDUCTORES'!BP180="X",1,0)</f>
        <v>0</v>
      </c>
      <c r="BI180" s="15">
        <f>IF('ENCUESTA CONDUCTORES'!BQ180="X",1,0)</f>
        <v>0</v>
      </c>
      <c r="BJ180" s="15">
        <f>IF('ENCUESTA CONDUCTORES'!BR180="X",1,0)</f>
        <v>0</v>
      </c>
      <c r="BK180" s="15">
        <f>+'ENCUESTA CONDUCTORES'!BS180</f>
        <v>0</v>
      </c>
      <c r="BL180" s="15">
        <f>IF('ENCUESTA CONDUCTORES'!BT180="X",1,0)</f>
        <v>0</v>
      </c>
      <c r="BM180" s="15">
        <f>IF('ENCUESTA CONDUCTORES'!BU180="X",1,0)</f>
        <v>0</v>
      </c>
      <c r="BN180" s="15">
        <f>IF('ENCUESTA CONDUCTORES'!BV180="X",1,0)</f>
        <v>1</v>
      </c>
      <c r="BO180" s="15">
        <f>IF('ENCUESTA CONDUCTORES'!BW180="X",1,0)</f>
        <v>0</v>
      </c>
      <c r="BP180" s="15">
        <f>+'ENCUESTA CONDUCTORES'!BX180</f>
        <v>1</v>
      </c>
      <c r="BQ180" s="15">
        <f>+'ENCUESTA CONDUCTORES'!BY180</f>
        <v>3</v>
      </c>
      <c r="BR180" s="15">
        <f>+'ENCUESTA CONDUCTORES'!BZ180</f>
        <v>2</v>
      </c>
      <c r="BS180" s="15">
        <f>+'ENCUESTA CONDUCTORES'!CA180</f>
        <v>0</v>
      </c>
      <c r="BT180" s="15">
        <f>IF('ENCUESTA CONDUCTORES'!CB180="X",1,0)</f>
        <v>1</v>
      </c>
      <c r="BU180" s="15">
        <f>IF('ENCUESTA CONDUCTORES'!CC180="X",1,0)</f>
        <v>0</v>
      </c>
      <c r="BV180" s="15">
        <f>IF('ENCUESTA CONDUCTORES'!CD180="X",1,0)</f>
        <v>0</v>
      </c>
      <c r="BW180" s="15">
        <f>IF('ENCUESTA CONDUCTORES'!CE180="X",1,0)</f>
        <v>0</v>
      </c>
      <c r="BX180" s="15">
        <f>IF('ENCUESTA CONDUCTORES'!CF180="X",1,0)</f>
        <v>0</v>
      </c>
      <c r="BY180" s="15">
        <f>IF('ENCUESTA CONDUCTORES'!CG180="X",1,0)</f>
        <v>0</v>
      </c>
      <c r="BZ180" s="15">
        <f>IF('ENCUESTA CONDUCTORES'!CH180="X",1,0)</f>
        <v>0</v>
      </c>
      <c r="CA180" s="15">
        <f>IF('ENCUESTA CONDUCTORES'!CI180="X",1,0)</f>
        <v>0</v>
      </c>
      <c r="CB180" s="15">
        <f>IF('ENCUESTA CONDUCTORES'!CJ180="X",1,0)</f>
        <v>0</v>
      </c>
      <c r="CC180" s="15">
        <f>IF('ENCUESTA CONDUCTORES'!CK180="X",1,0)</f>
        <v>1</v>
      </c>
      <c r="CD180" s="15">
        <f>IF('ENCUESTA CONDUCTORES'!CL180="X",1,0)</f>
        <v>0</v>
      </c>
      <c r="CE180" s="15">
        <f>IF('ENCUESTA CONDUCTORES'!CM180="X",1,0)</f>
        <v>0</v>
      </c>
      <c r="CF180" s="15">
        <f>+'ENCUESTA CONDUCTORES'!CN180</f>
        <v>0</v>
      </c>
      <c r="CG180" s="15">
        <f>IF('ENCUESTA CONDUCTORES'!CO180="X",1,0)</f>
        <v>0</v>
      </c>
      <c r="CH180" s="15" t="str">
        <f>+'ENCUESTA CONDUCTORES'!CP180</f>
        <v>NO SABE</v>
      </c>
      <c r="CI180" s="15" t="str">
        <f>+'ENCUESTA CONDUCTORES'!CQ180</f>
        <v>PUBLICIDAD</v>
      </c>
      <c r="CJ180" s="15">
        <f>IF('ENCUESTA CONDUCTORES'!CR180="X",1,0)</f>
        <v>0</v>
      </c>
      <c r="CK180" s="15">
        <f>IF('ENCUESTA CONDUCTORES'!CS180="X",1,0)</f>
        <v>0</v>
      </c>
      <c r="CL180" s="15">
        <f>IF('ENCUESTA CONDUCTORES'!CT180="X",1,0)</f>
        <v>1</v>
      </c>
      <c r="CM180" s="15">
        <f>+'ENCUESTA CONDUCTORES'!CU180</f>
        <v>0</v>
      </c>
      <c r="CN180" s="15">
        <f>IF('ENCUESTA CONDUCTORES'!CV180="X",1,0)</f>
        <v>0</v>
      </c>
      <c r="CO180" s="15">
        <f>+'ENCUESTA CONDUCTORES'!CW180</f>
        <v>0</v>
      </c>
      <c r="CP180" s="15">
        <f>IF('ENCUESTA CONDUCTORES'!CX180="X",1,0)</f>
        <v>1</v>
      </c>
      <c r="CQ180" s="15">
        <f>IF('ENCUESTA CONDUCTORES'!CY180="X",1,0)</f>
        <v>0</v>
      </c>
      <c r="CR180" s="3">
        <f>+'ENCUESTA CONDUCTORES'!CZ180</f>
        <v>0</v>
      </c>
      <c r="CS180" s="49" t="str">
        <f>+'ENCUESTA CONDUCTORES'!DA180</f>
        <v>CUMMINS ISX</v>
      </c>
    </row>
    <row r="181" spans="2:97" x14ac:dyDescent="0.25">
      <c r="B181" s="14" t="str">
        <f>+'ENCUESTA CONDUCTORES'!D181</f>
        <v>C-187</v>
      </c>
      <c r="C181" s="15">
        <f>IF('ENCUESTA CONDUCTORES'!E181="X",1,0)</f>
        <v>0</v>
      </c>
      <c r="D181" s="15">
        <f>IF('ENCUESTA CONDUCTORES'!F181="X",1,0)</f>
        <v>0</v>
      </c>
      <c r="E181" s="15">
        <f>IF('ENCUESTA CONDUCTORES'!G181="X",1,0)</f>
        <v>0</v>
      </c>
      <c r="F181" s="15">
        <f>IF('ENCUESTA CONDUCTORES'!H181="X",1,0)</f>
        <v>1</v>
      </c>
      <c r="G181" s="15">
        <f>+'ENCUESTA CONDUCTORES'!I181</f>
        <v>24</v>
      </c>
      <c r="H181" s="15" t="str">
        <f>+'ENCUESTA CONDUCTORES'!J181</f>
        <v>M</v>
      </c>
      <c r="I181" s="15" t="str">
        <f>+'ENCUESTA CONDUCTORES'!K181</f>
        <v>PREPARATORIA</v>
      </c>
      <c r="J181" s="15" t="str">
        <f>+'ENCUESTA CONDUCTORES'!L181</f>
        <v>APASEO EL ALTO, GTO.</v>
      </c>
      <c r="K181" s="50" t="str">
        <f>+'ENCUESTA CONDUCTORES'!M181</f>
        <v>APASEO EL ALTO</v>
      </c>
      <c r="L181" s="15" t="str">
        <f>+'ENCUESTA CONDUCTORES'!N181</f>
        <v>GUANAJUATO</v>
      </c>
      <c r="M181" s="15">
        <f>+'ENCUESTA CONDUCTORES'!O181</f>
        <v>4</v>
      </c>
      <c r="N181" s="15">
        <f>IF('ENCUESTA CONDUCTORES'!P181="X",1,0)</f>
        <v>0</v>
      </c>
      <c r="O181" s="15">
        <f>IF('ENCUESTA CONDUCTORES'!Q181="X",1,0)</f>
        <v>0</v>
      </c>
      <c r="P181" s="15">
        <f>IF('ENCUESTA CONDUCTORES'!R181="X",1,0)</f>
        <v>0</v>
      </c>
      <c r="Q181" s="15">
        <f>IF('ENCUESTA CONDUCTORES'!S181="X",1,0)</f>
        <v>1</v>
      </c>
      <c r="R181" s="15">
        <f>IF('ENCUESTA CONDUCTORES'!T181="X",1,0)</f>
        <v>0</v>
      </c>
      <c r="S181" s="15">
        <f>IF('ENCUESTA CONDUCTORES'!U181="X",1,0)</f>
        <v>1</v>
      </c>
      <c r="T181" s="15">
        <f>IF('ENCUESTA CONDUCTORES'!V181="X",1,0)</f>
        <v>0</v>
      </c>
      <c r="U181" s="15">
        <f>IF('ENCUESTA CONDUCTORES'!W181="X",1,0)</f>
        <v>0</v>
      </c>
      <c r="V181" s="15">
        <f>IF('ENCUESTA CONDUCTORES'!X181="X",1,0)</f>
        <v>0</v>
      </c>
      <c r="W181" s="15">
        <f>IF('ENCUESTA CONDUCTORES'!Y181="X",1,0)</f>
        <v>0</v>
      </c>
      <c r="X181" s="15">
        <f>IF('ENCUESTA CONDUCTORES'!Z181="X",1,0)</f>
        <v>0</v>
      </c>
      <c r="Y181" s="15">
        <f>+'ENCUESTA CONDUCTORES'!AG181</f>
        <v>0</v>
      </c>
      <c r="Z181" s="15">
        <f>+'ENCUESTA CONDUCTORES'!AH181</f>
        <v>2000</v>
      </c>
      <c r="AA181" s="1">
        <f>+'ENCUESTA CONDUCTORES'!AI181</f>
        <v>967816</v>
      </c>
      <c r="AB181" s="15">
        <f>IF('ENCUESTA CONDUCTORES'!AJ181="X",1,0)</f>
        <v>0</v>
      </c>
      <c r="AC181" s="15">
        <f>IF('ENCUESTA CONDUCTORES'!AK181="X",1,0)</f>
        <v>0</v>
      </c>
      <c r="AD181" s="15">
        <f>IF('ENCUESTA CONDUCTORES'!AL181="X",1,0)</f>
        <v>1</v>
      </c>
      <c r="AE181" s="15">
        <f>IF('ENCUESTA CONDUCTORES'!AM181="X",1,0)</f>
        <v>0</v>
      </c>
      <c r="AF181" s="15">
        <f>IF('ENCUESTA CONDUCTORES'!AN181="X",1,0)</f>
        <v>0</v>
      </c>
      <c r="AG181" s="15">
        <f>IF('ENCUESTA CONDUCTORES'!AO181="X",1,0)</f>
        <v>1</v>
      </c>
      <c r="AH181" s="15">
        <f>IF('ENCUESTA CONDUCTORES'!AP181="X",1,0)</f>
        <v>0</v>
      </c>
      <c r="AI181" s="15">
        <f>IF('ENCUESTA CONDUCTORES'!AQ181="X",1,0)</f>
        <v>0</v>
      </c>
      <c r="AJ181" s="15">
        <f>IF('ENCUESTA CONDUCTORES'!AR181="X",1,0)</f>
        <v>0</v>
      </c>
      <c r="AK181" s="15">
        <f>+'ENCUESTA CONDUCTORES'!AS181</f>
        <v>0</v>
      </c>
      <c r="AL181" s="15" t="str">
        <f>+'ENCUESTA CONDUCTORES'!AT181</f>
        <v>CUMMINS</v>
      </c>
      <c r="AM181" s="1">
        <f>+'ENCUESTA CONDUCTORES'!AU181</f>
        <v>8000</v>
      </c>
      <c r="AN181" s="48">
        <f>+'ENCUESTA CONDUCTORES'!AV181</f>
        <v>0.1</v>
      </c>
      <c r="AO181" s="15">
        <f>+'ENCUESTA CONDUCTORES'!AW181</f>
        <v>2.8</v>
      </c>
      <c r="AP181" s="15">
        <f>+'ENCUESTA CONDUCTORES'!AX181</f>
        <v>2.4</v>
      </c>
      <c r="AQ181" s="15">
        <f>+'ENCUESTA CONDUCTORES'!AY181</f>
        <v>2</v>
      </c>
      <c r="AR181" s="15">
        <f>+'ENCUESTA CONDUCTORES'!AZ181</f>
        <v>800</v>
      </c>
      <c r="AS181" s="15">
        <f>+'ENCUESTA CONDUCTORES'!BA181</f>
        <v>2200</v>
      </c>
      <c r="AT181" s="15">
        <f>IF('ENCUESTA CONDUCTORES'!BB181="X",1,0)</f>
        <v>1</v>
      </c>
      <c r="AU181" s="15">
        <f>IF('ENCUESTA CONDUCTORES'!BC181="X",1,0)</f>
        <v>0</v>
      </c>
      <c r="AV181" s="15">
        <f>IF('ENCUESTA CONDUCTORES'!BD181="X",1,0)</f>
        <v>0</v>
      </c>
      <c r="AW181" s="1">
        <f>+'ENCUESTA CONDUCTORES'!BE181</f>
        <v>18000</v>
      </c>
      <c r="AX181" s="1">
        <f>+'ENCUESTA CONDUCTORES'!BF181</f>
        <v>180000</v>
      </c>
      <c r="AY181" s="1">
        <f>+'ENCUESTA CONDUCTORES'!BG181</f>
        <v>36000</v>
      </c>
      <c r="AZ181" s="1">
        <f>+'ENCUESTA CONDUCTORES'!BH181</f>
        <v>100000</v>
      </c>
      <c r="BA181" s="1" t="str">
        <f>+'ENCUESTA CONDUCTORES'!BI181</f>
        <v>NO SABE</v>
      </c>
      <c r="BB181" s="15">
        <f>IF('ENCUESTA CONDUCTORES'!BJ181="X",1,0)</f>
        <v>0</v>
      </c>
      <c r="BC181" s="15">
        <f>IF('ENCUESTA CONDUCTORES'!BK181="X",1,0)</f>
        <v>0</v>
      </c>
      <c r="BD181" s="15">
        <f>IF('ENCUESTA CONDUCTORES'!BL181="X",1,0)</f>
        <v>0</v>
      </c>
      <c r="BE181" s="15">
        <f>IF('ENCUESTA CONDUCTORES'!BM181="X",1,0)</f>
        <v>0</v>
      </c>
      <c r="BF181" s="15">
        <f>IF('ENCUESTA CONDUCTORES'!BN181="X",1,0)</f>
        <v>0</v>
      </c>
      <c r="BG181" s="15">
        <f>IF('ENCUESTA CONDUCTORES'!BO181="X",1,0)</f>
        <v>0</v>
      </c>
      <c r="BH181" s="15">
        <f>IF('ENCUESTA CONDUCTORES'!BP181="X",1,0)</f>
        <v>1</v>
      </c>
      <c r="BI181" s="15">
        <f>IF('ENCUESTA CONDUCTORES'!BQ181="X",1,0)</f>
        <v>0</v>
      </c>
      <c r="BJ181" s="15">
        <f>IF('ENCUESTA CONDUCTORES'!BR181="X",1,0)</f>
        <v>0</v>
      </c>
      <c r="BK181" s="15">
        <f>+'ENCUESTA CONDUCTORES'!BS181</f>
        <v>0</v>
      </c>
      <c r="BL181" s="15">
        <f>IF('ENCUESTA CONDUCTORES'!BT181="X",1,0)</f>
        <v>0</v>
      </c>
      <c r="BM181" s="15">
        <f>IF('ENCUESTA CONDUCTORES'!BU181="X",1,0)</f>
        <v>1</v>
      </c>
      <c r="BN181" s="15">
        <f>IF('ENCUESTA CONDUCTORES'!BV181="X",1,0)</f>
        <v>0</v>
      </c>
      <c r="BO181" s="15">
        <f>IF('ENCUESTA CONDUCTORES'!BW181="X",1,0)</f>
        <v>0</v>
      </c>
      <c r="BP181" s="15">
        <f>+'ENCUESTA CONDUCTORES'!BX181</f>
        <v>1</v>
      </c>
      <c r="BQ181" s="15">
        <f>+'ENCUESTA CONDUCTORES'!BY181</f>
        <v>3</v>
      </c>
      <c r="BR181" s="15">
        <f>+'ENCUESTA CONDUCTORES'!BZ181</f>
        <v>2</v>
      </c>
      <c r="BS181" s="15">
        <f>+'ENCUESTA CONDUCTORES'!CA181</f>
        <v>0</v>
      </c>
      <c r="BT181" s="15">
        <f>IF('ENCUESTA CONDUCTORES'!CB181="X",1,0)</f>
        <v>1</v>
      </c>
      <c r="BU181" s="15">
        <f>IF('ENCUESTA CONDUCTORES'!CC181="X",1,0)</f>
        <v>0</v>
      </c>
      <c r="BV181" s="15">
        <f>IF('ENCUESTA CONDUCTORES'!CD181="X",1,0)</f>
        <v>0</v>
      </c>
      <c r="BW181" s="15">
        <f>IF('ENCUESTA CONDUCTORES'!CE181="X",1,0)</f>
        <v>0</v>
      </c>
      <c r="BX181" s="15">
        <f>IF('ENCUESTA CONDUCTORES'!CF181="X",1,0)</f>
        <v>0</v>
      </c>
      <c r="BY181" s="15">
        <f>IF('ENCUESTA CONDUCTORES'!CG181="X",1,0)</f>
        <v>0</v>
      </c>
      <c r="BZ181" s="15">
        <f>IF('ENCUESTA CONDUCTORES'!CH181="X",1,0)</f>
        <v>0</v>
      </c>
      <c r="CA181" s="15">
        <f>IF('ENCUESTA CONDUCTORES'!CI181="X",1,0)</f>
        <v>0</v>
      </c>
      <c r="CB181" s="15">
        <f>IF('ENCUESTA CONDUCTORES'!CJ181="X",1,0)</f>
        <v>0</v>
      </c>
      <c r="CC181" s="15">
        <f>IF('ENCUESTA CONDUCTORES'!CK181="X",1,0)</f>
        <v>1</v>
      </c>
      <c r="CD181" s="15">
        <f>IF('ENCUESTA CONDUCTORES'!CL181="X",1,0)</f>
        <v>0</v>
      </c>
      <c r="CE181" s="15">
        <f>IF('ENCUESTA CONDUCTORES'!CM181="X",1,0)</f>
        <v>0</v>
      </c>
      <c r="CF181" s="15">
        <f>+'ENCUESTA CONDUCTORES'!CN181</f>
        <v>0</v>
      </c>
      <c r="CG181" s="15">
        <f>IF('ENCUESTA CONDUCTORES'!CO181="X",1,0)</f>
        <v>0</v>
      </c>
      <c r="CH181" s="15" t="str">
        <f>+'ENCUESTA CONDUCTORES'!CP181</f>
        <v>NO SABE</v>
      </c>
      <c r="CI181" s="15" t="str">
        <f>+'ENCUESTA CONDUCTORES'!CQ181</f>
        <v>NO SABE</v>
      </c>
      <c r="CJ181" s="15">
        <f>IF('ENCUESTA CONDUCTORES'!CR181="X",1,0)</f>
        <v>1</v>
      </c>
      <c r="CK181" s="15">
        <f>IF('ENCUESTA CONDUCTORES'!CS181="X",1,0)</f>
        <v>0</v>
      </c>
      <c r="CL181" s="15">
        <f>IF('ENCUESTA CONDUCTORES'!CT181="X",1,0)</f>
        <v>0</v>
      </c>
      <c r="CM181" s="15">
        <f>+'ENCUESTA CONDUCTORES'!CU181</f>
        <v>0</v>
      </c>
      <c r="CN181" s="15">
        <f>IF('ENCUESTA CONDUCTORES'!CV181="X",1,0)</f>
        <v>0</v>
      </c>
      <c r="CO181" s="15">
        <f>+'ENCUESTA CONDUCTORES'!CW181</f>
        <v>0</v>
      </c>
      <c r="CP181" s="15">
        <f>IF('ENCUESTA CONDUCTORES'!CX181="X",1,0)</f>
        <v>0</v>
      </c>
      <c r="CQ181" s="15">
        <f>IF('ENCUESTA CONDUCTORES'!CY181="X",1,0)</f>
        <v>1</v>
      </c>
      <c r="CR181" s="3">
        <f>+'ENCUESTA CONDUCTORES'!CZ181</f>
        <v>0</v>
      </c>
      <c r="CS181" s="49" t="str">
        <f>+'ENCUESTA CONDUCTORES'!DA181</f>
        <v>CUMMINS N14 PLUS</v>
      </c>
    </row>
    <row r="182" spans="2:97" x14ac:dyDescent="0.25">
      <c r="B182" s="14" t="str">
        <f>+'ENCUESTA CONDUCTORES'!D182</f>
        <v>C-188</v>
      </c>
      <c r="C182" s="15">
        <f>IF('ENCUESTA CONDUCTORES'!E182="X",1,0)</f>
        <v>0</v>
      </c>
      <c r="D182" s="15">
        <f>IF('ENCUESTA CONDUCTORES'!F182="X",1,0)</f>
        <v>0</v>
      </c>
      <c r="E182" s="15">
        <f>IF('ENCUESTA CONDUCTORES'!G182="X",1,0)</f>
        <v>1</v>
      </c>
      <c r="F182" s="15">
        <f>IF('ENCUESTA CONDUCTORES'!H182="X",1,0)</f>
        <v>0</v>
      </c>
      <c r="G182" s="15">
        <f>+'ENCUESTA CONDUCTORES'!I182</f>
        <v>32</v>
      </c>
      <c r="H182" s="15" t="str">
        <f>+'ENCUESTA CONDUCTORES'!J182</f>
        <v>M</v>
      </c>
      <c r="I182" s="15" t="str">
        <f>+'ENCUESTA CONDUCTORES'!K182</f>
        <v>SIN ESTUDIOS</v>
      </c>
      <c r="J182" s="15" t="str">
        <f>+'ENCUESTA CONDUCTORES'!L182</f>
        <v>VILLAGRÁN, GTO.</v>
      </c>
      <c r="K182" s="50" t="str">
        <f>+'ENCUESTA CONDUCTORES'!M182</f>
        <v>VILLAGRÁN</v>
      </c>
      <c r="L182" s="15" t="str">
        <f>+'ENCUESTA CONDUCTORES'!N182</f>
        <v>GUANAJUATO</v>
      </c>
      <c r="M182" s="15">
        <f>+'ENCUESTA CONDUCTORES'!O182</f>
        <v>15</v>
      </c>
      <c r="N182" s="15">
        <f>IF('ENCUESTA CONDUCTORES'!P182="X",1,0)</f>
        <v>0</v>
      </c>
      <c r="O182" s="15">
        <f>IF('ENCUESTA CONDUCTORES'!Q182="X",1,0)</f>
        <v>0</v>
      </c>
      <c r="P182" s="15">
        <f>IF('ENCUESTA CONDUCTORES'!R182="X",1,0)</f>
        <v>0</v>
      </c>
      <c r="Q182" s="15">
        <f>IF('ENCUESTA CONDUCTORES'!S182="X",1,0)</f>
        <v>1</v>
      </c>
      <c r="R182" s="15">
        <f>IF('ENCUESTA CONDUCTORES'!T182="X",1,0)</f>
        <v>0</v>
      </c>
      <c r="S182" s="15">
        <f>IF('ENCUESTA CONDUCTORES'!U182="X",1,0)</f>
        <v>1</v>
      </c>
      <c r="T182" s="15">
        <f>IF('ENCUESTA CONDUCTORES'!V182="X",1,0)</f>
        <v>0</v>
      </c>
      <c r="U182" s="15">
        <f>IF('ENCUESTA CONDUCTORES'!W182="X",1,0)</f>
        <v>0</v>
      </c>
      <c r="V182" s="15">
        <f>IF('ENCUESTA CONDUCTORES'!X182="X",1,0)</f>
        <v>0</v>
      </c>
      <c r="W182" s="15">
        <f>IF('ENCUESTA CONDUCTORES'!Y182="X",1,0)</f>
        <v>0</v>
      </c>
      <c r="X182" s="15">
        <f>IF('ENCUESTA CONDUCTORES'!Z182="X",1,0)</f>
        <v>0</v>
      </c>
      <c r="Y182" s="15">
        <f>+'ENCUESTA CONDUCTORES'!AG182</f>
        <v>0</v>
      </c>
      <c r="Z182" s="15">
        <f>+'ENCUESTA CONDUCTORES'!AH182</f>
        <v>2003</v>
      </c>
      <c r="AA182" s="1">
        <f>+'ENCUESTA CONDUCTORES'!AI182</f>
        <v>648717</v>
      </c>
      <c r="AB182" s="15">
        <f>IF('ENCUESTA CONDUCTORES'!AJ182="X",1,0)</f>
        <v>0</v>
      </c>
      <c r="AC182" s="15">
        <f>IF('ENCUESTA CONDUCTORES'!AK182="X",1,0)</f>
        <v>0</v>
      </c>
      <c r="AD182" s="15">
        <f>IF('ENCUESTA CONDUCTORES'!AL182="X",1,0)</f>
        <v>1</v>
      </c>
      <c r="AE182" s="15">
        <f>IF('ENCUESTA CONDUCTORES'!AM182="X",1,0)</f>
        <v>0</v>
      </c>
      <c r="AF182" s="15">
        <f>IF('ENCUESTA CONDUCTORES'!AN182="X",1,0)</f>
        <v>0</v>
      </c>
      <c r="AG182" s="15">
        <f>IF('ENCUESTA CONDUCTORES'!AO182="X",1,0)</f>
        <v>1</v>
      </c>
      <c r="AH182" s="15">
        <f>IF('ENCUESTA CONDUCTORES'!AP182="X",1,0)</f>
        <v>0</v>
      </c>
      <c r="AI182" s="15">
        <f>IF('ENCUESTA CONDUCTORES'!AQ182="X",1,0)</f>
        <v>0</v>
      </c>
      <c r="AJ182" s="15">
        <f>IF('ENCUESTA CONDUCTORES'!AR182="X",1,0)</f>
        <v>0</v>
      </c>
      <c r="AK182" s="15">
        <f>+'ENCUESTA CONDUCTORES'!AS182</f>
        <v>0</v>
      </c>
      <c r="AL182" s="15" t="str">
        <f>+'ENCUESTA CONDUCTORES'!AT182</f>
        <v>NO SABE</v>
      </c>
      <c r="AM182" s="1">
        <f>+'ENCUESTA CONDUCTORES'!AU182</f>
        <v>12500</v>
      </c>
      <c r="AN182" s="48">
        <f>+'ENCUESTA CONDUCTORES'!AV182</f>
        <v>0</v>
      </c>
      <c r="AO182" s="15">
        <f>+'ENCUESTA CONDUCTORES'!AW182</f>
        <v>2.9</v>
      </c>
      <c r="AP182" s="15">
        <f>+'ENCUESTA CONDUCTORES'!AX182</f>
        <v>2.4</v>
      </c>
      <c r="AQ182" s="15">
        <f>+'ENCUESTA CONDUCTORES'!AY182</f>
        <v>3</v>
      </c>
      <c r="AR182" s="15">
        <f>+'ENCUESTA CONDUCTORES'!AZ182</f>
        <v>1100</v>
      </c>
      <c r="AS182" s="15">
        <f>+'ENCUESTA CONDUCTORES'!BA182</f>
        <v>3000</v>
      </c>
      <c r="AT182" s="15">
        <f>IF('ENCUESTA CONDUCTORES'!BB182="X",1,0)</f>
        <v>1</v>
      </c>
      <c r="AU182" s="15">
        <f>IF('ENCUESTA CONDUCTORES'!BC182="X",1,0)</f>
        <v>1</v>
      </c>
      <c r="AV182" s="15">
        <f>IF('ENCUESTA CONDUCTORES'!BD182="X",1,0)</f>
        <v>0</v>
      </c>
      <c r="AW182" s="1">
        <f>+'ENCUESTA CONDUCTORES'!BE182</f>
        <v>25000</v>
      </c>
      <c r="AX182" s="1">
        <f>+'ENCUESTA CONDUCTORES'!BF182</f>
        <v>200000</v>
      </c>
      <c r="AY182" s="1">
        <f>+'ENCUESTA CONDUCTORES'!BG182</f>
        <v>25000</v>
      </c>
      <c r="AZ182" s="1">
        <f>+'ENCUESTA CONDUCTORES'!BH182</f>
        <v>200000</v>
      </c>
      <c r="BA182" s="1" t="str">
        <f>+'ENCUESTA CONDUCTORES'!BI182</f>
        <v>NO SABE</v>
      </c>
      <c r="BB182" s="15">
        <f>IF('ENCUESTA CONDUCTORES'!BJ182="X",1,0)</f>
        <v>0</v>
      </c>
      <c r="BC182" s="15">
        <f>IF('ENCUESTA CONDUCTORES'!BK182="X",1,0)</f>
        <v>0</v>
      </c>
      <c r="BD182" s="15">
        <f>IF('ENCUESTA CONDUCTORES'!BL182="X",1,0)</f>
        <v>0</v>
      </c>
      <c r="BE182" s="15">
        <f>IF('ENCUESTA CONDUCTORES'!BM182="X",1,0)</f>
        <v>0</v>
      </c>
      <c r="BF182" s="15">
        <f>IF('ENCUESTA CONDUCTORES'!BN182="X",1,0)</f>
        <v>0</v>
      </c>
      <c r="BG182" s="15">
        <f>IF('ENCUESTA CONDUCTORES'!BO182="X",1,0)</f>
        <v>0</v>
      </c>
      <c r="BH182" s="15">
        <f>IF('ENCUESTA CONDUCTORES'!BP182="X",1,0)</f>
        <v>0</v>
      </c>
      <c r="BI182" s="15">
        <f>IF('ENCUESTA CONDUCTORES'!BQ182="X",1,0)</f>
        <v>0</v>
      </c>
      <c r="BJ182" s="15">
        <f>IF('ENCUESTA CONDUCTORES'!BR182="X",1,0)</f>
        <v>0</v>
      </c>
      <c r="BK182" s="15" t="str">
        <f>+'ENCUESTA CONDUCTORES'!BS182</f>
        <v>IMPORTACIÓN / EXPORTACIÓN</v>
      </c>
      <c r="BL182" s="15">
        <f>IF('ENCUESTA CONDUCTORES'!BT182="X",1,0)</f>
        <v>0</v>
      </c>
      <c r="BM182" s="15">
        <f>IF('ENCUESTA CONDUCTORES'!BU182="X",1,0)</f>
        <v>1</v>
      </c>
      <c r="BN182" s="15">
        <f>IF('ENCUESTA CONDUCTORES'!BV182="X",1,0)</f>
        <v>0</v>
      </c>
      <c r="BO182" s="15">
        <f>IF('ENCUESTA CONDUCTORES'!BW182="X",1,0)</f>
        <v>0</v>
      </c>
      <c r="BP182" s="15">
        <f>+'ENCUESTA CONDUCTORES'!BX182</f>
        <v>2</v>
      </c>
      <c r="BQ182" s="15">
        <f>+'ENCUESTA CONDUCTORES'!BY182</f>
        <v>3</v>
      </c>
      <c r="BR182" s="15">
        <f>+'ENCUESTA CONDUCTORES'!BZ182</f>
        <v>1</v>
      </c>
      <c r="BS182" s="15">
        <f>+'ENCUESTA CONDUCTORES'!CA182</f>
        <v>0</v>
      </c>
      <c r="BT182" s="15">
        <f>IF('ENCUESTA CONDUCTORES'!CB182="X",1,0)</f>
        <v>1</v>
      </c>
      <c r="BU182" s="15">
        <f>IF('ENCUESTA CONDUCTORES'!CC182="X",1,0)</f>
        <v>0</v>
      </c>
      <c r="BV182" s="15">
        <f>IF('ENCUESTA CONDUCTORES'!CD182="X",1,0)</f>
        <v>0</v>
      </c>
      <c r="BW182" s="15">
        <f>IF('ENCUESTA CONDUCTORES'!CE182="X",1,0)</f>
        <v>0</v>
      </c>
      <c r="BX182" s="15">
        <f>IF('ENCUESTA CONDUCTORES'!CF182="X",1,0)</f>
        <v>0</v>
      </c>
      <c r="BY182" s="15">
        <f>IF('ENCUESTA CONDUCTORES'!CG182="X",1,0)</f>
        <v>0</v>
      </c>
      <c r="BZ182" s="15">
        <f>IF('ENCUESTA CONDUCTORES'!CH182="X",1,0)</f>
        <v>0</v>
      </c>
      <c r="CA182" s="15">
        <f>IF('ENCUESTA CONDUCTORES'!CI182="X",1,0)</f>
        <v>0</v>
      </c>
      <c r="CB182" s="15">
        <f>IF('ENCUESTA CONDUCTORES'!CJ182="X",1,0)</f>
        <v>0</v>
      </c>
      <c r="CC182" s="15">
        <f>IF('ENCUESTA CONDUCTORES'!CK182="X",1,0)</f>
        <v>1</v>
      </c>
      <c r="CD182" s="15">
        <f>IF('ENCUESTA CONDUCTORES'!CL182="X",1,0)</f>
        <v>0</v>
      </c>
      <c r="CE182" s="15">
        <f>IF('ENCUESTA CONDUCTORES'!CM182="X",1,0)</f>
        <v>0</v>
      </c>
      <c r="CF182" s="15">
        <f>+'ENCUESTA CONDUCTORES'!CN182</f>
        <v>0</v>
      </c>
      <c r="CG182" s="15">
        <f>IF('ENCUESTA CONDUCTORES'!CO182="X",1,0)</f>
        <v>0</v>
      </c>
      <c r="CH182" s="15" t="str">
        <f>+'ENCUESTA CONDUCTORES'!CP182</f>
        <v>NO SABE</v>
      </c>
      <c r="CI182" s="15" t="str">
        <f>+'ENCUESTA CONDUCTORES'!CQ182</f>
        <v>NO CONTESTA</v>
      </c>
      <c r="CJ182" s="15">
        <f>IF('ENCUESTA CONDUCTORES'!CR182="X",1,0)</f>
        <v>1</v>
      </c>
      <c r="CK182" s="15">
        <f>IF('ENCUESTA CONDUCTORES'!CS182="X",1,0)</f>
        <v>0</v>
      </c>
      <c r="CL182" s="15">
        <f>IF('ENCUESTA CONDUCTORES'!CT182="X",1,0)</f>
        <v>0</v>
      </c>
      <c r="CM182" s="15">
        <f>+'ENCUESTA CONDUCTORES'!CU182</f>
        <v>0</v>
      </c>
      <c r="CN182" s="15">
        <f>IF('ENCUESTA CONDUCTORES'!CV182="X",1,0)</f>
        <v>0</v>
      </c>
      <c r="CO182" s="15">
        <f>+'ENCUESTA CONDUCTORES'!CW182</f>
        <v>0</v>
      </c>
      <c r="CP182" s="15">
        <f>IF('ENCUESTA CONDUCTORES'!CX182="X",1,0)</f>
        <v>1</v>
      </c>
      <c r="CQ182" s="15">
        <f>IF('ENCUESTA CONDUCTORES'!CY182="X",1,0)</f>
        <v>1</v>
      </c>
      <c r="CR182" s="3">
        <f>+'ENCUESTA CONDUCTORES'!CZ182</f>
        <v>0</v>
      </c>
      <c r="CS182" s="49">
        <f>+'ENCUESTA CONDUCTORES'!DA182</f>
        <v>0</v>
      </c>
    </row>
    <row r="183" spans="2:97" x14ac:dyDescent="0.25">
      <c r="B183" s="14" t="str">
        <f>+'ENCUESTA CONDUCTORES'!D183</f>
        <v>C-189</v>
      </c>
      <c r="C183" s="15">
        <f>IF('ENCUESTA CONDUCTORES'!E183="X",1,0)</f>
        <v>1</v>
      </c>
      <c r="D183" s="15">
        <f>IF('ENCUESTA CONDUCTORES'!F183="X",1,0)</f>
        <v>0</v>
      </c>
      <c r="E183" s="15">
        <f>IF('ENCUESTA CONDUCTORES'!G183="X",1,0)</f>
        <v>0</v>
      </c>
      <c r="F183" s="15">
        <f>IF('ENCUESTA CONDUCTORES'!H183="X",1,0)</f>
        <v>0</v>
      </c>
      <c r="G183" s="15">
        <f>+'ENCUESTA CONDUCTORES'!I183</f>
        <v>28</v>
      </c>
      <c r="H183" s="15" t="str">
        <f>+'ENCUESTA CONDUCTORES'!J183</f>
        <v>M</v>
      </c>
      <c r="I183" s="15" t="str">
        <f>+'ENCUESTA CONDUCTORES'!K183</f>
        <v>SECUNDARIA</v>
      </c>
      <c r="J183" s="15" t="str">
        <f>+'ENCUESTA CONDUCTORES'!L183</f>
        <v>CELAYA, GTO.</v>
      </c>
      <c r="K183" s="50" t="str">
        <f>+'ENCUESTA CONDUCTORES'!M183</f>
        <v>CELAYA</v>
      </c>
      <c r="L183" s="15" t="str">
        <f>+'ENCUESTA CONDUCTORES'!N183</f>
        <v>GUANAJUATO</v>
      </c>
      <c r="M183" s="15">
        <f>+'ENCUESTA CONDUCTORES'!O183</f>
        <v>6</v>
      </c>
      <c r="N183" s="15">
        <f>IF('ENCUESTA CONDUCTORES'!P183="X",1,0)</f>
        <v>0</v>
      </c>
      <c r="O183" s="15">
        <f>IF('ENCUESTA CONDUCTORES'!Q183="X",1,0)</f>
        <v>1</v>
      </c>
      <c r="P183" s="15">
        <f>IF('ENCUESTA CONDUCTORES'!R183="X",1,0)</f>
        <v>0</v>
      </c>
      <c r="Q183" s="15">
        <f>IF('ENCUESTA CONDUCTORES'!S183="X",1,0)</f>
        <v>0</v>
      </c>
      <c r="R183" s="15">
        <f>IF('ENCUESTA CONDUCTORES'!T183="X",1,0)</f>
        <v>0</v>
      </c>
      <c r="S183" s="15">
        <f>IF('ENCUESTA CONDUCTORES'!U183="X",1,0)</f>
        <v>0</v>
      </c>
      <c r="T183" s="15">
        <f>IF('ENCUESTA CONDUCTORES'!V183="X",1,0)</f>
        <v>0</v>
      </c>
      <c r="U183" s="15">
        <f>IF('ENCUESTA CONDUCTORES'!W183="X",1,0)</f>
        <v>0</v>
      </c>
      <c r="V183" s="15">
        <f>IF('ENCUESTA CONDUCTORES'!X183="X",1,0)</f>
        <v>0</v>
      </c>
      <c r="W183" s="15">
        <f>IF('ENCUESTA CONDUCTORES'!Y183="X",1,0)</f>
        <v>0</v>
      </c>
      <c r="X183" s="15">
        <f>IF('ENCUESTA CONDUCTORES'!Z183="X",1,0)</f>
        <v>0</v>
      </c>
      <c r="Y183" s="15">
        <f>+'ENCUESTA CONDUCTORES'!AG183</f>
        <v>0</v>
      </c>
      <c r="Z183" s="15">
        <f>+'ENCUESTA CONDUCTORES'!AH183</f>
        <v>2009</v>
      </c>
      <c r="AA183" s="1">
        <f>+'ENCUESTA CONDUCTORES'!AI183</f>
        <v>361234</v>
      </c>
      <c r="AB183" s="15">
        <f>IF('ENCUESTA CONDUCTORES'!AJ183="X",1,0)</f>
        <v>0</v>
      </c>
      <c r="AC183" s="15">
        <f>IF('ENCUESTA CONDUCTORES'!AK183="X",1,0)</f>
        <v>0</v>
      </c>
      <c r="AD183" s="15">
        <f>IF('ENCUESTA CONDUCTORES'!AL183="X",1,0)</f>
        <v>1</v>
      </c>
      <c r="AE183" s="15">
        <f>IF('ENCUESTA CONDUCTORES'!AM183="X",1,0)</f>
        <v>0</v>
      </c>
      <c r="AF183" s="15">
        <f>IF('ENCUESTA CONDUCTORES'!AN183="X",1,0)</f>
        <v>0</v>
      </c>
      <c r="AG183" s="15">
        <f>IF('ENCUESTA CONDUCTORES'!AO183="X",1,0)</f>
        <v>0</v>
      </c>
      <c r="AH183" s="15">
        <f>IF('ENCUESTA CONDUCTORES'!AP183="X",1,0)</f>
        <v>1</v>
      </c>
      <c r="AI183" s="15">
        <f>IF('ENCUESTA CONDUCTORES'!AQ183="X",1,0)</f>
        <v>0</v>
      </c>
      <c r="AJ183" s="15">
        <f>IF('ENCUESTA CONDUCTORES'!AR183="X",1,0)</f>
        <v>0</v>
      </c>
      <c r="AK183" s="15">
        <f>+'ENCUESTA CONDUCTORES'!AS183</f>
        <v>0</v>
      </c>
      <c r="AL183" s="15" t="str">
        <f>+'ENCUESTA CONDUCTORES'!AT183</f>
        <v>CUMMINS</v>
      </c>
      <c r="AM183" s="1">
        <f>+'ENCUESTA CONDUCTORES'!AU183</f>
        <v>8000</v>
      </c>
      <c r="AN183" s="48">
        <f>+'ENCUESTA CONDUCTORES'!AV183</f>
        <v>0</v>
      </c>
      <c r="AO183" s="15">
        <f>+'ENCUESTA CONDUCTORES'!AW183</f>
        <v>3.7</v>
      </c>
      <c r="AP183" s="15">
        <f>+'ENCUESTA CONDUCTORES'!AX183</f>
        <v>3.1</v>
      </c>
      <c r="AQ183" s="15">
        <f>+'ENCUESTA CONDUCTORES'!AY183</f>
        <v>2</v>
      </c>
      <c r="AR183" s="15">
        <f>+'ENCUESTA CONDUCTORES'!AZ183</f>
        <v>510</v>
      </c>
      <c r="AS183" s="15">
        <f>+'ENCUESTA CONDUCTORES'!BA183</f>
        <v>1800</v>
      </c>
      <c r="AT183" s="15">
        <f>IF('ENCUESTA CONDUCTORES'!BB183="X",1,0)</f>
        <v>1</v>
      </c>
      <c r="AU183" s="15">
        <f>IF('ENCUESTA CONDUCTORES'!BC183="X",1,0)</f>
        <v>0</v>
      </c>
      <c r="AV183" s="15">
        <f>IF('ENCUESTA CONDUCTORES'!BD183="X",1,0)</f>
        <v>0</v>
      </c>
      <c r="AW183" s="1">
        <f>+'ENCUESTA CONDUCTORES'!BE183</f>
        <v>24000</v>
      </c>
      <c r="AX183" s="1" t="str">
        <f>+'ENCUESTA CONDUCTORES'!BF183</f>
        <v>NO SABE</v>
      </c>
      <c r="AY183" s="1">
        <f>+'ENCUESTA CONDUCTORES'!BG183</f>
        <v>24000</v>
      </c>
      <c r="AZ183" s="1">
        <f>+'ENCUESTA CONDUCTORES'!BH183</f>
        <v>120000</v>
      </c>
      <c r="BA183" s="1" t="str">
        <f>+'ENCUESTA CONDUCTORES'!BI183</f>
        <v>NO SABE</v>
      </c>
      <c r="BB183" s="15">
        <f>IF('ENCUESTA CONDUCTORES'!BJ183="X",1,0)</f>
        <v>0</v>
      </c>
      <c r="BC183" s="15">
        <f>IF('ENCUESTA CONDUCTORES'!BK183="X",1,0)</f>
        <v>0</v>
      </c>
      <c r="BD183" s="15">
        <f>IF('ENCUESTA CONDUCTORES'!BL183="X",1,0)</f>
        <v>0</v>
      </c>
      <c r="BE183" s="15">
        <f>IF('ENCUESTA CONDUCTORES'!BM183="X",1,0)</f>
        <v>0</v>
      </c>
      <c r="BF183" s="15">
        <f>IF('ENCUESTA CONDUCTORES'!BN183="X",1,0)</f>
        <v>0</v>
      </c>
      <c r="BG183" s="15">
        <f>IF('ENCUESTA CONDUCTORES'!BO183="X",1,0)</f>
        <v>1</v>
      </c>
      <c r="BH183" s="15">
        <f>IF('ENCUESTA CONDUCTORES'!BP183="X",1,0)</f>
        <v>0</v>
      </c>
      <c r="BI183" s="15">
        <f>IF('ENCUESTA CONDUCTORES'!BQ183="X",1,0)</f>
        <v>0</v>
      </c>
      <c r="BJ183" s="15">
        <f>IF('ENCUESTA CONDUCTORES'!BR183="X",1,0)</f>
        <v>0</v>
      </c>
      <c r="BK183" s="15">
        <f>+'ENCUESTA CONDUCTORES'!BS183</f>
        <v>0</v>
      </c>
      <c r="BL183" s="15">
        <f>IF('ENCUESTA CONDUCTORES'!BT183="X",1,0)</f>
        <v>0</v>
      </c>
      <c r="BM183" s="15">
        <f>IF('ENCUESTA CONDUCTORES'!BU183="X",1,0)</f>
        <v>1</v>
      </c>
      <c r="BN183" s="15">
        <f>IF('ENCUESTA CONDUCTORES'!BV183="X",1,0)</f>
        <v>0</v>
      </c>
      <c r="BO183" s="15">
        <f>IF('ENCUESTA CONDUCTORES'!BW183="X",1,0)</f>
        <v>0</v>
      </c>
      <c r="BP183" s="15">
        <f>+'ENCUESTA CONDUCTORES'!BX183</f>
        <v>3</v>
      </c>
      <c r="BQ183" s="15">
        <f>+'ENCUESTA CONDUCTORES'!BY183</f>
        <v>2</v>
      </c>
      <c r="BR183" s="15">
        <f>+'ENCUESTA CONDUCTORES'!BZ183</f>
        <v>1</v>
      </c>
      <c r="BS183" s="15">
        <f>+'ENCUESTA CONDUCTORES'!CA183</f>
        <v>0</v>
      </c>
      <c r="BT183" s="15">
        <f>IF('ENCUESTA CONDUCTORES'!CB183="X",1,0)</f>
        <v>1</v>
      </c>
      <c r="BU183" s="15">
        <f>IF('ENCUESTA CONDUCTORES'!CC183="X",1,0)</f>
        <v>0</v>
      </c>
      <c r="BV183" s="15">
        <f>IF('ENCUESTA CONDUCTORES'!CD183="X",1,0)</f>
        <v>0</v>
      </c>
      <c r="BW183" s="15">
        <f>IF('ENCUESTA CONDUCTORES'!CE183="X",1,0)</f>
        <v>0</v>
      </c>
      <c r="BX183" s="15">
        <f>IF('ENCUESTA CONDUCTORES'!CF183="X",1,0)</f>
        <v>0</v>
      </c>
      <c r="BY183" s="15">
        <f>IF('ENCUESTA CONDUCTORES'!CG183="X",1,0)</f>
        <v>0</v>
      </c>
      <c r="BZ183" s="15">
        <f>IF('ENCUESTA CONDUCTORES'!CH183="X",1,0)</f>
        <v>0</v>
      </c>
      <c r="CA183" s="15">
        <f>IF('ENCUESTA CONDUCTORES'!CI183="X",1,0)</f>
        <v>0</v>
      </c>
      <c r="CB183" s="15">
        <f>IF('ENCUESTA CONDUCTORES'!CJ183="X",1,0)</f>
        <v>0</v>
      </c>
      <c r="CC183" s="15">
        <f>IF('ENCUESTA CONDUCTORES'!CK183="X",1,0)</f>
        <v>1</v>
      </c>
      <c r="CD183" s="15">
        <f>IF('ENCUESTA CONDUCTORES'!CL183="X",1,0)</f>
        <v>0</v>
      </c>
      <c r="CE183" s="15">
        <f>IF('ENCUESTA CONDUCTORES'!CM183="X",1,0)</f>
        <v>0</v>
      </c>
      <c r="CF183" s="15">
        <f>+'ENCUESTA CONDUCTORES'!CN183</f>
        <v>0</v>
      </c>
      <c r="CG183" s="15">
        <f>IF('ENCUESTA CONDUCTORES'!CO183="X",1,0)</f>
        <v>0</v>
      </c>
      <c r="CH183" s="15" t="str">
        <f>+'ENCUESTA CONDUCTORES'!CP183</f>
        <v>NO SABE</v>
      </c>
      <c r="CI183" s="15" t="str">
        <f>+'ENCUESTA CONDUCTORES'!CQ183</f>
        <v>NO CONTESTA</v>
      </c>
      <c r="CJ183" s="15">
        <f>IF('ENCUESTA CONDUCTORES'!CR183="X",1,0)</f>
        <v>1</v>
      </c>
      <c r="CK183" s="15">
        <f>IF('ENCUESTA CONDUCTORES'!CS183="X",1,0)</f>
        <v>0</v>
      </c>
      <c r="CL183" s="15">
        <f>IF('ENCUESTA CONDUCTORES'!CT183="X",1,0)</f>
        <v>0</v>
      </c>
      <c r="CM183" s="15">
        <f>+'ENCUESTA CONDUCTORES'!CU183</f>
        <v>0</v>
      </c>
      <c r="CN183" s="15">
        <f>IF('ENCUESTA CONDUCTORES'!CV183="X",1,0)</f>
        <v>0</v>
      </c>
      <c r="CO183" s="15">
        <f>+'ENCUESTA CONDUCTORES'!CW183</f>
        <v>0</v>
      </c>
      <c r="CP183" s="15">
        <f>IF('ENCUESTA CONDUCTORES'!CX183="X",1,0)</f>
        <v>1</v>
      </c>
      <c r="CQ183" s="15">
        <f>IF('ENCUESTA CONDUCTORES'!CY183="X",1,0)</f>
        <v>1</v>
      </c>
      <c r="CR183" s="3">
        <f>+'ENCUESTA CONDUCTORES'!CZ183</f>
        <v>0</v>
      </c>
      <c r="CS183" s="49" t="str">
        <f>+'ENCUESTA CONDUCTORES'!DA183</f>
        <v>CUMMINS ISC</v>
      </c>
    </row>
    <row r="184" spans="2:97" x14ac:dyDescent="0.25">
      <c r="B184" s="14" t="str">
        <f>+'ENCUESTA CONDUCTORES'!D184</f>
        <v>C-190</v>
      </c>
      <c r="C184" s="15">
        <f>IF('ENCUESTA CONDUCTORES'!E184="X",1,0)</f>
        <v>0</v>
      </c>
      <c r="D184" s="15">
        <f>IF('ENCUESTA CONDUCTORES'!F184="X",1,0)</f>
        <v>0</v>
      </c>
      <c r="E184" s="15">
        <f>IF('ENCUESTA CONDUCTORES'!G184="X",1,0)</f>
        <v>1</v>
      </c>
      <c r="F184" s="15">
        <f>IF('ENCUESTA CONDUCTORES'!H184="X",1,0)</f>
        <v>0</v>
      </c>
      <c r="G184" s="15">
        <f>+'ENCUESTA CONDUCTORES'!I184</f>
        <v>35</v>
      </c>
      <c r="H184" s="15" t="str">
        <f>+'ENCUESTA CONDUCTORES'!J184</f>
        <v>M</v>
      </c>
      <c r="I184" s="15" t="str">
        <f>+'ENCUESTA CONDUCTORES'!K184</f>
        <v>PRIMARIA</v>
      </c>
      <c r="J184" s="15" t="str">
        <f>+'ENCUESTA CONDUCTORES'!L184</f>
        <v>CORTAZAR, GTO.</v>
      </c>
      <c r="K184" s="50" t="str">
        <f>+'ENCUESTA CONDUCTORES'!M184</f>
        <v>CORTAZAR</v>
      </c>
      <c r="L184" s="15" t="str">
        <f>+'ENCUESTA CONDUCTORES'!N184</f>
        <v>GUANAJUATO</v>
      </c>
      <c r="M184" s="15">
        <f>+'ENCUESTA CONDUCTORES'!O184</f>
        <v>10</v>
      </c>
      <c r="N184" s="15">
        <f>IF('ENCUESTA CONDUCTORES'!P184="X",1,0)</f>
        <v>0</v>
      </c>
      <c r="O184" s="15">
        <f>IF('ENCUESTA CONDUCTORES'!Q184="X",1,0)</f>
        <v>0</v>
      </c>
      <c r="P184" s="15">
        <f>IF('ENCUESTA CONDUCTORES'!R184="X",1,0)</f>
        <v>0</v>
      </c>
      <c r="Q184" s="15">
        <f>IF('ENCUESTA CONDUCTORES'!S184="X",1,0)</f>
        <v>1</v>
      </c>
      <c r="R184" s="15">
        <f>IF('ENCUESTA CONDUCTORES'!T184="X",1,0)</f>
        <v>0</v>
      </c>
      <c r="S184" s="15">
        <f>IF('ENCUESTA CONDUCTORES'!U184="X",1,0)</f>
        <v>0</v>
      </c>
      <c r="T184" s="15">
        <f>IF('ENCUESTA CONDUCTORES'!V184="X",1,0)</f>
        <v>0</v>
      </c>
      <c r="U184" s="15">
        <f>IF('ENCUESTA CONDUCTORES'!W184="X",1,0)</f>
        <v>0</v>
      </c>
      <c r="V184" s="15">
        <f>IF('ENCUESTA CONDUCTORES'!X184="X",1,0)</f>
        <v>0</v>
      </c>
      <c r="W184" s="15">
        <f>IF('ENCUESTA CONDUCTORES'!Y184="X",1,0)</f>
        <v>0</v>
      </c>
      <c r="X184" s="15">
        <f>IF('ENCUESTA CONDUCTORES'!Z184="X",1,0)</f>
        <v>0</v>
      </c>
      <c r="Y184" s="15">
        <f>+'ENCUESTA CONDUCTORES'!AG184</f>
        <v>0</v>
      </c>
      <c r="Z184" s="15">
        <f>+'ENCUESTA CONDUCTORES'!AH184</f>
        <v>2007</v>
      </c>
      <c r="AA184" s="1">
        <f>+'ENCUESTA CONDUCTORES'!AI184</f>
        <v>298318</v>
      </c>
      <c r="AB184" s="15">
        <f>IF('ENCUESTA CONDUCTORES'!AJ184="X",1,0)</f>
        <v>0</v>
      </c>
      <c r="AC184" s="15">
        <f>IF('ENCUESTA CONDUCTORES'!AK184="X",1,0)</f>
        <v>0</v>
      </c>
      <c r="AD184" s="15">
        <f>IF('ENCUESTA CONDUCTORES'!AL184="X",1,0)</f>
        <v>1</v>
      </c>
      <c r="AE184" s="15">
        <f>IF('ENCUESTA CONDUCTORES'!AM184="X",1,0)</f>
        <v>0</v>
      </c>
      <c r="AF184" s="15">
        <f>IF('ENCUESTA CONDUCTORES'!AN184="X",1,0)</f>
        <v>0</v>
      </c>
      <c r="AG184" s="15">
        <f>IF('ENCUESTA CONDUCTORES'!AO184="X",1,0)</f>
        <v>0</v>
      </c>
      <c r="AH184" s="15">
        <f>IF('ENCUESTA CONDUCTORES'!AP184="X",1,0)</f>
        <v>1</v>
      </c>
      <c r="AI184" s="15">
        <f>IF('ENCUESTA CONDUCTORES'!AQ184="X",1,0)</f>
        <v>0</v>
      </c>
      <c r="AJ184" s="15">
        <f>IF('ENCUESTA CONDUCTORES'!AR184="X",1,0)</f>
        <v>0</v>
      </c>
      <c r="AK184" s="15">
        <f>+'ENCUESTA CONDUCTORES'!AS184</f>
        <v>0</v>
      </c>
      <c r="AL184" s="15" t="str">
        <f>+'ENCUESTA CONDUCTORES'!AT184</f>
        <v>CUMMINS</v>
      </c>
      <c r="AM184" s="1">
        <f>+'ENCUESTA CONDUCTORES'!AU184</f>
        <v>4000</v>
      </c>
      <c r="AN184" s="48">
        <f>+'ENCUESTA CONDUCTORES'!AV184</f>
        <v>0.5</v>
      </c>
      <c r="AO184" s="15">
        <f>+'ENCUESTA CONDUCTORES'!AW184</f>
        <v>2.6</v>
      </c>
      <c r="AP184" s="15">
        <f>+'ENCUESTA CONDUCTORES'!AX184</f>
        <v>2</v>
      </c>
      <c r="AQ184" s="15">
        <f>+'ENCUESTA CONDUCTORES'!AY184</f>
        <v>2</v>
      </c>
      <c r="AR184" s="15">
        <f>+'ENCUESTA CONDUCTORES'!AZ184</f>
        <v>750</v>
      </c>
      <c r="AS184" s="15">
        <f>+'ENCUESTA CONDUCTORES'!BA184</f>
        <v>1800</v>
      </c>
      <c r="AT184" s="15">
        <f>IF('ENCUESTA CONDUCTORES'!BB184="X",1,0)</f>
        <v>0</v>
      </c>
      <c r="AU184" s="15">
        <f>IF('ENCUESTA CONDUCTORES'!BC184="X",1,0)</f>
        <v>0</v>
      </c>
      <c r="AV184" s="15">
        <f>IF('ENCUESTA CONDUCTORES'!BD184="X",1,0)</f>
        <v>0</v>
      </c>
      <c r="AW184" s="1">
        <f>+'ENCUESTA CONDUCTORES'!BE184</f>
        <v>20000</v>
      </c>
      <c r="AX184" s="1">
        <f>+'ENCUESTA CONDUCTORES'!BF184</f>
        <v>250000</v>
      </c>
      <c r="AY184" s="1">
        <f>+'ENCUESTA CONDUCTORES'!BG184</f>
        <v>20000</v>
      </c>
      <c r="AZ184" s="1">
        <f>+'ENCUESTA CONDUCTORES'!BH184</f>
        <v>100000</v>
      </c>
      <c r="BA184" s="1" t="str">
        <f>+'ENCUESTA CONDUCTORES'!BI184</f>
        <v>NO SABE</v>
      </c>
      <c r="BB184" s="15">
        <f>IF('ENCUESTA CONDUCTORES'!BJ184="X",1,0)</f>
        <v>0</v>
      </c>
      <c r="BC184" s="15">
        <f>IF('ENCUESTA CONDUCTORES'!BK184="X",1,0)</f>
        <v>0</v>
      </c>
      <c r="BD184" s="15">
        <f>IF('ENCUESTA CONDUCTORES'!BL184="X",1,0)</f>
        <v>0</v>
      </c>
      <c r="BE184" s="15">
        <f>IF('ENCUESTA CONDUCTORES'!BM184="X",1,0)</f>
        <v>1</v>
      </c>
      <c r="BF184" s="15">
        <f>IF('ENCUESTA CONDUCTORES'!BN184="X",1,0)</f>
        <v>0</v>
      </c>
      <c r="BG184" s="15">
        <f>IF('ENCUESTA CONDUCTORES'!BO184="X",1,0)</f>
        <v>0</v>
      </c>
      <c r="BH184" s="15">
        <f>IF('ENCUESTA CONDUCTORES'!BP184="X",1,0)</f>
        <v>0</v>
      </c>
      <c r="BI184" s="15">
        <f>IF('ENCUESTA CONDUCTORES'!BQ184="X",1,0)</f>
        <v>0</v>
      </c>
      <c r="BJ184" s="15">
        <f>IF('ENCUESTA CONDUCTORES'!BR184="X",1,0)</f>
        <v>0</v>
      </c>
      <c r="BK184" s="15">
        <f>+'ENCUESTA CONDUCTORES'!BS184</f>
        <v>0</v>
      </c>
      <c r="BL184" s="15">
        <f>IF('ENCUESTA CONDUCTORES'!BT184="X",1,0)</f>
        <v>1</v>
      </c>
      <c r="BM184" s="15">
        <f>IF('ENCUESTA CONDUCTORES'!BU184="X",1,0)</f>
        <v>0</v>
      </c>
      <c r="BN184" s="15">
        <f>IF('ENCUESTA CONDUCTORES'!BV184="X",1,0)</f>
        <v>0</v>
      </c>
      <c r="BO184" s="15">
        <f>IF('ENCUESTA CONDUCTORES'!BW184="X",1,0)</f>
        <v>0</v>
      </c>
      <c r="BP184" s="15">
        <f>+'ENCUESTA CONDUCTORES'!BX184</f>
        <v>2</v>
      </c>
      <c r="BQ184" s="15">
        <f>+'ENCUESTA CONDUCTORES'!BY184</f>
        <v>3</v>
      </c>
      <c r="BR184" s="15">
        <f>+'ENCUESTA CONDUCTORES'!BZ184</f>
        <v>1</v>
      </c>
      <c r="BS184" s="15">
        <f>+'ENCUESTA CONDUCTORES'!CA184</f>
        <v>0</v>
      </c>
      <c r="BT184" s="15">
        <f>IF('ENCUESTA CONDUCTORES'!CB184="X",1,0)</f>
        <v>1</v>
      </c>
      <c r="BU184" s="15">
        <f>IF('ENCUESTA CONDUCTORES'!CC184="X",1,0)</f>
        <v>0</v>
      </c>
      <c r="BV184" s="15">
        <f>IF('ENCUESTA CONDUCTORES'!CD184="X",1,0)</f>
        <v>0</v>
      </c>
      <c r="BW184" s="15">
        <f>IF('ENCUESTA CONDUCTORES'!CE184="X",1,0)</f>
        <v>0</v>
      </c>
      <c r="BX184" s="15">
        <f>IF('ENCUESTA CONDUCTORES'!CF184="X",1,0)</f>
        <v>0</v>
      </c>
      <c r="BY184" s="15">
        <f>IF('ENCUESTA CONDUCTORES'!CG184="X",1,0)</f>
        <v>0</v>
      </c>
      <c r="BZ184" s="15">
        <f>IF('ENCUESTA CONDUCTORES'!CH184="X",1,0)</f>
        <v>0</v>
      </c>
      <c r="CA184" s="15">
        <f>IF('ENCUESTA CONDUCTORES'!CI184="X",1,0)</f>
        <v>0</v>
      </c>
      <c r="CB184" s="15">
        <f>IF('ENCUESTA CONDUCTORES'!CJ184="X",1,0)</f>
        <v>0</v>
      </c>
      <c r="CC184" s="15">
        <f>IF('ENCUESTA CONDUCTORES'!CK184="X",1,0)</f>
        <v>1</v>
      </c>
      <c r="CD184" s="15">
        <f>IF('ENCUESTA CONDUCTORES'!CL184="X",1,0)</f>
        <v>0</v>
      </c>
      <c r="CE184" s="15">
        <f>IF('ENCUESTA CONDUCTORES'!CM184="X",1,0)</f>
        <v>0</v>
      </c>
      <c r="CF184" s="15">
        <f>+'ENCUESTA CONDUCTORES'!CN184</f>
        <v>0</v>
      </c>
      <c r="CG184" s="15">
        <f>IF('ENCUESTA CONDUCTORES'!CO184="X",1,0)</f>
        <v>0</v>
      </c>
      <c r="CH184" s="15" t="str">
        <f>+'ENCUESTA CONDUCTORES'!CP184</f>
        <v>NO SABE</v>
      </c>
      <c r="CI184" s="15" t="str">
        <f>+'ENCUESTA CONDUCTORES'!CQ184</f>
        <v>NO CONTESTA</v>
      </c>
      <c r="CJ184" s="15">
        <f>IF('ENCUESTA CONDUCTORES'!CR184="X",1,0)</f>
        <v>1</v>
      </c>
      <c r="CK184" s="15">
        <f>IF('ENCUESTA CONDUCTORES'!CS184="X",1,0)</f>
        <v>0</v>
      </c>
      <c r="CL184" s="15">
        <f>IF('ENCUESTA CONDUCTORES'!CT184="X",1,0)</f>
        <v>0</v>
      </c>
      <c r="CM184" s="15">
        <f>+'ENCUESTA CONDUCTORES'!CU184</f>
        <v>0</v>
      </c>
      <c r="CN184" s="15">
        <f>IF('ENCUESTA CONDUCTORES'!CV184="X",1,0)</f>
        <v>0</v>
      </c>
      <c r="CO184" s="15">
        <f>+'ENCUESTA CONDUCTORES'!CW184</f>
        <v>0</v>
      </c>
      <c r="CP184" s="15">
        <f>IF('ENCUESTA CONDUCTORES'!CX184="X",1,0)</f>
        <v>1</v>
      </c>
      <c r="CQ184" s="15">
        <f>IF('ENCUESTA CONDUCTORES'!CY184="X",1,0)</f>
        <v>1</v>
      </c>
      <c r="CR184" s="3">
        <f>+'ENCUESTA CONDUCTORES'!CZ184</f>
        <v>0</v>
      </c>
      <c r="CS184" s="49" t="str">
        <f>+'ENCUESTA CONDUCTORES'!DA184</f>
        <v>CUMMINS ISX</v>
      </c>
    </row>
    <row r="185" spans="2:97" x14ac:dyDescent="0.25">
      <c r="B185" s="14" t="str">
        <f>+'ENCUESTA CONDUCTORES'!D185</f>
        <v>C-191</v>
      </c>
      <c r="C185" s="15">
        <f>IF('ENCUESTA CONDUCTORES'!E185="X",1,0)</f>
        <v>0</v>
      </c>
      <c r="D185" s="15">
        <f>IF('ENCUESTA CONDUCTORES'!F185="X",1,0)</f>
        <v>1</v>
      </c>
      <c r="E185" s="15">
        <f>IF('ENCUESTA CONDUCTORES'!G185="X",1,0)</f>
        <v>0</v>
      </c>
      <c r="F185" s="15">
        <f>IF('ENCUESTA CONDUCTORES'!H185="X",1,0)</f>
        <v>0</v>
      </c>
      <c r="G185" s="15">
        <f>+'ENCUESTA CONDUCTORES'!I185</f>
        <v>57</v>
      </c>
      <c r="H185" s="15" t="str">
        <f>+'ENCUESTA CONDUCTORES'!J185</f>
        <v>M</v>
      </c>
      <c r="I185" s="15" t="str">
        <f>+'ENCUESTA CONDUCTORES'!K185</f>
        <v>SIN ESTUDIOS</v>
      </c>
      <c r="J185" s="15" t="str">
        <f>+'ENCUESTA CONDUCTORES'!L185</f>
        <v>APASEO EL ALTO, GTO.</v>
      </c>
      <c r="K185" s="50" t="str">
        <f>+'ENCUESTA CONDUCTORES'!M185</f>
        <v>APASEO EL ALTO</v>
      </c>
      <c r="L185" s="15" t="str">
        <f>+'ENCUESTA CONDUCTORES'!N185</f>
        <v>GUANAJUATO</v>
      </c>
      <c r="M185" s="15">
        <f>+'ENCUESTA CONDUCTORES'!O185</f>
        <v>40</v>
      </c>
      <c r="N185" s="15">
        <f>IF('ENCUESTA CONDUCTORES'!P185="X",1,0)</f>
        <v>0</v>
      </c>
      <c r="O185" s="15">
        <f>IF('ENCUESTA CONDUCTORES'!Q185="X",1,0)</f>
        <v>0</v>
      </c>
      <c r="P185" s="15">
        <f>IF('ENCUESTA CONDUCTORES'!R185="X",1,0)</f>
        <v>0</v>
      </c>
      <c r="Q185" s="15">
        <f>IF('ENCUESTA CONDUCTORES'!S185="X",1,0)</f>
        <v>1</v>
      </c>
      <c r="R185" s="15">
        <f>IF('ENCUESTA CONDUCTORES'!T185="X",1,0)</f>
        <v>0</v>
      </c>
      <c r="S185" s="15">
        <f>IF('ENCUESTA CONDUCTORES'!U185="X",1,0)</f>
        <v>1</v>
      </c>
      <c r="T185" s="15">
        <f>IF('ENCUESTA CONDUCTORES'!V185="X",1,0)</f>
        <v>0</v>
      </c>
      <c r="U185" s="15">
        <f>IF('ENCUESTA CONDUCTORES'!W185="X",1,0)</f>
        <v>0</v>
      </c>
      <c r="V185" s="15">
        <f>IF('ENCUESTA CONDUCTORES'!X185="X",1,0)</f>
        <v>0</v>
      </c>
      <c r="W185" s="15">
        <f>IF('ENCUESTA CONDUCTORES'!Y185="X",1,0)</f>
        <v>0</v>
      </c>
      <c r="X185" s="15">
        <f>IF('ENCUESTA CONDUCTORES'!Z185="X",1,0)</f>
        <v>0</v>
      </c>
      <c r="Y185" s="15">
        <f>+'ENCUESTA CONDUCTORES'!AG185</f>
        <v>0</v>
      </c>
      <c r="Z185" s="15">
        <f>+'ENCUESTA CONDUCTORES'!AH185</f>
        <v>1996</v>
      </c>
      <c r="AA185" s="1">
        <f>+'ENCUESTA CONDUCTORES'!AI185</f>
        <v>1152317</v>
      </c>
      <c r="AB185" s="15">
        <f>IF('ENCUESTA CONDUCTORES'!AJ185="X",1,0)</f>
        <v>0</v>
      </c>
      <c r="AC185" s="15">
        <f>IF('ENCUESTA CONDUCTORES'!AK185="X",1,0)</f>
        <v>0</v>
      </c>
      <c r="AD185" s="15">
        <f>IF('ENCUESTA CONDUCTORES'!AL185="X",1,0)</f>
        <v>1</v>
      </c>
      <c r="AE185" s="15">
        <f>IF('ENCUESTA CONDUCTORES'!AM185="X",1,0)</f>
        <v>0</v>
      </c>
      <c r="AF185" s="15">
        <f>IF('ENCUESTA CONDUCTORES'!AN185="X",1,0)</f>
        <v>0</v>
      </c>
      <c r="AG185" s="15">
        <f>IF('ENCUESTA CONDUCTORES'!AO185="X",1,0)</f>
        <v>0</v>
      </c>
      <c r="AH185" s="15">
        <f>IF('ENCUESTA CONDUCTORES'!AP185="X",1,0)</f>
        <v>1</v>
      </c>
      <c r="AI185" s="15">
        <f>IF('ENCUESTA CONDUCTORES'!AQ185="X",1,0)</f>
        <v>0</v>
      </c>
      <c r="AJ185" s="15">
        <f>IF('ENCUESTA CONDUCTORES'!AR185="X",1,0)</f>
        <v>0</v>
      </c>
      <c r="AK185" s="15">
        <f>+'ENCUESTA CONDUCTORES'!AS185</f>
        <v>0</v>
      </c>
      <c r="AL185" s="15" t="str">
        <f>+'ENCUESTA CONDUCTORES'!AT185</f>
        <v>CUMMINS</v>
      </c>
      <c r="AM185" s="1">
        <f>+'ENCUESTA CONDUCTORES'!AU185</f>
        <v>10000</v>
      </c>
      <c r="AN185" s="48">
        <f>+'ENCUESTA CONDUCTORES'!AV185</f>
        <v>0</v>
      </c>
      <c r="AO185" s="15">
        <f>+'ENCUESTA CONDUCTORES'!AW185</f>
        <v>2.7</v>
      </c>
      <c r="AP185" s="15">
        <f>+'ENCUESTA CONDUCTORES'!AX185</f>
        <v>2.5</v>
      </c>
      <c r="AQ185" s="15">
        <f>+'ENCUESTA CONDUCTORES'!AY185</f>
        <v>2</v>
      </c>
      <c r="AR185" s="15">
        <f>+'ENCUESTA CONDUCTORES'!AZ185</f>
        <v>1000</v>
      </c>
      <c r="AS185" s="15">
        <f>+'ENCUESTA CONDUCTORES'!BA185</f>
        <v>2800</v>
      </c>
      <c r="AT185" s="15">
        <f>IF('ENCUESTA CONDUCTORES'!BB185="X",1,0)</f>
        <v>1</v>
      </c>
      <c r="AU185" s="15">
        <f>IF('ENCUESTA CONDUCTORES'!BC185="X",1,0)</f>
        <v>1</v>
      </c>
      <c r="AV185" s="15">
        <f>IF('ENCUESTA CONDUCTORES'!BD185="X",1,0)</f>
        <v>0</v>
      </c>
      <c r="AW185" s="1">
        <f>+'ENCUESTA CONDUCTORES'!BE185</f>
        <v>20000</v>
      </c>
      <c r="AX185" s="1">
        <f>+'ENCUESTA CONDUCTORES'!BF185</f>
        <v>200000</v>
      </c>
      <c r="AY185" s="1">
        <f>+'ENCUESTA CONDUCTORES'!BG185</f>
        <v>20000</v>
      </c>
      <c r="AZ185" s="1">
        <f>+'ENCUESTA CONDUCTORES'!BH185</f>
        <v>150000</v>
      </c>
      <c r="BA185" s="1" t="str">
        <f>+'ENCUESTA CONDUCTORES'!BI185</f>
        <v>NO SABE</v>
      </c>
      <c r="BB185" s="15">
        <f>IF('ENCUESTA CONDUCTORES'!BJ185="X",1,0)</f>
        <v>0</v>
      </c>
      <c r="BC185" s="15">
        <f>IF('ENCUESTA CONDUCTORES'!BK185="X",1,0)</f>
        <v>0</v>
      </c>
      <c r="BD185" s="15">
        <f>IF('ENCUESTA CONDUCTORES'!BL185="X",1,0)</f>
        <v>0</v>
      </c>
      <c r="BE185" s="15">
        <f>IF('ENCUESTA CONDUCTORES'!BM185="X",1,0)</f>
        <v>0</v>
      </c>
      <c r="BF185" s="15">
        <f>IF('ENCUESTA CONDUCTORES'!BN185="X",1,0)</f>
        <v>0</v>
      </c>
      <c r="BG185" s="15">
        <f>IF('ENCUESTA CONDUCTORES'!BO185="X",1,0)</f>
        <v>0</v>
      </c>
      <c r="BH185" s="15">
        <f>IF('ENCUESTA CONDUCTORES'!BP185="X",1,0)</f>
        <v>0</v>
      </c>
      <c r="BI185" s="15">
        <f>IF('ENCUESTA CONDUCTORES'!BQ185="X",1,0)</f>
        <v>0</v>
      </c>
      <c r="BJ185" s="15">
        <f>IF('ENCUESTA CONDUCTORES'!BR185="X",1,0)</f>
        <v>0</v>
      </c>
      <c r="BK185" s="15" t="str">
        <f>+'ENCUESTA CONDUCTORES'!BS185</f>
        <v>GENERAL</v>
      </c>
      <c r="BL185" s="15">
        <f>IF('ENCUESTA CONDUCTORES'!BT185="X",1,0)</f>
        <v>0</v>
      </c>
      <c r="BM185" s="15">
        <f>IF('ENCUESTA CONDUCTORES'!BU185="X",1,0)</f>
        <v>0</v>
      </c>
      <c r="BN185" s="15">
        <f>IF('ENCUESTA CONDUCTORES'!BV185="X",1,0)</f>
        <v>1</v>
      </c>
      <c r="BO185" s="15">
        <f>IF('ENCUESTA CONDUCTORES'!BW185="X",1,0)</f>
        <v>0</v>
      </c>
      <c r="BP185" s="15">
        <f>+'ENCUESTA CONDUCTORES'!BX185</f>
        <v>2</v>
      </c>
      <c r="BQ185" s="15">
        <f>+'ENCUESTA CONDUCTORES'!BY185</f>
        <v>4</v>
      </c>
      <c r="BR185" s="15">
        <f>+'ENCUESTA CONDUCTORES'!BZ185</f>
        <v>3</v>
      </c>
      <c r="BS185" s="15" t="str">
        <f>+'ENCUESTA CONDUCTORES'!CA185</f>
        <v>SEGURIDAD</v>
      </c>
      <c r="BT185" s="15">
        <f>IF('ENCUESTA CONDUCTORES'!CB185="X",1,0)</f>
        <v>1</v>
      </c>
      <c r="BU185" s="15">
        <f>IF('ENCUESTA CONDUCTORES'!CC185="X",1,0)</f>
        <v>0</v>
      </c>
      <c r="BV185" s="15">
        <f>IF('ENCUESTA CONDUCTORES'!CD185="X",1,0)</f>
        <v>0</v>
      </c>
      <c r="BW185" s="15">
        <f>IF('ENCUESTA CONDUCTORES'!CE185="X",1,0)</f>
        <v>0</v>
      </c>
      <c r="BX185" s="15">
        <f>IF('ENCUESTA CONDUCTORES'!CF185="X",1,0)</f>
        <v>0</v>
      </c>
      <c r="BY185" s="15">
        <f>IF('ENCUESTA CONDUCTORES'!CG185="X",1,0)</f>
        <v>0</v>
      </c>
      <c r="BZ185" s="15">
        <f>IF('ENCUESTA CONDUCTORES'!CH185="X",1,0)</f>
        <v>0</v>
      </c>
      <c r="CA185" s="15">
        <f>IF('ENCUESTA CONDUCTORES'!CI185="X",1,0)</f>
        <v>0</v>
      </c>
      <c r="CB185" s="15">
        <f>IF('ENCUESTA CONDUCTORES'!CJ185="X",1,0)</f>
        <v>0</v>
      </c>
      <c r="CC185" s="15">
        <f>IF('ENCUESTA CONDUCTORES'!CK185="X",1,0)</f>
        <v>1</v>
      </c>
      <c r="CD185" s="15">
        <f>IF('ENCUESTA CONDUCTORES'!CL185="X",1,0)</f>
        <v>0</v>
      </c>
      <c r="CE185" s="15">
        <f>IF('ENCUESTA CONDUCTORES'!CM185="X",1,0)</f>
        <v>0</v>
      </c>
      <c r="CF185" s="15">
        <f>+'ENCUESTA CONDUCTORES'!CN185</f>
        <v>0</v>
      </c>
      <c r="CG185" s="15">
        <f>IF('ENCUESTA CONDUCTORES'!CO185="X",1,0)</f>
        <v>0</v>
      </c>
      <c r="CH185" s="15" t="str">
        <f>+'ENCUESTA CONDUCTORES'!CP185</f>
        <v>NO SABE</v>
      </c>
      <c r="CI185" s="15" t="str">
        <f>+'ENCUESTA CONDUCTORES'!CQ185</f>
        <v>PUBLICIDAD</v>
      </c>
      <c r="CJ185" s="15">
        <f>IF('ENCUESTA CONDUCTORES'!CR185="X",1,0)</f>
        <v>0</v>
      </c>
      <c r="CK185" s="15">
        <f>IF('ENCUESTA CONDUCTORES'!CS185="X",1,0)</f>
        <v>0</v>
      </c>
      <c r="CL185" s="15">
        <f>IF('ENCUESTA CONDUCTORES'!CT185="X",1,0)</f>
        <v>1</v>
      </c>
      <c r="CM185" s="15">
        <f>+'ENCUESTA CONDUCTORES'!CU185</f>
        <v>0</v>
      </c>
      <c r="CN185" s="15">
        <f>IF('ENCUESTA CONDUCTORES'!CV185="X",1,0)</f>
        <v>0</v>
      </c>
      <c r="CO185" s="15">
        <f>+'ENCUESTA CONDUCTORES'!CW185</f>
        <v>0</v>
      </c>
      <c r="CP185" s="15">
        <f>IF('ENCUESTA CONDUCTORES'!CX185="X",1,0)</f>
        <v>1</v>
      </c>
      <c r="CQ185" s="15">
        <f>IF('ENCUESTA CONDUCTORES'!CY185="X",1,0)</f>
        <v>0</v>
      </c>
      <c r="CR185" s="3">
        <f>+'ENCUESTA CONDUCTORES'!CZ185</f>
        <v>0</v>
      </c>
      <c r="CS185" s="49" t="str">
        <f>+'ENCUESTA CONDUCTORES'!DA185</f>
        <v>CUMMINS N14 SELECT</v>
      </c>
    </row>
    <row r="186" spans="2:97" x14ac:dyDescent="0.25">
      <c r="B186" s="14" t="str">
        <f>+'ENCUESTA CONDUCTORES'!D186</f>
        <v>C-192</v>
      </c>
      <c r="C186" s="15">
        <f>IF('ENCUESTA CONDUCTORES'!E186="X",1,0)</f>
        <v>0</v>
      </c>
      <c r="D186" s="15">
        <f>IF('ENCUESTA CONDUCTORES'!F186="X",1,0)</f>
        <v>0</v>
      </c>
      <c r="E186" s="15">
        <f>IF('ENCUESTA CONDUCTORES'!G186="X",1,0)</f>
        <v>1</v>
      </c>
      <c r="F186" s="15">
        <f>IF('ENCUESTA CONDUCTORES'!H186="X",1,0)</f>
        <v>0</v>
      </c>
      <c r="G186" s="15">
        <f>+'ENCUESTA CONDUCTORES'!I186</f>
        <v>21</v>
      </c>
      <c r="H186" s="15" t="str">
        <f>+'ENCUESTA CONDUCTORES'!J186</f>
        <v>M</v>
      </c>
      <c r="I186" s="15" t="str">
        <f>+'ENCUESTA CONDUCTORES'!K186</f>
        <v>PREPARATORIA</v>
      </c>
      <c r="J186" s="15" t="str">
        <f>+'ENCUESTA CONDUCTORES'!L186</f>
        <v>CORTAZAR, GTO.</v>
      </c>
      <c r="K186" s="50" t="str">
        <f>+'ENCUESTA CONDUCTORES'!M186</f>
        <v>CORTAZAR</v>
      </c>
      <c r="L186" s="15" t="str">
        <f>+'ENCUESTA CONDUCTORES'!N186</f>
        <v>GUANAJUATO</v>
      </c>
      <c r="M186" s="15">
        <f>+'ENCUESTA CONDUCTORES'!O186</f>
        <v>5</v>
      </c>
      <c r="N186" s="15">
        <f>IF('ENCUESTA CONDUCTORES'!P186="X",1,0)</f>
        <v>0</v>
      </c>
      <c r="O186" s="15">
        <f>IF('ENCUESTA CONDUCTORES'!Q186="X",1,0)</f>
        <v>1</v>
      </c>
      <c r="P186" s="15">
        <f>IF('ENCUESTA CONDUCTORES'!R186="X",1,0)</f>
        <v>0</v>
      </c>
      <c r="Q186" s="15">
        <f>IF('ENCUESTA CONDUCTORES'!S186="X",1,0)</f>
        <v>0</v>
      </c>
      <c r="R186" s="15">
        <f>IF('ENCUESTA CONDUCTORES'!T186="X",1,0)</f>
        <v>0</v>
      </c>
      <c r="S186" s="15">
        <f>IF('ENCUESTA CONDUCTORES'!U186="X",1,0)</f>
        <v>0</v>
      </c>
      <c r="T186" s="15">
        <f>IF('ENCUESTA CONDUCTORES'!V186="X",1,0)</f>
        <v>0</v>
      </c>
      <c r="U186" s="15">
        <f>IF('ENCUESTA CONDUCTORES'!W186="X",1,0)</f>
        <v>0</v>
      </c>
      <c r="V186" s="15">
        <f>IF('ENCUESTA CONDUCTORES'!X186="X",1,0)</f>
        <v>0</v>
      </c>
      <c r="W186" s="15">
        <f>IF('ENCUESTA CONDUCTORES'!Y186="X",1,0)</f>
        <v>0</v>
      </c>
      <c r="X186" s="15">
        <f>IF('ENCUESTA CONDUCTORES'!Z186="X",1,0)</f>
        <v>0</v>
      </c>
      <c r="Y186" s="15">
        <f>+'ENCUESTA CONDUCTORES'!AG186</f>
        <v>0</v>
      </c>
      <c r="Z186" s="15">
        <f>+'ENCUESTA CONDUCTORES'!AH186</f>
        <v>2006</v>
      </c>
      <c r="AA186" s="1">
        <f>+'ENCUESTA CONDUCTORES'!AI186</f>
        <v>514488</v>
      </c>
      <c r="AB186" s="15">
        <f>IF('ENCUESTA CONDUCTORES'!AJ186="X",1,0)</f>
        <v>0</v>
      </c>
      <c r="AC186" s="15">
        <f>IF('ENCUESTA CONDUCTORES'!AK186="X",1,0)</f>
        <v>0</v>
      </c>
      <c r="AD186" s="15">
        <f>IF('ENCUESTA CONDUCTORES'!AL186="X",1,0)</f>
        <v>1</v>
      </c>
      <c r="AE186" s="15">
        <f>IF('ENCUESTA CONDUCTORES'!AM186="X",1,0)</f>
        <v>0</v>
      </c>
      <c r="AF186" s="15">
        <f>IF('ENCUESTA CONDUCTORES'!AN186="X",1,0)</f>
        <v>0</v>
      </c>
      <c r="AG186" s="15">
        <f>IF('ENCUESTA CONDUCTORES'!AO186="X",1,0)</f>
        <v>1</v>
      </c>
      <c r="AH186" s="15">
        <f>IF('ENCUESTA CONDUCTORES'!AP186="X",1,0)</f>
        <v>0</v>
      </c>
      <c r="AI186" s="15">
        <f>IF('ENCUESTA CONDUCTORES'!AQ186="X",1,0)</f>
        <v>0</v>
      </c>
      <c r="AJ186" s="15">
        <f>IF('ENCUESTA CONDUCTORES'!AR186="X",1,0)</f>
        <v>0</v>
      </c>
      <c r="AK186" s="15">
        <f>+'ENCUESTA CONDUCTORES'!AS186</f>
        <v>0</v>
      </c>
      <c r="AL186" s="15" t="str">
        <f>+'ENCUESTA CONDUCTORES'!AT186</f>
        <v>CATERPILLAR</v>
      </c>
      <c r="AM186" s="1">
        <f>+'ENCUESTA CONDUCTORES'!AU186</f>
        <v>8000</v>
      </c>
      <c r="AN186" s="48">
        <f>+'ENCUESTA CONDUCTORES'!AV186</f>
        <v>0.2</v>
      </c>
      <c r="AO186" s="15">
        <f>+'ENCUESTA CONDUCTORES'!AW186</f>
        <v>4.3</v>
      </c>
      <c r="AP186" s="15">
        <f>+'ENCUESTA CONDUCTORES'!AX186</f>
        <v>3.7</v>
      </c>
      <c r="AQ186" s="15">
        <f>+'ENCUESTA CONDUCTORES'!AY186</f>
        <v>2</v>
      </c>
      <c r="AR186" s="15">
        <f>+'ENCUESTA CONDUCTORES'!AZ186</f>
        <v>625</v>
      </c>
      <c r="AS186" s="15">
        <f>+'ENCUESTA CONDUCTORES'!BA186</f>
        <v>2500</v>
      </c>
      <c r="AT186" s="15">
        <f>IF('ENCUESTA CONDUCTORES'!BB186="X",1,0)</f>
        <v>0</v>
      </c>
      <c r="AU186" s="15">
        <f>IF('ENCUESTA CONDUCTORES'!BC186="X",1,0)</f>
        <v>0</v>
      </c>
      <c r="AV186" s="15">
        <f>IF('ENCUESTA CONDUCTORES'!BD186="X",1,0)</f>
        <v>0</v>
      </c>
      <c r="AW186" s="1">
        <f>+'ENCUESTA CONDUCTORES'!BE186</f>
        <v>24000</v>
      </c>
      <c r="AX186" s="1">
        <f>+'ENCUESTA CONDUCTORES'!BF186</f>
        <v>180000</v>
      </c>
      <c r="AY186" s="1">
        <f>+'ENCUESTA CONDUCTORES'!BG186</f>
        <v>24000</v>
      </c>
      <c r="AZ186" s="1">
        <f>+'ENCUESTA CONDUCTORES'!BH186</f>
        <v>180000</v>
      </c>
      <c r="BA186" s="1" t="str">
        <f>+'ENCUESTA CONDUCTORES'!BI186</f>
        <v>NO SABE</v>
      </c>
      <c r="BB186" s="15">
        <f>IF('ENCUESTA CONDUCTORES'!BJ186="X",1,0)</f>
        <v>1</v>
      </c>
      <c r="BC186" s="15">
        <f>IF('ENCUESTA CONDUCTORES'!BK186="X",1,0)</f>
        <v>0</v>
      </c>
      <c r="BD186" s="15">
        <f>IF('ENCUESTA CONDUCTORES'!BL186="X",1,0)</f>
        <v>0</v>
      </c>
      <c r="BE186" s="15">
        <f>IF('ENCUESTA CONDUCTORES'!BM186="X",1,0)</f>
        <v>0</v>
      </c>
      <c r="BF186" s="15">
        <f>IF('ENCUESTA CONDUCTORES'!BN186="X",1,0)</f>
        <v>0</v>
      </c>
      <c r="BG186" s="15">
        <f>IF('ENCUESTA CONDUCTORES'!BO186="X",1,0)</f>
        <v>1</v>
      </c>
      <c r="BH186" s="15">
        <f>IF('ENCUESTA CONDUCTORES'!BP186="X",1,0)</f>
        <v>0</v>
      </c>
      <c r="BI186" s="15">
        <f>IF('ENCUESTA CONDUCTORES'!BQ186="X",1,0)</f>
        <v>0</v>
      </c>
      <c r="BJ186" s="15">
        <f>IF('ENCUESTA CONDUCTORES'!BR186="X",1,0)</f>
        <v>0</v>
      </c>
      <c r="BK186" s="15">
        <f>+'ENCUESTA CONDUCTORES'!BS186</f>
        <v>0</v>
      </c>
      <c r="BL186" s="15">
        <f>IF('ENCUESTA CONDUCTORES'!BT186="X",1,0)</f>
        <v>0</v>
      </c>
      <c r="BM186" s="15">
        <f>IF('ENCUESTA CONDUCTORES'!BU186="X",1,0)</f>
        <v>1</v>
      </c>
      <c r="BN186" s="15">
        <f>IF('ENCUESTA CONDUCTORES'!BV186="X",1,0)</f>
        <v>0</v>
      </c>
      <c r="BO186" s="15">
        <f>IF('ENCUESTA CONDUCTORES'!BW186="X",1,0)</f>
        <v>0</v>
      </c>
      <c r="BP186" s="15">
        <f>+'ENCUESTA CONDUCTORES'!BX186</f>
        <v>3</v>
      </c>
      <c r="BQ186" s="15">
        <f>+'ENCUESTA CONDUCTORES'!BY186</f>
        <v>1</v>
      </c>
      <c r="BR186" s="15">
        <f>+'ENCUESTA CONDUCTORES'!BZ186</f>
        <v>2</v>
      </c>
      <c r="BS186" s="15">
        <f>+'ENCUESTA CONDUCTORES'!CA186</f>
        <v>0</v>
      </c>
      <c r="BT186" s="15">
        <f>IF('ENCUESTA CONDUCTORES'!CB186="X",1,0)</f>
        <v>1</v>
      </c>
      <c r="BU186" s="15">
        <f>IF('ENCUESTA CONDUCTORES'!CC186="X",1,0)</f>
        <v>0</v>
      </c>
      <c r="BV186" s="15">
        <f>IF('ENCUESTA CONDUCTORES'!CD186="X",1,0)</f>
        <v>0</v>
      </c>
      <c r="BW186" s="15">
        <f>IF('ENCUESTA CONDUCTORES'!CE186="X",1,0)</f>
        <v>0</v>
      </c>
      <c r="BX186" s="15">
        <f>IF('ENCUESTA CONDUCTORES'!CF186="X",1,0)</f>
        <v>0</v>
      </c>
      <c r="BY186" s="15">
        <f>IF('ENCUESTA CONDUCTORES'!CG186="X",1,0)</f>
        <v>0</v>
      </c>
      <c r="BZ186" s="15">
        <f>IF('ENCUESTA CONDUCTORES'!CH186="X",1,0)</f>
        <v>0</v>
      </c>
      <c r="CA186" s="15">
        <f>IF('ENCUESTA CONDUCTORES'!CI186="X",1,0)</f>
        <v>0</v>
      </c>
      <c r="CB186" s="15">
        <f>IF('ENCUESTA CONDUCTORES'!CJ186="X",1,0)</f>
        <v>0</v>
      </c>
      <c r="CC186" s="15">
        <f>IF('ENCUESTA CONDUCTORES'!CK186="X",1,0)</f>
        <v>1</v>
      </c>
      <c r="CD186" s="15">
        <f>IF('ENCUESTA CONDUCTORES'!CL186="X",1,0)</f>
        <v>0</v>
      </c>
      <c r="CE186" s="15">
        <f>IF('ENCUESTA CONDUCTORES'!CM186="X",1,0)</f>
        <v>0</v>
      </c>
      <c r="CF186" s="15">
        <f>+'ENCUESTA CONDUCTORES'!CN186</f>
        <v>0</v>
      </c>
      <c r="CG186" s="15">
        <f>IF('ENCUESTA CONDUCTORES'!CO186="X",1,0)</f>
        <v>0</v>
      </c>
      <c r="CH186" s="15" t="str">
        <f>+'ENCUESTA CONDUCTORES'!CP186</f>
        <v>NO SABE</v>
      </c>
      <c r="CI186" s="15" t="str">
        <f>+'ENCUESTA CONDUCTORES'!CQ186</f>
        <v>NO CONTESTA</v>
      </c>
      <c r="CJ186" s="15">
        <f>IF('ENCUESTA CONDUCTORES'!CR186="X",1,0)</f>
        <v>1</v>
      </c>
      <c r="CK186" s="15">
        <f>IF('ENCUESTA CONDUCTORES'!CS186="X",1,0)</f>
        <v>0</v>
      </c>
      <c r="CL186" s="15">
        <f>IF('ENCUESTA CONDUCTORES'!CT186="X",1,0)</f>
        <v>0</v>
      </c>
      <c r="CM186" s="15">
        <f>+'ENCUESTA CONDUCTORES'!CU186</f>
        <v>0</v>
      </c>
      <c r="CN186" s="15">
        <f>IF('ENCUESTA CONDUCTORES'!CV186="X",1,0)</f>
        <v>0</v>
      </c>
      <c r="CO186" s="15">
        <f>+'ENCUESTA CONDUCTORES'!CW186</f>
        <v>0</v>
      </c>
      <c r="CP186" s="15">
        <f>IF('ENCUESTA CONDUCTORES'!CX186="X",1,0)</f>
        <v>1</v>
      </c>
      <c r="CQ186" s="15">
        <f>IF('ENCUESTA CONDUCTORES'!CY186="X",1,0)</f>
        <v>0</v>
      </c>
      <c r="CR186" s="3">
        <f>+'ENCUESTA CONDUCTORES'!CZ186</f>
        <v>0</v>
      </c>
      <c r="CS186" s="49" t="str">
        <f>+'ENCUESTA CONDUCTORES'!DA186</f>
        <v>CAT 15</v>
      </c>
    </row>
    <row r="187" spans="2:97" x14ac:dyDescent="0.25">
      <c r="B187" s="14" t="str">
        <f>+'ENCUESTA CONDUCTORES'!D187</f>
        <v>C-193</v>
      </c>
      <c r="C187" s="15">
        <f>IF('ENCUESTA CONDUCTORES'!E187="X",1,0)</f>
        <v>0</v>
      </c>
      <c r="D187" s="15">
        <f>IF('ENCUESTA CONDUCTORES'!F187="X",1,0)</f>
        <v>0</v>
      </c>
      <c r="E187" s="15">
        <f>IF('ENCUESTA CONDUCTORES'!G187="X",1,0)</f>
        <v>1</v>
      </c>
      <c r="F187" s="15">
        <f>IF('ENCUESTA CONDUCTORES'!H187="X",1,0)</f>
        <v>0</v>
      </c>
      <c r="G187" s="15">
        <f>+'ENCUESTA CONDUCTORES'!I187</f>
        <v>47</v>
      </c>
      <c r="H187" s="15" t="str">
        <f>+'ENCUESTA CONDUCTORES'!J187</f>
        <v>M</v>
      </c>
      <c r="I187" s="15" t="str">
        <f>+'ENCUESTA CONDUCTORES'!K187</f>
        <v>LICENCIATURA</v>
      </c>
      <c r="J187" s="15" t="str">
        <f>+'ENCUESTA CONDUCTORES'!L187</f>
        <v>SALAMANCA, GTO.</v>
      </c>
      <c r="K187" s="50" t="str">
        <f>+'ENCUESTA CONDUCTORES'!M187</f>
        <v>SALAMANCA</v>
      </c>
      <c r="L187" s="15" t="str">
        <f>+'ENCUESTA CONDUCTORES'!N187</f>
        <v>GUANAJUATO</v>
      </c>
      <c r="M187" s="15">
        <f>+'ENCUESTA CONDUCTORES'!O187</f>
        <v>20</v>
      </c>
      <c r="N187" s="15">
        <f>IF('ENCUESTA CONDUCTORES'!P187="X",1,0)</f>
        <v>0</v>
      </c>
      <c r="O187" s="15">
        <f>IF('ENCUESTA CONDUCTORES'!Q187="X",1,0)</f>
        <v>0</v>
      </c>
      <c r="P187" s="15">
        <f>IF('ENCUESTA CONDUCTORES'!R187="X",1,0)</f>
        <v>0</v>
      </c>
      <c r="Q187" s="15">
        <f>IF('ENCUESTA CONDUCTORES'!S187="X",1,0)</f>
        <v>1</v>
      </c>
      <c r="R187" s="15">
        <f>IF('ENCUESTA CONDUCTORES'!T187="X",1,0)</f>
        <v>0</v>
      </c>
      <c r="S187" s="15">
        <f>IF('ENCUESTA CONDUCTORES'!U187="X",1,0)</f>
        <v>0</v>
      </c>
      <c r="T187" s="15">
        <f>IF('ENCUESTA CONDUCTORES'!V187="X",1,0)</f>
        <v>0</v>
      </c>
      <c r="U187" s="15">
        <f>IF('ENCUESTA CONDUCTORES'!W187="X",1,0)</f>
        <v>0</v>
      </c>
      <c r="V187" s="15">
        <f>IF('ENCUESTA CONDUCTORES'!X187="X",1,0)</f>
        <v>0</v>
      </c>
      <c r="W187" s="15">
        <f>IF('ENCUESTA CONDUCTORES'!Y187="X",1,0)</f>
        <v>1</v>
      </c>
      <c r="X187" s="15">
        <f>IF('ENCUESTA CONDUCTORES'!Z187="X",1,0)</f>
        <v>0</v>
      </c>
      <c r="Y187" s="15">
        <f>+'ENCUESTA CONDUCTORES'!AG187</f>
        <v>0</v>
      </c>
      <c r="Z187" s="15">
        <f>+'ENCUESTA CONDUCTORES'!AH187</f>
        <v>2008</v>
      </c>
      <c r="AA187" s="1">
        <f>+'ENCUESTA CONDUCTORES'!AI187</f>
        <v>603826</v>
      </c>
      <c r="AB187" s="15">
        <f>IF('ENCUESTA CONDUCTORES'!AJ187="X",1,0)</f>
        <v>0</v>
      </c>
      <c r="AC187" s="15">
        <f>IF('ENCUESTA CONDUCTORES'!AK187="X",1,0)</f>
        <v>0</v>
      </c>
      <c r="AD187" s="15">
        <f>IF('ENCUESTA CONDUCTORES'!AL187="X",1,0)</f>
        <v>1</v>
      </c>
      <c r="AE187" s="15">
        <f>IF('ENCUESTA CONDUCTORES'!AM187="X",1,0)</f>
        <v>0</v>
      </c>
      <c r="AF187" s="15">
        <f>IF('ENCUESTA CONDUCTORES'!AN187="X",1,0)</f>
        <v>0</v>
      </c>
      <c r="AG187" s="15">
        <f>IF('ENCUESTA CONDUCTORES'!AO187="X",1,0)</f>
        <v>0</v>
      </c>
      <c r="AH187" s="15">
        <f>IF('ENCUESTA CONDUCTORES'!AP187="X",1,0)</f>
        <v>1</v>
      </c>
      <c r="AI187" s="15">
        <f>IF('ENCUESTA CONDUCTORES'!AQ187="X",1,0)</f>
        <v>0</v>
      </c>
      <c r="AJ187" s="15">
        <f>IF('ENCUESTA CONDUCTORES'!AR187="X",1,0)</f>
        <v>0</v>
      </c>
      <c r="AK187" s="15">
        <f>+'ENCUESTA CONDUCTORES'!AS187</f>
        <v>0</v>
      </c>
      <c r="AL187" s="15" t="str">
        <f>+'ENCUESTA CONDUCTORES'!AT187</f>
        <v>CUMMINS</v>
      </c>
      <c r="AM187" s="1">
        <f>+'ENCUESTA CONDUCTORES'!AU187</f>
        <v>10000</v>
      </c>
      <c r="AN187" s="48">
        <f>+'ENCUESTA CONDUCTORES'!AV187</f>
        <v>0.5</v>
      </c>
      <c r="AO187" s="15">
        <f>+'ENCUESTA CONDUCTORES'!AW187</f>
        <v>2.9</v>
      </c>
      <c r="AP187" s="15">
        <f>+'ENCUESTA CONDUCTORES'!AX187</f>
        <v>2.5</v>
      </c>
      <c r="AQ187" s="15">
        <f>+'ENCUESTA CONDUCTORES'!AY187</f>
        <v>2</v>
      </c>
      <c r="AR187" s="15">
        <f>+'ENCUESTA CONDUCTORES'!AZ187</f>
        <v>740</v>
      </c>
      <c r="AS187" s="15">
        <f>+'ENCUESTA CONDUCTORES'!BA187</f>
        <v>2000</v>
      </c>
      <c r="AT187" s="15">
        <f>IF('ENCUESTA CONDUCTORES'!BB187="X",1,0)</f>
        <v>1</v>
      </c>
      <c r="AU187" s="15">
        <f>IF('ENCUESTA CONDUCTORES'!BC187="X",1,0)</f>
        <v>1</v>
      </c>
      <c r="AV187" s="15">
        <f>IF('ENCUESTA CONDUCTORES'!BD187="X",1,0)</f>
        <v>0</v>
      </c>
      <c r="AW187" s="1">
        <f>+'ENCUESTA CONDUCTORES'!BE187</f>
        <v>25000</v>
      </c>
      <c r="AX187" s="1">
        <f>+'ENCUESTA CONDUCTORES'!BF187</f>
        <v>100000</v>
      </c>
      <c r="AY187" s="1">
        <f>+'ENCUESTA CONDUCTORES'!BG187</f>
        <v>25000</v>
      </c>
      <c r="AZ187" s="1">
        <f>+'ENCUESTA CONDUCTORES'!BH187</f>
        <v>100000</v>
      </c>
      <c r="BA187" s="1" t="str">
        <f>+'ENCUESTA CONDUCTORES'!BI187</f>
        <v>NO SABE</v>
      </c>
      <c r="BB187" s="15">
        <f>IF('ENCUESTA CONDUCTORES'!BJ187="X",1,0)</f>
        <v>0</v>
      </c>
      <c r="BC187" s="15">
        <f>IF('ENCUESTA CONDUCTORES'!BK187="X",1,0)</f>
        <v>0</v>
      </c>
      <c r="BD187" s="15">
        <f>IF('ENCUESTA CONDUCTORES'!BL187="X",1,0)</f>
        <v>1</v>
      </c>
      <c r="BE187" s="15">
        <f>IF('ENCUESTA CONDUCTORES'!BM187="X",1,0)</f>
        <v>0</v>
      </c>
      <c r="BF187" s="15">
        <f>IF('ENCUESTA CONDUCTORES'!BN187="X",1,0)</f>
        <v>0</v>
      </c>
      <c r="BG187" s="15">
        <f>IF('ENCUESTA CONDUCTORES'!BO187="X",1,0)</f>
        <v>0</v>
      </c>
      <c r="BH187" s="15">
        <f>IF('ENCUESTA CONDUCTORES'!BP187="X",1,0)</f>
        <v>0</v>
      </c>
      <c r="BI187" s="15">
        <f>IF('ENCUESTA CONDUCTORES'!BQ187="X",1,0)</f>
        <v>0</v>
      </c>
      <c r="BJ187" s="15">
        <f>IF('ENCUESTA CONDUCTORES'!BR187="X",1,0)</f>
        <v>1</v>
      </c>
      <c r="BK187" s="15">
        <f>+'ENCUESTA CONDUCTORES'!BS187</f>
        <v>0</v>
      </c>
      <c r="BL187" s="15">
        <f>IF('ENCUESTA CONDUCTORES'!BT187="X",1,0)</f>
        <v>0</v>
      </c>
      <c r="BM187" s="15">
        <f>IF('ENCUESTA CONDUCTORES'!BU187="X",1,0)</f>
        <v>0</v>
      </c>
      <c r="BN187" s="15">
        <f>IF('ENCUESTA CONDUCTORES'!BV187="X",1,0)</f>
        <v>1</v>
      </c>
      <c r="BO187" s="15">
        <f>IF('ENCUESTA CONDUCTORES'!BW187="X",1,0)</f>
        <v>0</v>
      </c>
      <c r="BP187" s="15">
        <f>+'ENCUESTA CONDUCTORES'!BX187</f>
        <v>1</v>
      </c>
      <c r="BQ187" s="15">
        <f>+'ENCUESTA CONDUCTORES'!BY187</f>
        <v>3</v>
      </c>
      <c r="BR187" s="15">
        <f>+'ENCUESTA CONDUCTORES'!BZ187</f>
        <v>2</v>
      </c>
      <c r="BS187" s="15">
        <f>+'ENCUESTA CONDUCTORES'!CA187</f>
        <v>0</v>
      </c>
      <c r="BT187" s="15">
        <f>IF('ENCUESTA CONDUCTORES'!CB187="X",1,0)</f>
        <v>0</v>
      </c>
      <c r="BU187" s="15">
        <f>IF('ENCUESTA CONDUCTORES'!CC187="X",1,0)</f>
        <v>1</v>
      </c>
      <c r="BV187" s="15">
        <f>IF('ENCUESTA CONDUCTORES'!CD187="X",1,0)</f>
        <v>1</v>
      </c>
      <c r="BW187" s="15">
        <f>IF('ENCUESTA CONDUCTORES'!CE187="X",1,0)</f>
        <v>0</v>
      </c>
      <c r="BX187" s="15">
        <f>IF('ENCUESTA CONDUCTORES'!CF187="X",1,0)</f>
        <v>0</v>
      </c>
      <c r="BY187" s="15">
        <f>IF('ENCUESTA CONDUCTORES'!CG187="X",1,0)</f>
        <v>0</v>
      </c>
      <c r="BZ187" s="15">
        <f>IF('ENCUESTA CONDUCTORES'!CH187="X",1,0)</f>
        <v>1</v>
      </c>
      <c r="CA187" s="15">
        <f>IF('ENCUESTA CONDUCTORES'!CI187="X",1,0)</f>
        <v>0</v>
      </c>
      <c r="CB187" s="15">
        <f>IF('ENCUESTA CONDUCTORES'!CJ187="X",1,0)</f>
        <v>0</v>
      </c>
      <c r="CC187" s="15">
        <f>IF('ENCUESTA CONDUCTORES'!CK187="X",1,0)</f>
        <v>1</v>
      </c>
      <c r="CD187" s="15">
        <f>IF('ENCUESTA CONDUCTORES'!CL187="X",1,0)</f>
        <v>0</v>
      </c>
      <c r="CE187" s="15">
        <f>IF('ENCUESTA CONDUCTORES'!CM187="X",1,0)</f>
        <v>0</v>
      </c>
      <c r="CF187" s="15">
        <f>+'ENCUESTA CONDUCTORES'!CN187</f>
        <v>0</v>
      </c>
      <c r="CG187" s="15">
        <f>IF('ENCUESTA CONDUCTORES'!CO187="X",1,0)</f>
        <v>0</v>
      </c>
      <c r="CH187" s="15" t="str">
        <f>+'ENCUESTA CONDUCTORES'!CP187</f>
        <v>NO SABE</v>
      </c>
      <c r="CI187" s="15" t="str">
        <f>+'ENCUESTA CONDUCTORES'!CQ187</f>
        <v>NO CONTESTA</v>
      </c>
      <c r="CJ187" s="15">
        <f>IF('ENCUESTA CONDUCTORES'!CR187="X",1,0)</f>
        <v>0</v>
      </c>
      <c r="CK187" s="15">
        <f>IF('ENCUESTA CONDUCTORES'!CS187="X",1,0)</f>
        <v>1</v>
      </c>
      <c r="CL187" s="15">
        <f>IF('ENCUESTA CONDUCTORES'!CT187="X",1,0)</f>
        <v>0</v>
      </c>
      <c r="CM187" s="15" t="str">
        <f>+'ENCUESTA CONDUCTORES'!CU187</f>
        <v>CONTINGENCIA AMBIENTAL</v>
      </c>
      <c r="CN187" s="15">
        <f>IF('ENCUESTA CONDUCTORES'!CV187="X",1,0)</f>
        <v>0</v>
      </c>
      <c r="CO187" s="15">
        <f>+'ENCUESTA CONDUCTORES'!CW187</f>
        <v>0</v>
      </c>
      <c r="CP187" s="15">
        <f>IF('ENCUESTA CONDUCTORES'!CX187="X",1,0)</f>
        <v>0</v>
      </c>
      <c r="CQ187" s="15">
        <f>IF('ENCUESTA CONDUCTORES'!CY187="X",1,0)</f>
        <v>1</v>
      </c>
      <c r="CR187" s="3">
        <f>+'ENCUESTA CONDUCTORES'!CZ187</f>
        <v>0</v>
      </c>
      <c r="CS187" s="49" t="str">
        <f>+'ENCUESTA CONDUCTORES'!DA187</f>
        <v>CUMMINS ISX</v>
      </c>
    </row>
    <row r="188" spans="2:97" x14ac:dyDescent="0.25">
      <c r="B188" s="14" t="str">
        <f>+'ENCUESTA CONDUCTORES'!D188</f>
        <v>C-194</v>
      </c>
      <c r="C188" s="15">
        <f>IF('ENCUESTA CONDUCTORES'!E188="X",1,0)</f>
        <v>0</v>
      </c>
      <c r="D188" s="15">
        <f>IF('ENCUESTA CONDUCTORES'!F188="X",1,0)</f>
        <v>0</v>
      </c>
      <c r="E188" s="15">
        <f>IF('ENCUESTA CONDUCTORES'!G188="X",1,0)</f>
        <v>0</v>
      </c>
      <c r="F188" s="15">
        <f>IF('ENCUESTA CONDUCTORES'!H188="X",1,0)</f>
        <v>1</v>
      </c>
      <c r="G188" s="15">
        <f>+'ENCUESTA CONDUCTORES'!I188</f>
        <v>52</v>
      </c>
      <c r="H188" s="15" t="str">
        <f>+'ENCUESTA CONDUCTORES'!J188</f>
        <v>M</v>
      </c>
      <c r="I188" s="15" t="str">
        <f>+'ENCUESTA CONDUCTORES'!K188</f>
        <v>PRIMARIA</v>
      </c>
      <c r="J188" s="15" t="str">
        <f>+'ENCUESTA CONDUCTORES'!L188</f>
        <v>ZAMORA, MICH.</v>
      </c>
      <c r="K188" s="50" t="str">
        <f>+'ENCUESTA CONDUCTORES'!M188</f>
        <v>ZAMORA</v>
      </c>
      <c r="L188" s="15" t="str">
        <f>+'ENCUESTA CONDUCTORES'!N188</f>
        <v>MICHOACAN</v>
      </c>
      <c r="M188" s="15">
        <f>+'ENCUESTA CONDUCTORES'!O188</f>
        <v>30</v>
      </c>
      <c r="N188" s="15">
        <f>IF('ENCUESTA CONDUCTORES'!P188="X",1,0)</f>
        <v>0</v>
      </c>
      <c r="O188" s="15">
        <f>IF('ENCUESTA CONDUCTORES'!Q188="X",1,0)</f>
        <v>0</v>
      </c>
      <c r="P188" s="15">
        <f>IF('ENCUESTA CONDUCTORES'!R188="X",1,0)</f>
        <v>0</v>
      </c>
      <c r="Q188" s="15">
        <f>IF('ENCUESTA CONDUCTORES'!S188="X",1,0)</f>
        <v>1</v>
      </c>
      <c r="R188" s="15">
        <f>IF('ENCUESTA CONDUCTORES'!T188="X",1,0)</f>
        <v>0</v>
      </c>
      <c r="S188" s="15">
        <f>IF('ENCUESTA CONDUCTORES'!U188="X",1,0)</f>
        <v>0</v>
      </c>
      <c r="T188" s="15">
        <f>IF('ENCUESTA CONDUCTORES'!V188="X",1,0)</f>
        <v>0</v>
      </c>
      <c r="U188" s="15">
        <f>IF('ENCUESTA CONDUCTORES'!W188="X",1,0)</f>
        <v>0</v>
      </c>
      <c r="V188" s="15">
        <f>IF('ENCUESTA CONDUCTORES'!X188="X",1,0)</f>
        <v>0</v>
      </c>
      <c r="W188" s="15">
        <f>IF('ENCUESTA CONDUCTORES'!Y188="X",1,0)</f>
        <v>1</v>
      </c>
      <c r="X188" s="15">
        <f>IF('ENCUESTA CONDUCTORES'!Z188="X",1,0)</f>
        <v>0</v>
      </c>
      <c r="Y188" s="15">
        <f>+'ENCUESTA CONDUCTORES'!AG188</f>
        <v>0</v>
      </c>
      <c r="Z188" s="15">
        <f>+'ENCUESTA CONDUCTORES'!AH188</f>
        <v>2007</v>
      </c>
      <c r="AA188" s="1">
        <f>+'ENCUESTA CONDUCTORES'!AI188</f>
        <v>580175</v>
      </c>
      <c r="AB188" s="15">
        <f>IF('ENCUESTA CONDUCTORES'!AJ188="X",1,0)</f>
        <v>0</v>
      </c>
      <c r="AC188" s="15">
        <f>IF('ENCUESTA CONDUCTORES'!AK188="X",1,0)</f>
        <v>0</v>
      </c>
      <c r="AD188" s="15">
        <f>IF('ENCUESTA CONDUCTORES'!AL188="X",1,0)</f>
        <v>1</v>
      </c>
      <c r="AE188" s="15">
        <f>IF('ENCUESTA CONDUCTORES'!AM188="X",1,0)</f>
        <v>0</v>
      </c>
      <c r="AF188" s="15">
        <f>IF('ENCUESTA CONDUCTORES'!AN188="X",1,0)</f>
        <v>0</v>
      </c>
      <c r="AG188" s="15">
        <f>IF('ENCUESTA CONDUCTORES'!AO188="X",1,0)</f>
        <v>0</v>
      </c>
      <c r="AH188" s="15">
        <f>IF('ENCUESTA CONDUCTORES'!AP188="X",1,0)</f>
        <v>1</v>
      </c>
      <c r="AI188" s="15">
        <f>IF('ENCUESTA CONDUCTORES'!AQ188="X",1,0)</f>
        <v>0</v>
      </c>
      <c r="AJ188" s="15">
        <f>IF('ENCUESTA CONDUCTORES'!AR188="X",1,0)</f>
        <v>0</v>
      </c>
      <c r="AK188" s="15">
        <f>+'ENCUESTA CONDUCTORES'!AS188</f>
        <v>0</v>
      </c>
      <c r="AL188" s="15" t="str">
        <f>+'ENCUESTA CONDUCTORES'!AT188</f>
        <v>CATERPILLAR</v>
      </c>
      <c r="AM188" s="1">
        <f>+'ENCUESTA CONDUCTORES'!AU188</f>
        <v>12000</v>
      </c>
      <c r="AN188" s="48">
        <f>+'ENCUESTA CONDUCTORES'!AV188</f>
        <v>0.5</v>
      </c>
      <c r="AO188" s="15">
        <f>+'ENCUESTA CONDUCTORES'!AW188</f>
        <v>2.75</v>
      </c>
      <c r="AP188" s="15">
        <f>+'ENCUESTA CONDUCTORES'!AX188</f>
        <v>2.5</v>
      </c>
      <c r="AQ188" s="15">
        <f>+'ENCUESTA CONDUCTORES'!AY188</f>
        <v>2</v>
      </c>
      <c r="AR188" s="15">
        <f>+'ENCUESTA CONDUCTORES'!AZ188</f>
        <v>1000</v>
      </c>
      <c r="AS188" s="15">
        <f>+'ENCUESTA CONDUCTORES'!BA188</f>
        <v>2800</v>
      </c>
      <c r="AT188" s="15">
        <f>IF('ENCUESTA CONDUCTORES'!BB188="X",1,0)</f>
        <v>1</v>
      </c>
      <c r="AU188" s="15">
        <f>IF('ENCUESTA CONDUCTORES'!BC188="X",1,0)</f>
        <v>1</v>
      </c>
      <c r="AV188" s="15">
        <f>IF('ENCUESTA CONDUCTORES'!BD188="X",1,0)</f>
        <v>0</v>
      </c>
      <c r="AW188" s="1">
        <f>+'ENCUESTA CONDUCTORES'!BE188</f>
        <v>24000</v>
      </c>
      <c r="AX188" s="1">
        <f>+'ENCUESTA CONDUCTORES'!BF188</f>
        <v>120000</v>
      </c>
      <c r="AY188" s="1">
        <f>+'ENCUESTA CONDUCTORES'!BG188</f>
        <v>24000</v>
      </c>
      <c r="AZ188" s="1">
        <f>+'ENCUESTA CONDUCTORES'!BH188</f>
        <v>120000</v>
      </c>
      <c r="BA188" s="1" t="str">
        <f>+'ENCUESTA CONDUCTORES'!BI188</f>
        <v>NO SABE</v>
      </c>
      <c r="BB188" s="15">
        <f>IF('ENCUESTA CONDUCTORES'!BJ188="X",1,0)</f>
        <v>0</v>
      </c>
      <c r="BC188" s="15">
        <f>IF('ENCUESTA CONDUCTORES'!BK188="X",1,0)</f>
        <v>0</v>
      </c>
      <c r="BD188" s="15">
        <f>IF('ENCUESTA CONDUCTORES'!BL188="X",1,0)</f>
        <v>0</v>
      </c>
      <c r="BE188" s="15">
        <f>IF('ENCUESTA CONDUCTORES'!BM188="X",1,0)</f>
        <v>0</v>
      </c>
      <c r="BF188" s="15">
        <f>IF('ENCUESTA CONDUCTORES'!BN188="X",1,0)</f>
        <v>0</v>
      </c>
      <c r="BG188" s="15">
        <f>IF('ENCUESTA CONDUCTORES'!BO188="X",1,0)</f>
        <v>0</v>
      </c>
      <c r="BH188" s="15">
        <f>IF('ENCUESTA CONDUCTORES'!BP188="X",1,0)</f>
        <v>0</v>
      </c>
      <c r="BI188" s="15">
        <f>IF('ENCUESTA CONDUCTORES'!BQ188="X",1,0)</f>
        <v>0</v>
      </c>
      <c r="BJ188" s="15">
        <f>IF('ENCUESTA CONDUCTORES'!BR188="X",1,0)</f>
        <v>1</v>
      </c>
      <c r="BK188" s="15">
        <f>+'ENCUESTA CONDUCTORES'!BS188</f>
        <v>0</v>
      </c>
      <c r="BL188" s="15">
        <f>IF('ENCUESTA CONDUCTORES'!BT188="X",1,0)</f>
        <v>0</v>
      </c>
      <c r="BM188" s="15">
        <f>IF('ENCUESTA CONDUCTORES'!BU188="X",1,0)</f>
        <v>0</v>
      </c>
      <c r="BN188" s="15">
        <f>IF('ENCUESTA CONDUCTORES'!BV188="X",1,0)</f>
        <v>1</v>
      </c>
      <c r="BO188" s="15">
        <f>IF('ENCUESTA CONDUCTORES'!BW188="X",1,0)</f>
        <v>0</v>
      </c>
      <c r="BP188" s="15">
        <f>+'ENCUESTA CONDUCTORES'!BX188</f>
        <v>1</v>
      </c>
      <c r="BQ188" s="15">
        <f>+'ENCUESTA CONDUCTORES'!BY188</f>
        <v>3</v>
      </c>
      <c r="BR188" s="15">
        <f>+'ENCUESTA CONDUCTORES'!BZ188</f>
        <v>2</v>
      </c>
      <c r="BS188" s="15">
        <f>+'ENCUESTA CONDUCTORES'!CA188</f>
        <v>0</v>
      </c>
      <c r="BT188" s="15">
        <f>IF('ENCUESTA CONDUCTORES'!CB188="X",1,0)</f>
        <v>1</v>
      </c>
      <c r="BU188" s="15">
        <f>IF('ENCUESTA CONDUCTORES'!CC188="X",1,0)</f>
        <v>0</v>
      </c>
      <c r="BV188" s="15">
        <f>IF('ENCUESTA CONDUCTORES'!CD188="X",1,0)</f>
        <v>0</v>
      </c>
      <c r="BW188" s="15">
        <f>IF('ENCUESTA CONDUCTORES'!CE188="X",1,0)</f>
        <v>0</v>
      </c>
      <c r="BX188" s="15">
        <f>IF('ENCUESTA CONDUCTORES'!CF188="X",1,0)</f>
        <v>0</v>
      </c>
      <c r="BY188" s="15">
        <f>IF('ENCUESTA CONDUCTORES'!CG188="X",1,0)</f>
        <v>0</v>
      </c>
      <c r="BZ188" s="15">
        <f>IF('ENCUESTA CONDUCTORES'!CH188="X",1,0)</f>
        <v>0</v>
      </c>
      <c r="CA188" s="15">
        <f>IF('ENCUESTA CONDUCTORES'!CI188="X",1,0)</f>
        <v>0</v>
      </c>
      <c r="CB188" s="15">
        <f>IF('ENCUESTA CONDUCTORES'!CJ188="X",1,0)</f>
        <v>0</v>
      </c>
      <c r="CC188" s="15">
        <f>IF('ENCUESTA CONDUCTORES'!CK188="X",1,0)</f>
        <v>1</v>
      </c>
      <c r="CD188" s="15">
        <f>IF('ENCUESTA CONDUCTORES'!CL188="X",1,0)</f>
        <v>0</v>
      </c>
      <c r="CE188" s="15">
        <f>IF('ENCUESTA CONDUCTORES'!CM188="X",1,0)</f>
        <v>0</v>
      </c>
      <c r="CF188" s="15">
        <f>+'ENCUESTA CONDUCTORES'!CN188</f>
        <v>0</v>
      </c>
      <c r="CG188" s="15">
        <f>IF('ENCUESTA CONDUCTORES'!CO188="X",1,0)</f>
        <v>0</v>
      </c>
      <c r="CH188" s="15" t="str">
        <f>+'ENCUESTA CONDUCTORES'!CP188</f>
        <v>NO SABE</v>
      </c>
      <c r="CI188" s="15" t="str">
        <f>+'ENCUESTA CONDUCTORES'!CQ188</f>
        <v>DARLO A CONOCER</v>
      </c>
      <c r="CJ188" s="15">
        <f>IF('ENCUESTA CONDUCTORES'!CR188="X",1,0)</f>
        <v>1</v>
      </c>
      <c r="CK188" s="15">
        <f>IF('ENCUESTA CONDUCTORES'!CS188="X",1,0)</f>
        <v>0</v>
      </c>
      <c r="CL188" s="15">
        <f>IF('ENCUESTA CONDUCTORES'!CT188="X",1,0)</f>
        <v>0</v>
      </c>
      <c r="CM188" s="15">
        <f>+'ENCUESTA CONDUCTORES'!CU188</f>
        <v>0</v>
      </c>
      <c r="CN188" s="15">
        <f>IF('ENCUESTA CONDUCTORES'!CV188="X",1,0)</f>
        <v>0</v>
      </c>
      <c r="CO188" s="15">
        <f>+'ENCUESTA CONDUCTORES'!CW188</f>
        <v>0</v>
      </c>
      <c r="CP188" s="15">
        <f>IF('ENCUESTA CONDUCTORES'!CX188="X",1,0)</f>
        <v>0</v>
      </c>
      <c r="CQ188" s="15">
        <f>IF('ENCUESTA CONDUCTORES'!CY188="X",1,0)</f>
        <v>1</v>
      </c>
      <c r="CR188" s="3">
        <f>+'ENCUESTA CONDUCTORES'!CZ188</f>
        <v>0</v>
      </c>
      <c r="CS188" s="49" t="str">
        <f>+'ENCUESTA CONDUCTORES'!DA188</f>
        <v>CATERPILLAR C 35</v>
      </c>
    </row>
    <row r="189" spans="2:97" x14ac:dyDescent="0.25">
      <c r="B189" s="14" t="str">
        <f>+'ENCUESTA CONDUCTORES'!D189</f>
        <v>C-195</v>
      </c>
      <c r="C189" s="15">
        <f>IF('ENCUESTA CONDUCTORES'!E189="X",1,0)</f>
        <v>0</v>
      </c>
      <c r="D189" s="15">
        <f>IF('ENCUESTA CONDUCTORES'!F189="X",1,0)</f>
        <v>1</v>
      </c>
      <c r="E189" s="15">
        <f>IF('ENCUESTA CONDUCTORES'!G189="X",1,0)</f>
        <v>0</v>
      </c>
      <c r="F189" s="15">
        <f>IF('ENCUESTA CONDUCTORES'!H189="X",1,0)</f>
        <v>0</v>
      </c>
      <c r="G189" s="15">
        <f>+'ENCUESTA CONDUCTORES'!I189</f>
        <v>23</v>
      </c>
      <c r="H189" s="15" t="str">
        <f>+'ENCUESTA CONDUCTORES'!J189</f>
        <v>M</v>
      </c>
      <c r="I189" s="15" t="str">
        <f>+'ENCUESTA CONDUCTORES'!K189</f>
        <v>SECUNDARIA</v>
      </c>
      <c r="J189" s="15" t="str">
        <f>+'ENCUESTA CONDUCTORES'!L189</f>
        <v>VILLAGRÁN, GTO.</v>
      </c>
      <c r="K189" s="50" t="str">
        <f>+'ENCUESTA CONDUCTORES'!M189</f>
        <v>VILLAGRÁN</v>
      </c>
      <c r="L189" s="15" t="str">
        <f>+'ENCUESTA CONDUCTORES'!N189</f>
        <v>GUANAJUATO</v>
      </c>
      <c r="M189" s="15">
        <f>+'ENCUESTA CONDUCTORES'!O189</f>
        <v>3</v>
      </c>
      <c r="N189" s="15">
        <f>IF('ENCUESTA CONDUCTORES'!P189="X",1,0)</f>
        <v>0</v>
      </c>
      <c r="O189" s="15">
        <f>IF('ENCUESTA CONDUCTORES'!Q189="X",1,0)</f>
        <v>0</v>
      </c>
      <c r="P189" s="15">
        <f>IF('ENCUESTA CONDUCTORES'!R189="X",1,0)</f>
        <v>0</v>
      </c>
      <c r="Q189" s="15">
        <f>IF('ENCUESTA CONDUCTORES'!S189="X",1,0)</f>
        <v>1</v>
      </c>
      <c r="R189" s="15">
        <f>IF('ENCUESTA CONDUCTORES'!T189="X",1,0)</f>
        <v>0</v>
      </c>
      <c r="S189" s="15">
        <f>IF('ENCUESTA CONDUCTORES'!U189="X",1,0)</f>
        <v>0</v>
      </c>
      <c r="T189" s="15">
        <f>IF('ENCUESTA CONDUCTORES'!V189="X",1,0)</f>
        <v>0</v>
      </c>
      <c r="U189" s="15">
        <f>IF('ENCUESTA CONDUCTORES'!W189="X",1,0)</f>
        <v>0</v>
      </c>
      <c r="V189" s="15">
        <f>IF('ENCUESTA CONDUCTORES'!X189="X",1,0)</f>
        <v>0</v>
      </c>
      <c r="W189" s="15">
        <f>IF('ENCUESTA CONDUCTORES'!Y189="X",1,0)</f>
        <v>1</v>
      </c>
      <c r="X189" s="15">
        <f>IF('ENCUESTA CONDUCTORES'!Z189="X",1,0)</f>
        <v>0</v>
      </c>
      <c r="Y189" s="15">
        <f>+'ENCUESTA CONDUCTORES'!AG189</f>
        <v>0</v>
      </c>
      <c r="Z189" s="15">
        <f>+'ENCUESTA CONDUCTORES'!AH189</f>
        <v>2007</v>
      </c>
      <c r="AA189" s="1">
        <f>+'ENCUESTA CONDUCTORES'!AI189</f>
        <v>615720</v>
      </c>
      <c r="AB189" s="15">
        <f>IF('ENCUESTA CONDUCTORES'!AJ189="X",1,0)</f>
        <v>0</v>
      </c>
      <c r="AC189" s="15">
        <f>IF('ENCUESTA CONDUCTORES'!AK189="X",1,0)</f>
        <v>0</v>
      </c>
      <c r="AD189" s="15">
        <f>IF('ENCUESTA CONDUCTORES'!AL189="X",1,0)</f>
        <v>1</v>
      </c>
      <c r="AE189" s="15">
        <f>IF('ENCUESTA CONDUCTORES'!AM189="X",1,0)</f>
        <v>0</v>
      </c>
      <c r="AF189" s="15">
        <f>IF('ENCUESTA CONDUCTORES'!AN189="X",1,0)</f>
        <v>0</v>
      </c>
      <c r="AG189" s="15">
        <f>IF('ENCUESTA CONDUCTORES'!AO189="X",1,0)</f>
        <v>1</v>
      </c>
      <c r="AH189" s="15">
        <f>IF('ENCUESTA CONDUCTORES'!AP189="X",1,0)</f>
        <v>0</v>
      </c>
      <c r="AI189" s="15">
        <f>IF('ENCUESTA CONDUCTORES'!AQ189="X",1,0)</f>
        <v>0</v>
      </c>
      <c r="AJ189" s="15">
        <f>IF('ENCUESTA CONDUCTORES'!AR189="X",1,0)</f>
        <v>0</v>
      </c>
      <c r="AK189" s="15">
        <f>+'ENCUESTA CONDUCTORES'!AS189</f>
        <v>0</v>
      </c>
      <c r="AL189" s="9" t="str">
        <f>+'ENCUESTA CONDUCTORES'!AT189</f>
        <v>DETROIT</v>
      </c>
      <c r="AM189" s="1">
        <f>+'ENCUESTA CONDUCTORES'!AU189</f>
        <v>10000</v>
      </c>
      <c r="AN189" s="48">
        <f>+'ENCUESTA CONDUCTORES'!AV189</f>
        <v>0.5</v>
      </c>
      <c r="AO189" s="15">
        <f>+'ENCUESTA CONDUCTORES'!AW189</f>
        <v>2.8</v>
      </c>
      <c r="AP189" s="15">
        <f>+'ENCUESTA CONDUCTORES'!AX189</f>
        <v>2.4</v>
      </c>
      <c r="AQ189" s="15">
        <f>+'ENCUESTA CONDUCTORES'!AY189</f>
        <v>2</v>
      </c>
      <c r="AR189" s="15">
        <f>+'ENCUESTA CONDUCTORES'!AZ189</f>
        <v>760</v>
      </c>
      <c r="AS189" s="15">
        <f>+'ENCUESTA CONDUCTORES'!BA189</f>
        <v>2000</v>
      </c>
      <c r="AT189" s="15">
        <f>IF('ENCUESTA CONDUCTORES'!BB189="X",1,0)</f>
        <v>1</v>
      </c>
      <c r="AU189" s="15">
        <f>IF('ENCUESTA CONDUCTORES'!BC189="X",1,0)</f>
        <v>1</v>
      </c>
      <c r="AV189" s="15">
        <f>IF('ENCUESTA CONDUCTORES'!BD189="X",1,0)</f>
        <v>0</v>
      </c>
      <c r="AW189" s="1">
        <f>+'ENCUESTA CONDUCTORES'!BE189</f>
        <v>25000</v>
      </c>
      <c r="AX189" s="1">
        <f>+'ENCUESTA CONDUCTORES'!BF189</f>
        <v>200000</v>
      </c>
      <c r="AY189" s="1">
        <f>+'ENCUESTA CONDUCTORES'!BG189</f>
        <v>25000</v>
      </c>
      <c r="AZ189" s="1">
        <f>+'ENCUESTA CONDUCTORES'!BH189</f>
        <v>100000</v>
      </c>
      <c r="BA189" s="1" t="str">
        <f>+'ENCUESTA CONDUCTORES'!BI189</f>
        <v>NO SABE</v>
      </c>
      <c r="BB189" s="15">
        <f>IF('ENCUESTA CONDUCTORES'!BJ189="X",1,0)</f>
        <v>0</v>
      </c>
      <c r="BC189" s="15">
        <f>IF('ENCUESTA CONDUCTORES'!BK189="X",1,0)</f>
        <v>0</v>
      </c>
      <c r="BD189" s="15">
        <f>IF('ENCUESTA CONDUCTORES'!BL189="X",1,0)</f>
        <v>1</v>
      </c>
      <c r="BE189" s="15">
        <f>IF('ENCUESTA CONDUCTORES'!BM189="X",1,0)</f>
        <v>0</v>
      </c>
      <c r="BF189" s="15">
        <f>IF('ENCUESTA CONDUCTORES'!BN189="X",1,0)</f>
        <v>0</v>
      </c>
      <c r="BG189" s="15">
        <f>IF('ENCUESTA CONDUCTORES'!BO189="X",1,0)</f>
        <v>0</v>
      </c>
      <c r="BH189" s="15">
        <f>IF('ENCUESTA CONDUCTORES'!BP189="X",1,0)</f>
        <v>0</v>
      </c>
      <c r="BI189" s="15">
        <f>IF('ENCUESTA CONDUCTORES'!BQ189="X",1,0)</f>
        <v>0</v>
      </c>
      <c r="BJ189" s="15">
        <f>IF('ENCUESTA CONDUCTORES'!BR189="X",1,0)</f>
        <v>1</v>
      </c>
      <c r="BK189" s="15">
        <f>+'ENCUESTA CONDUCTORES'!BS189</f>
        <v>0</v>
      </c>
      <c r="BL189" s="15">
        <f>IF('ENCUESTA CONDUCTORES'!BT189="X",1,0)</f>
        <v>0</v>
      </c>
      <c r="BM189" s="15">
        <f>IF('ENCUESTA CONDUCTORES'!BU189="X",1,0)</f>
        <v>0</v>
      </c>
      <c r="BN189" s="15">
        <f>IF('ENCUESTA CONDUCTORES'!BV189="X",1,0)</f>
        <v>1</v>
      </c>
      <c r="BO189" s="15">
        <f>IF('ENCUESTA CONDUCTORES'!BW189="X",1,0)</f>
        <v>0</v>
      </c>
      <c r="BP189" s="15">
        <f>+'ENCUESTA CONDUCTORES'!BX189</f>
        <v>1</v>
      </c>
      <c r="BQ189" s="15">
        <f>+'ENCUESTA CONDUCTORES'!BY189</f>
        <v>3</v>
      </c>
      <c r="BR189" s="15">
        <f>+'ENCUESTA CONDUCTORES'!BZ189</f>
        <v>2</v>
      </c>
      <c r="BS189" s="15">
        <f>+'ENCUESTA CONDUCTORES'!CA189</f>
        <v>0</v>
      </c>
      <c r="BT189" s="15">
        <f>IF('ENCUESTA CONDUCTORES'!CB189="X",1,0)</f>
        <v>1</v>
      </c>
      <c r="BU189" s="15">
        <f>IF('ENCUESTA CONDUCTORES'!CC189="X",1,0)</f>
        <v>0</v>
      </c>
      <c r="BV189" s="15">
        <f>IF('ENCUESTA CONDUCTORES'!CD189="X",1,0)</f>
        <v>0</v>
      </c>
      <c r="BW189" s="15">
        <f>IF('ENCUESTA CONDUCTORES'!CE189="X",1,0)</f>
        <v>0</v>
      </c>
      <c r="BX189" s="15">
        <f>IF('ENCUESTA CONDUCTORES'!CF189="X",1,0)</f>
        <v>0</v>
      </c>
      <c r="BY189" s="15">
        <f>IF('ENCUESTA CONDUCTORES'!CG189="X",1,0)</f>
        <v>0</v>
      </c>
      <c r="BZ189" s="15">
        <f>IF('ENCUESTA CONDUCTORES'!CH189="X",1,0)</f>
        <v>0</v>
      </c>
      <c r="CA189" s="15">
        <f>IF('ENCUESTA CONDUCTORES'!CI189="X",1,0)</f>
        <v>0</v>
      </c>
      <c r="CB189" s="15">
        <f>IF('ENCUESTA CONDUCTORES'!CJ189="X",1,0)</f>
        <v>0</v>
      </c>
      <c r="CC189" s="15">
        <f>IF('ENCUESTA CONDUCTORES'!CK189="X",1,0)</f>
        <v>1</v>
      </c>
      <c r="CD189" s="15">
        <f>IF('ENCUESTA CONDUCTORES'!CL189="X",1,0)</f>
        <v>0</v>
      </c>
      <c r="CE189" s="15">
        <f>IF('ENCUESTA CONDUCTORES'!CM189="X",1,0)</f>
        <v>0</v>
      </c>
      <c r="CF189" s="15">
        <f>+'ENCUESTA CONDUCTORES'!CN189</f>
        <v>0</v>
      </c>
      <c r="CG189" s="15">
        <f>IF('ENCUESTA CONDUCTORES'!CO189="X",1,0)</f>
        <v>0</v>
      </c>
      <c r="CH189" s="15" t="str">
        <f>+'ENCUESTA CONDUCTORES'!CP189</f>
        <v>NO SABE</v>
      </c>
      <c r="CI189" s="15" t="str">
        <f>+'ENCUESTA CONDUCTORES'!CQ189</f>
        <v>NO CONTESTA</v>
      </c>
      <c r="CJ189" s="15">
        <f>IF('ENCUESTA CONDUCTORES'!CR189="X",1,0)</f>
        <v>0</v>
      </c>
      <c r="CK189" s="15">
        <f>IF('ENCUESTA CONDUCTORES'!CS189="X",1,0)</f>
        <v>0</v>
      </c>
      <c r="CL189" s="15">
        <f>IF('ENCUESTA CONDUCTORES'!CT189="X",1,0)</f>
        <v>1</v>
      </c>
      <c r="CM189" s="15">
        <f>+'ENCUESTA CONDUCTORES'!CU189</f>
        <v>0</v>
      </c>
      <c r="CN189" s="15">
        <f>IF('ENCUESTA CONDUCTORES'!CV189="X",1,0)</f>
        <v>0</v>
      </c>
      <c r="CO189" s="15">
        <f>+'ENCUESTA CONDUCTORES'!CW189</f>
        <v>0</v>
      </c>
      <c r="CP189" s="15">
        <f>IF('ENCUESTA CONDUCTORES'!CX189="X",1,0)</f>
        <v>1</v>
      </c>
      <c r="CQ189" s="15">
        <f>IF('ENCUESTA CONDUCTORES'!CY189="X",1,0)</f>
        <v>0</v>
      </c>
      <c r="CR189" s="3">
        <f>+'ENCUESTA CONDUCTORES'!CZ189</f>
        <v>0</v>
      </c>
      <c r="CS189" s="49" t="str">
        <f>+'ENCUESTA CONDUCTORES'!DA189</f>
        <v>DETROIT S60</v>
      </c>
    </row>
    <row r="190" spans="2:97" x14ac:dyDescent="0.25">
      <c r="B190" s="14" t="str">
        <f>+'ENCUESTA CONDUCTORES'!D190</f>
        <v>C-196</v>
      </c>
      <c r="C190" s="15">
        <f>IF('ENCUESTA CONDUCTORES'!E190="X",1,0)</f>
        <v>0</v>
      </c>
      <c r="D190" s="15">
        <f>IF('ENCUESTA CONDUCTORES'!F190="X",1,0)</f>
        <v>0</v>
      </c>
      <c r="E190" s="15">
        <f>IF('ENCUESTA CONDUCTORES'!G190="X",1,0)</f>
        <v>1</v>
      </c>
      <c r="F190" s="15">
        <f>IF('ENCUESTA CONDUCTORES'!H190="X",1,0)</f>
        <v>0</v>
      </c>
      <c r="G190" s="15">
        <f>+'ENCUESTA CONDUCTORES'!I190</f>
        <v>36</v>
      </c>
      <c r="H190" s="15" t="str">
        <f>+'ENCUESTA CONDUCTORES'!J190</f>
        <v>M</v>
      </c>
      <c r="I190" s="15" t="str">
        <f>+'ENCUESTA CONDUCTORES'!K190</f>
        <v>SIN ESTUDIOS</v>
      </c>
      <c r="J190" s="15" t="str">
        <f>+'ENCUESTA CONDUCTORES'!L190</f>
        <v>VALLE DE SANTIAGO, GTO.</v>
      </c>
      <c r="K190" s="50" t="str">
        <f>+'ENCUESTA CONDUCTORES'!M190</f>
        <v>VALLE DE SANTIAGO</v>
      </c>
      <c r="L190" s="15" t="str">
        <f>+'ENCUESTA CONDUCTORES'!N190</f>
        <v>GUANAJUATO</v>
      </c>
      <c r="M190" s="15">
        <f>+'ENCUESTA CONDUCTORES'!O190</f>
        <v>18</v>
      </c>
      <c r="N190" s="15">
        <f>IF('ENCUESTA CONDUCTORES'!P190="X",1,0)</f>
        <v>0</v>
      </c>
      <c r="O190" s="15">
        <f>IF('ENCUESTA CONDUCTORES'!Q190="X",1,0)</f>
        <v>0</v>
      </c>
      <c r="P190" s="15">
        <f>IF('ENCUESTA CONDUCTORES'!R190="X",1,0)</f>
        <v>0</v>
      </c>
      <c r="Q190" s="15">
        <f>IF('ENCUESTA CONDUCTORES'!S190="X",1,0)</f>
        <v>1</v>
      </c>
      <c r="R190" s="15">
        <f>IF('ENCUESTA CONDUCTORES'!T190="X",1,0)</f>
        <v>0</v>
      </c>
      <c r="S190" s="15">
        <f>IF('ENCUESTA CONDUCTORES'!U190="X",1,0)</f>
        <v>0</v>
      </c>
      <c r="T190" s="15">
        <f>IF('ENCUESTA CONDUCTORES'!V190="X",1,0)</f>
        <v>0</v>
      </c>
      <c r="U190" s="15">
        <f>IF('ENCUESTA CONDUCTORES'!W190="X",1,0)</f>
        <v>0</v>
      </c>
      <c r="V190" s="15">
        <f>IF('ENCUESTA CONDUCTORES'!X190="X",1,0)</f>
        <v>0</v>
      </c>
      <c r="W190" s="15">
        <f>IF('ENCUESTA CONDUCTORES'!Y190="X",1,0)</f>
        <v>1</v>
      </c>
      <c r="X190" s="15">
        <f>IF('ENCUESTA CONDUCTORES'!Z190="X",1,0)</f>
        <v>0</v>
      </c>
      <c r="Y190" s="15">
        <f>+'ENCUESTA CONDUCTORES'!AG190</f>
        <v>0</v>
      </c>
      <c r="Z190" s="15">
        <f>+'ENCUESTA CONDUCTORES'!AH190</f>
        <v>2005</v>
      </c>
      <c r="AA190" s="1">
        <f>+'ENCUESTA CONDUCTORES'!AI190</f>
        <v>713384</v>
      </c>
      <c r="AB190" s="15">
        <f>IF('ENCUESTA CONDUCTORES'!AJ190="X",1,0)</f>
        <v>0</v>
      </c>
      <c r="AC190" s="15">
        <f>IF('ENCUESTA CONDUCTORES'!AK190="X",1,0)</f>
        <v>0</v>
      </c>
      <c r="AD190" s="15">
        <f>IF('ENCUESTA CONDUCTORES'!AL190="X",1,0)</f>
        <v>1</v>
      </c>
      <c r="AE190" s="15">
        <f>IF('ENCUESTA CONDUCTORES'!AM190="X",1,0)</f>
        <v>0</v>
      </c>
      <c r="AF190" s="15">
        <f>IF('ENCUESTA CONDUCTORES'!AN190="X",1,0)</f>
        <v>0</v>
      </c>
      <c r="AG190" s="15">
        <f>IF('ENCUESTA CONDUCTORES'!AO190="X",1,0)</f>
        <v>0</v>
      </c>
      <c r="AH190" s="15">
        <f>IF('ENCUESTA CONDUCTORES'!AP190="X",1,0)</f>
        <v>1</v>
      </c>
      <c r="AI190" s="15">
        <f>IF('ENCUESTA CONDUCTORES'!AQ190="X",1,0)</f>
        <v>0</v>
      </c>
      <c r="AJ190" s="15">
        <f>IF('ENCUESTA CONDUCTORES'!AR190="X",1,0)</f>
        <v>0</v>
      </c>
      <c r="AK190" s="15">
        <f>+'ENCUESTA CONDUCTORES'!AS190</f>
        <v>0</v>
      </c>
      <c r="AL190" s="15" t="str">
        <f>+'ENCUESTA CONDUCTORES'!AT190</f>
        <v>CUMMINS</v>
      </c>
      <c r="AM190" s="1">
        <f>+'ENCUESTA CONDUCTORES'!AU190</f>
        <v>8000</v>
      </c>
      <c r="AN190" s="48">
        <f>+'ENCUESTA CONDUCTORES'!AV190</f>
        <v>0.5</v>
      </c>
      <c r="AO190" s="15">
        <f>+'ENCUESTA CONDUCTORES'!AW190</f>
        <v>2.8</v>
      </c>
      <c r="AP190" s="15">
        <f>+'ENCUESTA CONDUCTORES'!AX190</f>
        <v>2.4</v>
      </c>
      <c r="AQ190" s="15">
        <f>+'ENCUESTA CONDUCTORES'!AY190</f>
        <v>2</v>
      </c>
      <c r="AR190" s="15">
        <f>+'ENCUESTA CONDUCTORES'!AZ190</f>
        <v>770</v>
      </c>
      <c r="AS190" s="15">
        <f>+'ENCUESTA CONDUCTORES'!BA190</f>
        <v>2000</v>
      </c>
      <c r="AT190" s="15">
        <f>IF('ENCUESTA CONDUCTORES'!BB190="X",1,0)</f>
        <v>1</v>
      </c>
      <c r="AU190" s="15">
        <f>IF('ENCUESTA CONDUCTORES'!BC190="X",1,0)</f>
        <v>1</v>
      </c>
      <c r="AV190" s="15">
        <f>IF('ENCUESTA CONDUCTORES'!BD190="X",1,0)</f>
        <v>0</v>
      </c>
      <c r="AW190" s="1">
        <f>+'ENCUESTA CONDUCTORES'!BE190</f>
        <v>16000</v>
      </c>
      <c r="AX190" s="1" t="str">
        <f>+'ENCUESTA CONDUCTORES'!BF190</f>
        <v>NO SABE</v>
      </c>
      <c r="AY190" s="1">
        <f>+'ENCUESTA CONDUCTORES'!BG190</f>
        <v>24000</v>
      </c>
      <c r="AZ190" s="1">
        <f>+'ENCUESTA CONDUCTORES'!BH190</f>
        <v>100000</v>
      </c>
      <c r="BA190" s="9" t="str">
        <f>+'ENCUESTA CONDUCTORES'!BI190</f>
        <v>NO SABE</v>
      </c>
      <c r="BB190" s="15">
        <f>IF('ENCUESTA CONDUCTORES'!BJ190="X",1,0)</f>
        <v>0</v>
      </c>
      <c r="BC190" s="15">
        <f>IF('ENCUESTA CONDUCTORES'!BK190="X",1,0)</f>
        <v>0</v>
      </c>
      <c r="BD190" s="15">
        <f>IF('ENCUESTA CONDUCTORES'!BL190="X",1,0)</f>
        <v>0</v>
      </c>
      <c r="BE190" s="15">
        <f>IF('ENCUESTA CONDUCTORES'!BM190="X",1,0)</f>
        <v>0</v>
      </c>
      <c r="BF190" s="15">
        <f>IF('ENCUESTA CONDUCTORES'!BN190="X",1,0)</f>
        <v>0</v>
      </c>
      <c r="BG190" s="15">
        <f>IF('ENCUESTA CONDUCTORES'!BO190="X",1,0)</f>
        <v>0</v>
      </c>
      <c r="BH190" s="15">
        <f>IF('ENCUESTA CONDUCTORES'!BP190="X",1,0)</f>
        <v>0</v>
      </c>
      <c r="BI190" s="15">
        <f>IF('ENCUESTA CONDUCTORES'!BQ190="X",1,0)</f>
        <v>0</v>
      </c>
      <c r="BJ190" s="15">
        <f>IF('ENCUESTA CONDUCTORES'!BR190="X",1,0)</f>
        <v>1</v>
      </c>
      <c r="BK190" s="15">
        <f>+'ENCUESTA CONDUCTORES'!BS190</f>
        <v>0</v>
      </c>
      <c r="BL190" s="15">
        <f>IF('ENCUESTA CONDUCTORES'!BT190="X",1,0)</f>
        <v>0</v>
      </c>
      <c r="BM190" s="15">
        <f>IF('ENCUESTA CONDUCTORES'!BU190="X",1,0)</f>
        <v>0</v>
      </c>
      <c r="BN190" s="15">
        <f>IF('ENCUESTA CONDUCTORES'!BV190="X",1,0)</f>
        <v>1</v>
      </c>
      <c r="BO190" s="15">
        <f>IF('ENCUESTA CONDUCTORES'!BW190="X",1,0)</f>
        <v>0</v>
      </c>
      <c r="BP190" s="15">
        <f>+'ENCUESTA CONDUCTORES'!BX190</f>
        <v>1</v>
      </c>
      <c r="BQ190" s="15">
        <f>+'ENCUESTA CONDUCTORES'!BY190</f>
        <v>3</v>
      </c>
      <c r="BR190" s="15">
        <f>+'ENCUESTA CONDUCTORES'!BZ190</f>
        <v>2</v>
      </c>
      <c r="BS190" s="15">
        <f>+'ENCUESTA CONDUCTORES'!CA190</f>
        <v>0</v>
      </c>
      <c r="BT190" s="15">
        <f>IF('ENCUESTA CONDUCTORES'!CB190="X",1,0)</f>
        <v>1</v>
      </c>
      <c r="BU190" s="15">
        <f>IF('ENCUESTA CONDUCTORES'!CC190="X",1,0)</f>
        <v>0</v>
      </c>
      <c r="BV190" s="15">
        <f>IF('ENCUESTA CONDUCTORES'!CD190="X",1,0)</f>
        <v>0</v>
      </c>
      <c r="BW190" s="15">
        <f>IF('ENCUESTA CONDUCTORES'!CE190="X",1,0)</f>
        <v>0</v>
      </c>
      <c r="BX190" s="15">
        <f>IF('ENCUESTA CONDUCTORES'!CF190="X",1,0)</f>
        <v>0</v>
      </c>
      <c r="BY190" s="15">
        <f>IF('ENCUESTA CONDUCTORES'!CG190="X",1,0)</f>
        <v>0</v>
      </c>
      <c r="BZ190" s="15">
        <f>IF('ENCUESTA CONDUCTORES'!CH190="X",1,0)</f>
        <v>0</v>
      </c>
      <c r="CA190" s="15">
        <f>IF('ENCUESTA CONDUCTORES'!CI190="X",1,0)</f>
        <v>0</v>
      </c>
      <c r="CB190" s="15">
        <f>IF('ENCUESTA CONDUCTORES'!CJ190="X",1,0)</f>
        <v>0</v>
      </c>
      <c r="CC190" s="15">
        <f>IF('ENCUESTA CONDUCTORES'!CK190="X",1,0)</f>
        <v>1</v>
      </c>
      <c r="CD190" s="15">
        <f>IF('ENCUESTA CONDUCTORES'!CL190="X",1,0)</f>
        <v>0</v>
      </c>
      <c r="CE190" s="15">
        <f>IF('ENCUESTA CONDUCTORES'!CM190="X",1,0)</f>
        <v>0</v>
      </c>
      <c r="CF190" s="15">
        <f>+'ENCUESTA CONDUCTORES'!CN190</f>
        <v>0</v>
      </c>
      <c r="CG190" s="15">
        <f>IF('ENCUESTA CONDUCTORES'!CO190="X",1,0)</f>
        <v>0</v>
      </c>
      <c r="CH190" s="15" t="str">
        <f>+'ENCUESTA CONDUCTORES'!CP190</f>
        <v>NO SABE</v>
      </c>
      <c r="CI190" s="15" t="str">
        <f>+'ENCUESTA CONDUCTORES'!CQ190</f>
        <v>NO CONTESTA</v>
      </c>
      <c r="CJ190" s="15">
        <f>IF('ENCUESTA CONDUCTORES'!CR190="X",1,0)</f>
        <v>1</v>
      </c>
      <c r="CK190" s="15">
        <f>IF('ENCUESTA CONDUCTORES'!CS190="X",1,0)</f>
        <v>0</v>
      </c>
      <c r="CL190" s="15">
        <f>IF('ENCUESTA CONDUCTORES'!CT190="X",1,0)</f>
        <v>0</v>
      </c>
      <c r="CM190" s="15">
        <f>+'ENCUESTA CONDUCTORES'!CU190</f>
        <v>0</v>
      </c>
      <c r="CN190" s="15">
        <f>IF('ENCUESTA CONDUCTORES'!CV190="X",1,0)</f>
        <v>1</v>
      </c>
      <c r="CO190" s="15" t="str">
        <f>+'ENCUESTA CONDUCTORES'!CW190</f>
        <v>NO TIENE TIEMPO</v>
      </c>
      <c r="CP190" s="15">
        <f>IF('ENCUESTA CONDUCTORES'!CX190="X",1,0)</f>
        <v>0</v>
      </c>
      <c r="CQ190" s="15">
        <f>IF('ENCUESTA CONDUCTORES'!CY190="X",1,0)</f>
        <v>0</v>
      </c>
      <c r="CR190" s="3">
        <f>+'ENCUESTA CONDUCTORES'!CZ190</f>
        <v>0</v>
      </c>
      <c r="CS190" s="49" t="str">
        <f>+'ENCUESTA CONDUCTORES'!DA190</f>
        <v>CUMMINS ISX</v>
      </c>
    </row>
    <row r="191" spans="2:97" x14ac:dyDescent="0.25">
      <c r="B191" s="14" t="str">
        <f>+'ENCUESTA CONDUCTORES'!D191</f>
        <v>C-197</v>
      </c>
      <c r="C191" s="15">
        <f>IF('ENCUESTA CONDUCTORES'!E191="X",1,0)</f>
        <v>0</v>
      </c>
      <c r="D191" s="15">
        <f>IF('ENCUESTA CONDUCTORES'!F191="X",1,0)</f>
        <v>0</v>
      </c>
      <c r="E191" s="15">
        <f>IF('ENCUESTA CONDUCTORES'!G191="X",1,0)</f>
        <v>0</v>
      </c>
      <c r="F191" s="15">
        <f>IF('ENCUESTA CONDUCTORES'!H191="X",1,0)</f>
        <v>1</v>
      </c>
      <c r="G191" s="15">
        <f>+'ENCUESTA CONDUCTORES'!I191</f>
        <v>52</v>
      </c>
      <c r="H191" s="15" t="str">
        <f>+'ENCUESTA CONDUCTORES'!J191</f>
        <v>M</v>
      </c>
      <c r="I191" s="15" t="str">
        <f>+'ENCUESTA CONDUCTORES'!K191</f>
        <v>PRIMARIA</v>
      </c>
      <c r="J191" s="15" t="str">
        <f>+'ENCUESTA CONDUCTORES'!L191</f>
        <v>TAMPICO, TAMPS.</v>
      </c>
      <c r="K191" s="50" t="str">
        <f>+'ENCUESTA CONDUCTORES'!M191</f>
        <v>TAMPICO</v>
      </c>
      <c r="L191" s="15" t="str">
        <f>+'ENCUESTA CONDUCTORES'!N191</f>
        <v>TAMAULIPAS</v>
      </c>
      <c r="M191" s="15">
        <f>+'ENCUESTA CONDUCTORES'!O191</f>
        <v>34</v>
      </c>
      <c r="N191" s="15">
        <f>IF('ENCUESTA CONDUCTORES'!P191="X",1,0)</f>
        <v>0</v>
      </c>
      <c r="O191" s="15">
        <f>IF('ENCUESTA CONDUCTORES'!Q191="X",1,0)</f>
        <v>0</v>
      </c>
      <c r="P191" s="15">
        <f>IF('ENCUESTA CONDUCTORES'!R191="X",1,0)</f>
        <v>0</v>
      </c>
      <c r="Q191" s="15">
        <f>IF('ENCUESTA CONDUCTORES'!S191="X",1,0)</f>
        <v>1</v>
      </c>
      <c r="R191" s="15">
        <f>IF('ENCUESTA CONDUCTORES'!T191="X",1,0)</f>
        <v>0</v>
      </c>
      <c r="S191" s="15">
        <f>IF('ENCUESTA CONDUCTORES'!U191="X",1,0)</f>
        <v>0</v>
      </c>
      <c r="T191" s="15">
        <f>IF('ENCUESTA CONDUCTORES'!V191="X",1,0)</f>
        <v>0</v>
      </c>
      <c r="U191" s="15">
        <f>IF('ENCUESTA CONDUCTORES'!W191="X",1,0)</f>
        <v>0</v>
      </c>
      <c r="V191" s="15">
        <f>IF('ENCUESTA CONDUCTORES'!X191="X",1,0)</f>
        <v>0</v>
      </c>
      <c r="W191" s="15">
        <f>IF('ENCUESTA CONDUCTORES'!Y191="X",1,0)</f>
        <v>1</v>
      </c>
      <c r="X191" s="15">
        <f>IF('ENCUESTA CONDUCTORES'!Z191="X",1,0)</f>
        <v>0</v>
      </c>
      <c r="Y191" s="15">
        <f>+'ENCUESTA CONDUCTORES'!AG191</f>
        <v>0</v>
      </c>
      <c r="Z191" s="15">
        <f>+'ENCUESTA CONDUCTORES'!AH191</f>
        <v>2005</v>
      </c>
      <c r="AA191" s="1">
        <f>+'ENCUESTA CONDUCTORES'!AI191</f>
        <v>816670</v>
      </c>
      <c r="AB191" s="15">
        <f>IF('ENCUESTA CONDUCTORES'!AJ191="X",1,0)</f>
        <v>0</v>
      </c>
      <c r="AC191" s="15">
        <f>IF('ENCUESTA CONDUCTORES'!AK191="X",1,0)</f>
        <v>0</v>
      </c>
      <c r="AD191" s="15">
        <f>IF('ENCUESTA CONDUCTORES'!AL191="X",1,0)</f>
        <v>1</v>
      </c>
      <c r="AE191" s="15">
        <f>IF('ENCUESTA CONDUCTORES'!AM191="X",1,0)</f>
        <v>0</v>
      </c>
      <c r="AF191" s="15">
        <f>IF('ENCUESTA CONDUCTORES'!AN191="X",1,0)</f>
        <v>0</v>
      </c>
      <c r="AG191" s="15">
        <f>IF('ENCUESTA CONDUCTORES'!AO191="X",1,0)</f>
        <v>0</v>
      </c>
      <c r="AH191" s="15">
        <f>IF('ENCUESTA CONDUCTORES'!AP191="X",1,0)</f>
        <v>1</v>
      </c>
      <c r="AI191" s="15">
        <f>IF('ENCUESTA CONDUCTORES'!AQ191="X",1,0)</f>
        <v>0</v>
      </c>
      <c r="AJ191" s="15">
        <f>IF('ENCUESTA CONDUCTORES'!AR191="X",1,0)</f>
        <v>0</v>
      </c>
      <c r="AK191" s="15">
        <f>+'ENCUESTA CONDUCTORES'!AS191</f>
        <v>0</v>
      </c>
      <c r="AL191" s="15" t="str">
        <f>+'ENCUESTA CONDUCTORES'!AT191</f>
        <v>CUMMINS</v>
      </c>
      <c r="AM191" s="1">
        <f>+'ENCUESTA CONDUCTORES'!AU191</f>
        <v>8333.3333333333339</v>
      </c>
      <c r="AN191" s="48">
        <f>+'ENCUESTA CONDUCTORES'!AV191</f>
        <v>0.5</v>
      </c>
      <c r="AO191" s="15">
        <f>+'ENCUESTA CONDUCTORES'!AW191</f>
        <v>2.7</v>
      </c>
      <c r="AP191" s="15">
        <f>+'ENCUESTA CONDUCTORES'!AX191</f>
        <v>2.4</v>
      </c>
      <c r="AQ191" s="15">
        <f>+'ENCUESTA CONDUCTORES'!AY191</f>
        <v>2</v>
      </c>
      <c r="AR191" s="15">
        <f>+'ENCUESTA CONDUCTORES'!AZ191</f>
        <v>1000</v>
      </c>
      <c r="AS191" s="15">
        <f>+'ENCUESTA CONDUCTORES'!BA191</f>
        <v>2600</v>
      </c>
      <c r="AT191" s="15">
        <f>IF('ENCUESTA CONDUCTORES'!BB191="X",1,0)</f>
        <v>1</v>
      </c>
      <c r="AU191" s="15">
        <f>IF('ENCUESTA CONDUCTORES'!BC191="X",1,0)</f>
        <v>1</v>
      </c>
      <c r="AV191" s="15">
        <f>IF('ENCUESTA CONDUCTORES'!BD191="X",1,0)</f>
        <v>0</v>
      </c>
      <c r="AW191" s="1">
        <f>+'ENCUESTA CONDUCTORES'!BE191</f>
        <v>25000</v>
      </c>
      <c r="AX191" s="1">
        <f>+'ENCUESTA CONDUCTORES'!BF191</f>
        <v>100000</v>
      </c>
      <c r="AY191" s="1">
        <f>+'ENCUESTA CONDUCTORES'!BG191</f>
        <v>25000</v>
      </c>
      <c r="AZ191" s="1">
        <f>+'ENCUESTA CONDUCTORES'!BH191</f>
        <v>100000</v>
      </c>
      <c r="BA191" s="1" t="str">
        <f>+'ENCUESTA CONDUCTORES'!BI191</f>
        <v>NO SABE</v>
      </c>
      <c r="BB191" s="15">
        <f>IF('ENCUESTA CONDUCTORES'!BJ191="X",1,0)</f>
        <v>0</v>
      </c>
      <c r="BC191" s="15">
        <f>IF('ENCUESTA CONDUCTORES'!BK191="X",1,0)</f>
        <v>0</v>
      </c>
      <c r="BD191" s="15">
        <f>IF('ENCUESTA CONDUCTORES'!BL191="X",1,0)</f>
        <v>1</v>
      </c>
      <c r="BE191" s="15">
        <f>IF('ENCUESTA CONDUCTORES'!BM191="X",1,0)</f>
        <v>0</v>
      </c>
      <c r="BF191" s="15">
        <f>IF('ENCUESTA CONDUCTORES'!BN191="X",1,0)</f>
        <v>0</v>
      </c>
      <c r="BG191" s="15">
        <f>IF('ENCUESTA CONDUCTORES'!BO191="X",1,0)</f>
        <v>0</v>
      </c>
      <c r="BH191" s="15">
        <f>IF('ENCUESTA CONDUCTORES'!BP191="X",1,0)</f>
        <v>0</v>
      </c>
      <c r="BI191" s="15">
        <f>IF('ENCUESTA CONDUCTORES'!BQ191="X",1,0)</f>
        <v>0</v>
      </c>
      <c r="BJ191" s="15">
        <f>IF('ENCUESTA CONDUCTORES'!BR191="X",1,0)</f>
        <v>1</v>
      </c>
      <c r="BK191" s="15">
        <f>+'ENCUESTA CONDUCTORES'!BS191</f>
        <v>0</v>
      </c>
      <c r="BL191" s="15">
        <f>IF('ENCUESTA CONDUCTORES'!BT191="X",1,0)</f>
        <v>0</v>
      </c>
      <c r="BM191" s="15">
        <f>IF('ENCUESTA CONDUCTORES'!BU191="X",1,0)</f>
        <v>0</v>
      </c>
      <c r="BN191" s="15">
        <f>IF('ENCUESTA CONDUCTORES'!BV191="X",1,0)</f>
        <v>1</v>
      </c>
      <c r="BO191" s="15">
        <f>IF('ENCUESTA CONDUCTORES'!BW191="X",1,0)</f>
        <v>0</v>
      </c>
      <c r="BP191" s="15">
        <f>+'ENCUESTA CONDUCTORES'!BX191</f>
        <v>2</v>
      </c>
      <c r="BQ191" s="15">
        <f>+'ENCUESTA CONDUCTORES'!BY191</f>
        <v>3</v>
      </c>
      <c r="BR191" s="15">
        <f>+'ENCUESTA CONDUCTORES'!BZ191</f>
        <v>4</v>
      </c>
      <c r="BS191" s="15" t="str">
        <f>+'ENCUESTA CONDUCTORES'!CA191</f>
        <v>TIPO DE CARRETRA</v>
      </c>
      <c r="BT191" s="15">
        <f>IF('ENCUESTA CONDUCTORES'!CB191="X",1,0)</f>
        <v>1</v>
      </c>
      <c r="BU191" s="15">
        <f>IF('ENCUESTA CONDUCTORES'!CC191="X",1,0)</f>
        <v>0</v>
      </c>
      <c r="BV191" s="15">
        <f>IF('ENCUESTA CONDUCTORES'!CD191="X",1,0)</f>
        <v>0</v>
      </c>
      <c r="BW191" s="15">
        <f>IF('ENCUESTA CONDUCTORES'!CE191="X",1,0)</f>
        <v>0</v>
      </c>
      <c r="BX191" s="15">
        <f>IF('ENCUESTA CONDUCTORES'!CF191="X",1,0)</f>
        <v>0</v>
      </c>
      <c r="BY191" s="15">
        <f>IF('ENCUESTA CONDUCTORES'!CG191="X",1,0)</f>
        <v>0</v>
      </c>
      <c r="BZ191" s="15">
        <f>IF('ENCUESTA CONDUCTORES'!CH191="X",1,0)</f>
        <v>0</v>
      </c>
      <c r="CA191" s="15">
        <f>IF('ENCUESTA CONDUCTORES'!CI191="X",1,0)</f>
        <v>0</v>
      </c>
      <c r="CB191" s="15">
        <f>IF('ENCUESTA CONDUCTORES'!CJ191="X",1,0)</f>
        <v>0</v>
      </c>
      <c r="CC191" s="15">
        <f>IF('ENCUESTA CONDUCTORES'!CK191="X",1,0)</f>
        <v>1</v>
      </c>
      <c r="CD191" s="15">
        <f>IF('ENCUESTA CONDUCTORES'!CL191="X",1,0)</f>
        <v>0</v>
      </c>
      <c r="CE191" s="15">
        <f>IF('ENCUESTA CONDUCTORES'!CM191="X",1,0)</f>
        <v>0</v>
      </c>
      <c r="CF191" s="15">
        <f>+'ENCUESTA CONDUCTORES'!CN191</f>
        <v>0</v>
      </c>
      <c r="CG191" s="15">
        <f>IF('ENCUESTA CONDUCTORES'!CO191="X",1,0)</f>
        <v>0</v>
      </c>
      <c r="CH191" s="15" t="str">
        <f>+'ENCUESTA CONDUCTORES'!CP191</f>
        <v>NO SABE</v>
      </c>
      <c r="CI191" s="15" t="str">
        <f>+'ENCUESTA CONDUCTORES'!CQ191</f>
        <v>NO SABE</v>
      </c>
      <c r="CJ191" s="15">
        <f>IF('ENCUESTA CONDUCTORES'!CR191="X",1,0)</f>
        <v>0</v>
      </c>
      <c r="CK191" s="15">
        <f>IF('ENCUESTA CONDUCTORES'!CS191="X",1,0)</f>
        <v>0</v>
      </c>
      <c r="CL191" s="15">
        <f>IF('ENCUESTA CONDUCTORES'!CT191="X",1,0)</f>
        <v>1</v>
      </c>
      <c r="CM191" s="15">
        <f>+'ENCUESTA CONDUCTORES'!CU191</f>
        <v>0</v>
      </c>
      <c r="CN191" s="15">
        <f>IF('ENCUESTA CONDUCTORES'!CV191="X",1,0)</f>
        <v>0</v>
      </c>
      <c r="CO191" s="15">
        <f>+'ENCUESTA CONDUCTORES'!CW191</f>
        <v>0</v>
      </c>
      <c r="CP191" s="15">
        <f>IF('ENCUESTA CONDUCTORES'!CX191="X",1,0)</f>
        <v>1</v>
      </c>
      <c r="CQ191" s="15">
        <f>IF('ENCUESTA CONDUCTORES'!CY191="X",1,0)</f>
        <v>0</v>
      </c>
      <c r="CR191" s="3">
        <f>+'ENCUESTA CONDUCTORES'!CZ191</f>
        <v>0</v>
      </c>
      <c r="CS191" s="49" t="str">
        <f>+'ENCUESTA CONDUCTORES'!DA191</f>
        <v>CUMMINS ISX</v>
      </c>
    </row>
    <row r="192" spans="2:97" x14ac:dyDescent="0.25">
      <c r="B192" s="14" t="str">
        <f>+'ENCUESTA CONDUCTORES'!D192</f>
        <v>C-198</v>
      </c>
      <c r="C192" s="15">
        <f>IF('ENCUESTA CONDUCTORES'!E192="X",1,0)</f>
        <v>0</v>
      </c>
      <c r="D192" s="15">
        <f>IF('ENCUESTA CONDUCTORES'!F192="X",1,0)</f>
        <v>0</v>
      </c>
      <c r="E192" s="15">
        <f>IF('ENCUESTA CONDUCTORES'!G192="X",1,0)</f>
        <v>1</v>
      </c>
      <c r="F192" s="15">
        <f>IF('ENCUESTA CONDUCTORES'!H192="X",1,0)</f>
        <v>0</v>
      </c>
      <c r="G192" s="15">
        <f>+'ENCUESTA CONDUCTORES'!I192</f>
        <v>31</v>
      </c>
      <c r="H192" s="15" t="str">
        <f>+'ENCUESTA CONDUCTORES'!J192</f>
        <v>M</v>
      </c>
      <c r="I192" s="15" t="str">
        <f>+'ENCUESTA CONDUCTORES'!K192</f>
        <v>PREPARATORIA</v>
      </c>
      <c r="J192" s="15" t="str">
        <f>+'ENCUESTA CONDUCTORES'!L192</f>
        <v>MANZANILLO, COL.</v>
      </c>
      <c r="K192" s="50" t="str">
        <f>+'ENCUESTA CONDUCTORES'!M192</f>
        <v>MANZANILLO</v>
      </c>
      <c r="L192" s="15" t="str">
        <f>+'ENCUESTA CONDUCTORES'!N192</f>
        <v>COLIMA</v>
      </c>
      <c r="M192" s="15">
        <f>+'ENCUESTA CONDUCTORES'!O192</f>
        <v>10</v>
      </c>
      <c r="N192" s="15">
        <f>IF('ENCUESTA CONDUCTORES'!P192="X",1,0)</f>
        <v>0</v>
      </c>
      <c r="O192" s="15">
        <f>IF('ENCUESTA CONDUCTORES'!Q192="X",1,0)</f>
        <v>0</v>
      </c>
      <c r="P192" s="15">
        <f>IF('ENCUESTA CONDUCTORES'!R192="X",1,0)</f>
        <v>0</v>
      </c>
      <c r="Q192" s="15">
        <f>IF('ENCUESTA CONDUCTORES'!S192="X",1,0)</f>
        <v>1</v>
      </c>
      <c r="R192" s="15">
        <f>IF('ENCUESTA CONDUCTORES'!T192="X",1,0)</f>
        <v>0</v>
      </c>
      <c r="S192" s="15">
        <f>IF('ENCUESTA CONDUCTORES'!U192="X",1,0)</f>
        <v>0</v>
      </c>
      <c r="T192" s="15">
        <f>IF('ENCUESTA CONDUCTORES'!V192="X",1,0)</f>
        <v>0</v>
      </c>
      <c r="U192" s="15">
        <f>IF('ENCUESTA CONDUCTORES'!W192="X",1,0)</f>
        <v>0</v>
      </c>
      <c r="V192" s="15">
        <f>IF('ENCUESTA CONDUCTORES'!X192="X",1,0)</f>
        <v>0</v>
      </c>
      <c r="W192" s="15">
        <f>IF('ENCUESTA CONDUCTORES'!Y192="X",1,0)</f>
        <v>1</v>
      </c>
      <c r="X192" s="15">
        <f>IF('ENCUESTA CONDUCTORES'!Z192="X",1,0)</f>
        <v>0</v>
      </c>
      <c r="Y192" s="15">
        <f>+'ENCUESTA CONDUCTORES'!AG192</f>
        <v>0</v>
      </c>
      <c r="Z192" s="15">
        <f>+'ENCUESTA CONDUCTORES'!AH192</f>
        <v>2010</v>
      </c>
      <c r="AA192" s="1">
        <f>+'ENCUESTA CONDUCTORES'!AI192</f>
        <v>219538</v>
      </c>
      <c r="AB192" s="15">
        <f>IF('ENCUESTA CONDUCTORES'!AJ192="X",1,0)</f>
        <v>0</v>
      </c>
      <c r="AC192" s="15">
        <f>IF('ENCUESTA CONDUCTORES'!AK192="X",1,0)</f>
        <v>0</v>
      </c>
      <c r="AD192" s="15">
        <f>IF('ENCUESTA CONDUCTORES'!AL192="X",1,0)</f>
        <v>1</v>
      </c>
      <c r="AE192" s="15">
        <f>IF('ENCUESTA CONDUCTORES'!AM192="X",1,0)</f>
        <v>0</v>
      </c>
      <c r="AF192" s="15">
        <f>IF('ENCUESTA CONDUCTORES'!AN192="X",1,0)</f>
        <v>0</v>
      </c>
      <c r="AG192" s="15">
        <f>IF('ENCUESTA CONDUCTORES'!AO192="X",1,0)</f>
        <v>0</v>
      </c>
      <c r="AH192" s="15">
        <f>IF('ENCUESTA CONDUCTORES'!AP192="X",1,0)</f>
        <v>1</v>
      </c>
      <c r="AI192" s="15">
        <f>IF('ENCUESTA CONDUCTORES'!AQ192="X",1,0)</f>
        <v>0</v>
      </c>
      <c r="AJ192" s="15">
        <f>IF('ENCUESTA CONDUCTORES'!AR192="X",1,0)</f>
        <v>0</v>
      </c>
      <c r="AK192" s="15">
        <f>+'ENCUESTA CONDUCTORES'!AS192</f>
        <v>0</v>
      </c>
      <c r="AL192" s="15" t="str">
        <f>+'ENCUESTA CONDUCTORES'!AT192</f>
        <v>DETROIT</v>
      </c>
      <c r="AM192" s="1">
        <f>+'ENCUESTA CONDUCTORES'!AU192</f>
        <v>6666.666666666667</v>
      </c>
      <c r="AN192" s="48">
        <f>+'ENCUESTA CONDUCTORES'!AV192</f>
        <v>0.5</v>
      </c>
      <c r="AO192" s="15">
        <f>+'ENCUESTA CONDUCTORES'!AW192</f>
        <v>2.75</v>
      </c>
      <c r="AP192" s="15">
        <f>+'ENCUESTA CONDUCTORES'!AX192</f>
        <v>2.4500000000000002</v>
      </c>
      <c r="AQ192" s="15">
        <f>+'ENCUESTA CONDUCTORES'!AY192</f>
        <v>2</v>
      </c>
      <c r="AR192" s="15">
        <f>+'ENCUESTA CONDUCTORES'!AZ192</f>
        <v>770</v>
      </c>
      <c r="AS192" s="15">
        <f>+'ENCUESTA CONDUCTORES'!BA192</f>
        <v>2000</v>
      </c>
      <c r="AT192" s="15">
        <f>IF('ENCUESTA CONDUCTORES'!BB192="X",1,0)</f>
        <v>1</v>
      </c>
      <c r="AU192" s="15">
        <f>IF('ENCUESTA CONDUCTORES'!BC192="X",1,0)</f>
        <v>1</v>
      </c>
      <c r="AV192" s="15">
        <f>IF('ENCUESTA CONDUCTORES'!BD192="X",1,0)</f>
        <v>0</v>
      </c>
      <c r="AW192" s="1">
        <f>+'ENCUESTA CONDUCTORES'!BE192</f>
        <v>20000</v>
      </c>
      <c r="AX192" s="1">
        <f>+'ENCUESTA CONDUCTORES'!BF192</f>
        <v>160000</v>
      </c>
      <c r="AY192" s="1">
        <f>+'ENCUESTA CONDUCTORES'!BG192</f>
        <v>20000</v>
      </c>
      <c r="AZ192" s="1">
        <f>+'ENCUESTA CONDUCTORES'!BH192</f>
        <v>80000</v>
      </c>
      <c r="BA192" s="1" t="str">
        <f>+'ENCUESTA CONDUCTORES'!BI192</f>
        <v>NO SABE</v>
      </c>
      <c r="BB192" s="15">
        <f>IF('ENCUESTA CONDUCTORES'!BJ192="X",1,0)</f>
        <v>0</v>
      </c>
      <c r="BC192" s="15">
        <f>IF('ENCUESTA CONDUCTORES'!BK192="X",1,0)</f>
        <v>0</v>
      </c>
      <c r="BD192" s="15">
        <f>IF('ENCUESTA CONDUCTORES'!BL192="X",1,0)</f>
        <v>1</v>
      </c>
      <c r="BE192" s="15">
        <f>IF('ENCUESTA CONDUCTORES'!BM192="X",1,0)</f>
        <v>0</v>
      </c>
      <c r="BF192" s="15">
        <f>IF('ENCUESTA CONDUCTORES'!BN192="X",1,0)</f>
        <v>0</v>
      </c>
      <c r="BG192" s="15">
        <f>IF('ENCUESTA CONDUCTORES'!BO192="X",1,0)</f>
        <v>0</v>
      </c>
      <c r="BH192" s="15">
        <f>IF('ENCUESTA CONDUCTORES'!BP192="X",1,0)</f>
        <v>0</v>
      </c>
      <c r="BI192" s="15">
        <f>IF('ENCUESTA CONDUCTORES'!BQ192="X",1,0)</f>
        <v>0</v>
      </c>
      <c r="BJ192" s="15">
        <f>IF('ENCUESTA CONDUCTORES'!BR192="X",1,0)</f>
        <v>1</v>
      </c>
      <c r="BK192" s="15">
        <f>+'ENCUESTA CONDUCTORES'!BS192</f>
        <v>0</v>
      </c>
      <c r="BL192" s="15">
        <f>IF('ENCUESTA CONDUCTORES'!BT192="X",1,0)</f>
        <v>0</v>
      </c>
      <c r="BM192" s="15">
        <f>IF('ENCUESTA CONDUCTORES'!BU192="X",1,0)</f>
        <v>0</v>
      </c>
      <c r="BN192" s="15">
        <f>IF('ENCUESTA CONDUCTORES'!BV192="X",1,0)</f>
        <v>1</v>
      </c>
      <c r="BO192" s="15">
        <f>IF('ENCUESTA CONDUCTORES'!BW192="X",1,0)</f>
        <v>0</v>
      </c>
      <c r="BP192" s="15">
        <f>+'ENCUESTA CONDUCTORES'!BX192</f>
        <v>1</v>
      </c>
      <c r="BQ192" s="15">
        <f>+'ENCUESTA CONDUCTORES'!BY192</f>
        <v>2</v>
      </c>
      <c r="BR192" s="15">
        <f>+'ENCUESTA CONDUCTORES'!BZ192</f>
        <v>3</v>
      </c>
      <c r="BS192" s="15">
        <f>+'ENCUESTA CONDUCTORES'!CA192</f>
        <v>0</v>
      </c>
      <c r="BT192" s="15">
        <f>IF('ENCUESTA CONDUCTORES'!CB192="X",1,0)</f>
        <v>1</v>
      </c>
      <c r="BU192" s="15">
        <f>IF('ENCUESTA CONDUCTORES'!CC192="X",1,0)</f>
        <v>0</v>
      </c>
      <c r="BV192" s="15">
        <f>IF('ENCUESTA CONDUCTORES'!CD192="X",1,0)</f>
        <v>0</v>
      </c>
      <c r="BW192" s="15">
        <f>IF('ENCUESTA CONDUCTORES'!CE192="X",1,0)</f>
        <v>0</v>
      </c>
      <c r="BX192" s="15">
        <f>IF('ENCUESTA CONDUCTORES'!CF192="X",1,0)</f>
        <v>0</v>
      </c>
      <c r="BY192" s="15">
        <f>IF('ENCUESTA CONDUCTORES'!CG192="X",1,0)</f>
        <v>0</v>
      </c>
      <c r="BZ192" s="15">
        <f>IF('ENCUESTA CONDUCTORES'!CH192="X",1,0)</f>
        <v>0</v>
      </c>
      <c r="CA192" s="15">
        <f>IF('ENCUESTA CONDUCTORES'!CI192="X",1,0)</f>
        <v>0</v>
      </c>
      <c r="CB192" s="15">
        <f>IF('ENCUESTA CONDUCTORES'!CJ192="X",1,0)</f>
        <v>0</v>
      </c>
      <c r="CC192" s="15">
        <f>IF('ENCUESTA CONDUCTORES'!CK192="X",1,0)</f>
        <v>1</v>
      </c>
      <c r="CD192" s="15">
        <f>IF('ENCUESTA CONDUCTORES'!CL192="X",1,0)</f>
        <v>0</v>
      </c>
      <c r="CE192" s="15">
        <f>IF('ENCUESTA CONDUCTORES'!CM192="X",1,0)</f>
        <v>0</v>
      </c>
      <c r="CF192" s="15">
        <f>+'ENCUESTA CONDUCTORES'!CN192</f>
        <v>0</v>
      </c>
      <c r="CG192" s="15">
        <f>IF('ENCUESTA CONDUCTORES'!CO192="X",1,0)</f>
        <v>0</v>
      </c>
      <c r="CH192" s="15" t="str">
        <f>+'ENCUESTA CONDUCTORES'!CP192</f>
        <v>NO SABE</v>
      </c>
      <c r="CI192" s="15" t="str">
        <f>+'ENCUESTA CONDUCTORES'!CQ192</f>
        <v>NO CONTESTA</v>
      </c>
      <c r="CJ192" s="15">
        <f>IF('ENCUESTA CONDUCTORES'!CR192="X",1,0)</f>
        <v>1</v>
      </c>
      <c r="CK192" s="15">
        <f>IF('ENCUESTA CONDUCTORES'!CS192="X",1,0)</f>
        <v>0</v>
      </c>
      <c r="CL192" s="15">
        <f>IF('ENCUESTA CONDUCTORES'!CT192="X",1,0)</f>
        <v>0</v>
      </c>
      <c r="CM192" s="15">
        <f>+'ENCUESTA CONDUCTORES'!CU192</f>
        <v>0</v>
      </c>
      <c r="CN192" s="15">
        <f>IF('ENCUESTA CONDUCTORES'!CV192="X",1,0)</f>
        <v>0</v>
      </c>
      <c r="CO192" s="15">
        <f>+'ENCUESTA CONDUCTORES'!CW192</f>
        <v>0</v>
      </c>
      <c r="CP192" s="15">
        <f>IF('ENCUESTA CONDUCTORES'!CX192="X",1,0)</f>
        <v>1</v>
      </c>
      <c r="CQ192" s="15">
        <f>IF('ENCUESTA CONDUCTORES'!CY192="X",1,0)</f>
        <v>1</v>
      </c>
      <c r="CR192" s="3">
        <f>+'ENCUESTA CONDUCTORES'!CZ192</f>
        <v>0</v>
      </c>
      <c r="CS192" s="49" t="str">
        <f>+'ENCUESTA CONDUCTORES'!DA192</f>
        <v>DETROIT S60</v>
      </c>
    </row>
    <row r="193" spans="2:97" x14ac:dyDescent="0.25">
      <c r="B193" s="14" t="str">
        <f>+'ENCUESTA CONDUCTORES'!D193</f>
        <v>C-199</v>
      </c>
      <c r="C193" s="15">
        <f>IF('ENCUESTA CONDUCTORES'!E193="X",1,0)</f>
        <v>0</v>
      </c>
      <c r="D193" s="15">
        <f>IF('ENCUESTA CONDUCTORES'!F193="X",1,0)</f>
        <v>1</v>
      </c>
      <c r="E193" s="15">
        <f>IF('ENCUESTA CONDUCTORES'!G193="X",1,0)</f>
        <v>0</v>
      </c>
      <c r="F193" s="15">
        <f>IF('ENCUESTA CONDUCTORES'!H193="X",1,0)</f>
        <v>0</v>
      </c>
      <c r="G193" s="15">
        <f>+'ENCUESTA CONDUCTORES'!I193</f>
        <v>28</v>
      </c>
      <c r="H193" s="15" t="str">
        <f>+'ENCUESTA CONDUCTORES'!J193</f>
        <v>M</v>
      </c>
      <c r="I193" s="15" t="str">
        <f>+'ENCUESTA CONDUCTORES'!K193</f>
        <v>PREPARATORIA</v>
      </c>
      <c r="J193" s="15" t="str">
        <f>+'ENCUESTA CONDUCTORES'!L193</f>
        <v>CELAYA, GTO.</v>
      </c>
      <c r="K193" s="15" t="str">
        <f>+'ENCUESTA CONDUCTORES'!M193</f>
        <v>CELAYA</v>
      </c>
      <c r="L193" s="15" t="str">
        <f>+'ENCUESTA CONDUCTORES'!N193</f>
        <v>GUANAJUATO</v>
      </c>
      <c r="M193" s="15">
        <f>+'ENCUESTA CONDUCTORES'!O193</f>
        <v>10</v>
      </c>
      <c r="N193" s="15">
        <f>IF('ENCUESTA CONDUCTORES'!P193="X",1,0)</f>
        <v>0</v>
      </c>
      <c r="O193" s="15">
        <f>IF('ENCUESTA CONDUCTORES'!Q193="X",1,0)</f>
        <v>0</v>
      </c>
      <c r="P193" s="15">
        <f>IF('ENCUESTA CONDUCTORES'!R193="X",1,0)</f>
        <v>0</v>
      </c>
      <c r="Q193" s="15">
        <f>IF('ENCUESTA CONDUCTORES'!S193="X",1,0)</f>
        <v>1</v>
      </c>
      <c r="R193" s="15">
        <f>IF('ENCUESTA CONDUCTORES'!T193="X",1,0)</f>
        <v>0</v>
      </c>
      <c r="S193" s="15">
        <f>IF('ENCUESTA CONDUCTORES'!U193="X",1,0)</f>
        <v>0</v>
      </c>
      <c r="T193" s="15">
        <f>IF('ENCUESTA CONDUCTORES'!V193="X",1,0)</f>
        <v>0</v>
      </c>
      <c r="U193" s="15">
        <f>IF('ENCUESTA CONDUCTORES'!W193="X",1,0)</f>
        <v>0</v>
      </c>
      <c r="V193" s="15">
        <f>IF('ENCUESTA CONDUCTORES'!X193="X",1,0)</f>
        <v>0</v>
      </c>
      <c r="W193" s="15">
        <f>IF('ENCUESTA CONDUCTORES'!Y193="X",1,0)</f>
        <v>1</v>
      </c>
      <c r="X193" s="15">
        <f>IF('ENCUESTA CONDUCTORES'!Z193="X",1,0)</f>
        <v>0</v>
      </c>
      <c r="Y193" s="15">
        <f>+'ENCUESTA CONDUCTORES'!AG193</f>
        <v>0</v>
      </c>
      <c r="Z193" s="15">
        <f>+'ENCUESTA CONDUCTORES'!AH193</f>
        <v>2006</v>
      </c>
      <c r="AA193" s="1">
        <f>+'ENCUESTA CONDUCTORES'!AI193</f>
        <v>627453</v>
      </c>
      <c r="AB193" s="15">
        <f>IF('ENCUESTA CONDUCTORES'!AJ193="X",1,0)</f>
        <v>0</v>
      </c>
      <c r="AC193" s="15">
        <f>IF('ENCUESTA CONDUCTORES'!AK193="X",1,0)</f>
        <v>0</v>
      </c>
      <c r="AD193" s="15">
        <f>IF('ENCUESTA CONDUCTORES'!AL193="X",1,0)</f>
        <v>1</v>
      </c>
      <c r="AE193" s="15">
        <f>IF('ENCUESTA CONDUCTORES'!AM193="X",1,0)</f>
        <v>0</v>
      </c>
      <c r="AF193" s="15">
        <f>IF('ENCUESTA CONDUCTORES'!AN193="X",1,0)</f>
        <v>0</v>
      </c>
      <c r="AG193" s="15">
        <f>IF('ENCUESTA CONDUCTORES'!AO193="X",1,0)</f>
        <v>1</v>
      </c>
      <c r="AH193" s="15">
        <f>IF('ENCUESTA CONDUCTORES'!AP193="X",1,0)</f>
        <v>0</v>
      </c>
      <c r="AI193" s="15">
        <f>IF('ENCUESTA CONDUCTORES'!AQ193="X",1,0)</f>
        <v>0</v>
      </c>
      <c r="AJ193" s="15">
        <f>IF('ENCUESTA CONDUCTORES'!AR193="X",1,0)</f>
        <v>0</v>
      </c>
      <c r="AK193" s="15">
        <f>+'ENCUESTA CONDUCTORES'!AS193</f>
        <v>0</v>
      </c>
      <c r="AL193" s="15" t="str">
        <f>+'ENCUESTA CONDUCTORES'!AT193</f>
        <v>CUMMINS</v>
      </c>
      <c r="AM193" s="1">
        <f>+'ENCUESTA CONDUCTORES'!AU193</f>
        <v>8333.3333333333339</v>
      </c>
      <c r="AN193" s="48">
        <f>+'ENCUESTA CONDUCTORES'!AV193</f>
        <v>0.5</v>
      </c>
      <c r="AO193" s="15">
        <f>+'ENCUESTA CONDUCTORES'!AW193</f>
        <v>2.8</v>
      </c>
      <c r="AP193" s="15">
        <f>+'ENCUESTA CONDUCTORES'!AX193</f>
        <v>2.5</v>
      </c>
      <c r="AQ193" s="15">
        <f>+'ENCUESTA CONDUCTORES'!AY193</f>
        <v>2</v>
      </c>
      <c r="AR193" s="15">
        <f>+'ENCUESTA CONDUCTORES'!AZ193</f>
        <v>740</v>
      </c>
      <c r="AS193" s="15">
        <f>+'ENCUESTA CONDUCTORES'!BA193</f>
        <v>2000</v>
      </c>
      <c r="AT193" s="15">
        <f>IF('ENCUESTA CONDUCTORES'!BB193="X",1,0)</f>
        <v>1</v>
      </c>
      <c r="AU193" s="15">
        <f>IF('ENCUESTA CONDUCTORES'!BC193="X",1,0)</f>
        <v>1</v>
      </c>
      <c r="AV193" s="15">
        <f>IF('ENCUESTA CONDUCTORES'!BD193="X",1,0)</f>
        <v>0</v>
      </c>
      <c r="AW193" s="1">
        <f>+'ENCUESTA CONDUCTORES'!BE193</f>
        <v>25000</v>
      </c>
      <c r="AX193" s="1">
        <f>+'ENCUESTA CONDUCTORES'!BF193</f>
        <v>100000</v>
      </c>
      <c r="AY193" s="1">
        <f>+'ENCUESTA CONDUCTORES'!BG193</f>
        <v>25000</v>
      </c>
      <c r="AZ193" s="1">
        <f>+'ENCUESTA CONDUCTORES'!BH193</f>
        <v>100000</v>
      </c>
      <c r="BA193" s="1" t="str">
        <f>+'ENCUESTA CONDUCTORES'!BI193</f>
        <v>NO SABE</v>
      </c>
      <c r="BB193" s="15">
        <f>IF('ENCUESTA CONDUCTORES'!BJ193="X",1,0)</f>
        <v>0</v>
      </c>
      <c r="BC193" s="15">
        <f>IF('ENCUESTA CONDUCTORES'!BK193="X",1,0)</f>
        <v>0</v>
      </c>
      <c r="BD193" s="15">
        <f>IF('ENCUESTA CONDUCTORES'!BL193="X",1,0)</f>
        <v>0</v>
      </c>
      <c r="BE193" s="15">
        <f>IF('ENCUESTA CONDUCTORES'!BM193="X",1,0)</f>
        <v>0</v>
      </c>
      <c r="BF193" s="15">
        <f>IF('ENCUESTA CONDUCTORES'!BN193="X",1,0)</f>
        <v>0</v>
      </c>
      <c r="BG193" s="15">
        <f>IF('ENCUESTA CONDUCTORES'!BO193="X",1,0)</f>
        <v>0</v>
      </c>
      <c r="BH193" s="15">
        <f>IF('ENCUESTA CONDUCTORES'!BP193="X",1,0)</f>
        <v>0</v>
      </c>
      <c r="BI193" s="15">
        <f>IF('ENCUESTA CONDUCTORES'!BQ193="X",1,0)</f>
        <v>0</v>
      </c>
      <c r="BJ193" s="15">
        <f>IF('ENCUESTA CONDUCTORES'!BR193="X",1,0)</f>
        <v>1</v>
      </c>
      <c r="BK193" s="15">
        <f>+'ENCUESTA CONDUCTORES'!BS193</f>
        <v>0</v>
      </c>
      <c r="BL193" s="15">
        <f>IF('ENCUESTA CONDUCTORES'!BT193="X",1,0)</f>
        <v>0</v>
      </c>
      <c r="BM193" s="15">
        <f>IF('ENCUESTA CONDUCTORES'!BU193="X",1,0)</f>
        <v>0</v>
      </c>
      <c r="BN193" s="15">
        <f>IF('ENCUESTA CONDUCTORES'!BV193="X",1,0)</f>
        <v>1</v>
      </c>
      <c r="BO193" s="15">
        <f>IF('ENCUESTA CONDUCTORES'!BW193="X",1,0)</f>
        <v>0</v>
      </c>
      <c r="BP193" s="15">
        <f>+'ENCUESTA CONDUCTORES'!BX193</f>
        <v>1</v>
      </c>
      <c r="BQ193" s="15">
        <f>+'ENCUESTA CONDUCTORES'!BY193</f>
        <v>2</v>
      </c>
      <c r="BR193" s="15">
        <f>+'ENCUESTA CONDUCTORES'!BZ193</f>
        <v>3</v>
      </c>
      <c r="BS193" s="15">
        <f>+'ENCUESTA CONDUCTORES'!CA193</f>
        <v>0</v>
      </c>
      <c r="BT193" s="15">
        <f>IF('ENCUESTA CONDUCTORES'!CB193="X",1,0)</f>
        <v>1</v>
      </c>
      <c r="BU193" s="15">
        <f>IF('ENCUESTA CONDUCTORES'!CC193="X",1,0)</f>
        <v>0</v>
      </c>
      <c r="BV193" s="15">
        <f>IF('ENCUESTA CONDUCTORES'!CD193="X",1,0)</f>
        <v>0</v>
      </c>
      <c r="BW193" s="15">
        <f>IF('ENCUESTA CONDUCTORES'!CE193="X",1,0)</f>
        <v>0</v>
      </c>
      <c r="BX193" s="15">
        <f>IF('ENCUESTA CONDUCTORES'!CF193="X",1,0)</f>
        <v>0</v>
      </c>
      <c r="BY193" s="15">
        <f>IF('ENCUESTA CONDUCTORES'!CG193="X",1,0)</f>
        <v>0</v>
      </c>
      <c r="BZ193" s="15">
        <f>IF('ENCUESTA CONDUCTORES'!CH193="X",1,0)</f>
        <v>0</v>
      </c>
      <c r="CA193" s="15">
        <f>IF('ENCUESTA CONDUCTORES'!CI193="X",1,0)</f>
        <v>0</v>
      </c>
      <c r="CB193" s="15">
        <f>IF('ENCUESTA CONDUCTORES'!CJ193="X",1,0)</f>
        <v>0</v>
      </c>
      <c r="CC193" s="15">
        <f>IF('ENCUESTA CONDUCTORES'!CK193="X",1,0)</f>
        <v>1</v>
      </c>
      <c r="CD193" s="15">
        <f>IF('ENCUESTA CONDUCTORES'!CL193="X",1,0)</f>
        <v>0</v>
      </c>
      <c r="CE193" s="15">
        <f>IF('ENCUESTA CONDUCTORES'!CM193="X",1,0)</f>
        <v>0</v>
      </c>
      <c r="CF193" s="15">
        <f>+'ENCUESTA CONDUCTORES'!CN193</f>
        <v>0</v>
      </c>
      <c r="CG193" s="15">
        <f>IF('ENCUESTA CONDUCTORES'!CO193="X",1,0)</f>
        <v>0</v>
      </c>
      <c r="CH193" s="15" t="str">
        <f>+'ENCUESTA CONDUCTORES'!CP193</f>
        <v>NO SABE</v>
      </c>
      <c r="CI193" s="15" t="str">
        <f>+'ENCUESTA CONDUCTORES'!CQ193</f>
        <v>NO CONTESTA</v>
      </c>
      <c r="CJ193" s="15">
        <f>IF('ENCUESTA CONDUCTORES'!CR193="X",1,0)</f>
        <v>1</v>
      </c>
      <c r="CK193" s="15">
        <f>IF('ENCUESTA CONDUCTORES'!CS193="X",1,0)</f>
        <v>0</v>
      </c>
      <c r="CL193" s="15">
        <f>IF('ENCUESTA CONDUCTORES'!CT193="X",1,0)</f>
        <v>0</v>
      </c>
      <c r="CM193" s="15">
        <f>+'ENCUESTA CONDUCTORES'!CU193</f>
        <v>0</v>
      </c>
      <c r="CN193" s="15">
        <f>IF('ENCUESTA CONDUCTORES'!CV193="X",1,0)</f>
        <v>0</v>
      </c>
      <c r="CO193" s="15">
        <f>+'ENCUESTA CONDUCTORES'!CW193</f>
        <v>0</v>
      </c>
      <c r="CP193" s="15">
        <f>IF('ENCUESTA CONDUCTORES'!CX193="X",1,0)</f>
        <v>1</v>
      </c>
      <c r="CQ193" s="15">
        <f>IF('ENCUESTA CONDUCTORES'!CY193="X",1,0)</f>
        <v>0</v>
      </c>
      <c r="CR193" s="3">
        <f>+'ENCUESTA CONDUCTORES'!CZ193</f>
        <v>0</v>
      </c>
      <c r="CS193" s="49" t="str">
        <f>+'ENCUESTA CONDUCTORES'!DA193</f>
        <v>CUMMINS ISX</v>
      </c>
    </row>
    <row r="194" spans="2:97" x14ac:dyDescent="0.25">
      <c r="B194" s="14" t="str">
        <f>+'ENCUESTA CONDUCTORES'!D194</f>
        <v>C-200</v>
      </c>
      <c r="C194" s="15">
        <f>IF('ENCUESTA CONDUCTORES'!E194="X",1,0)</f>
        <v>0</v>
      </c>
      <c r="D194" s="15">
        <f>IF('ENCUESTA CONDUCTORES'!F194="X",1,0)</f>
        <v>0</v>
      </c>
      <c r="E194" s="15">
        <f>IF('ENCUESTA CONDUCTORES'!G194="X",1,0)</f>
        <v>0</v>
      </c>
      <c r="F194" s="15">
        <f>IF('ENCUESTA CONDUCTORES'!H194="X",1,0)</f>
        <v>1</v>
      </c>
      <c r="G194" s="15">
        <f>+'ENCUESTA CONDUCTORES'!I194</f>
        <v>46</v>
      </c>
      <c r="H194" s="15" t="str">
        <f>+'ENCUESTA CONDUCTORES'!J194</f>
        <v>M</v>
      </c>
      <c r="I194" s="15" t="str">
        <f>+'ENCUESTA CONDUCTORES'!K194</f>
        <v>PRIMARIA</v>
      </c>
      <c r="J194" s="15" t="str">
        <f>+'ENCUESTA CONDUCTORES'!L194</f>
        <v>PALMILLAS, EDO. MEX.</v>
      </c>
      <c r="K194" s="15" t="str">
        <f>+'ENCUESTA CONDUCTORES'!M194</f>
        <v>PALMILLAS</v>
      </c>
      <c r="L194" s="15" t="str">
        <f>+'ENCUESTA CONDUCTORES'!N194</f>
        <v>EDO. MEX.</v>
      </c>
      <c r="M194" s="15">
        <f>+'ENCUESTA CONDUCTORES'!O194</f>
        <v>25</v>
      </c>
      <c r="N194" s="15">
        <f>IF('ENCUESTA CONDUCTORES'!P194="X",1,0)</f>
        <v>0</v>
      </c>
      <c r="O194" s="15">
        <f>IF('ENCUESTA CONDUCTORES'!Q194="X",1,0)</f>
        <v>0</v>
      </c>
      <c r="P194" s="15">
        <f>IF('ENCUESTA CONDUCTORES'!R194="X",1,0)</f>
        <v>0</v>
      </c>
      <c r="Q194" s="15">
        <f>IF('ENCUESTA CONDUCTORES'!S194="X",1,0)</f>
        <v>1</v>
      </c>
      <c r="R194" s="15">
        <f>IF('ENCUESTA CONDUCTORES'!T194="X",1,0)</f>
        <v>0</v>
      </c>
      <c r="S194" s="15">
        <f>IF('ENCUESTA CONDUCTORES'!U194="X",1,0)</f>
        <v>0</v>
      </c>
      <c r="T194" s="15">
        <f>IF('ENCUESTA CONDUCTORES'!V194="X",1,0)</f>
        <v>0</v>
      </c>
      <c r="U194" s="15">
        <f>IF('ENCUESTA CONDUCTORES'!W194="X",1,0)</f>
        <v>0</v>
      </c>
      <c r="V194" s="15">
        <f>IF('ENCUESTA CONDUCTORES'!X194="X",1,0)</f>
        <v>0</v>
      </c>
      <c r="W194" s="15">
        <f>IF('ENCUESTA CONDUCTORES'!Y194="X",1,0)</f>
        <v>1</v>
      </c>
      <c r="X194" s="15">
        <f>IF('ENCUESTA CONDUCTORES'!Z194="X",1,0)</f>
        <v>0</v>
      </c>
      <c r="Y194" s="15">
        <f>+'ENCUESTA CONDUCTORES'!AG194</f>
        <v>0</v>
      </c>
      <c r="Z194" s="15">
        <f>+'ENCUESTA CONDUCTORES'!AH194</f>
        <v>2008</v>
      </c>
      <c r="AA194" s="1">
        <f>+'ENCUESTA CONDUCTORES'!AI194</f>
        <v>521658</v>
      </c>
      <c r="AB194" s="15">
        <f>IF('ENCUESTA CONDUCTORES'!AJ194="X",1,0)</f>
        <v>0</v>
      </c>
      <c r="AC194" s="15">
        <f>IF('ENCUESTA CONDUCTORES'!AK194="X",1,0)</f>
        <v>0</v>
      </c>
      <c r="AD194" s="15">
        <f>IF('ENCUESTA CONDUCTORES'!AL194="X",1,0)</f>
        <v>1</v>
      </c>
      <c r="AE194" s="15">
        <f>IF('ENCUESTA CONDUCTORES'!AM194="X",1,0)</f>
        <v>0</v>
      </c>
      <c r="AF194" s="15">
        <f>IF('ENCUESTA CONDUCTORES'!AN194="X",1,0)</f>
        <v>0</v>
      </c>
      <c r="AG194" s="15">
        <f>IF('ENCUESTA CONDUCTORES'!AO194="X",1,0)</f>
        <v>0</v>
      </c>
      <c r="AH194" s="15">
        <f>IF('ENCUESTA CONDUCTORES'!AP194="X",1,0)</f>
        <v>1</v>
      </c>
      <c r="AI194" s="15">
        <f>IF('ENCUESTA CONDUCTORES'!AQ194="X",1,0)</f>
        <v>0</v>
      </c>
      <c r="AJ194" s="15">
        <f>IF('ENCUESTA CONDUCTORES'!AR194="X",1,0)</f>
        <v>0</v>
      </c>
      <c r="AK194" s="15">
        <f>+'ENCUESTA CONDUCTORES'!AS194</f>
        <v>0</v>
      </c>
      <c r="AL194" s="15" t="str">
        <f>+'ENCUESTA CONDUCTORES'!AT194</f>
        <v>CUMMINS</v>
      </c>
      <c r="AM194" s="1">
        <f>+'ENCUESTA CONDUCTORES'!AU194</f>
        <v>8333.3333333333339</v>
      </c>
      <c r="AN194" s="48">
        <f>+'ENCUESTA CONDUCTORES'!AV194</f>
        <v>0.5</v>
      </c>
      <c r="AO194" s="15">
        <f>+'ENCUESTA CONDUCTORES'!AW194</f>
        <v>2.9</v>
      </c>
      <c r="AP194" s="15">
        <f>+'ENCUESTA CONDUCTORES'!AX194</f>
        <v>2.5</v>
      </c>
      <c r="AQ194" s="15">
        <f>+'ENCUESTA CONDUCTORES'!AY194</f>
        <v>2</v>
      </c>
      <c r="AR194" s="15">
        <f>+'ENCUESTA CONDUCTORES'!AZ194</f>
        <v>890</v>
      </c>
      <c r="AS194" s="15">
        <f>+'ENCUESTA CONDUCTORES'!BA194</f>
        <v>2500</v>
      </c>
      <c r="AT194" s="15">
        <f>IF('ENCUESTA CONDUCTORES'!BB194="X",1,0)</f>
        <v>1</v>
      </c>
      <c r="AU194" s="15">
        <f>IF('ENCUESTA CONDUCTORES'!BC194="X",1,0)</f>
        <v>1</v>
      </c>
      <c r="AV194" s="15">
        <f>IF('ENCUESTA CONDUCTORES'!BD194="X",1,0)</f>
        <v>0</v>
      </c>
      <c r="AW194" s="1">
        <f>+'ENCUESTA CONDUCTORES'!BE194</f>
        <v>16000</v>
      </c>
      <c r="AX194" s="1">
        <f>+'ENCUESTA CONDUCTORES'!BF194</f>
        <v>160000</v>
      </c>
      <c r="AY194" s="1">
        <f>+'ENCUESTA CONDUCTORES'!BG194</f>
        <v>16000</v>
      </c>
      <c r="AZ194" s="1">
        <f>+'ENCUESTA CONDUCTORES'!BH194</f>
        <v>80000</v>
      </c>
      <c r="BA194" s="1" t="str">
        <f>+'ENCUESTA CONDUCTORES'!BI194</f>
        <v>NO SABE</v>
      </c>
      <c r="BB194" s="15">
        <f>IF('ENCUESTA CONDUCTORES'!BJ194="X",1,0)</f>
        <v>0</v>
      </c>
      <c r="BC194" s="15">
        <f>IF('ENCUESTA CONDUCTORES'!BK194="X",1,0)</f>
        <v>0</v>
      </c>
      <c r="BD194" s="15">
        <f>IF('ENCUESTA CONDUCTORES'!BL194="X",1,0)</f>
        <v>1</v>
      </c>
      <c r="BE194" s="15">
        <f>IF('ENCUESTA CONDUCTORES'!BM194="X",1,0)</f>
        <v>0</v>
      </c>
      <c r="BF194" s="15">
        <f>IF('ENCUESTA CONDUCTORES'!BN194="X",1,0)</f>
        <v>0</v>
      </c>
      <c r="BG194" s="15">
        <f>IF('ENCUESTA CONDUCTORES'!BO194="X",1,0)</f>
        <v>0</v>
      </c>
      <c r="BH194" s="15">
        <f>IF('ENCUESTA CONDUCTORES'!BP194="X",1,0)</f>
        <v>0</v>
      </c>
      <c r="BI194" s="15">
        <f>IF('ENCUESTA CONDUCTORES'!BQ194="X",1,0)</f>
        <v>0</v>
      </c>
      <c r="BJ194" s="15">
        <f>IF('ENCUESTA CONDUCTORES'!BR194="X",1,0)</f>
        <v>1</v>
      </c>
      <c r="BK194" s="15">
        <f>+'ENCUESTA CONDUCTORES'!BS194</f>
        <v>0</v>
      </c>
      <c r="BL194" s="15">
        <f>IF('ENCUESTA CONDUCTORES'!BT194="X",1,0)</f>
        <v>0</v>
      </c>
      <c r="BM194" s="15">
        <f>IF('ENCUESTA CONDUCTORES'!BU194="X",1,0)</f>
        <v>0</v>
      </c>
      <c r="BN194" s="15">
        <f>IF('ENCUESTA CONDUCTORES'!BV194="X",1,0)</f>
        <v>1</v>
      </c>
      <c r="BO194" s="15">
        <f>IF('ENCUESTA CONDUCTORES'!BW194="X",1,0)</f>
        <v>0</v>
      </c>
      <c r="BP194" s="15">
        <f>+'ENCUESTA CONDUCTORES'!BX194</f>
        <v>1</v>
      </c>
      <c r="BQ194" s="15">
        <f>+'ENCUESTA CONDUCTORES'!BY194</f>
        <v>3</v>
      </c>
      <c r="BR194" s="15">
        <f>+'ENCUESTA CONDUCTORES'!BZ194</f>
        <v>2</v>
      </c>
      <c r="BS194" s="15">
        <f>+'ENCUESTA CONDUCTORES'!CA194</f>
        <v>0</v>
      </c>
      <c r="BT194" s="15">
        <f>IF('ENCUESTA CONDUCTORES'!CB194="X",1,0)</f>
        <v>0</v>
      </c>
      <c r="BU194" s="15">
        <f>IF('ENCUESTA CONDUCTORES'!CC194="X",1,0)</f>
        <v>1</v>
      </c>
      <c r="BV194" s="15">
        <f>IF('ENCUESTA CONDUCTORES'!CD194="X",1,0)</f>
        <v>0</v>
      </c>
      <c r="BW194" s="15">
        <f>IF('ENCUESTA CONDUCTORES'!CE194="X",1,0)</f>
        <v>0</v>
      </c>
      <c r="BX194" s="15">
        <f>IF('ENCUESTA CONDUCTORES'!CF194="X",1,0)</f>
        <v>0</v>
      </c>
      <c r="BY194" s="15">
        <f>IF('ENCUESTA CONDUCTORES'!CG194="X",1,0)</f>
        <v>0</v>
      </c>
      <c r="BZ194" s="15">
        <f>IF('ENCUESTA CONDUCTORES'!CH194="X",1,0)</f>
        <v>1</v>
      </c>
      <c r="CA194" s="15">
        <f>IF('ENCUESTA CONDUCTORES'!CI194="X",1,0)</f>
        <v>0</v>
      </c>
      <c r="CB194" s="15">
        <f>IF('ENCUESTA CONDUCTORES'!CJ194="X",1,0)</f>
        <v>0</v>
      </c>
      <c r="CC194" s="15">
        <f>IF('ENCUESTA CONDUCTORES'!CK194="X",1,0)</f>
        <v>1</v>
      </c>
      <c r="CD194" s="15">
        <f>IF('ENCUESTA CONDUCTORES'!CL194="X",1,0)</f>
        <v>0</v>
      </c>
      <c r="CE194" s="15">
        <f>IF('ENCUESTA CONDUCTORES'!CM194="X",1,0)</f>
        <v>0</v>
      </c>
      <c r="CF194" s="15">
        <f>+'ENCUESTA CONDUCTORES'!CN194</f>
        <v>0</v>
      </c>
      <c r="CG194" s="15">
        <f>IF('ENCUESTA CONDUCTORES'!CO194="X",1,0)</f>
        <v>0</v>
      </c>
      <c r="CH194" s="15" t="str">
        <f>+'ENCUESTA CONDUCTORES'!CP194</f>
        <v>NO SABE</v>
      </c>
      <c r="CI194" s="15" t="str">
        <f>+'ENCUESTA CONDUCTORES'!CQ194</f>
        <v>NO CONTESTA</v>
      </c>
      <c r="CJ194" s="15">
        <f>IF('ENCUESTA CONDUCTORES'!CR194="X",1,0)</f>
        <v>0</v>
      </c>
      <c r="CK194" s="15">
        <f>IF('ENCUESTA CONDUCTORES'!CS194="X",1,0)</f>
        <v>0</v>
      </c>
      <c r="CL194" s="15">
        <f>IF('ENCUESTA CONDUCTORES'!CT194="X",1,0)</f>
        <v>0</v>
      </c>
      <c r="CM194" s="15" t="str">
        <f>+'ENCUESTA CONDUCTORES'!CU194</f>
        <v>CONTINGENCIA AMBIENTAL</v>
      </c>
      <c r="CN194" s="15">
        <f>IF('ENCUESTA CONDUCTORES'!CV194="X",1,0)</f>
        <v>0</v>
      </c>
      <c r="CO194" s="15">
        <f>+'ENCUESTA CONDUCTORES'!CW194</f>
        <v>0</v>
      </c>
      <c r="CP194" s="15">
        <f>IF('ENCUESTA CONDUCTORES'!CX194="X",1,0)</f>
        <v>1</v>
      </c>
      <c r="CQ194" s="15">
        <f>IF('ENCUESTA CONDUCTORES'!CY194="X",1,0)</f>
        <v>0</v>
      </c>
      <c r="CR194" s="3">
        <f>+'ENCUESTA CONDUCTORES'!CZ194</f>
        <v>0</v>
      </c>
      <c r="CS194" s="49" t="str">
        <f>+'ENCUESTA CONDUCTORES'!DA194</f>
        <v>CUMMINS ISX</v>
      </c>
    </row>
    <row r="195" spans="2:97" x14ac:dyDescent="0.25">
      <c r="B195" s="14" t="str">
        <f>+'ENCUESTA CONDUCTORES'!D195</f>
        <v>C-201</v>
      </c>
      <c r="C195" s="15">
        <f>IF('ENCUESTA CONDUCTORES'!E195="X",1,0)</f>
        <v>0</v>
      </c>
      <c r="D195" s="15">
        <f>IF('ENCUESTA CONDUCTORES'!F195="X",1,0)</f>
        <v>0</v>
      </c>
      <c r="E195" s="15">
        <f>IF('ENCUESTA CONDUCTORES'!G195="X",1,0)</f>
        <v>0</v>
      </c>
      <c r="F195" s="15">
        <f>IF('ENCUESTA CONDUCTORES'!H195="X",1,0)</f>
        <v>1</v>
      </c>
      <c r="G195" s="15">
        <f>+'ENCUESTA CONDUCTORES'!I195</f>
        <v>62</v>
      </c>
      <c r="H195" s="15" t="str">
        <f>+'ENCUESTA CONDUCTORES'!J195</f>
        <v>M</v>
      </c>
      <c r="I195" s="15" t="str">
        <f>+'ENCUESTA CONDUCTORES'!K195</f>
        <v>SIN ESTUDIOS</v>
      </c>
      <c r="J195" s="15" t="str">
        <f>+'ENCUESTA CONDUCTORES'!L195</f>
        <v>ROMITA, GTO.</v>
      </c>
      <c r="K195" s="15" t="str">
        <f>+'ENCUESTA CONDUCTORES'!M195</f>
        <v>ROMITA</v>
      </c>
      <c r="L195" s="15" t="str">
        <f>+'ENCUESTA CONDUCTORES'!N195</f>
        <v>GUANAJUATO</v>
      </c>
      <c r="M195" s="15">
        <f>+'ENCUESTA CONDUCTORES'!O195</f>
        <v>45</v>
      </c>
      <c r="N195" s="15">
        <f>IF('ENCUESTA CONDUCTORES'!P195="X",1,0)</f>
        <v>0</v>
      </c>
      <c r="O195" s="15">
        <f>IF('ENCUESTA CONDUCTORES'!Q195="X",1,0)</f>
        <v>0</v>
      </c>
      <c r="P195" s="15">
        <f>IF('ENCUESTA CONDUCTORES'!R195="X",1,0)</f>
        <v>0</v>
      </c>
      <c r="Q195" s="15">
        <f>IF('ENCUESTA CONDUCTORES'!S195="X",1,0)</f>
        <v>1</v>
      </c>
      <c r="R195" s="15">
        <f>IF('ENCUESTA CONDUCTORES'!T195="X",1,0)</f>
        <v>0</v>
      </c>
      <c r="S195" s="15">
        <f>IF('ENCUESTA CONDUCTORES'!U195="X",1,0)</f>
        <v>0</v>
      </c>
      <c r="T195" s="15">
        <f>IF('ENCUESTA CONDUCTORES'!V195="X",1,0)</f>
        <v>0</v>
      </c>
      <c r="U195" s="15">
        <f>IF('ENCUESTA CONDUCTORES'!W195="X",1,0)</f>
        <v>0</v>
      </c>
      <c r="V195" s="15">
        <f>IF('ENCUESTA CONDUCTORES'!X195="X",1,0)</f>
        <v>0</v>
      </c>
      <c r="W195" s="15">
        <f>IF('ENCUESTA CONDUCTORES'!Y195="X",1,0)</f>
        <v>1</v>
      </c>
      <c r="X195" s="15">
        <f>IF('ENCUESTA CONDUCTORES'!Z195="X",1,0)</f>
        <v>0</v>
      </c>
      <c r="Y195" s="15">
        <f>+'ENCUESTA CONDUCTORES'!AG195</f>
        <v>0</v>
      </c>
      <c r="Z195" s="15">
        <f>+'ENCUESTA CONDUCTORES'!AH195</f>
        <v>2009</v>
      </c>
      <c r="AA195" s="1">
        <f>+'ENCUESTA CONDUCTORES'!AI195</f>
        <v>437611</v>
      </c>
      <c r="AB195" s="15">
        <f>IF('ENCUESTA CONDUCTORES'!AJ195="X",1,0)</f>
        <v>0</v>
      </c>
      <c r="AC195" s="15">
        <f>IF('ENCUESTA CONDUCTORES'!AK195="X",1,0)</f>
        <v>0</v>
      </c>
      <c r="AD195" s="15">
        <f>IF('ENCUESTA CONDUCTORES'!AL195="X",1,0)</f>
        <v>1</v>
      </c>
      <c r="AE195" s="15">
        <f>IF('ENCUESTA CONDUCTORES'!AM195="X",1,0)</f>
        <v>0</v>
      </c>
      <c r="AF195" s="15">
        <f>IF('ENCUESTA CONDUCTORES'!AN195="X",1,0)</f>
        <v>0</v>
      </c>
      <c r="AG195" s="15">
        <f>IF('ENCUESTA CONDUCTORES'!AO195="X",1,0)</f>
        <v>0</v>
      </c>
      <c r="AH195" s="15">
        <f>IF('ENCUESTA CONDUCTORES'!AP195="X",1,0)</f>
        <v>1</v>
      </c>
      <c r="AI195" s="15">
        <f>IF('ENCUESTA CONDUCTORES'!AQ195="X",1,0)</f>
        <v>0</v>
      </c>
      <c r="AJ195" s="15">
        <f>IF('ENCUESTA CONDUCTORES'!AR195="X",1,0)</f>
        <v>0</v>
      </c>
      <c r="AK195" s="15">
        <f>+'ENCUESTA CONDUCTORES'!AS195</f>
        <v>0</v>
      </c>
      <c r="AL195" s="15" t="str">
        <f>+'ENCUESTA CONDUCTORES'!AT195</f>
        <v>DETROIT</v>
      </c>
      <c r="AM195" s="1">
        <f>+'ENCUESTA CONDUCTORES'!AU195</f>
        <v>10000</v>
      </c>
      <c r="AN195" s="48">
        <f>+'ENCUESTA CONDUCTORES'!AV195</f>
        <v>0.5</v>
      </c>
      <c r="AO195" s="15">
        <f>+'ENCUESTA CONDUCTORES'!AW195</f>
        <v>2.9</v>
      </c>
      <c r="AP195" s="15">
        <f>+'ENCUESTA CONDUCTORES'!AX195</f>
        <v>2.6</v>
      </c>
      <c r="AQ195" s="15">
        <f>+'ENCUESTA CONDUCTORES'!AY195</f>
        <v>2</v>
      </c>
      <c r="AR195" s="15">
        <f>+'ENCUESTA CONDUCTORES'!AZ195</f>
        <v>1050</v>
      </c>
      <c r="AS195" s="15">
        <f>+'ENCUESTA CONDUCTORES'!BA195</f>
        <v>2800</v>
      </c>
      <c r="AT195" s="15">
        <f>IF('ENCUESTA CONDUCTORES'!BB195="X",1,0)</f>
        <v>1</v>
      </c>
      <c r="AU195" s="15">
        <f>IF('ENCUESTA CONDUCTORES'!BC195="X",1,0)</f>
        <v>1</v>
      </c>
      <c r="AV195" s="15">
        <f>IF('ENCUESTA CONDUCTORES'!BD195="X",1,0)</f>
        <v>0</v>
      </c>
      <c r="AW195" s="1">
        <f>+'ENCUESTA CONDUCTORES'!BE195</f>
        <v>18000</v>
      </c>
      <c r="AX195" s="1">
        <f>+'ENCUESTA CONDUCTORES'!BF195</f>
        <v>200000</v>
      </c>
      <c r="AY195" s="1">
        <f>+'ENCUESTA CONDUCTORES'!BG195</f>
        <v>36000</v>
      </c>
      <c r="AZ195" s="1">
        <f>+'ENCUESTA CONDUCTORES'!BH195</f>
        <v>100000</v>
      </c>
      <c r="BA195" s="1" t="str">
        <f>+'ENCUESTA CONDUCTORES'!BI195</f>
        <v>NO SABE</v>
      </c>
      <c r="BB195" s="15">
        <f>IF('ENCUESTA CONDUCTORES'!BJ195="X",1,0)</f>
        <v>0</v>
      </c>
      <c r="BC195" s="15">
        <f>IF('ENCUESTA CONDUCTORES'!BK195="X",1,0)</f>
        <v>0</v>
      </c>
      <c r="BD195" s="15">
        <f>IF('ENCUESTA CONDUCTORES'!BL195="X",1,0)</f>
        <v>1</v>
      </c>
      <c r="BE195" s="15">
        <f>IF('ENCUESTA CONDUCTORES'!BM195="X",1,0)</f>
        <v>0</v>
      </c>
      <c r="BF195" s="15">
        <f>IF('ENCUESTA CONDUCTORES'!BN195="X",1,0)</f>
        <v>0</v>
      </c>
      <c r="BG195" s="15">
        <f>IF('ENCUESTA CONDUCTORES'!BO195="X",1,0)</f>
        <v>0</v>
      </c>
      <c r="BH195" s="15">
        <f>IF('ENCUESTA CONDUCTORES'!BP195="X",1,0)</f>
        <v>0</v>
      </c>
      <c r="BI195" s="15">
        <f>IF('ENCUESTA CONDUCTORES'!BQ195="X",1,0)</f>
        <v>0</v>
      </c>
      <c r="BJ195" s="15">
        <f>IF('ENCUESTA CONDUCTORES'!BR195="X",1,0)</f>
        <v>1</v>
      </c>
      <c r="BK195" s="15">
        <f>+'ENCUESTA CONDUCTORES'!BS195</f>
        <v>0</v>
      </c>
      <c r="BL195" s="15">
        <f>IF('ENCUESTA CONDUCTORES'!BT195="X",1,0)</f>
        <v>0</v>
      </c>
      <c r="BM195" s="15">
        <f>IF('ENCUESTA CONDUCTORES'!BU195="X",1,0)</f>
        <v>0</v>
      </c>
      <c r="BN195" s="15">
        <f>IF('ENCUESTA CONDUCTORES'!BV195="X",1,0)</f>
        <v>1</v>
      </c>
      <c r="BO195" s="15">
        <f>IF('ENCUESTA CONDUCTORES'!BW195="X",1,0)</f>
        <v>0</v>
      </c>
      <c r="BP195" s="15">
        <f>+'ENCUESTA CONDUCTORES'!BX195</f>
        <v>1</v>
      </c>
      <c r="BQ195" s="15">
        <f>+'ENCUESTA CONDUCTORES'!BY195</f>
        <v>2</v>
      </c>
      <c r="BR195" s="15">
        <f>+'ENCUESTA CONDUCTORES'!BZ195</f>
        <v>3</v>
      </c>
      <c r="BS195" s="15">
        <f>+'ENCUESTA CONDUCTORES'!CA195</f>
        <v>0</v>
      </c>
      <c r="BT195" s="15">
        <f>IF('ENCUESTA CONDUCTORES'!CB195="X",1,0)</f>
        <v>0</v>
      </c>
      <c r="BU195" s="15">
        <f>IF('ENCUESTA CONDUCTORES'!CC195="X",1,0)</f>
        <v>1</v>
      </c>
      <c r="BV195" s="15">
        <f>IF('ENCUESTA CONDUCTORES'!CD195="X",1,0)</f>
        <v>0</v>
      </c>
      <c r="BW195" s="15">
        <f>IF('ENCUESTA CONDUCTORES'!CE195="X",1,0)</f>
        <v>0</v>
      </c>
      <c r="BX195" s="15">
        <f>IF('ENCUESTA CONDUCTORES'!CF195="X",1,0)</f>
        <v>0</v>
      </c>
      <c r="BY195" s="15">
        <f>IF('ENCUESTA CONDUCTORES'!CG195="X",1,0)</f>
        <v>0</v>
      </c>
      <c r="BZ195" s="15">
        <f>IF('ENCUESTA CONDUCTORES'!CH195="X",1,0)</f>
        <v>1</v>
      </c>
      <c r="CA195" s="15">
        <f>IF('ENCUESTA CONDUCTORES'!CI195="X",1,0)</f>
        <v>1</v>
      </c>
      <c r="CB195" s="15">
        <f>IF('ENCUESTA CONDUCTORES'!CJ195="X",1,0)</f>
        <v>0</v>
      </c>
      <c r="CC195" s="15">
        <f>IF('ENCUESTA CONDUCTORES'!CK195="X",1,0)</f>
        <v>1</v>
      </c>
      <c r="CD195" s="15">
        <f>IF('ENCUESTA CONDUCTORES'!CL195="X",1,0)</f>
        <v>0</v>
      </c>
      <c r="CE195" s="15">
        <f>IF('ENCUESTA CONDUCTORES'!CM195="X",1,0)</f>
        <v>0</v>
      </c>
      <c r="CF195" s="15">
        <f>+'ENCUESTA CONDUCTORES'!CN195</f>
        <v>0</v>
      </c>
      <c r="CG195" s="15">
        <f>IF('ENCUESTA CONDUCTORES'!CO195="X",1,0)</f>
        <v>0</v>
      </c>
      <c r="CH195" s="15" t="str">
        <f>+'ENCUESTA CONDUCTORES'!CP195</f>
        <v>NO SABE</v>
      </c>
      <c r="CI195" s="15" t="str">
        <f>+'ENCUESTA CONDUCTORES'!CQ195</f>
        <v>NO CONTESTA</v>
      </c>
      <c r="CJ195" s="15">
        <f>IF('ENCUESTA CONDUCTORES'!CR195="X",1,0)</f>
        <v>0</v>
      </c>
      <c r="CK195" s="15">
        <f>IF('ENCUESTA CONDUCTORES'!CS195="X",1,0)</f>
        <v>1</v>
      </c>
      <c r="CL195" s="15">
        <f>IF('ENCUESTA CONDUCTORES'!CT195="X",1,0)</f>
        <v>0</v>
      </c>
      <c r="CM195" s="15">
        <f>+'ENCUESTA CONDUCTORES'!CU195</f>
        <v>0</v>
      </c>
      <c r="CN195" s="15">
        <f>IF('ENCUESTA CONDUCTORES'!CV195="X",1,0)</f>
        <v>0</v>
      </c>
      <c r="CO195" s="15">
        <f>+'ENCUESTA CONDUCTORES'!CW195</f>
        <v>0</v>
      </c>
      <c r="CP195" s="15">
        <f>IF('ENCUESTA CONDUCTORES'!CX195="X",1,0)</f>
        <v>0</v>
      </c>
      <c r="CQ195" s="15">
        <f>IF('ENCUESTA CONDUCTORES'!CY195="X",1,0)</f>
        <v>1</v>
      </c>
      <c r="CR195" s="3">
        <f>+'ENCUESTA CONDUCTORES'!CZ195</f>
        <v>0</v>
      </c>
      <c r="CS195" s="49" t="str">
        <f>+'ENCUESTA CONDUCTORES'!DA195</f>
        <v>DETROIT S60</v>
      </c>
    </row>
    <row r="196" spans="2:97" x14ac:dyDescent="0.25">
      <c r="B196" s="14" t="str">
        <f>+'ENCUESTA CONDUCTORES'!D196</f>
        <v>C-202</v>
      </c>
      <c r="C196" s="15">
        <f>IF('ENCUESTA CONDUCTORES'!E196="X",1,0)</f>
        <v>0</v>
      </c>
      <c r="D196" s="15">
        <f>IF('ENCUESTA CONDUCTORES'!F196="X",1,0)</f>
        <v>1</v>
      </c>
      <c r="E196" s="15">
        <f>IF('ENCUESTA CONDUCTORES'!G196="X",1,0)</f>
        <v>0</v>
      </c>
      <c r="F196" s="15">
        <f>IF('ENCUESTA CONDUCTORES'!H196="X",1,0)</f>
        <v>0</v>
      </c>
      <c r="G196" s="15">
        <f>+'ENCUESTA CONDUCTORES'!I196</f>
        <v>33</v>
      </c>
      <c r="H196" s="15" t="str">
        <f>+'ENCUESTA CONDUCTORES'!J196</f>
        <v>M</v>
      </c>
      <c r="I196" s="15" t="str">
        <f>+'ENCUESTA CONDUCTORES'!K196</f>
        <v>SECUNDARIA</v>
      </c>
      <c r="J196" s="15" t="str">
        <f>+'ENCUESTA CONDUCTORES'!L196</f>
        <v>VILLAGRÁN, GTO.</v>
      </c>
      <c r="K196" s="15" t="str">
        <f>+'ENCUESTA CONDUCTORES'!M196</f>
        <v>VILLAGRÁN</v>
      </c>
      <c r="L196" s="15" t="str">
        <f>+'ENCUESTA CONDUCTORES'!N196</f>
        <v>GUANAJUATO</v>
      </c>
      <c r="M196" s="15">
        <f>+'ENCUESTA CONDUCTORES'!O196</f>
        <v>8</v>
      </c>
      <c r="N196" s="15">
        <f>IF('ENCUESTA CONDUCTORES'!P196="X",1,0)</f>
        <v>0</v>
      </c>
      <c r="O196" s="15">
        <f>IF('ENCUESTA CONDUCTORES'!Q196="X",1,0)</f>
        <v>0</v>
      </c>
      <c r="P196" s="15">
        <f>IF('ENCUESTA CONDUCTORES'!R196="X",1,0)</f>
        <v>0</v>
      </c>
      <c r="Q196" s="15">
        <f>IF('ENCUESTA CONDUCTORES'!S196="X",1,0)</f>
        <v>1</v>
      </c>
      <c r="R196" s="15">
        <f>IF('ENCUESTA CONDUCTORES'!T196="X",1,0)</f>
        <v>0</v>
      </c>
      <c r="S196" s="15">
        <f>IF('ENCUESTA CONDUCTORES'!U196="X",1,0)</f>
        <v>0</v>
      </c>
      <c r="T196" s="15">
        <f>IF('ENCUESTA CONDUCTORES'!V196="X",1,0)</f>
        <v>0</v>
      </c>
      <c r="U196" s="15">
        <f>IF('ENCUESTA CONDUCTORES'!W196="X",1,0)</f>
        <v>0</v>
      </c>
      <c r="V196" s="15">
        <f>IF('ENCUESTA CONDUCTORES'!X196="X",1,0)</f>
        <v>0</v>
      </c>
      <c r="W196" s="15">
        <f>IF('ENCUESTA CONDUCTORES'!Y196="X",1,0)</f>
        <v>1</v>
      </c>
      <c r="X196" s="15">
        <f>IF('ENCUESTA CONDUCTORES'!Z196="X",1,0)</f>
        <v>0</v>
      </c>
      <c r="Y196" s="15">
        <f>+'ENCUESTA CONDUCTORES'!AG196</f>
        <v>0</v>
      </c>
      <c r="Z196" s="15">
        <f>+'ENCUESTA CONDUCTORES'!AH196</f>
        <v>2007</v>
      </c>
      <c r="AA196" s="1">
        <f>+'ENCUESTA CONDUCTORES'!AI196</f>
        <v>678814</v>
      </c>
      <c r="AB196" s="15">
        <f>IF('ENCUESTA CONDUCTORES'!AJ196="X",1,0)</f>
        <v>0</v>
      </c>
      <c r="AC196" s="15">
        <f>IF('ENCUESTA CONDUCTORES'!AK196="X",1,0)</f>
        <v>0</v>
      </c>
      <c r="AD196" s="15">
        <f>IF('ENCUESTA CONDUCTORES'!AL196="X",1,0)</f>
        <v>1</v>
      </c>
      <c r="AE196" s="15">
        <f>IF('ENCUESTA CONDUCTORES'!AM196="X",1,0)</f>
        <v>0</v>
      </c>
      <c r="AF196" s="15">
        <f>IF('ENCUESTA CONDUCTORES'!AN196="X",1,0)</f>
        <v>0</v>
      </c>
      <c r="AG196" s="15">
        <f>IF('ENCUESTA CONDUCTORES'!AO196="X",1,0)</f>
        <v>0</v>
      </c>
      <c r="AH196" s="15">
        <f>IF('ENCUESTA CONDUCTORES'!AP196="X",1,0)</f>
        <v>1</v>
      </c>
      <c r="AI196" s="15">
        <f>IF('ENCUESTA CONDUCTORES'!AQ196="X",1,0)</f>
        <v>0</v>
      </c>
      <c r="AJ196" s="15">
        <f>IF('ENCUESTA CONDUCTORES'!AR196="X",1,0)</f>
        <v>0</v>
      </c>
      <c r="AK196" s="15">
        <f>+'ENCUESTA CONDUCTORES'!AS196</f>
        <v>0</v>
      </c>
      <c r="AL196" s="15" t="str">
        <f>+'ENCUESTA CONDUCTORES'!AT196</f>
        <v>CUMMINS</v>
      </c>
      <c r="AM196" s="1">
        <f>+'ENCUESTA CONDUCTORES'!AU196</f>
        <v>10000</v>
      </c>
      <c r="AN196" s="48">
        <f>+'ENCUESTA CONDUCTORES'!AV196</f>
        <v>0.5</v>
      </c>
      <c r="AO196" s="15">
        <f>+'ENCUESTA CONDUCTORES'!AW196</f>
        <v>2.8</v>
      </c>
      <c r="AP196" s="15">
        <f>+'ENCUESTA CONDUCTORES'!AX196</f>
        <v>2.5</v>
      </c>
      <c r="AQ196" s="15">
        <f>+'ENCUESTA CONDUCTORES'!AY196</f>
        <v>2</v>
      </c>
      <c r="AR196" s="15">
        <f>+'ENCUESTA CONDUCTORES'!AZ196</f>
        <v>850</v>
      </c>
      <c r="AS196" s="15">
        <f>+'ENCUESTA CONDUCTORES'!BA196</f>
        <v>2200</v>
      </c>
      <c r="AT196" s="15">
        <f>IF('ENCUESTA CONDUCTORES'!BB196="X",1,0)</f>
        <v>1</v>
      </c>
      <c r="AU196" s="15">
        <f>IF('ENCUESTA CONDUCTORES'!BC196="X",1,0)</f>
        <v>1</v>
      </c>
      <c r="AV196" s="15">
        <f>IF('ENCUESTA CONDUCTORES'!BD196="X",1,0)</f>
        <v>0</v>
      </c>
      <c r="AW196" s="1">
        <f>+'ENCUESTA CONDUCTORES'!BE196</f>
        <v>20000</v>
      </c>
      <c r="AX196" s="1">
        <f>+'ENCUESTA CONDUCTORES'!BF196</f>
        <v>180000</v>
      </c>
      <c r="AY196" s="1">
        <f>+'ENCUESTA CONDUCTORES'!BG196</f>
        <v>20000</v>
      </c>
      <c r="AZ196" s="1">
        <f>+'ENCUESTA CONDUCTORES'!BH196</f>
        <v>120000</v>
      </c>
      <c r="BA196" s="1" t="str">
        <f>+'ENCUESTA CONDUCTORES'!BI196</f>
        <v>NO SABE</v>
      </c>
      <c r="BB196" s="15">
        <f>IF('ENCUESTA CONDUCTORES'!BJ196="X",1,0)</f>
        <v>0</v>
      </c>
      <c r="BC196" s="15">
        <f>IF('ENCUESTA CONDUCTORES'!BK196="X",1,0)</f>
        <v>0</v>
      </c>
      <c r="BD196" s="15">
        <f>IF('ENCUESTA CONDUCTORES'!BL196="X",1,0)</f>
        <v>1</v>
      </c>
      <c r="BE196" s="15">
        <f>IF('ENCUESTA CONDUCTORES'!BM196="X",1,0)</f>
        <v>0</v>
      </c>
      <c r="BF196" s="15">
        <f>IF('ENCUESTA CONDUCTORES'!BN196="X",1,0)</f>
        <v>0</v>
      </c>
      <c r="BG196" s="15">
        <f>IF('ENCUESTA CONDUCTORES'!BO196="X",1,0)</f>
        <v>0</v>
      </c>
      <c r="BH196" s="15">
        <f>IF('ENCUESTA CONDUCTORES'!BP196="X",1,0)</f>
        <v>0</v>
      </c>
      <c r="BI196" s="15">
        <f>IF('ENCUESTA CONDUCTORES'!BQ196="X",1,0)</f>
        <v>0</v>
      </c>
      <c r="BJ196" s="15">
        <f>IF('ENCUESTA CONDUCTORES'!BR196="X",1,0)</f>
        <v>1</v>
      </c>
      <c r="BK196" s="15">
        <f>+'ENCUESTA CONDUCTORES'!BS196</f>
        <v>0</v>
      </c>
      <c r="BL196" s="15">
        <f>IF('ENCUESTA CONDUCTORES'!BT196="X",1,0)</f>
        <v>0</v>
      </c>
      <c r="BM196" s="15">
        <f>IF('ENCUESTA CONDUCTORES'!BU196="X",1,0)</f>
        <v>0</v>
      </c>
      <c r="BN196" s="15">
        <f>IF('ENCUESTA CONDUCTORES'!BV196="X",1,0)</f>
        <v>1</v>
      </c>
      <c r="BO196" s="15">
        <f>IF('ENCUESTA CONDUCTORES'!BW196="X",1,0)</f>
        <v>0</v>
      </c>
      <c r="BP196" s="15">
        <f>+'ENCUESTA CONDUCTORES'!BX196</f>
        <v>3</v>
      </c>
      <c r="BQ196" s="15">
        <f>+'ENCUESTA CONDUCTORES'!BY196</f>
        <v>2</v>
      </c>
      <c r="BR196" s="15">
        <f>+'ENCUESTA CONDUCTORES'!BZ196</f>
        <v>1</v>
      </c>
      <c r="BS196" s="15">
        <f>+'ENCUESTA CONDUCTORES'!CA196</f>
        <v>0</v>
      </c>
      <c r="BT196" s="15">
        <f>IF('ENCUESTA CONDUCTORES'!CB196="X",1,0)</f>
        <v>1</v>
      </c>
      <c r="BU196" s="15">
        <f>IF('ENCUESTA CONDUCTORES'!CC196="X",1,0)</f>
        <v>0</v>
      </c>
      <c r="BV196" s="15">
        <f>IF('ENCUESTA CONDUCTORES'!CD196="X",1,0)</f>
        <v>0</v>
      </c>
      <c r="BW196" s="15">
        <f>IF('ENCUESTA CONDUCTORES'!CE196="X",1,0)</f>
        <v>0</v>
      </c>
      <c r="BX196" s="15">
        <f>IF('ENCUESTA CONDUCTORES'!CF196="X",1,0)</f>
        <v>0</v>
      </c>
      <c r="BY196" s="15">
        <f>IF('ENCUESTA CONDUCTORES'!CG196="X",1,0)</f>
        <v>0</v>
      </c>
      <c r="BZ196" s="15">
        <f>IF('ENCUESTA CONDUCTORES'!CH196="X",1,0)</f>
        <v>0</v>
      </c>
      <c r="CA196" s="15">
        <f>IF('ENCUESTA CONDUCTORES'!CI196="X",1,0)</f>
        <v>0</v>
      </c>
      <c r="CB196" s="15">
        <f>IF('ENCUESTA CONDUCTORES'!CJ196="X",1,0)</f>
        <v>0</v>
      </c>
      <c r="CC196" s="15">
        <f>IF('ENCUESTA CONDUCTORES'!CK196="X",1,0)</f>
        <v>1</v>
      </c>
      <c r="CD196" s="15">
        <f>IF('ENCUESTA CONDUCTORES'!CL196="X",1,0)</f>
        <v>0</v>
      </c>
      <c r="CE196" s="15">
        <f>IF('ENCUESTA CONDUCTORES'!CM196="X",1,0)</f>
        <v>0</v>
      </c>
      <c r="CF196" s="15">
        <f>+'ENCUESTA CONDUCTORES'!CN196</f>
        <v>0</v>
      </c>
      <c r="CG196" s="15">
        <f>IF('ENCUESTA CONDUCTORES'!CO196="X",1,0)</f>
        <v>0</v>
      </c>
      <c r="CH196" s="15" t="str">
        <f>+'ENCUESTA CONDUCTORES'!CP196</f>
        <v>NO SABE</v>
      </c>
      <c r="CI196" s="15" t="str">
        <f>+'ENCUESTA CONDUCTORES'!CQ196</f>
        <v>NO CONTESTA</v>
      </c>
      <c r="CJ196" s="15">
        <f>IF('ENCUESTA CONDUCTORES'!CR196="X",1,0)</f>
        <v>1</v>
      </c>
      <c r="CK196" s="15">
        <f>IF('ENCUESTA CONDUCTORES'!CS196="X",1,0)</f>
        <v>0</v>
      </c>
      <c r="CL196" s="15">
        <f>IF('ENCUESTA CONDUCTORES'!CT196="X",1,0)</f>
        <v>0</v>
      </c>
      <c r="CM196" s="15">
        <f>+'ENCUESTA CONDUCTORES'!CU196</f>
        <v>0</v>
      </c>
      <c r="CN196" s="15">
        <f>IF('ENCUESTA CONDUCTORES'!CV196="X",1,0)</f>
        <v>1</v>
      </c>
      <c r="CO196" s="15" t="str">
        <f>+'ENCUESTA CONDUCTORES'!CW196</f>
        <v>NO TIENE TIEMPO</v>
      </c>
      <c r="CP196" s="15">
        <f>IF('ENCUESTA CONDUCTORES'!CX196="X",1,0)</f>
        <v>0</v>
      </c>
      <c r="CQ196" s="15">
        <f>IF('ENCUESTA CONDUCTORES'!CY196="X",1,0)</f>
        <v>0</v>
      </c>
      <c r="CR196" s="3">
        <f>+'ENCUESTA CONDUCTORES'!CZ196</f>
        <v>0</v>
      </c>
      <c r="CS196" s="49" t="str">
        <f>+'ENCUESTA CONDUCTORES'!DA196</f>
        <v>CUMMINS ISX</v>
      </c>
    </row>
    <row r="197" spans="2:97" x14ac:dyDescent="0.25">
      <c r="B197" s="14" t="str">
        <f>+'ENCUESTA CONDUCTORES'!D197</f>
        <v>C-203</v>
      </c>
      <c r="C197" s="15">
        <f>IF('ENCUESTA CONDUCTORES'!E197="X",1,0)</f>
        <v>0</v>
      </c>
      <c r="D197" s="15">
        <f>IF('ENCUESTA CONDUCTORES'!F197="X",1,0)</f>
        <v>1</v>
      </c>
      <c r="E197" s="15">
        <f>IF('ENCUESTA CONDUCTORES'!G197="X",1,0)</f>
        <v>0</v>
      </c>
      <c r="F197" s="15">
        <f>IF('ENCUESTA CONDUCTORES'!H197="X",1,0)</f>
        <v>0</v>
      </c>
      <c r="G197" s="15">
        <f>+'ENCUESTA CONDUCTORES'!I197</f>
        <v>41</v>
      </c>
      <c r="H197" s="15" t="str">
        <f>+'ENCUESTA CONDUCTORES'!J197</f>
        <v>M</v>
      </c>
      <c r="I197" s="15" t="str">
        <f>+'ENCUESTA CONDUCTORES'!K197</f>
        <v>SIN ESTUDIOS</v>
      </c>
      <c r="J197" s="15" t="str">
        <f>+'ENCUESTA CONDUCTORES'!L197</f>
        <v>SALAMANCA, GTO.</v>
      </c>
      <c r="K197" s="15" t="str">
        <f>+'ENCUESTA CONDUCTORES'!M197</f>
        <v>SALAMANCA</v>
      </c>
      <c r="L197" s="15" t="str">
        <f>+'ENCUESTA CONDUCTORES'!N197</f>
        <v>GUANAJUATO</v>
      </c>
      <c r="M197" s="15">
        <f>+'ENCUESTA CONDUCTORES'!O197</f>
        <v>15</v>
      </c>
      <c r="N197" s="15">
        <f>IF('ENCUESTA CONDUCTORES'!P197="X",1,0)</f>
        <v>0</v>
      </c>
      <c r="O197" s="15">
        <f>IF('ENCUESTA CONDUCTORES'!Q197="X",1,0)</f>
        <v>0</v>
      </c>
      <c r="P197" s="15">
        <f>IF('ENCUESTA CONDUCTORES'!R197="X",1,0)</f>
        <v>0</v>
      </c>
      <c r="Q197" s="15">
        <f>IF('ENCUESTA CONDUCTORES'!S197="X",1,0)</f>
        <v>1</v>
      </c>
      <c r="R197" s="15">
        <f>IF('ENCUESTA CONDUCTORES'!T197="X",1,0)</f>
        <v>0</v>
      </c>
      <c r="S197" s="15">
        <f>IF('ENCUESTA CONDUCTORES'!U197="X",1,0)</f>
        <v>0</v>
      </c>
      <c r="T197" s="15">
        <f>IF('ENCUESTA CONDUCTORES'!V197="X",1,0)</f>
        <v>0</v>
      </c>
      <c r="U197" s="15">
        <f>IF('ENCUESTA CONDUCTORES'!W197="X",1,0)</f>
        <v>0</v>
      </c>
      <c r="V197" s="15">
        <f>IF('ENCUESTA CONDUCTORES'!X197="X",1,0)</f>
        <v>0</v>
      </c>
      <c r="W197" s="15">
        <f>IF('ENCUESTA CONDUCTORES'!Y197="X",1,0)</f>
        <v>1</v>
      </c>
      <c r="X197" s="15">
        <f>IF('ENCUESTA CONDUCTORES'!Z197="X",1,0)</f>
        <v>0</v>
      </c>
      <c r="Y197" s="15">
        <f>+'ENCUESTA CONDUCTORES'!AG197</f>
        <v>0</v>
      </c>
      <c r="Z197" s="15">
        <f>+'ENCUESTA CONDUCTORES'!AH197</f>
        <v>2006</v>
      </c>
      <c r="AA197" s="1">
        <f>+'ENCUESTA CONDUCTORES'!AI197</f>
        <v>742821</v>
      </c>
      <c r="AB197" s="15">
        <f>IF('ENCUESTA CONDUCTORES'!AJ197="X",1,0)</f>
        <v>0</v>
      </c>
      <c r="AC197" s="15">
        <f>IF('ENCUESTA CONDUCTORES'!AK197="X",1,0)</f>
        <v>0</v>
      </c>
      <c r="AD197" s="15">
        <f>IF('ENCUESTA CONDUCTORES'!AL197="X",1,0)</f>
        <v>1</v>
      </c>
      <c r="AE197" s="15">
        <f>IF('ENCUESTA CONDUCTORES'!AM197="X",1,0)</f>
        <v>0</v>
      </c>
      <c r="AF197" s="15">
        <f>IF('ENCUESTA CONDUCTORES'!AN197="X",1,0)</f>
        <v>0</v>
      </c>
      <c r="AG197" s="15">
        <f>IF('ENCUESTA CONDUCTORES'!AO197="X",1,0)</f>
        <v>1</v>
      </c>
      <c r="AH197" s="15">
        <f>IF('ENCUESTA CONDUCTORES'!AP197="X",1,0)</f>
        <v>0</v>
      </c>
      <c r="AI197" s="15">
        <f>IF('ENCUESTA CONDUCTORES'!AQ197="X",1,0)</f>
        <v>0</v>
      </c>
      <c r="AJ197" s="15">
        <f>IF('ENCUESTA CONDUCTORES'!AR197="X",1,0)</f>
        <v>0</v>
      </c>
      <c r="AK197" s="15">
        <f>+'ENCUESTA CONDUCTORES'!AS197</f>
        <v>0</v>
      </c>
      <c r="AL197" s="15" t="str">
        <f>+'ENCUESTA CONDUCTORES'!AT197</f>
        <v>NO SABE</v>
      </c>
      <c r="AM197" s="1">
        <f>+'ENCUESTA CONDUCTORES'!AU197</f>
        <v>12000</v>
      </c>
      <c r="AN197" s="48">
        <f>+'ENCUESTA CONDUCTORES'!AV197</f>
        <v>0.5</v>
      </c>
      <c r="AO197" s="15">
        <f>+'ENCUESTA CONDUCTORES'!AW197</f>
        <v>2.7</v>
      </c>
      <c r="AP197" s="15">
        <f>+'ENCUESTA CONDUCTORES'!AX197</f>
        <v>2.4</v>
      </c>
      <c r="AQ197" s="15">
        <f>+'ENCUESTA CONDUCTORES'!AY197</f>
        <v>2</v>
      </c>
      <c r="AR197" s="15">
        <f>+'ENCUESTA CONDUCTORES'!AZ197</f>
        <v>1000</v>
      </c>
      <c r="AS197" s="15">
        <f>+'ENCUESTA CONDUCTORES'!BA197</f>
        <v>2600</v>
      </c>
      <c r="AT197" s="15">
        <f>IF('ENCUESTA CONDUCTORES'!BB197="X",1,0)</f>
        <v>1</v>
      </c>
      <c r="AU197" s="15">
        <f>IF('ENCUESTA CONDUCTORES'!BC197="X",1,0)</f>
        <v>1</v>
      </c>
      <c r="AV197" s="15">
        <f>IF('ENCUESTA CONDUCTORES'!BD197="X",1,0)</f>
        <v>0</v>
      </c>
      <c r="AW197" s="1">
        <f>+'ENCUESTA CONDUCTORES'!BE197</f>
        <v>24000</v>
      </c>
      <c r="AX197" s="1" t="str">
        <f>+'ENCUESTA CONDUCTORES'!BF197</f>
        <v>NO SABE</v>
      </c>
      <c r="AY197" s="1">
        <f>+'ENCUESTA CONDUCTORES'!BG197</f>
        <v>24000</v>
      </c>
      <c r="AZ197" s="1">
        <f>+'ENCUESTA CONDUCTORES'!BH197</f>
        <v>100000</v>
      </c>
      <c r="BA197" s="1" t="str">
        <f>+'ENCUESTA CONDUCTORES'!BI197</f>
        <v>NO SABE</v>
      </c>
      <c r="BB197" s="15">
        <f>IF('ENCUESTA CONDUCTORES'!BJ197="X",1,0)</f>
        <v>0</v>
      </c>
      <c r="BC197" s="15">
        <f>IF('ENCUESTA CONDUCTORES'!BK197="X",1,0)</f>
        <v>0</v>
      </c>
      <c r="BD197" s="15">
        <f>IF('ENCUESTA CONDUCTORES'!BL197="X",1,0)</f>
        <v>0</v>
      </c>
      <c r="BE197" s="15">
        <f>IF('ENCUESTA CONDUCTORES'!BM197="X",1,0)</f>
        <v>0</v>
      </c>
      <c r="BF197" s="15">
        <f>IF('ENCUESTA CONDUCTORES'!BN197="X",1,0)</f>
        <v>0</v>
      </c>
      <c r="BG197" s="15">
        <f>IF('ENCUESTA CONDUCTORES'!BO197="X",1,0)</f>
        <v>0</v>
      </c>
      <c r="BH197" s="15">
        <f>IF('ENCUESTA CONDUCTORES'!BP197="X",1,0)</f>
        <v>0</v>
      </c>
      <c r="BI197" s="15">
        <f>IF('ENCUESTA CONDUCTORES'!BQ197="X",1,0)</f>
        <v>0</v>
      </c>
      <c r="BJ197" s="15">
        <f>IF('ENCUESTA CONDUCTORES'!BR197="X",1,0)</f>
        <v>1</v>
      </c>
      <c r="BK197" s="15">
        <f>+'ENCUESTA CONDUCTORES'!BS197</f>
        <v>0</v>
      </c>
      <c r="BL197" s="15">
        <f>IF('ENCUESTA CONDUCTORES'!BT197="X",1,0)</f>
        <v>0</v>
      </c>
      <c r="BM197" s="15">
        <f>IF('ENCUESTA CONDUCTORES'!BU197="X",1,0)</f>
        <v>0</v>
      </c>
      <c r="BN197" s="15">
        <f>IF('ENCUESTA CONDUCTORES'!BV197="X",1,0)</f>
        <v>1</v>
      </c>
      <c r="BO197" s="15">
        <f>IF('ENCUESTA CONDUCTORES'!BW197="X",1,0)</f>
        <v>0</v>
      </c>
      <c r="BP197" s="15">
        <f>+'ENCUESTA CONDUCTORES'!BX197</f>
        <v>1</v>
      </c>
      <c r="BQ197" s="15">
        <f>+'ENCUESTA CONDUCTORES'!BY197</f>
        <v>3</v>
      </c>
      <c r="BR197" s="15">
        <f>+'ENCUESTA CONDUCTORES'!BZ197</f>
        <v>2</v>
      </c>
      <c r="BS197" s="15">
        <f>+'ENCUESTA CONDUCTORES'!CA197</f>
        <v>0</v>
      </c>
      <c r="BT197" s="15">
        <f>IF('ENCUESTA CONDUCTORES'!CB197="X",1,0)</f>
        <v>1</v>
      </c>
      <c r="BU197" s="15">
        <f>IF('ENCUESTA CONDUCTORES'!CC197="X",1,0)</f>
        <v>0</v>
      </c>
      <c r="BV197" s="15">
        <f>IF('ENCUESTA CONDUCTORES'!CD197="X",1,0)</f>
        <v>0</v>
      </c>
      <c r="BW197" s="15">
        <f>IF('ENCUESTA CONDUCTORES'!CE197="X",1,0)</f>
        <v>0</v>
      </c>
      <c r="BX197" s="15">
        <f>IF('ENCUESTA CONDUCTORES'!CF197="X",1,0)</f>
        <v>0</v>
      </c>
      <c r="BY197" s="15">
        <f>IF('ENCUESTA CONDUCTORES'!CG197="X",1,0)</f>
        <v>0</v>
      </c>
      <c r="BZ197" s="15">
        <f>IF('ENCUESTA CONDUCTORES'!CH197="X",1,0)</f>
        <v>0</v>
      </c>
      <c r="CA197" s="15">
        <f>IF('ENCUESTA CONDUCTORES'!CI197="X",1,0)</f>
        <v>0</v>
      </c>
      <c r="CB197" s="15">
        <f>IF('ENCUESTA CONDUCTORES'!CJ197="X",1,0)</f>
        <v>0</v>
      </c>
      <c r="CC197" s="15">
        <f>IF('ENCUESTA CONDUCTORES'!CK197="X",1,0)</f>
        <v>1</v>
      </c>
      <c r="CD197" s="15">
        <f>IF('ENCUESTA CONDUCTORES'!CL197="X",1,0)</f>
        <v>0</v>
      </c>
      <c r="CE197" s="15">
        <f>IF('ENCUESTA CONDUCTORES'!CM197="X",1,0)</f>
        <v>0</v>
      </c>
      <c r="CF197" s="15">
        <f>+'ENCUESTA CONDUCTORES'!CN197</f>
        <v>0</v>
      </c>
      <c r="CG197" s="15">
        <f>IF('ENCUESTA CONDUCTORES'!CO197="X",1,0)</f>
        <v>0</v>
      </c>
      <c r="CH197" s="15" t="str">
        <f>+'ENCUESTA CONDUCTORES'!CP197</f>
        <v>NO SABE</v>
      </c>
      <c r="CI197" s="15" t="str">
        <f>+'ENCUESTA CONDUCTORES'!CQ197</f>
        <v>NO CONTESTA</v>
      </c>
      <c r="CJ197" s="15">
        <f>IF('ENCUESTA CONDUCTORES'!CR197="X",1,0)</f>
        <v>1</v>
      </c>
      <c r="CK197" s="15">
        <f>IF('ENCUESTA CONDUCTORES'!CS197="X",1,0)</f>
        <v>0</v>
      </c>
      <c r="CL197" s="15">
        <f>IF('ENCUESTA CONDUCTORES'!CT197="X",1,0)</f>
        <v>0</v>
      </c>
      <c r="CM197" s="15">
        <f>+'ENCUESTA CONDUCTORES'!CU197</f>
        <v>0</v>
      </c>
      <c r="CN197" s="15">
        <f>IF('ENCUESTA CONDUCTORES'!CV197="X",1,0)</f>
        <v>0</v>
      </c>
      <c r="CO197" s="15">
        <f>+'ENCUESTA CONDUCTORES'!CW197</f>
        <v>0</v>
      </c>
      <c r="CP197" s="15">
        <f>IF('ENCUESTA CONDUCTORES'!CX197="X",1,0)</f>
        <v>1</v>
      </c>
      <c r="CQ197" s="15">
        <f>IF('ENCUESTA CONDUCTORES'!CY197="X",1,0)</f>
        <v>1</v>
      </c>
      <c r="CR197" s="3">
        <f>+'ENCUESTA CONDUCTORES'!CZ197</f>
        <v>0</v>
      </c>
      <c r="CS197" s="49">
        <f>+'ENCUESTA CONDUCTORES'!DA197</f>
        <v>0</v>
      </c>
    </row>
    <row r="198" spans="2:97" x14ac:dyDescent="0.25">
      <c r="B198" s="55" t="str">
        <f>+'ENCUESTA CONDUCTORES'!D198</f>
        <v>C-204</v>
      </c>
      <c r="C198" s="15">
        <f>IF('ENCUESTA CONDUCTORES'!E198="X",1,0)</f>
        <v>0</v>
      </c>
      <c r="D198" s="15">
        <f>IF('ENCUESTA CONDUCTORES'!F198="X",1,0)</f>
        <v>0</v>
      </c>
      <c r="E198" s="15">
        <f>IF('ENCUESTA CONDUCTORES'!G198="X",1,0)</f>
        <v>1</v>
      </c>
      <c r="F198" s="15">
        <f>IF('ENCUESTA CONDUCTORES'!H198="X",1,0)</f>
        <v>0</v>
      </c>
      <c r="G198" s="15">
        <f>+'ENCUESTA CONDUCTORES'!I198</f>
        <v>24</v>
      </c>
      <c r="H198" s="15" t="str">
        <f>+'ENCUESTA CONDUCTORES'!J198</f>
        <v>M</v>
      </c>
      <c r="I198" s="15" t="str">
        <f>+'ENCUESTA CONDUCTORES'!K198</f>
        <v>OTROS</v>
      </c>
      <c r="J198" s="15" t="str">
        <f>+'ENCUESTA CONDUCTORES'!L198</f>
        <v>CALVILLO, AGS.</v>
      </c>
      <c r="K198" s="50" t="str">
        <f>+'ENCUESTA CONDUCTORES'!M198</f>
        <v>CALVILLO</v>
      </c>
      <c r="L198" s="15" t="str">
        <f>+'ENCUESTA CONDUCTORES'!N198</f>
        <v>AGUASCALIENTES</v>
      </c>
      <c r="M198" s="15">
        <f>+'ENCUESTA CONDUCTORES'!O198</f>
        <v>5</v>
      </c>
      <c r="N198" s="15">
        <f>IF('ENCUESTA CONDUCTORES'!P198="X",1,0)</f>
        <v>0</v>
      </c>
      <c r="O198" s="15">
        <f>IF('ENCUESTA CONDUCTORES'!Q198="X",1,0)</f>
        <v>0</v>
      </c>
      <c r="P198" s="15">
        <f>IF('ENCUESTA CONDUCTORES'!R198="X",1,0)</f>
        <v>0</v>
      </c>
      <c r="Q198" s="15">
        <f>IF('ENCUESTA CONDUCTORES'!S198="X",1,0)</f>
        <v>1</v>
      </c>
      <c r="R198" s="15">
        <f>IF('ENCUESTA CONDUCTORES'!T198="X",1,0)</f>
        <v>0</v>
      </c>
      <c r="S198" s="15">
        <f>IF('ENCUESTA CONDUCTORES'!U198="X",1,0)</f>
        <v>0</v>
      </c>
      <c r="T198" s="15">
        <f>IF('ENCUESTA CONDUCTORES'!V198="X",1,0)</f>
        <v>0</v>
      </c>
      <c r="U198" s="15">
        <f>IF('ENCUESTA CONDUCTORES'!W198="X",1,0)</f>
        <v>0</v>
      </c>
      <c r="V198" s="15">
        <f>IF('ENCUESTA CONDUCTORES'!X198="X",1,0)</f>
        <v>0</v>
      </c>
      <c r="W198" s="15">
        <f>IF('ENCUESTA CONDUCTORES'!Y198="X",1,0)</f>
        <v>1</v>
      </c>
      <c r="X198" s="15">
        <f>IF('ENCUESTA CONDUCTORES'!Z198="X",1,0)</f>
        <v>0</v>
      </c>
      <c r="Y198" s="15">
        <f>+'ENCUESTA CONDUCTORES'!AG198</f>
        <v>0</v>
      </c>
      <c r="Z198" s="15">
        <f>+'ENCUESTA CONDUCTORES'!AH198</f>
        <v>2007</v>
      </c>
      <c r="AA198" s="1">
        <f>+'ENCUESTA CONDUCTORES'!AI198</f>
        <v>466213</v>
      </c>
      <c r="AB198" s="15">
        <f>IF('ENCUESTA CONDUCTORES'!AJ198="X",1,0)</f>
        <v>0</v>
      </c>
      <c r="AC198" s="15">
        <f>IF('ENCUESTA CONDUCTORES'!AK198="X",1,0)</f>
        <v>0</v>
      </c>
      <c r="AD198" s="15">
        <f>IF('ENCUESTA CONDUCTORES'!AL198="X",1,0)</f>
        <v>1</v>
      </c>
      <c r="AE198" s="15">
        <f>IF('ENCUESTA CONDUCTORES'!AM198="X",1,0)</f>
        <v>0</v>
      </c>
      <c r="AF198" s="15">
        <f>IF('ENCUESTA CONDUCTORES'!AN198="X",1,0)</f>
        <v>0</v>
      </c>
      <c r="AG198" s="15">
        <f>IF('ENCUESTA CONDUCTORES'!AO198="X",1,0)</f>
        <v>1</v>
      </c>
      <c r="AH198" s="15">
        <f>IF('ENCUESTA CONDUCTORES'!AP198="X",1,0)</f>
        <v>0</v>
      </c>
      <c r="AI198" s="15">
        <f>IF('ENCUESTA CONDUCTORES'!AQ198="X",1,0)</f>
        <v>0</v>
      </c>
      <c r="AJ198" s="15">
        <f>IF('ENCUESTA CONDUCTORES'!AR198="X",1,0)</f>
        <v>0</v>
      </c>
      <c r="AK198" s="15">
        <f>+'ENCUESTA CONDUCTORES'!AS198</f>
        <v>0</v>
      </c>
      <c r="AL198" s="15" t="str">
        <f>+'ENCUESTA CONDUCTORES'!AT198</f>
        <v>DETROIT</v>
      </c>
      <c r="AM198" s="1">
        <f>+'ENCUESTA CONDUCTORES'!AU198</f>
        <v>10000</v>
      </c>
      <c r="AN198" s="48">
        <f>+'ENCUESTA CONDUCTORES'!AV198</f>
        <v>0.5</v>
      </c>
      <c r="AO198" s="15">
        <f>+'ENCUESTA CONDUCTORES'!AW198</f>
        <v>2.85</v>
      </c>
      <c r="AP198" s="15">
        <f>+'ENCUESTA CONDUCTORES'!AX198</f>
        <v>2.4</v>
      </c>
      <c r="AQ198" s="15">
        <f>+'ENCUESTA CONDUCTORES'!AY198</f>
        <v>2</v>
      </c>
      <c r="AR198" s="15">
        <f>+'ENCUESTA CONDUCTORES'!AZ198</f>
        <v>920</v>
      </c>
      <c r="AS198" s="15">
        <f>+'ENCUESTA CONDUCTORES'!BA198</f>
        <v>2500</v>
      </c>
      <c r="AT198" s="15">
        <f>IF('ENCUESTA CONDUCTORES'!BB198="X",1,0)</f>
        <v>1</v>
      </c>
      <c r="AU198" s="15">
        <f>IF('ENCUESTA CONDUCTORES'!BC198="X",1,0)</f>
        <v>1</v>
      </c>
      <c r="AV198" s="15">
        <f>IF('ENCUESTA CONDUCTORES'!BD198="X",1,0)</f>
        <v>0</v>
      </c>
      <c r="AW198" s="1">
        <f>+'ENCUESTA CONDUCTORES'!BE198</f>
        <v>16000</v>
      </c>
      <c r="AX198" s="1">
        <f>+'ENCUESTA CONDUCTORES'!BF198</f>
        <v>180000</v>
      </c>
      <c r="AY198" s="1">
        <f>+'ENCUESTA CONDUCTORES'!BG198</f>
        <v>25000</v>
      </c>
      <c r="AZ198" s="1">
        <f>+'ENCUESTA CONDUCTORES'!BH198</f>
        <v>100000</v>
      </c>
      <c r="BA198" s="1" t="str">
        <f>+'ENCUESTA CONDUCTORES'!BI198</f>
        <v>NO SABE</v>
      </c>
      <c r="BB198" s="15">
        <f>IF('ENCUESTA CONDUCTORES'!BJ198="X",1,0)</f>
        <v>0</v>
      </c>
      <c r="BC198" s="15">
        <f>IF('ENCUESTA CONDUCTORES'!BK198="X",1,0)</f>
        <v>0</v>
      </c>
      <c r="BD198" s="15">
        <f>IF('ENCUESTA CONDUCTORES'!BL198="X",1,0)</f>
        <v>1</v>
      </c>
      <c r="BE198" s="15">
        <f>IF('ENCUESTA CONDUCTORES'!BM198="X",1,0)</f>
        <v>0</v>
      </c>
      <c r="BF198" s="15">
        <f>IF('ENCUESTA CONDUCTORES'!BN198="X",1,0)</f>
        <v>0</v>
      </c>
      <c r="BG198" s="15">
        <f>IF('ENCUESTA CONDUCTORES'!BO198="X",1,0)</f>
        <v>0</v>
      </c>
      <c r="BH198" s="15">
        <f>IF('ENCUESTA CONDUCTORES'!BP198="X",1,0)</f>
        <v>0</v>
      </c>
      <c r="BI198" s="15">
        <f>IF('ENCUESTA CONDUCTORES'!BQ198="X",1,0)</f>
        <v>0</v>
      </c>
      <c r="BJ198" s="15">
        <f>IF('ENCUESTA CONDUCTORES'!BR198="X",1,0)</f>
        <v>1</v>
      </c>
      <c r="BK198" s="15">
        <f>+'ENCUESTA CONDUCTORES'!BS198</f>
        <v>0</v>
      </c>
      <c r="BL198" s="15">
        <f>IF('ENCUESTA CONDUCTORES'!BT198="X",1,0)</f>
        <v>0</v>
      </c>
      <c r="BM198" s="15">
        <f>IF('ENCUESTA CONDUCTORES'!BU198="X",1,0)</f>
        <v>0</v>
      </c>
      <c r="BN198" s="15">
        <f>IF('ENCUESTA CONDUCTORES'!BV198="X",1,0)</f>
        <v>1</v>
      </c>
      <c r="BO198" s="15">
        <f>IF('ENCUESTA CONDUCTORES'!BW198="X",1,0)</f>
        <v>0</v>
      </c>
      <c r="BP198" s="15">
        <f>+'ENCUESTA CONDUCTORES'!BX198</f>
        <v>2</v>
      </c>
      <c r="BQ198" s="15">
        <f>+'ENCUESTA CONDUCTORES'!BY198</f>
        <v>3</v>
      </c>
      <c r="BR198" s="15">
        <f>+'ENCUESTA CONDUCTORES'!BZ198</f>
        <v>4</v>
      </c>
      <c r="BS198" s="15" t="str">
        <f>+'ENCUESTA CONDUCTORES'!CA198</f>
        <v>TIPO DE CARRETRA</v>
      </c>
      <c r="BT198" s="15">
        <f>IF('ENCUESTA CONDUCTORES'!CB198="X",1,0)</f>
        <v>1</v>
      </c>
      <c r="BU198" s="15">
        <f>IF('ENCUESTA CONDUCTORES'!CC198="X",1,0)</f>
        <v>0</v>
      </c>
      <c r="BV198" s="15">
        <f>IF('ENCUESTA CONDUCTORES'!CD198="X",1,0)</f>
        <v>0</v>
      </c>
      <c r="BW198" s="15">
        <f>IF('ENCUESTA CONDUCTORES'!CE198="X",1,0)</f>
        <v>0</v>
      </c>
      <c r="BX198" s="15">
        <f>IF('ENCUESTA CONDUCTORES'!CF198="X",1,0)</f>
        <v>0</v>
      </c>
      <c r="BY198" s="15">
        <f>IF('ENCUESTA CONDUCTORES'!CG198="X",1,0)</f>
        <v>0</v>
      </c>
      <c r="BZ198" s="15">
        <f>IF('ENCUESTA CONDUCTORES'!CH198="X",1,0)</f>
        <v>0</v>
      </c>
      <c r="CA198" s="15">
        <f>IF('ENCUESTA CONDUCTORES'!CI198="X",1,0)</f>
        <v>0</v>
      </c>
      <c r="CB198" s="15">
        <f>IF('ENCUESTA CONDUCTORES'!CJ198="X",1,0)</f>
        <v>0</v>
      </c>
      <c r="CC198" s="15">
        <f>IF('ENCUESTA CONDUCTORES'!CK198="X",1,0)</f>
        <v>1</v>
      </c>
      <c r="CD198" s="15">
        <f>IF('ENCUESTA CONDUCTORES'!CL198="X",1,0)</f>
        <v>0</v>
      </c>
      <c r="CE198" s="15">
        <f>IF('ENCUESTA CONDUCTORES'!CM198="X",1,0)</f>
        <v>0</v>
      </c>
      <c r="CF198" s="15">
        <f>+'ENCUESTA CONDUCTORES'!CN198</f>
        <v>0</v>
      </c>
      <c r="CG198" s="15">
        <f>IF('ENCUESTA CONDUCTORES'!CO198="X",1,0)</f>
        <v>0</v>
      </c>
      <c r="CH198" s="15" t="str">
        <f>+'ENCUESTA CONDUCTORES'!CP198</f>
        <v>NO SABE</v>
      </c>
      <c r="CI198" s="15" t="str">
        <f>+'ENCUESTA CONDUCTORES'!CQ198</f>
        <v>NO CONTESTA</v>
      </c>
      <c r="CJ198" s="15">
        <f>IF('ENCUESTA CONDUCTORES'!CR198="X",1,0)</f>
        <v>1</v>
      </c>
      <c r="CK198" s="15">
        <f>IF('ENCUESTA CONDUCTORES'!CS198="X",1,0)</f>
        <v>0</v>
      </c>
      <c r="CL198" s="15">
        <f>IF('ENCUESTA CONDUCTORES'!CT198="X",1,0)</f>
        <v>0</v>
      </c>
      <c r="CM198" s="15">
        <f>+'ENCUESTA CONDUCTORES'!CU198</f>
        <v>0</v>
      </c>
      <c r="CN198" s="15">
        <f>IF('ENCUESTA CONDUCTORES'!CV198="X",1,0)</f>
        <v>0</v>
      </c>
      <c r="CO198" s="15">
        <f>+'ENCUESTA CONDUCTORES'!CW198</f>
        <v>0</v>
      </c>
      <c r="CP198" s="15">
        <f>IF('ENCUESTA CONDUCTORES'!CX198="X",1,0)</f>
        <v>1</v>
      </c>
      <c r="CQ198" s="15">
        <f>IF('ENCUESTA CONDUCTORES'!CY198="X",1,0)</f>
        <v>1</v>
      </c>
      <c r="CR198" s="3">
        <f>+'ENCUESTA CONDUCTORES'!CZ198</f>
        <v>0</v>
      </c>
      <c r="CS198" s="49" t="str">
        <f>+'ENCUESTA CONDUCTORES'!DA198</f>
        <v>DETROIT S60</v>
      </c>
    </row>
    <row r="199" spans="2:97" x14ac:dyDescent="0.25">
      <c r="B199" s="14" t="str">
        <f>+'ENCUESTA CONDUCTORES'!D199</f>
        <v>C-205</v>
      </c>
      <c r="C199" s="15">
        <f>IF('ENCUESTA CONDUCTORES'!E199="X",1,0)</f>
        <v>1</v>
      </c>
      <c r="D199" s="15">
        <f>IF('ENCUESTA CONDUCTORES'!F199="X",1,0)</f>
        <v>0</v>
      </c>
      <c r="E199" s="15">
        <f>IF('ENCUESTA CONDUCTORES'!G199="X",1,0)</f>
        <v>0</v>
      </c>
      <c r="F199" s="15">
        <f>IF('ENCUESTA CONDUCTORES'!H199="X",1,0)</f>
        <v>0</v>
      </c>
      <c r="G199" s="15">
        <f>+'ENCUESTA CONDUCTORES'!I199</f>
        <v>36</v>
      </c>
      <c r="H199" s="15" t="str">
        <f>+'ENCUESTA CONDUCTORES'!J199</f>
        <v>M</v>
      </c>
      <c r="I199" s="15" t="str">
        <f>+'ENCUESTA CONDUCTORES'!K199</f>
        <v>PREPARATORIA</v>
      </c>
      <c r="J199" s="15" t="str">
        <f>+'ENCUESTA CONDUCTORES'!L199</f>
        <v>CELAYA, GTO.</v>
      </c>
      <c r="K199" s="15" t="str">
        <f>+'ENCUESTA CONDUCTORES'!M199</f>
        <v>CELAYA</v>
      </c>
      <c r="L199" s="15" t="str">
        <f>+'ENCUESTA CONDUCTORES'!N199</f>
        <v>GUANAJUATO</v>
      </c>
      <c r="M199" s="15">
        <f>+'ENCUESTA CONDUCTORES'!O199</f>
        <v>10</v>
      </c>
      <c r="N199" s="15">
        <f>IF('ENCUESTA CONDUCTORES'!P199="X",1,0)</f>
        <v>0</v>
      </c>
      <c r="O199" s="15">
        <f>IF('ENCUESTA CONDUCTORES'!Q199="X",1,0)</f>
        <v>0</v>
      </c>
      <c r="P199" s="15">
        <f>IF('ENCUESTA CONDUCTORES'!R199="X",1,0)</f>
        <v>0</v>
      </c>
      <c r="Q199" s="15">
        <f>IF('ENCUESTA CONDUCTORES'!S199="X",1,0)</f>
        <v>1</v>
      </c>
      <c r="R199" s="15">
        <f>IF('ENCUESTA CONDUCTORES'!T199="X",1,0)</f>
        <v>0</v>
      </c>
      <c r="S199" s="15">
        <f>IF('ENCUESTA CONDUCTORES'!U199="X",1,0)</f>
        <v>0</v>
      </c>
      <c r="T199" s="15">
        <f>IF('ENCUESTA CONDUCTORES'!V199="X",1,0)</f>
        <v>0</v>
      </c>
      <c r="U199" s="15">
        <f>IF('ENCUESTA CONDUCTORES'!W199="X",1,0)</f>
        <v>0</v>
      </c>
      <c r="V199" s="15">
        <f>IF('ENCUESTA CONDUCTORES'!X199="X",1,0)</f>
        <v>0</v>
      </c>
      <c r="W199" s="15">
        <f>IF('ENCUESTA CONDUCTORES'!Y199="X",1,0)</f>
        <v>1</v>
      </c>
      <c r="X199" s="15">
        <f>IF('ENCUESTA CONDUCTORES'!Z199="X",1,0)</f>
        <v>0</v>
      </c>
      <c r="Y199" s="15">
        <f>+'ENCUESTA CONDUCTORES'!AG199</f>
        <v>0</v>
      </c>
      <c r="Z199" s="15">
        <f>+'ENCUESTA CONDUCTORES'!AH199</f>
        <v>2008</v>
      </c>
      <c r="AA199" s="1">
        <f>+'ENCUESTA CONDUCTORES'!AI199</f>
        <v>379858</v>
      </c>
      <c r="AB199" s="15">
        <f>IF('ENCUESTA CONDUCTORES'!AJ199="X",1,0)</f>
        <v>0</v>
      </c>
      <c r="AC199" s="15">
        <f>IF('ENCUESTA CONDUCTORES'!AK199="X",1,0)</f>
        <v>0</v>
      </c>
      <c r="AD199" s="15">
        <f>IF('ENCUESTA CONDUCTORES'!AL199="X",1,0)</f>
        <v>1</v>
      </c>
      <c r="AE199" s="15">
        <f>IF('ENCUESTA CONDUCTORES'!AM199="X",1,0)</f>
        <v>0</v>
      </c>
      <c r="AF199" s="15">
        <f>IF('ENCUESTA CONDUCTORES'!AN199="X",1,0)</f>
        <v>0</v>
      </c>
      <c r="AG199" s="15">
        <f>IF('ENCUESTA CONDUCTORES'!AO199="X",1,0)</f>
        <v>0</v>
      </c>
      <c r="AH199" s="15">
        <f>IF('ENCUESTA CONDUCTORES'!AP199="X",1,0)</f>
        <v>1</v>
      </c>
      <c r="AI199" s="15">
        <f>IF('ENCUESTA CONDUCTORES'!AQ199="X",1,0)</f>
        <v>0</v>
      </c>
      <c r="AJ199" s="15">
        <f>IF('ENCUESTA CONDUCTORES'!AR199="X",1,0)</f>
        <v>0</v>
      </c>
      <c r="AK199" s="15">
        <f>+'ENCUESTA CONDUCTORES'!AS199</f>
        <v>0</v>
      </c>
      <c r="AL199" s="15" t="str">
        <f>+'ENCUESTA CONDUCTORES'!AT199</f>
        <v>CUMMINS</v>
      </c>
      <c r="AM199" s="1">
        <f>+'ENCUESTA CONDUCTORES'!AU199</f>
        <v>8500</v>
      </c>
      <c r="AN199" s="48">
        <f>+'ENCUESTA CONDUCTORES'!AV199</f>
        <v>0.5</v>
      </c>
      <c r="AO199" s="15">
        <f>+'ENCUESTA CONDUCTORES'!AW199</f>
        <v>2.8</v>
      </c>
      <c r="AP199" s="15">
        <f>+'ENCUESTA CONDUCTORES'!AX199</f>
        <v>2.4</v>
      </c>
      <c r="AQ199" s="15">
        <f>+'ENCUESTA CONDUCTORES'!AY199</f>
        <v>3</v>
      </c>
      <c r="AR199" s="15">
        <f>+'ENCUESTA CONDUCTORES'!AZ199</f>
        <v>1150</v>
      </c>
      <c r="AS199" s="15">
        <f>+'ENCUESTA CONDUCTORES'!BA199</f>
        <v>3000</v>
      </c>
      <c r="AT199" s="15">
        <f>IF('ENCUESTA CONDUCTORES'!BB199="X",1,0)</f>
        <v>1</v>
      </c>
      <c r="AU199" s="15">
        <f>IF('ENCUESTA CONDUCTORES'!BC199="X",1,0)</f>
        <v>1</v>
      </c>
      <c r="AV199" s="15">
        <f>IF('ENCUESTA CONDUCTORES'!BD199="X",1,0)</f>
        <v>0</v>
      </c>
      <c r="AW199" s="1">
        <f>+'ENCUESTA CONDUCTORES'!BE199</f>
        <v>17000</v>
      </c>
      <c r="AX199" s="1">
        <f>+'ENCUESTA CONDUCTORES'!BF199</f>
        <v>120000</v>
      </c>
      <c r="AY199" s="1">
        <f>+'ENCUESTA CONDUCTORES'!BG199</f>
        <v>21000</v>
      </c>
      <c r="AZ199" s="1">
        <f>+'ENCUESTA CONDUCTORES'!BH199</f>
        <v>120000</v>
      </c>
      <c r="BA199" s="1" t="str">
        <f>+'ENCUESTA CONDUCTORES'!BI199</f>
        <v>NO SABE</v>
      </c>
      <c r="BB199" s="15">
        <f>IF('ENCUESTA CONDUCTORES'!BJ199="X",1,0)</f>
        <v>0</v>
      </c>
      <c r="BC199" s="15">
        <f>IF('ENCUESTA CONDUCTORES'!BK199="X",1,0)</f>
        <v>0</v>
      </c>
      <c r="BD199" s="15">
        <f>IF('ENCUESTA CONDUCTORES'!BL199="X",1,0)</f>
        <v>1</v>
      </c>
      <c r="BE199" s="15">
        <f>IF('ENCUESTA CONDUCTORES'!BM199="X",1,0)</f>
        <v>0</v>
      </c>
      <c r="BF199" s="15">
        <f>IF('ENCUESTA CONDUCTORES'!BN199="X",1,0)</f>
        <v>0</v>
      </c>
      <c r="BG199" s="15">
        <f>IF('ENCUESTA CONDUCTORES'!BO199="X",1,0)</f>
        <v>0</v>
      </c>
      <c r="BH199" s="15">
        <f>IF('ENCUESTA CONDUCTORES'!BP199="X",1,0)</f>
        <v>0</v>
      </c>
      <c r="BI199" s="15">
        <f>IF('ENCUESTA CONDUCTORES'!BQ199="X",1,0)</f>
        <v>0</v>
      </c>
      <c r="BJ199" s="15">
        <f>IF('ENCUESTA CONDUCTORES'!BR199="X",1,0)</f>
        <v>1</v>
      </c>
      <c r="BK199" s="15">
        <f>+'ENCUESTA CONDUCTORES'!BS199</f>
        <v>0</v>
      </c>
      <c r="BL199" s="15">
        <f>IF('ENCUESTA CONDUCTORES'!BT199="X",1,0)</f>
        <v>0</v>
      </c>
      <c r="BM199" s="15">
        <f>IF('ENCUESTA CONDUCTORES'!BU199="X",1,0)</f>
        <v>0</v>
      </c>
      <c r="BN199" s="15">
        <f>IF('ENCUESTA CONDUCTORES'!BV199="X",1,0)</f>
        <v>1</v>
      </c>
      <c r="BO199" s="15">
        <f>IF('ENCUESTA CONDUCTORES'!BW199="X",1,0)</f>
        <v>0</v>
      </c>
      <c r="BP199" s="15">
        <f>+'ENCUESTA CONDUCTORES'!BX199</f>
        <v>1</v>
      </c>
      <c r="BQ199" s="15">
        <f>+'ENCUESTA CONDUCTORES'!BY199</f>
        <v>3</v>
      </c>
      <c r="BR199" s="15">
        <f>+'ENCUESTA CONDUCTORES'!BZ199</f>
        <v>2</v>
      </c>
      <c r="BS199" s="15">
        <f>+'ENCUESTA CONDUCTORES'!CA199</f>
        <v>0</v>
      </c>
      <c r="BT199" s="15">
        <f>IF('ENCUESTA CONDUCTORES'!CB199="X",1,0)</f>
        <v>1</v>
      </c>
      <c r="BU199" s="15">
        <f>IF('ENCUESTA CONDUCTORES'!CC199="X",1,0)</f>
        <v>0</v>
      </c>
      <c r="BV199" s="15">
        <f>IF('ENCUESTA CONDUCTORES'!CD199="X",1,0)</f>
        <v>0</v>
      </c>
      <c r="BW199" s="15">
        <f>IF('ENCUESTA CONDUCTORES'!CE199="X",1,0)</f>
        <v>0</v>
      </c>
      <c r="BX199" s="15">
        <f>IF('ENCUESTA CONDUCTORES'!CF199="X",1,0)</f>
        <v>0</v>
      </c>
      <c r="BY199" s="15">
        <f>IF('ENCUESTA CONDUCTORES'!CG199="X",1,0)</f>
        <v>0</v>
      </c>
      <c r="BZ199" s="15">
        <f>IF('ENCUESTA CONDUCTORES'!CH199="X",1,0)</f>
        <v>0</v>
      </c>
      <c r="CA199" s="15">
        <f>IF('ENCUESTA CONDUCTORES'!CI199="X",1,0)</f>
        <v>0</v>
      </c>
      <c r="CB199" s="15">
        <f>IF('ENCUESTA CONDUCTORES'!CJ199="X",1,0)</f>
        <v>0</v>
      </c>
      <c r="CC199" s="15">
        <f>IF('ENCUESTA CONDUCTORES'!CK199="X",1,0)</f>
        <v>1</v>
      </c>
      <c r="CD199" s="15">
        <f>IF('ENCUESTA CONDUCTORES'!CL199="X",1,0)</f>
        <v>0</v>
      </c>
      <c r="CE199" s="15">
        <f>IF('ENCUESTA CONDUCTORES'!CM199="X",1,0)</f>
        <v>0</v>
      </c>
      <c r="CF199" s="15">
        <f>+'ENCUESTA CONDUCTORES'!CN199</f>
        <v>0</v>
      </c>
      <c r="CG199" s="15">
        <f>IF('ENCUESTA CONDUCTORES'!CO199="X",1,0)</f>
        <v>0</v>
      </c>
      <c r="CH199" s="15" t="str">
        <f>+'ENCUESTA CONDUCTORES'!CP199</f>
        <v>NO SABE</v>
      </c>
      <c r="CI199" s="15" t="str">
        <f>+'ENCUESTA CONDUCTORES'!CQ199</f>
        <v>NO CONTESTA</v>
      </c>
      <c r="CJ199" s="15">
        <f>IF('ENCUESTA CONDUCTORES'!CR199="X",1,0)</f>
        <v>1</v>
      </c>
      <c r="CK199" s="15">
        <f>IF('ENCUESTA CONDUCTORES'!CS199="X",1,0)</f>
        <v>0</v>
      </c>
      <c r="CL199" s="15">
        <f>IF('ENCUESTA CONDUCTORES'!CT199="X",1,0)</f>
        <v>0</v>
      </c>
      <c r="CM199" s="15">
        <f>+'ENCUESTA CONDUCTORES'!CU199</f>
        <v>0</v>
      </c>
      <c r="CN199" s="15">
        <f>IF('ENCUESTA CONDUCTORES'!CV199="X",1,0)</f>
        <v>0</v>
      </c>
      <c r="CO199" s="15">
        <f>+'ENCUESTA CONDUCTORES'!CW199</f>
        <v>0</v>
      </c>
      <c r="CP199" s="15">
        <f>IF('ENCUESTA CONDUCTORES'!CX199="X",1,0)</f>
        <v>1</v>
      </c>
      <c r="CQ199" s="15">
        <f>IF('ENCUESTA CONDUCTORES'!CY199="X",1,0)</f>
        <v>1</v>
      </c>
      <c r="CR199" s="3">
        <f>+'ENCUESTA CONDUCTORES'!CZ199</f>
        <v>0</v>
      </c>
      <c r="CS199" s="49" t="str">
        <f>+'ENCUESTA CONDUCTORES'!DA199</f>
        <v>CUMMINS ISX</v>
      </c>
    </row>
    <row r="200" spans="2:97" x14ac:dyDescent="0.25">
      <c r="B200" s="14" t="str">
        <f>+'ENCUESTA CONDUCTORES'!D200</f>
        <v>C-211</v>
      </c>
      <c r="C200" s="15">
        <f>IF('ENCUESTA CONDUCTORES'!E200="X",1,0)</f>
        <v>0</v>
      </c>
      <c r="D200" s="15">
        <f>IF('ENCUESTA CONDUCTORES'!F200="X",1,0)</f>
        <v>1</v>
      </c>
      <c r="E200" s="15">
        <f>IF('ENCUESTA CONDUCTORES'!G200="X",1,0)</f>
        <v>0</v>
      </c>
      <c r="F200" s="15">
        <f>IF('ENCUESTA CONDUCTORES'!H200="X",1,0)</f>
        <v>0</v>
      </c>
      <c r="G200" s="15">
        <f>+'ENCUESTA CONDUCTORES'!I200</f>
        <v>51</v>
      </c>
      <c r="H200" s="15" t="str">
        <f>+'ENCUESTA CONDUCTORES'!J200</f>
        <v>M</v>
      </c>
      <c r="I200" s="15" t="str">
        <f>+'ENCUESTA CONDUCTORES'!K200</f>
        <v>PREPARATORIA</v>
      </c>
      <c r="J200" s="15" t="str">
        <f>+'ENCUESTA CONDUCTORES'!L200</f>
        <v>TOLUCA, EDO. MEX.</v>
      </c>
      <c r="K200" s="15" t="str">
        <f>+'ENCUESTA CONDUCTORES'!M200</f>
        <v>TOLUCA</v>
      </c>
      <c r="L200" s="15" t="str">
        <f>+'ENCUESTA CONDUCTORES'!N200</f>
        <v>EDO. MEX.</v>
      </c>
      <c r="M200" s="15">
        <f>+'ENCUESTA CONDUCTORES'!O200</f>
        <v>30</v>
      </c>
      <c r="N200" s="15">
        <f>IF('ENCUESTA CONDUCTORES'!P200="X",1,0)</f>
        <v>0</v>
      </c>
      <c r="O200" s="15">
        <f>IF('ENCUESTA CONDUCTORES'!Q200="X",1,0)</f>
        <v>0</v>
      </c>
      <c r="P200" s="15">
        <f>IF('ENCUESTA CONDUCTORES'!R200="X",1,0)</f>
        <v>1</v>
      </c>
      <c r="Q200" s="15">
        <f>IF('ENCUESTA CONDUCTORES'!S200="X",1,0)</f>
        <v>0</v>
      </c>
      <c r="R200" s="15">
        <f>IF('ENCUESTA CONDUCTORES'!T200="X",1,0)</f>
        <v>0</v>
      </c>
      <c r="S200" s="15">
        <f>IF('ENCUESTA CONDUCTORES'!U200="X",1,0)</f>
        <v>1</v>
      </c>
      <c r="T200" s="15">
        <f>IF('ENCUESTA CONDUCTORES'!V200="X",1,0)</f>
        <v>0</v>
      </c>
      <c r="U200" s="15">
        <f>IF('ENCUESTA CONDUCTORES'!W200="X",1,0)</f>
        <v>0</v>
      </c>
      <c r="V200" s="15">
        <f>IF('ENCUESTA CONDUCTORES'!X200="X",1,0)</f>
        <v>0</v>
      </c>
      <c r="W200" s="15">
        <f>IF('ENCUESTA CONDUCTORES'!Y200="X",1,0)</f>
        <v>0</v>
      </c>
      <c r="X200" s="15">
        <f>IF('ENCUESTA CONDUCTORES'!Z200="X",1,0)</f>
        <v>0</v>
      </c>
      <c r="Y200" s="15">
        <f>+'ENCUESTA CONDUCTORES'!AG200</f>
        <v>0</v>
      </c>
      <c r="Z200" s="15">
        <f>+'ENCUESTA CONDUCTORES'!AH200</f>
        <v>2010</v>
      </c>
      <c r="AA200" s="1">
        <f>+'ENCUESTA CONDUCTORES'!AI200</f>
        <v>180000</v>
      </c>
      <c r="AB200" s="15">
        <f>IF('ENCUESTA CONDUCTORES'!AJ200="X",1,0)</f>
        <v>0</v>
      </c>
      <c r="AC200" s="15">
        <f>IF('ENCUESTA CONDUCTORES'!AK200="X",1,0)</f>
        <v>0</v>
      </c>
      <c r="AD200" s="15">
        <f>IF('ENCUESTA CONDUCTORES'!AL200="X",1,0)</f>
        <v>1</v>
      </c>
      <c r="AE200" s="15">
        <f>IF('ENCUESTA CONDUCTORES'!AM200="X",1,0)</f>
        <v>0</v>
      </c>
      <c r="AF200" s="15">
        <f>IF('ENCUESTA CONDUCTORES'!AN200="X",1,0)</f>
        <v>0</v>
      </c>
      <c r="AG200" s="15">
        <f>IF('ENCUESTA CONDUCTORES'!AO200="X",1,0)</f>
        <v>0</v>
      </c>
      <c r="AH200" s="15">
        <f>IF('ENCUESTA CONDUCTORES'!AP200="X",1,0)</f>
        <v>1</v>
      </c>
      <c r="AI200" s="15">
        <f>IF('ENCUESTA CONDUCTORES'!AQ200="X",1,0)</f>
        <v>0</v>
      </c>
      <c r="AJ200" s="15">
        <f>IF('ENCUESTA CONDUCTORES'!AR200="X",1,0)</f>
        <v>0</v>
      </c>
      <c r="AK200" s="15">
        <f>+'ENCUESTA CONDUCTORES'!AS200</f>
        <v>0</v>
      </c>
      <c r="AL200" s="15" t="str">
        <f>+'ENCUESTA CONDUCTORES'!AT200</f>
        <v>FREIGHTLINER</v>
      </c>
      <c r="AM200" s="1">
        <f>+'ENCUESTA CONDUCTORES'!AU200</f>
        <v>5000</v>
      </c>
      <c r="AN200" s="48">
        <f>+'ENCUESTA CONDUCTORES'!AV200</f>
        <v>0.5</v>
      </c>
      <c r="AO200" s="15">
        <f>+'ENCUESTA CONDUCTORES'!AW200</f>
        <v>3.5</v>
      </c>
      <c r="AP200" s="15">
        <f>+'ENCUESTA CONDUCTORES'!AX200</f>
        <v>2.8</v>
      </c>
      <c r="AQ200" s="15">
        <f>+'ENCUESTA CONDUCTORES'!AY200</f>
        <v>3</v>
      </c>
      <c r="AR200" s="15">
        <f>+'ENCUESTA CONDUCTORES'!AZ200</f>
        <v>625</v>
      </c>
      <c r="AS200" s="15">
        <f>+'ENCUESTA CONDUCTORES'!BA200</f>
        <v>2000</v>
      </c>
      <c r="AT200" s="15">
        <f>IF('ENCUESTA CONDUCTORES'!BB200="X",1,0)</f>
        <v>1</v>
      </c>
      <c r="AU200" s="15">
        <f>IF('ENCUESTA CONDUCTORES'!BC200="X",1,0)</f>
        <v>1</v>
      </c>
      <c r="AV200" s="15">
        <f>IF('ENCUESTA CONDUCTORES'!BD200="X",1,0)</f>
        <v>1</v>
      </c>
      <c r="AW200" s="1">
        <f>+'ENCUESTA CONDUCTORES'!BE200</f>
        <v>20000</v>
      </c>
      <c r="AX200" s="1">
        <f>+'ENCUESTA CONDUCTORES'!BF200</f>
        <v>60000</v>
      </c>
      <c r="AY200" s="1">
        <f>+'ENCUESTA CONDUCTORES'!BG200</f>
        <v>20000</v>
      </c>
      <c r="AZ200" s="1">
        <f>+'ENCUESTA CONDUCTORES'!BH200</f>
        <v>90000</v>
      </c>
      <c r="BA200" s="1">
        <f>+'ENCUESTA CONDUCTORES'!BI200</f>
        <v>20000</v>
      </c>
      <c r="BB200" s="15">
        <f>IF('ENCUESTA CONDUCTORES'!BJ200="X",1,0)</f>
        <v>0</v>
      </c>
      <c r="BC200" s="15">
        <f>IF('ENCUESTA CONDUCTORES'!BK200="X",1,0)</f>
        <v>0</v>
      </c>
      <c r="BD200" s="15">
        <f>IF('ENCUESTA CONDUCTORES'!BL200="X",1,0)</f>
        <v>0</v>
      </c>
      <c r="BE200" s="15">
        <f>IF('ENCUESTA CONDUCTORES'!BM200="X",1,0)</f>
        <v>0</v>
      </c>
      <c r="BF200" s="15">
        <f>IF('ENCUESTA CONDUCTORES'!BN200="X",1,0)</f>
        <v>0</v>
      </c>
      <c r="BG200" s="15">
        <f>IF('ENCUESTA CONDUCTORES'!BO200="X",1,0)</f>
        <v>1</v>
      </c>
      <c r="BH200" s="15">
        <f>IF('ENCUESTA CONDUCTORES'!BP200="X",1,0)</f>
        <v>0</v>
      </c>
      <c r="BI200" s="15">
        <f>IF('ENCUESTA CONDUCTORES'!BQ200="X",1,0)</f>
        <v>0</v>
      </c>
      <c r="BJ200" s="15">
        <f>IF('ENCUESTA CONDUCTORES'!BR200="X",1,0)</f>
        <v>0</v>
      </c>
      <c r="BK200" s="15">
        <f>+'ENCUESTA CONDUCTORES'!BS200</f>
        <v>0</v>
      </c>
      <c r="BL200" s="15">
        <f>IF('ENCUESTA CONDUCTORES'!BT200="X",1,0)</f>
        <v>0</v>
      </c>
      <c r="BM200" s="15">
        <f>IF('ENCUESTA CONDUCTORES'!BU200="X",1,0)</f>
        <v>1</v>
      </c>
      <c r="BN200" s="15">
        <f>IF('ENCUESTA CONDUCTORES'!BV200="X",1,0)</f>
        <v>0</v>
      </c>
      <c r="BO200" s="15">
        <f>IF('ENCUESTA CONDUCTORES'!BW200="X",1,0)</f>
        <v>0</v>
      </c>
      <c r="BP200" s="15">
        <f>+'ENCUESTA CONDUCTORES'!BX200</f>
        <v>3</v>
      </c>
      <c r="BQ200" s="15">
        <f>+'ENCUESTA CONDUCTORES'!BY200</f>
        <v>4</v>
      </c>
      <c r="BR200" s="15">
        <f>+'ENCUESTA CONDUCTORES'!BZ200</f>
        <v>2</v>
      </c>
      <c r="BS200" s="15" t="str">
        <f>+'ENCUESTA CONDUCTORES'!CA200</f>
        <v>SEGURIDAD</v>
      </c>
      <c r="BT200" s="15">
        <f>IF('ENCUESTA CONDUCTORES'!CB200="X",1,0)</f>
        <v>0</v>
      </c>
      <c r="BU200" s="15">
        <f>IF('ENCUESTA CONDUCTORES'!CC200="X",1,0)</f>
        <v>1</v>
      </c>
      <c r="BV200" s="15">
        <f>IF('ENCUESTA CONDUCTORES'!CD200="X",1,0)</f>
        <v>0</v>
      </c>
      <c r="BW200" s="15">
        <f>IF('ENCUESTA CONDUCTORES'!CE200="X",1,0)</f>
        <v>0</v>
      </c>
      <c r="BX200" s="15">
        <f>IF('ENCUESTA CONDUCTORES'!CF200="X",1,0)</f>
        <v>1</v>
      </c>
      <c r="BY200" s="15">
        <f>IF('ENCUESTA CONDUCTORES'!CG200="X",1,0)</f>
        <v>1</v>
      </c>
      <c r="BZ200" s="15">
        <f>IF('ENCUESTA CONDUCTORES'!CH200="X",1,0)</f>
        <v>1</v>
      </c>
      <c r="CA200" s="15">
        <f>IF('ENCUESTA CONDUCTORES'!CI200="X",1,0)</f>
        <v>1</v>
      </c>
      <c r="CB200" s="15">
        <f>IF('ENCUESTA CONDUCTORES'!CJ200="X",1,0)</f>
        <v>0</v>
      </c>
      <c r="CC200" s="15">
        <f>IF('ENCUESTA CONDUCTORES'!CK200="X",1,0)</f>
        <v>0</v>
      </c>
      <c r="CD200" s="15">
        <f>IF('ENCUESTA CONDUCTORES'!CL200="X",1,0)</f>
        <v>1</v>
      </c>
      <c r="CE200" s="15">
        <f>IF('ENCUESTA CONDUCTORES'!CM200="X",1,0)</f>
        <v>1</v>
      </c>
      <c r="CF200" s="15" t="str">
        <f>+'ENCUESTA CONDUCTORES'!CN200</f>
        <v>NO QUIERE EL DUEÑO</v>
      </c>
      <c r="CG200" s="15">
        <f>IF('ENCUESTA CONDUCTORES'!CO200="X",1,0)</f>
        <v>0</v>
      </c>
      <c r="CH200" s="15" t="str">
        <f>+'ENCUESTA CONDUCTORES'!CP200</f>
        <v>ES BUENO</v>
      </c>
      <c r="CI200" s="15" t="str">
        <f>+'ENCUESTA CONDUCTORES'!CQ200</f>
        <v>MAYOR INFORMACION</v>
      </c>
      <c r="CJ200" s="15">
        <f>IF('ENCUESTA CONDUCTORES'!CR200="X",1,0)</f>
        <v>0</v>
      </c>
      <c r="CK200" s="15">
        <f>IF('ENCUESTA CONDUCTORES'!CS200="X",1,0)</f>
        <v>0</v>
      </c>
      <c r="CL200" s="15">
        <f>IF('ENCUESTA CONDUCTORES'!CT200="X",1,0)</f>
        <v>0</v>
      </c>
      <c r="CM200" s="15" t="str">
        <f>+'ENCUESTA CONDUCTORES'!CU200</f>
        <v>MANEJO A LA DEFENSIVA</v>
      </c>
      <c r="CN200" s="15">
        <f>IF('ENCUESTA CONDUCTORES'!CV200="X",1,0)</f>
        <v>1</v>
      </c>
      <c r="CO200" s="15" t="str">
        <f>+'ENCUESTA CONDUCTORES'!CW200</f>
        <v>NO TIENE TIEMPO</v>
      </c>
      <c r="CP200" s="15">
        <f>IF('ENCUESTA CONDUCTORES'!CX200="X",1,0)</f>
        <v>0</v>
      </c>
      <c r="CQ200" s="15">
        <f>IF('ENCUESTA CONDUCTORES'!CY200="X",1,0)</f>
        <v>0</v>
      </c>
      <c r="CR200" s="3">
        <f>+'ENCUESTA CONDUCTORES'!CZ200</f>
        <v>0</v>
      </c>
      <c r="CS200" s="49">
        <f>+'ENCUESTA CONDUCTORES'!DA200</f>
        <v>0</v>
      </c>
    </row>
    <row r="201" spans="2:97" x14ac:dyDescent="0.25">
      <c r="B201" s="14" t="str">
        <f>+'ENCUESTA CONDUCTORES'!D201</f>
        <v>C-212</v>
      </c>
      <c r="C201" s="15">
        <f>IF('ENCUESTA CONDUCTORES'!E201="X",1,0)</f>
        <v>1</v>
      </c>
      <c r="D201" s="15">
        <f>IF('ENCUESTA CONDUCTORES'!F201="X",1,0)</f>
        <v>0</v>
      </c>
      <c r="E201" s="15">
        <f>IF('ENCUESTA CONDUCTORES'!G201="X",1,0)</f>
        <v>0</v>
      </c>
      <c r="F201" s="15">
        <f>IF('ENCUESTA CONDUCTORES'!H201="X",1,0)</f>
        <v>0</v>
      </c>
      <c r="G201" s="15">
        <f>+'ENCUESTA CONDUCTORES'!I201</f>
        <v>31</v>
      </c>
      <c r="H201" s="15" t="str">
        <f>+'ENCUESTA CONDUCTORES'!J201</f>
        <v>M</v>
      </c>
      <c r="I201" s="15" t="str">
        <f>+'ENCUESTA CONDUCTORES'!K201</f>
        <v>SECUNDARIA</v>
      </c>
      <c r="J201" s="15" t="str">
        <f>+'ENCUESTA CONDUCTORES'!L201</f>
        <v>TULTEPEC, EDO. MEX.</v>
      </c>
      <c r="K201" s="15" t="str">
        <f>+'ENCUESTA CONDUCTORES'!M201</f>
        <v>TULTEPEC</v>
      </c>
      <c r="L201" s="15" t="str">
        <f>+'ENCUESTA CONDUCTORES'!N201</f>
        <v>EDO. MEX.</v>
      </c>
      <c r="M201" s="15">
        <f>+'ENCUESTA CONDUCTORES'!O201</f>
        <v>8</v>
      </c>
      <c r="N201" s="15">
        <f>IF('ENCUESTA CONDUCTORES'!P201="X",1,0)</f>
        <v>0</v>
      </c>
      <c r="O201" s="15">
        <f>IF('ENCUESTA CONDUCTORES'!Q201="X",1,0)</f>
        <v>0</v>
      </c>
      <c r="P201" s="15">
        <f>IF('ENCUESTA CONDUCTORES'!R201="X",1,0)</f>
        <v>0</v>
      </c>
      <c r="Q201" s="15">
        <f>IF('ENCUESTA CONDUCTORES'!S201="X",1,0)</f>
        <v>1</v>
      </c>
      <c r="R201" s="15">
        <f>IF('ENCUESTA CONDUCTORES'!T201="X",1,0)</f>
        <v>0</v>
      </c>
      <c r="S201" s="15">
        <f>IF('ENCUESTA CONDUCTORES'!U201="X",1,0)</f>
        <v>1</v>
      </c>
      <c r="T201" s="15">
        <f>IF('ENCUESTA CONDUCTORES'!V201="X",1,0)</f>
        <v>0</v>
      </c>
      <c r="U201" s="15">
        <f>IF('ENCUESTA CONDUCTORES'!W201="X",1,0)</f>
        <v>0</v>
      </c>
      <c r="V201" s="15">
        <f>IF('ENCUESTA CONDUCTORES'!X201="X",1,0)</f>
        <v>0</v>
      </c>
      <c r="W201" s="15">
        <f>IF('ENCUESTA CONDUCTORES'!Y201="X",1,0)</f>
        <v>0</v>
      </c>
      <c r="X201" s="15">
        <f>IF('ENCUESTA CONDUCTORES'!Z201="X",1,0)</f>
        <v>0</v>
      </c>
      <c r="Y201" s="15">
        <f>+'ENCUESTA CONDUCTORES'!AG201</f>
        <v>0</v>
      </c>
      <c r="Z201" s="15">
        <f>+'ENCUESTA CONDUCTORES'!AH201</f>
        <v>1981</v>
      </c>
      <c r="AA201" s="1">
        <f>+'ENCUESTA CONDUCTORES'!AI201</f>
        <v>2500000</v>
      </c>
      <c r="AB201" s="15">
        <f>IF('ENCUESTA CONDUCTORES'!AJ201="X",1,0)</f>
        <v>0</v>
      </c>
      <c r="AC201" s="15">
        <f>IF('ENCUESTA CONDUCTORES'!AK201="X",1,0)</f>
        <v>0</v>
      </c>
      <c r="AD201" s="15">
        <f>IF('ENCUESTA CONDUCTORES'!AL201="X",1,0)</f>
        <v>1</v>
      </c>
      <c r="AE201" s="15">
        <f>IF('ENCUESTA CONDUCTORES'!AM201="X",1,0)</f>
        <v>0</v>
      </c>
      <c r="AF201" s="15">
        <f>IF('ENCUESTA CONDUCTORES'!AN201="X",1,0)</f>
        <v>0</v>
      </c>
      <c r="AG201" s="15">
        <f>IF('ENCUESTA CONDUCTORES'!AO201="X",1,0)</f>
        <v>0</v>
      </c>
      <c r="AH201" s="15">
        <f>IF('ENCUESTA CONDUCTORES'!AP201="X",1,0)</f>
        <v>1</v>
      </c>
      <c r="AI201" s="15">
        <f>IF('ENCUESTA CONDUCTORES'!AQ201="X",1,0)</f>
        <v>0</v>
      </c>
      <c r="AJ201" s="15">
        <f>IF('ENCUESTA CONDUCTORES'!AR201="X",1,0)</f>
        <v>0</v>
      </c>
      <c r="AK201" s="15">
        <f>+'ENCUESTA CONDUCTORES'!AS201</f>
        <v>0</v>
      </c>
      <c r="AL201" s="15" t="str">
        <f>+'ENCUESTA CONDUCTORES'!AT201</f>
        <v>KENWORTH</v>
      </c>
      <c r="AM201" s="1">
        <f>+'ENCUESTA CONDUCTORES'!AU201</f>
        <v>4000</v>
      </c>
      <c r="AN201" s="48">
        <f>+'ENCUESTA CONDUCTORES'!AV201</f>
        <v>0.1</v>
      </c>
      <c r="AO201" s="15">
        <f>+'ENCUESTA CONDUCTORES'!AW201</f>
        <v>3</v>
      </c>
      <c r="AP201" s="15">
        <f>+'ENCUESTA CONDUCTORES'!AX201</f>
        <v>2.5</v>
      </c>
      <c r="AQ201" s="15">
        <f>+'ENCUESTA CONDUCTORES'!AY201</f>
        <v>2</v>
      </c>
      <c r="AR201" s="15">
        <f>+'ENCUESTA CONDUCTORES'!AZ201</f>
        <v>430</v>
      </c>
      <c r="AS201" s="15">
        <f>+'ENCUESTA CONDUCTORES'!BA201</f>
        <v>1200</v>
      </c>
      <c r="AT201" s="15">
        <f>IF('ENCUESTA CONDUCTORES'!BB201="X",1,0)</f>
        <v>0</v>
      </c>
      <c r="AU201" s="15">
        <f>IF('ENCUESTA CONDUCTORES'!BC201="X",1,0)</f>
        <v>0</v>
      </c>
      <c r="AV201" s="15">
        <f>IF('ENCUESTA CONDUCTORES'!BD201="X",1,0)</f>
        <v>0</v>
      </c>
      <c r="AW201" s="1">
        <f>+'ENCUESTA CONDUCTORES'!BE201</f>
        <v>20000</v>
      </c>
      <c r="AX201" s="1">
        <f>+'ENCUESTA CONDUCTORES'!BF201</f>
        <v>6000</v>
      </c>
      <c r="AY201" s="1">
        <f>+'ENCUESTA CONDUCTORES'!BG201</f>
        <v>20000</v>
      </c>
      <c r="AZ201" s="1">
        <f>+'ENCUESTA CONDUCTORES'!BH201</f>
        <v>200000</v>
      </c>
      <c r="BA201" s="1">
        <f>+'ENCUESTA CONDUCTORES'!BI201</f>
        <v>20000</v>
      </c>
      <c r="BB201" s="15">
        <f>IF('ENCUESTA CONDUCTORES'!BJ201="X",1,0)</f>
        <v>0</v>
      </c>
      <c r="BC201" s="15">
        <f>IF('ENCUESTA CONDUCTORES'!BK201="X",1,0)</f>
        <v>0</v>
      </c>
      <c r="BD201" s="15">
        <f>IF('ENCUESTA CONDUCTORES'!BL201="X",1,0)</f>
        <v>0</v>
      </c>
      <c r="BE201" s="15">
        <f>IF('ENCUESTA CONDUCTORES'!BM201="X",1,0)</f>
        <v>1</v>
      </c>
      <c r="BF201" s="15">
        <f>IF('ENCUESTA CONDUCTORES'!BN201="X",1,0)</f>
        <v>1</v>
      </c>
      <c r="BG201" s="15">
        <f>IF('ENCUESTA CONDUCTORES'!BO201="X",1,0)</f>
        <v>0</v>
      </c>
      <c r="BH201" s="15">
        <f>IF('ENCUESTA CONDUCTORES'!BP201="X",1,0)</f>
        <v>0</v>
      </c>
      <c r="BI201" s="15">
        <f>IF('ENCUESTA CONDUCTORES'!BQ201="X",1,0)</f>
        <v>0</v>
      </c>
      <c r="BJ201" s="15">
        <f>IF('ENCUESTA CONDUCTORES'!BR201="X",1,0)</f>
        <v>0</v>
      </c>
      <c r="BK201" s="15">
        <f>+'ENCUESTA CONDUCTORES'!BS201</f>
        <v>0</v>
      </c>
      <c r="BL201" s="15">
        <f>IF('ENCUESTA CONDUCTORES'!BT201="X",1,0)</f>
        <v>0</v>
      </c>
      <c r="BM201" s="15">
        <f>IF('ENCUESTA CONDUCTORES'!BU201="X",1,0)</f>
        <v>1</v>
      </c>
      <c r="BN201" s="15">
        <f>IF('ENCUESTA CONDUCTORES'!BV201="X",1,0)</f>
        <v>0</v>
      </c>
      <c r="BO201" s="15">
        <f>IF('ENCUESTA CONDUCTORES'!BW201="X",1,0)</f>
        <v>0</v>
      </c>
      <c r="BP201" s="15">
        <f>+'ENCUESTA CONDUCTORES'!BX201</f>
        <v>3</v>
      </c>
      <c r="BQ201" s="15">
        <f>+'ENCUESTA CONDUCTORES'!BY201</f>
        <v>2</v>
      </c>
      <c r="BR201" s="15">
        <f>+'ENCUESTA CONDUCTORES'!BZ201</f>
        <v>1</v>
      </c>
      <c r="BS201" s="15">
        <f>+'ENCUESTA CONDUCTORES'!CA201</f>
        <v>0</v>
      </c>
      <c r="BT201" s="15">
        <f>IF('ENCUESTA CONDUCTORES'!CB201="X",1,0)</f>
        <v>0</v>
      </c>
      <c r="BU201" s="15">
        <f>IF('ENCUESTA CONDUCTORES'!CC201="X",1,0)</f>
        <v>1</v>
      </c>
      <c r="BV201" s="15">
        <f>IF('ENCUESTA CONDUCTORES'!CD201="X",1,0)</f>
        <v>0</v>
      </c>
      <c r="BW201" s="15">
        <f>IF('ENCUESTA CONDUCTORES'!CE201="X",1,0)</f>
        <v>0</v>
      </c>
      <c r="BX201" s="15">
        <f>IF('ENCUESTA CONDUCTORES'!CF201="X",1,0)</f>
        <v>0</v>
      </c>
      <c r="BY201" s="15">
        <f>IF('ENCUESTA CONDUCTORES'!CG201="X",1,0)</f>
        <v>0</v>
      </c>
      <c r="BZ201" s="15">
        <f>IF('ENCUESTA CONDUCTORES'!CH201="X",1,0)</f>
        <v>1</v>
      </c>
      <c r="CA201" s="15">
        <f>IF('ENCUESTA CONDUCTORES'!CI201="X",1,0)</f>
        <v>1</v>
      </c>
      <c r="CB201" s="15">
        <f>IF('ENCUESTA CONDUCTORES'!CJ201="X",1,0)</f>
        <v>0</v>
      </c>
      <c r="CC201" s="15">
        <f>IF('ENCUESTA CONDUCTORES'!CK201="X",1,0)</f>
        <v>1</v>
      </c>
      <c r="CD201" s="15">
        <f>IF('ENCUESTA CONDUCTORES'!CL201="X",1,0)</f>
        <v>0</v>
      </c>
      <c r="CE201" s="15">
        <f>IF('ENCUESTA CONDUCTORES'!CM201="X",1,0)</f>
        <v>0</v>
      </c>
      <c r="CF201" s="15">
        <f>+'ENCUESTA CONDUCTORES'!CN201</f>
        <v>0</v>
      </c>
      <c r="CG201" s="15">
        <f>IF('ENCUESTA CONDUCTORES'!CO201="X",1,0)</f>
        <v>0</v>
      </c>
      <c r="CH201" s="15" t="str">
        <f>+'ENCUESTA CONDUCTORES'!CP201</f>
        <v>NO SABE</v>
      </c>
      <c r="CI201" s="15" t="str">
        <f>+'ENCUESTA CONDUCTORES'!CQ201</f>
        <v>NO CONTESTA</v>
      </c>
      <c r="CJ201" s="15">
        <f>IF('ENCUESTA CONDUCTORES'!CR201="X",1,0)</f>
        <v>0</v>
      </c>
      <c r="CK201" s="15">
        <f>IF('ENCUESTA CONDUCTORES'!CS201="X",1,0)</f>
        <v>1</v>
      </c>
      <c r="CL201" s="15">
        <f>IF('ENCUESTA CONDUCTORES'!CT201="X",1,0)</f>
        <v>0</v>
      </c>
      <c r="CM201" s="15">
        <f>+'ENCUESTA CONDUCTORES'!CU201</f>
        <v>0</v>
      </c>
      <c r="CN201" s="15">
        <f>IF('ENCUESTA CONDUCTORES'!CV201="X",1,0)</f>
        <v>1</v>
      </c>
      <c r="CO201" s="15" t="str">
        <f>+'ENCUESTA CONDUCTORES'!CW201</f>
        <v>NO TIENE TIEMPO</v>
      </c>
      <c r="CP201" s="15">
        <f>IF('ENCUESTA CONDUCTORES'!CX201="X",1,0)</f>
        <v>0</v>
      </c>
      <c r="CQ201" s="15">
        <f>IF('ENCUESTA CONDUCTORES'!CY201="X",1,0)</f>
        <v>0</v>
      </c>
      <c r="CR201" s="3">
        <f>+'ENCUESTA CONDUCTORES'!CZ201</f>
        <v>0</v>
      </c>
      <c r="CS201" s="49">
        <f>+'ENCUESTA CONDUCTORES'!DA201</f>
        <v>0</v>
      </c>
    </row>
    <row r="202" spans="2:97" x14ac:dyDescent="0.25">
      <c r="B202" s="14" t="str">
        <f>+'ENCUESTA CONDUCTORES'!D202</f>
        <v>C-213</v>
      </c>
      <c r="C202" s="15">
        <f>IF('ENCUESTA CONDUCTORES'!E202="X",1,0)</f>
        <v>0</v>
      </c>
      <c r="D202" s="15">
        <f>IF('ENCUESTA CONDUCTORES'!F202="X",1,0)</f>
        <v>0</v>
      </c>
      <c r="E202" s="15">
        <f>IF('ENCUESTA CONDUCTORES'!G202="X",1,0)</f>
        <v>1</v>
      </c>
      <c r="F202" s="15">
        <f>IF('ENCUESTA CONDUCTORES'!H202="X",1,0)</f>
        <v>0</v>
      </c>
      <c r="G202" s="15">
        <f>+'ENCUESTA CONDUCTORES'!I202</f>
        <v>24</v>
      </c>
      <c r="H202" s="15" t="str">
        <f>+'ENCUESTA CONDUCTORES'!J202</f>
        <v>M</v>
      </c>
      <c r="I202" s="15" t="str">
        <f>+'ENCUESTA CONDUCTORES'!K202</f>
        <v>PREPARATORIA</v>
      </c>
      <c r="J202" s="15" t="str">
        <f>+'ENCUESTA CONDUCTORES'!L202</f>
        <v>ECATEPEC, EDO. MEX.</v>
      </c>
      <c r="K202" s="15" t="str">
        <f>+'ENCUESTA CONDUCTORES'!M202</f>
        <v>ECATEPEC</v>
      </c>
      <c r="L202" s="15" t="str">
        <f>+'ENCUESTA CONDUCTORES'!N202</f>
        <v>EDO. MEX.</v>
      </c>
      <c r="M202" s="15">
        <f>+'ENCUESTA CONDUCTORES'!O202</f>
        <v>3</v>
      </c>
      <c r="N202" s="15">
        <f>IF('ENCUESTA CONDUCTORES'!P202="X",1,0)</f>
        <v>0</v>
      </c>
      <c r="O202" s="15">
        <f>IF('ENCUESTA CONDUCTORES'!Q202="X",1,0)</f>
        <v>1</v>
      </c>
      <c r="P202" s="15">
        <f>IF('ENCUESTA CONDUCTORES'!R202="X",1,0)</f>
        <v>0</v>
      </c>
      <c r="Q202" s="15">
        <f>IF('ENCUESTA CONDUCTORES'!S202="X",1,0)</f>
        <v>0</v>
      </c>
      <c r="R202" s="15">
        <f>IF('ENCUESTA CONDUCTORES'!T202="X",1,0)</f>
        <v>0</v>
      </c>
      <c r="S202" s="15">
        <f>IF('ENCUESTA CONDUCTORES'!U202="X",1,0)</f>
        <v>1</v>
      </c>
      <c r="T202" s="15">
        <f>IF('ENCUESTA CONDUCTORES'!V202="X",1,0)</f>
        <v>0</v>
      </c>
      <c r="U202" s="15">
        <f>IF('ENCUESTA CONDUCTORES'!W202="X",1,0)</f>
        <v>0</v>
      </c>
      <c r="V202" s="15">
        <f>IF('ENCUESTA CONDUCTORES'!X202="X",1,0)</f>
        <v>0</v>
      </c>
      <c r="W202" s="15">
        <f>IF('ENCUESTA CONDUCTORES'!Y202="X",1,0)</f>
        <v>0</v>
      </c>
      <c r="X202" s="15">
        <f>IF('ENCUESTA CONDUCTORES'!Z202="X",1,0)</f>
        <v>0</v>
      </c>
      <c r="Y202" s="15">
        <f>+'ENCUESTA CONDUCTORES'!AG202</f>
        <v>0</v>
      </c>
      <c r="Z202" s="15">
        <f>+'ENCUESTA CONDUCTORES'!AH202</f>
        <v>2009</v>
      </c>
      <c r="AA202" s="1">
        <f>+'ENCUESTA CONDUCTORES'!AI202</f>
        <v>480000</v>
      </c>
      <c r="AB202" s="15">
        <f>IF('ENCUESTA CONDUCTORES'!AJ202="X",1,0)</f>
        <v>0</v>
      </c>
      <c r="AC202" s="15">
        <f>IF('ENCUESTA CONDUCTORES'!AK202="X",1,0)</f>
        <v>0</v>
      </c>
      <c r="AD202" s="15">
        <f>IF('ENCUESTA CONDUCTORES'!AL202="X",1,0)</f>
        <v>1</v>
      </c>
      <c r="AE202" s="15">
        <f>IF('ENCUESTA CONDUCTORES'!AM202="X",1,0)</f>
        <v>0</v>
      </c>
      <c r="AF202" s="15">
        <f>IF('ENCUESTA CONDUCTORES'!AN202="X",1,0)</f>
        <v>0</v>
      </c>
      <c r="AG202" s="15">
        <f>IF('ENCUESTA CONDUCTORES'!AO202="X",1,0)</f>
        <v>0</v>
      </c>
      <c r="AH202" s="15">
        <f>IF('ENCUESTA CONDUCTORES'!AP202="X",1,0)</f>
        <v>1</v>
      </c>
      <c r="AI202" s="15">
        <f>IF('ENCUESTA CONDUCTORES'!AQ202="X",1,0)</f>
        <v>0</v>
      </c>
      <c r="AJ202" s="15">
        <f>IF('ENCUESTA CONDUCTORES'!AR202="X",1,0)</f>
        <v>0</v>
      </c>
      <c r="AK202" s="15">
        <f>+'ENCUESTA CONDUCTORES'!AS202</f>
        <v>0</v>
      </c>
      <c r="AL202" s="15" t="str">
        <f>+'ENCUESTA CONDUCTORES'!AT202</f>
        <v>MERCEDES BENZ</v>
      </c>
      <c r="AM202" s="1">
        <f>+'ENCUESTA CONDUCTORES'!AU202</f>
        <v>10000</v>
      </c>
      <c r="AN202" s="48">
        <f>+'ENCUESTA CONDUCTORES'!AV202</f>
        <v>0.5</v>
      </c>
      <c r="AO202" s="15">
        <f>+'ENCUESTA CONDUCTORES'!AW202</f>
        <v>4.2</v>
      </c>
      <c r="AP202" s="15">
        <f>+'ENCUESTA CONDUCTORES'!AX202</f>
        <v>4</v>
      </c>
      <c r="AQ202" s="15">
        <f>+'ENCUESTA CONDUCTORES'!AY202</f>
        <v>2</v>
      </c>
      <c r="AR202" s="15">
        <f>+'ENCUESTA CONDUCTORES'!AZ202</f>
        <v>600</v>
      </c>
      <c r="AS202" s="15">
        <f>+'ENCUESTA CONDUCTORES'!BA202</f>
        <v>2500</v>
      </c>
      <c r="AT202" s="15">
        <f>IF('ENCUESTA CONDUCTORES'!BB202="X",1,0)</f>
        <v>1</v>
      </c>
      <c r="AU202" s="15">
        <f>IF('ENCUESTA CONDUCTORES'!BC202="X",1,0)</f>
        <v>0</v>
      </c>
      <c r="AV202" s="15">
        <f>IF('ENCUESTA CONDUCTORES'!BD202="X",1,0)</f>
        <v>0</v>
      </c>
      <c r="AW202" s="1">
        <f>+'ENCUESTA CONDUCTORES'!BE202</f>
        <v>40000</v>
      </c>
      <c r="AX202" s="1">
        <f>+'ENCUESTA CONDUCTORES'!BF202</f>
        <v>40000</v>
      </c>
      <c r="AY202" s="1">
        <f>+'ENCUESTA CONDUCTORES'!BG202</f>
        <v>40000</v>
      </c>
      <c r="AZ202" s="1">
        <f>+'ENCUESTA CONDUCTORES'!BH202</f>
        <v>120000</v>
      </c>
      <c r="BA202" s="1">
        <f>+'ENCUESTA CONDUCTORES'!BI202</f>
        <v>40000</v>
      </c>
      <c r="BB202" s="15">
        <f>IF('ENCUESTA CONDUCTORES'!BJ202="X",1,0)</f>
        <v>0</v>
      </c>
      <c r="BC202" s="15">
        <f>IF('ENCUESTA CONDUCTORES'!BK202="X",1,0)</f>
        <v>0</v>
      </c>
      <c r="BD202" s="15">
        <f>IF('ENCUESTA CONDUCTORES'!BL202="X",1,0)</f>
        <v>0</v>
      </c>
      <c r="BE202" s="15">
        <f>IF('ENCUESTA CONDUCTORES'!BM202="X",1,0)</f>
        <v>0</v>
      </c>
      <c r="BF202" s="15">
        <f>IF('ENCUESTA CONDUCTORES'!BN202="X",1,0)</f>
        <v>0</v>
      </c>
      <c r="BG202" s="15">
        <f>IF('ENCUESTA CONDUCTORES'!BO202="X",1,0)</f>
        <v>0</v>
      </c>
      <c r="BH202" s="15">
        <f>IF('ENCUESTA CONDUCTORES'!BP202="X",1,0)</f>
        <v>0</v>
      </c>
      <c r="BI202" s="15">
        <f>IF('ENCUESTA CONDUCTORES'!BQ202="X",1,0)</f>
        <v>0</v>
      </c>
      <c r="BJ202" s="15">
        <f>IF('ENCUESTA CONDUCTORES'!BR202="X",1,0)</f>
        <v>0</v>
      </c>
      <c r="BK202" s="15" t="str">
        <f>+'ENCUESTA CONDUCTORES'!BS202</f>
        <v>PLASTICO</v>
      </c>
      <c r="BL202" s="15">
        <f>IF('ENCUESTA CONDUCTORES'!BT202="X",1,0)</f>
        <v>0</v>
      </c>
      <c r="BM202" s="15">
        <f>IF('ENCUESTA CONDUCTORES'!BU202="X",1,0)</f>
        <v>1</v>
      </c>
      <c r="BN202" s="15">
        <f>IF('ENCUESTA CONDUCTORES'!BV202="X",1,0)</f>
        <v>0</v>
      </c>
      <c r="BO202" s="15">
        <f>IF('ENCUESTA CONDUCTORES'!BW202="X",1,0)</f>
        <v>0</v>
      </c>
      <c r="BP202" s="15">
        <f>+'ENCUESTA CONDUCTORES'!BX202</f>
        <v>1</v>
      </c>
      <c r="BQ202" s="15">
        <f>+'ENCUESTA CONDUCTORES'!BY202</f>
        <v>3</v>
      </c>
      <c r="BR202" s="15">
        <f>+'ENCUESTA CONDUCTORES'!BZ202</f>
        <v>2</v>
      </c>
      <c r="BS202" s="15">
        <f>+'ENCUESTA CONDUCTORES'!CA202</f>
        <v>0</v>
      </c>
      <c r="BT202" s="15">
        <f>IF('ENCUESTA CONDUCTORES'!CB202="X",1,0)</f>
        <v>0</v>
      </c>
      <c r="BU202" s="15">
        <f>IF('ENCUESTA CONDUCTORES'!CC202="X",1,0)</f>
        <v>1</v>
      </c>
      <c r="BV202" s="15">
        <f>IF('ENCUESTA CONDUCTORES'!CD202="X",1,0)</f>
        <v>0</v>
      </c>
      <c r="BW202" s="15">
        <f>IF('ENCUESTA CONDUCTORES'!CE202="X",1,0)</f>
        <v>1</v>
      </c>
      <c r="BX202" s="15">
        <f>IF('ENCUESTA CONDUCTORES'!CF202="X",1,0)</f>
        <v>0</v>
      </c>
      <c r="BY202" s="15">
        <f>IF('ENCUESTA CONDUCTORES'!CG202="X",1,0)</f>
        <v>1</v>
      </c>
      <c r="BZ202" s="15">
        <f>IF('ENCUESTA CONDUCTORES'!CH202="X",1,0)</f>
        <v>1</v>
      </c>
      <c r="CA202" s="15">
        <f>IF('ENCUESTA CONDUCTORES'!CI202="X",1,0)</f>
        <v>1</v>
      </c>
      <c r="CB202" s="15">
        <f>IF('ENCUESTA CONDUCTORES'!CJ202="X",1,0)</f>
        <v>0</v>
      </c>
      <c r="CC202" s="15">
        <f>IF('ENCUESTA CONDUCTORES'!CK202="X",1,0)</f>
        <v>1</v>
      </c>
      <c r="CD202" s="15">
        <f>IF('ENCUESTA CONDUCTORES'!CL202="X",1,0)</f>
        <v>0</v>
      </c>
      <c r="CE202" s="15">
        <f>IF('ENCUESTA CONDUCTORES'!CM202="X",1,0)</f>
        <v>0</v>
      </c>
      <c r="CF202" s="15">
        <f>+'ENCUESTA CONDUCTORES'!CN202</f>
        <v>0</v>
      </c>
      <c r="CG202" s="15">
        <f>IF('ENCUESTA CONDUCTORES'!CO202="X",1,0)</f>
        <v>0</v>
      </c>
      <c r="CH202" s="15" t="str">
        <f>+'ENCUESTA CONDUCTORES'!CP202</f>
        <v>NO SABE</v>
      </c>
      <c r="CI202" s="15" t="str">
        <f>+'ENCUESTA CONDUCTORES'!CQ202</f>
        <v>NO CONTESTA</v>
      </c>
      <c r="CJ202" s="15">
        <f>IF('ENCUESTA CONDUCTORES'!CR202="X",1,0)</f>
        <v>0</v>
      </c>
      <c r="CK202" s="15">
        <f>IF('ENCUESTA CONDUCTORES'!CS202="X",1,0)</f>
        <v>0</v>
      </c>
      <c r="CL202" s="15">
        <f>IF('ENCUESTA CONDUCTORES'!CT202="X",1,0)</f>
        <v>1</v>
      </c>
      <c r="CM202" s="15">
        <f>+'ENCUESTA CONDUCTORES'!CU202</f>
        <v>0</v>
      </c>
      <c r="CN202" s="15">
        <f>IF('ENCUESTA CONDUCTORES'!CV202="X",1,0)</f>
        <v>0</v>
      </c>
      <c r="CO202" s="15">
        <f>+'ENCUESTA CONDUCTORES'!CW202</f>
        <v>0</v>
      </c>
      <c r="CP202" s="15">
        <f>IF('ENCUESTA CONDUCTORES'!CX202="X",1,0)</f>
        <v>1</v>
      </c>
      <c r="CQ202" s="15">
        <f>IF('ENCUESTA CONDUCTORES'!CY202="X",1,0)</f>
        <v>0</v>
      </c>
      <c r="CR202" s="3">
        <f>+'ENCUESTA CONDUCTORES'!CZ202</f>
        <v>0</v>
      </c>
      <c r="CS202" s="49">
        <f>+'ENCUESTA CONDUCTORES'!DA202</f>
        <v>0</v>
      </c>
    </row>
    <row r="203" spans="2:97" x14ac:dyDescent="0.25">
      <c r="B203" s="14" t="str">
        <f>+'ENCUESTA CONDUCTORES'!D203</f>
        <v>C-214</v>
      </c>
      <c r="C203" s="15">
        <f>IF('ENCUESTA CONDUCTORES'!E203="X",1,0)</f>
        <v>0</v>
      </c>
      <c r="D203" s="15">
        <f>IF('ENCUESTA CONDUCTORES'!F203="X",1,0)</f>
        <v>0</v>
      </c>
      <c r="E203" s="15">
        <f>IF('ENCUESTA CONDUCTORES'!G203="X",1,0)</f>
        <v>0</v>
      </c>
      <c r="F203" s="15">
        <f>IF('ENCUESTA CONDUCTORES'!H203="X",1,0)</f>
        <v>1</v>
      </c>
      <c r="G203" s="15">
        <f>+'ENCUESTA CONDUCTORES'!I203</f>
        <v>54</v>
      </c>
      <c r="H203" s="15" t="str">
        <f>+'ENCUESTA CONDUCTORES'!J203</f>
        <v>M</v>
      </c>
      <c r="I203" s="15" t="str">
        <f>+'ENCUESTA CONDUCTORES'!K203</f>
        <v>BACHILLERATO</v>
      </c>
      <c r="J203" s="15" t="str">
        <f>+'ENCUESTA CONDUCTORES'!L203</f>
        <v>TULTITLÁN, EDO. MEX.</v>
      </c>
      <c r="K203" s="15" t="str">
        <f>+'ENCUESTA CONDUCTORES'!M203</f>
        <v>TULTITLÁN</v>
      </c>
      <c r="L203" s="15" t="str">
        <f>+'ENCUESTA CONDUCTORES'!N203</f>
        <v>EDO. MEX.</v>
      </c>
      <c r="M203" s="15">
        <f>+'ENCUESTA CONDUCTORES'!O203</f>
        <v>30</v>
      </c>
      <c r="N203" s="15">
        <f>IF('ENCUESTA CONDUCTORES'!P203="X",1,0)</f>
        <v>1</v>
      </c>
      <c r="O203" s="15">
        <f>IF('ENCUESTA CONDUCTORES'!Q203="X",1,0)</f>
        <v>0</v>
      </c>
      <c r="P203" s="15">
        <f>IF('ENCUESTA CONDUCTORES'!R203="X",1,0)</f>
        <v>0</v>
      </c>
      <c r="Q203" s="15">
        <f>IF('ENCUESTA CONDUCTORES'!S203="X",1,0)</f>
        <v>0</v>
      </c>
      <c r="R203" s="15">
        <f>IF('ENCUESTA CONDUCTORES'!T203="X",1,0)</f>
        <v>0</v>
      </c>
      <c r="S203" s="15">
        <f>IF('ENCUESTA CONDUCTORES'!U203="X",1,0)</f>
        <v>0</v>
      </c>
      <c r="T203" s="15">
        <f>IF('ENCUESTA CONDUCTORES'!V203="X",1,0)</f>
        <v>0</v>
      </c>
      <c r="U203" s="15">
        <f>IF('ENCUESTA CONDUCTORES'!W203="X",1,0)</f>
        <v>0</v>
      </c>
      <c r="V203" s="15">
        <f>IF('ENCUESTA CONDUCTORES'!X203="X",1,0)</f>
        <v>1</v>
      </c>
      <c r="W203" s="15">
        <f>IF('ENCUESTA CONDUCTORES'!Y203="X",1,0)</f>
        <v>0</v>
      </c>
      <c r="X203" s="15">
        <f>IF('ENCUESTA CONDUCTORES'!Z203="X",1,0)</f>
        <v>0</v>
      </c>
      <c r="Y203" s="15">
        <f>+'ENCUESTA CONDUCTORES'!AG203</f>
        <v>0</v>
      </c>
      <c r="Z203" s="15">
        <f>+'ENCUESTA CONDUCTORES'!AH203</f>
        <v>2005</v>
      </c>
      <c r="AA203" s="1">
        <f>+'ENCUESTA CONDUCTORES'!AI203</f>
        <v>450000</v>
      </c>
      <c r="AB203" s="15">
        <f>IF('ENCUESTA CONDUCTORES'!AJ203="X",1,0)</f>
        <v>0</v>
      </c>
      <c r="AC203" s="15">
        <f>IF('ENCUESTA CONDUCTORES'!AK203="X",1,0)</f>
        <v>0</v>
      </c>
      <c r="AD203" s="15">
        <f>IF('ENCUESTA CONDUCTORES'!AL203="X",1,0)</f>
        <v>1</v>
      </c>
      <c r="AE203" s="15">
        <f>IF('ENCUESTA CONDUCTORES'!AM203="X",1,0)</f>
        <v>0</v>
      </c>
      <c r="AF203" s="15">
        <f>IF('ENCUESTA CONDUCTORES'!AN203="X",1,0)</f>
        <v>0</v>
      </c>
      <c r="AG203" s="15">
        <f>IF('ENCUESTA CONDUCTORES'!AO203="X",1,0)</f>
        <v>0</v>
      </c>
      <c r="AH203" s="15">
        <f>IF('ENCUESTA CONDUCTORES'!AP203="X",1,0)</f>
        <v>1</v>
      </c>
      <c r="AI203" s="15">
        <f>IF('ENCUESTA CONDUCTORES'!AQ203="X",1,0)</f>
        <v>0</v>
      </c>
      <c r="AJ203" s="15">
        <f>IF('ENCUESTA CONDUCTORES'!AR203="X",1,0)</f>
        <v>0</v>
      </c>
      <c r="AK203" s="15">
        <f>+'ENCUESTA CONDUCTORES'!AS203</f>
        <v>0</v>
      </c>
      <c r="AL203" s="15" t="str">
        <f>+'ENCUESTA CONDUCTORES'!AT203</f>
        <v>VOLVO</v>
      </c>
      <c r="AM203" s="1">
        <f>+'ENCUESTA CONDUCTORES'!AU203</f>
        <v>24000</v>
      </c>
      <c r="AN203" s="48">
        <f>+'ENCUESTA CONDUCTORES'!AV203</f>
        <v>0.5</v>
      </c>
      <c r="AO203" s="15">
        <f>+'ENCUESTA CONDUCTORES'!AW203</f>
        <v>3.2</v>
      </c>
      <c r="AP203" s="15">
        <f>+'ENCUESTA CONDUCTORES'!AX203</f>
        <v>3</v>
      </c>
      <c r="AQ203" s="15">
        <f>+'ENCUESTA CONDUCTORES'!AY203</f>
        <v>1</v>
      </c>
      <c r="AR203" s="15">
        <f>+'ENCUESTA CONDUCTORES'!AZ203</f>
        <v>550</v>
      </c>
      <c r="AS203" s="15">
        <f>+'ENCUESTA CONDUCTORES'!BA203</f>
        <v>1700</v>
      </c>
      <c r="AT203" s="15">
        <f>IF('ENCUESTA CONDUCTORES'!BB203="X",1,0)</f>
        <v>1</v>
      </c>
      <c r="AU203" s="15">
        <f>IF('ENCUESTA CONDUCTORES'!BC203="X",1,0)</f>
        <v>0</v>
      </c>
      <c r="AV203" s="15">
        <f>IF('ENCUESTA CONDUCTORES'!BD203="X",1,0)</f>
        <v>1</v>
      </c>
      <c r="AW203" s="1">
        <f>+'ENCUESTA CONDUCTORES'!BE203</f>
        <v>36000</v>
      </c>
      <c r="AX203" s="1">
        <f>+'ENCUESTA CONDUCTORES'!BF203</f>
        <v>30000</v>
      </c>
      <c r="AY203" s="1">
        <f>+'ENCUESTA CONDUCTORES'!BG203</f>
        <v>36000</v>
      </c>
      <c r="AZ203" s="1">
        <f>+'ENCUESTA CONDUCTORES'!BH203</f>
        <v>200000</v>
      </c>
      <c r="BA203" s="1">
        <f>+'ENCUESTA CONDUCTORES'!BI203</f>
        <v>36000</v>
      </c>
      <c r="BB203" s="15">
        <f>IF('ENCUESTA CONDUCTORES'!BJ203="X",1,0)</f>
        <v>1</v>
      </c>
      <c r="BC203" s="15">
        <f>IF('ENCUESTA CONDUCTORES'!BK203="X",1,0)</f>
        <v>0</v>
      </c>
      <c r="BD203" s="15">
        <f>IF('ENCUESTA CONDUCTORES'!BL203="X",1,0)</f>
        <v>0</v>
      </c>
      <c r="BE203" s="15">
        <f>IF('ENCUESTA CONDUCTORES'!BM203="X",1,0)</f>
        <v>0</v>
      </c>
      <c r="BF203" s="15">
        <f>IF('ENCUESTA CONDUCTORES'!BN203="X",1,0)</f>
        <v>0</v>
      </c>
      <c r="BG203" s="15">
        <f>IF('ENCUESTA CONDUCTORES'!BO203="X",1,0)</f>
        <v>0</v>
      </c>
      <c r="BH203" s="15">
        <f>IF('ENCUESTA CONDUCTORES'!BP203="X",1,0)</f>
        <v>0</v>
      </c>
      <c r="BI203" s="15">
        <f>IF('ENCUESTA CONDUCTORES'!BQ203="X",1,0)</f>
        <v>1</v>
      </c>
      <c r="BJ203" s="15">
        <f>IF('ENCUESTA CONDUCTORES'!BR203="X",1,0)</f>
        <v>0</v>
      </c>
      <c r="BK203" s="15">
        <f>+'ENCUESTA CONDUCTORES'!BS203</f>
        <v>0</v>
      </c>
      <c r="BL203" s="15">
        <f>IF('ENCUESTA CONDUCTORES'!BT203="X",1,0)</f>
        <v>0</v>
      </c>
      <c r="BM203" s="15">
        <f>IF('ENCUESTA CONDUCTORES'!BU203="X",1,0)</f>
        <v>1</v>
      </c>
      <c r="BN203" s="15">
        <f>IF('ENCUESTA CONDUCTORES'!BV203="X",1,0)</f>
        <v>0</v>
      </c>
      <c r="BO203" s="15">
        <f>IF('ENCUESTA CONDUCTORES'!BW203="X",1,0)</f>
        <v>0</v>
      </c>
      <c r="BP203" s="15">
        <f>+'ENCUESTA CONDUCTORES'!BX203</f>
        <v>2</v>
      </c>
      <c r="BQ203" s="15">
        <f>+'ENCUESTA CONDUCTORES'!BY203</f>
        <v>3</v>
      </c>
      <c r="BR203" s="15">
        <f>+'ENCUESTA CONDUCTORES'!BZ203</f>
        <v>1</v>
      </c>
      <c r="BS203" s="15">
        <f>+'ENCUESTA CONDUCTORES'!CA203</f>
        <v>0</v>
      </c>
      <c r="BT203" s="15">
        <f>IF('ENCUESTA CONDUCTORES'!CB203="X",1,0)</f>
        <v>0</v>
      </c>
      <c r="BU203" s="15">
        <f>IF('ENCUESTA CONDUCTORES'!CC203="X",1,0)</f>
        <v>1</v>
      </c>
      <c r="BV203" s="15">
        <f>IF('ENCUESTA CONDUCTORES'!CD203="X",1,0)</f>
        <v>0</v>
      </c>
      <c r="BW203" s="15">
        <f>IF('ENCUESTA CONDUCTORES'!CE203="X",1,0)</f>
        <v>0</v>
      </c>
      <c r="BX203" s="15">
        <f>IF('ENCUESTA CONDUCTORES'!CF203="X",1,0)</f>
        <v>0</v>
      </c>
      <c r="BY203" s="15">
        <f>IF('ENCUESTA CONDUCTORES'!CG203="X",1,0)</f>
        <v>1</v>
      </c>
      <c r="BZ203" s="15">
        <f>IF('ENCUESTA CONDUCTORES'!CH203="X",1,0)</f>
        <v>0</v>
      </c>
      <c r="CA203" s="15">
        <f>IF('ENCUESTA CONDUCTORES'!CI203="X",1,0)</f>
        <v>1</v>
      </c>
      <c r="CB203" s="15">
        <f>IF('ENCUESTA CONDUCTORES'!CJ203="X",1,0)</f>
        <v>0</v>
      </c>
      <c r="CC203" s="15">
        <f>IF('ENCUESTA CONDUCTORES'!CK203="X",1,0)</f>
        <v>0</v>
      </c>
      <c r="CD203" s="15">
        <f>IF('ENCUESTA CONDUCTORES'!CL203="X",1,0)</f>
        <v>1</v>
      </c>
      <c r="CE203" s="15">
        <f>IF('ENCUESTA CONDUCTORES'!CM203="X",1,0)</f>
        <v>1</v>
      </c>
      <c r="CF203" s="15" t="str">
        <f>+'ENCUESTA CONDUCTORES'!CN203</f>
        <v>NO LO NECESITA</v>
      </c>
      <c r="CG203" s="15">
        <f>IF('ENCUESTA CONDUCTORES'!CO203="X",1,0)</f>
        <v>0</v>
      </c>
      <c r="CH203" s="15" t="str">
        <f>+'ENCUESTA CONDUCTORES'!CP203</f>
        <v>ES BUENO</v>
      </c>
      <c r="CI203" s="15" t="str">
        <f>+'ENCUESTA CONDUCTORES'!CQ203</f>
        <v>NO CONTESTA</v>
      </c>
      <c r="CJ203" s="15">
        <f>IF('ENCUESTA CONDUCTORES'!CR203="X",1,0)</f>
        <v>0</v>
      </c>
      <c r="CK203" s="15">
        <f>IF('ENCUESTA CONDUCTORES'!CS203="X",1,0)</f>
        <v>0</v>
      </c>
      <c r="CL203" s="15">
        <f>IF('ENCUESTA CONDUCTORES'!CT203="X",1,0)</f>
        <v>0</v>
      </c>
      <c r="CM203" s="15" t="str">
        <f>+'ENCUESTA CONDUCTORES'!CU203</f>
        <v>MANEJO A LA DEFENSIVA</v>
      </c>
      <c r="CN203" s="15">
        <f>IF('ENCUESTA CONDUCTORES'!CV203="X",1,0)</f>
        <v>1</v>
      </c>
      <c r="CO203" s="15" t="str">
        <f>+'ENCUESTA CONDUCTORES'!CW203</f>
        <v>YA LOS TOMÓ</v>
      </c>
      <c r="CP203" s="15">
        <f>IF('ENCUESTA CONDUCTORES'!CX203="X",1,0)</f>
        <v>0</v>
      </c>
      <c r="CQ203" s="15">
        <f>IF('ENCUESTA CONDUCTORES'!CY203="X",1,0)</f>
        <v>0</v>
      </c>
      <c r="CR203" s="3">
        <f>+'ENCUESTA CONDUCTORES'!CZ203</f>
        <v>0</v>
      </c>
      <c r="CS203" s="49">
        <f>+'ENCUESTA CONDUCTORES'!DA203</f>
        <v>0</v>
      </c>
    </row>
    <row r="204" spans="2:97" x14ac:dyDescent="0.25">
      <c r="B204" s="14" t="str">
        <f>+'ENCUESTA CONDUCTORES'!D204</f>
        <v>C-215</v>
      </c>
      <c r="C204" s="15">
        <f>IF('ENCUESTA CONDUCTORES'!E204="X",1,0)</f>
        <v>0</v>
      </c>
      <c r="D204" s="15">
        <f>IF('ENCUESTA CONDUCTORES'!F204="X",1,0)</f>
        <v>0</v>
      </c>
      <c r="E204" s="15">
        <f>IF('ENCUESTA CONDUCTORES'!G204="X",1,0)</f>
        <v>0</v>
      </c>
      <c r="F204" s="15">
        <f>IF('ENCUESTA CONDUCTORES'!H204="X",1,0)</f>
        <v>1</v>
      </c>
      <c r="G204" s="15">
        <f>+'ENCUESTA CONDUCTORES'!I204</f>
        <v>38</v>
      </c>
      <c r="H204" s="15" t="str">
        <f>+'ENCUESTA CONDUCTORES'!J204</f>
        <v>M</v>
      </c>
      <c r="I204" s="15" t="str">
        <f>+'ENCUESTA CONDUCTORES'!K204</f>
        <v>SECUNDARIA</v>
      </c>
      <c r="J204" s="15" t="str">
        <f>+'ENCUESTA CONDUCTORES'!L204</f>
        <v>NICOLÁS ROMERO, EDO. MEX</v>
      </c>
      <c r="K204" s="50" t="str">
        <f>+'ENCUESTA CONDUCTORES'!M204</f>
        <v>NICOLÁS ROMERO</v>
      </c>
      <c r="L204" s="15" t="str">
        <f>+'ENCUESTA CONDUCTORES'!N204</f>
        <v>EDO. MEX.</v>
      </c>
      <c r="M204" s="15">
        <f>+'ENCUESTA CONDUCTORES'!O204</f>
        <v>20</v>
      </c>
      <c r="N204" s="15">
        <f>IF('ENCUESTA CONDUCTORES'!P204="X",1,0)</f>
        <v>0</v>
      </c>
      <c r="O204" s="15">
        <f>IF('ENCUESTA CONDUCTORES'!Q204="X",1,0)</f>
        <v>0</v>
      </c>
      <c r="P204" s="15">
        <f>IF('ENCUESTA CONDUCTORES'!R204="X",1,0)</f>
        <v>0</v>
      </c>
      <c r="Q204" s="15">
        <f>IF('ENCUESTA CONDUCTORES'!S204="X",1,0)</f>
        <v>1</v>
      </c>
      <c r="R204" s="15">
        <f>IF('ENCUESTA CONDUCTORES'!T204="X",1,0)</f>
        <v>0</v>
      </c>
      <c r="S204" s="15">
        <f>IF('ENCUESTA CONDUCTORES'!U204="X",1,0)</f>
        <v>1</v>
      </c>
      <c r="T204" s="15">
        <f>IF('ENCUESTA CONDUCTORES'!V204="X",1,0)</f>
        <v>0</v>
      </c>
      <c r="U204" s="15">
        <f>IF('ENCUESTA CONDUCTORES'!W204="X",1,0)</f>
        <v>0</v>
      </c>
      <c r="V204" s="15">
        <f>IF('ENCUESTA CONDUCTORES'!X204="X",1,0)</f>
        <v>0</v>
      </c>
      <c r="W204" s="15">
        <f>IF('ENCUESTA CONDUCTORES'!Y204="X",1,0)</f>
        <v>0</v>
      </c>
      <c r="X204" s="15">
        <f>IF('ENCUESTA CONDUCTORES'!Z204="X",1,0)</f>
        <v>0</v>
      </c>
      <c r="Y204" s="15">
        <f>+'ENCUESTA CONDUCTORES'!AG204</f>
        <v>0</v>
      </c>
      <c r="Z204" s="15">
        <f>+'ENCUESTA CONDUCTORES'!AH204</f>
        <v>2003</v>
      </c>
      <c r="AA204" s="1" t="str">
        <f>+'ENCUESTA CONDUCTORES'!AI204</f>
        <v>DAÑADO</v>
      </c>
      <c r="AB204" s="15">
        <f>IF('ENCUESTA CONDUCTORES'!AJ204="X",1,0)</f>
        <v>0</v>
      </c>
      <c r="AC204" s="15">
        <f>IF('ENCUESTA CONDUCTORES'!AK204="X",1,0)</f>
        <v>0</v>
      </c>
      <c r="AD204" s="15">
        <f>IF('ENCUESTA CONDUCTORES'!AL204="X",1,0)</f>
        <v>1</v>
      </c>
      <c r="AE204" s="15">
        <f>IF('ENCUESTA CONDUCTORES'!AM204="X",1,0)</f>
        <v>0</v>
      </c>
      <c r="AF204" s="15">
        <f>IF('ENCUESTA CONDUCTORES'!AN204="X",1,0)</f>
        <v>0</v>
      </c>
      <c r="AG204" s="15">
        <f>IF('ENCUESTA CONDUCTORES'!AO204="X",1,0)</f>
        <v>0</v>
      </c>
      <c r="AH204" s="15">
        <f>IF('ENCUESTA CONDUCTORES'!AP204="X",1,0)</f>
        <v>1</v>
      </c>
      <c r="AI204" s="15">
        <f>IF('ENCUESTA CONDUCTORES'!AQ204="X",1,0)</f>
        <v>0</v>
      </c>
      <c r="AJ204" s="15">
        <f>IF('ENCUESTA CONDUCTORES'!AR204="X",1,0)</f>
        <v>0</v>
      </c>
      <c r="AK204" s="15">
        <f>+'ENCUESTA CONDUCTORES'!AS204</f>
        <v>0</v>
      </c>
      <c r="AL204" s="15" t="str">
        <f>+'ENCUESTA CONDUCTORES'!AT204</f>
        <v>DETROIT</v>
      </c>
      <c r="AM204" s="1">
        <f>+'ENCUESTA CONDUCTORES'!AU204</f>
        <v>4000</v>
      </c>
      <c r="AN204" s="48">
        <f>+'ENCUESTA CONDUCTORES'!AV204</f>
        <v>0.5</v>
      </c>
      <c r="AO204" s="15">
        <f>+'ENCUESTA CONDUCTORES'!AW204</f>
        <v>2.5</v>
      </c>
      <c r="AP204" s="15">
        <f>+'ENCUESTA CONDUCTORES'!AX204</f>
        <v>2.2000000000000002</v>
      </c>
      <c r="AQ204" s="15">
        <f>+'ENCUESTA CONDUCTORES'!AY204</f>
        <v>2</v>
      </c>
      <c r="AR204" s="15">
        <f>+'ENCUESTA CONDUCTORES'!AZ204</f>
        <v>1050</v>
      </c>
      <c r="AS204" s="15">
        <f>+'ENCUESTA CONDUCTORES'!BA204</f>
        <v>2500</v>
      </c>
      <c r="AT204" s="15">
        <f>IF('ENCUESTA CONDUCTORES'!BB204="X",1,0)</f>
        <v>0</v>
      </c>
      <c r="AU204" s="15">
        <f>IF('ENCUESTA CONDUCTORES'!BC204="X",1,0)</f>
        <v>1</v>
      </c>
      <c r="AV204" s="15">
        <f>IF('ENCUESTA CONDUCTORES'!BD204="X",1,0)</f>
        <v>0</v>
      </c>
      <c r="AW204" s="1">
        <f>+'ENCUESTA CONDUCTORES'!BE204</f>
        <v>10000</v>
      </c>
      <c r="AX204" s="1">
        <f>+'ENCUESTA CONDUCTORES'!BF204</f>
        <v>10000</v>
      </c>
      <c r="AY204" s="1">
        <f>+'ENCUESTA CONDUCTORES'!BG204</f>
        <v>10000</v>
      </c>
      <c r="AZ204" s="1" t="str">
        <f>+'ENCUESTA CONDUCTORES'!BH204</f>
        <v>NO SABE</v>
      </c>
      <c r="BA204" s="1">
        <f>+'ENCUESTA CONDUCTORES'!BI204</f>
        <v>10000</v>
      </c>
      <c r="BB204" s="15">
        <f>IF('ENCUESTA CONDUCTORES'!BJ204="X",1,0)</f>
        <v>1</v>
      </c>
      <c r="BC204" s="15">
        <f>IF('ENCUESTA CONDUCTORES'!BK204="X",1,0)</f>
        <v>0</v>
      </c>
      <c r="BD204" s="15">
        <f>IF('ENCUESTA CONDUCTORES'!BL204="X",1,0)</f>
        <v>0</v>
      </c>
      <c r="BE204" s="15">
        <f>IF('ENCUESTA CONDUCTORES'!BM204="X",1,0)</f>
        <v>0</v>
      </c>
      <c r="BF204" s="15">
        <f>IF('ENCUESTA CONDUCTORES'!BN204="X",1,0)</f>
        <v>0</v>
      </c>
      <c r="BG204" s="15">
        <f>IF('ENCUESTA CONDUCTORES'!BO204="X",1,0)</f>
        <v>0</v>
      </c>
      <c r="BH204" s="15">
        <f>IF('ENCUESTA CONDUCTORES'!BP204="X",1,0)</f>
        <v>0</v>
      </c>
      <c r="BI204" s="15">
        <f>IF('ENCUESTA CONDUCTORES'!BQ204="X",1,0)</f>
        <v>0</v>
      </c>
      <c r="BJ204" s="15">
        <f>IF('ENCUESTA CONDUCTORES'!BR204="X",1,0)</f>
        <v>0</v>
      </c>
      <c r="BK204" s="15">
        <f>+'ENCUESTA CONDUCTORES'!BS204</f>
        <v>0</v>
      </c>
      <c r="BL204" s="15">
        <f>IF('ENCUESTA CONDUCTORES'!BT204="X",1,0)</f>
        <v>0</v>
      </c>
      <c r="BM204" s="15">
        <f>IF('ENCUESTA CONDUCTORES'!BU204="X",1,0)</f>
        <v>0</v>
      </c>
      <c r="BN204" s="15">
        <f>IF('ENCUESTA CONDUCTORES'!BV204="X",1,0)</f>
        <v>1</v>
      </c>
      <c r="BO204" s="15">
        <f>IF('ENCUESTA CONDUCTORES'!BW204="X",1,0)</f>
        <v>0</v>
      </c>
      <c r="BP204" s="15">
        <f>+'ENCUESTA CONDUCTORES'!BX204</f>
        <v>2</v>
      </c>
      <c r="BQ204" s="15">
        <f>+'ENCUESTA CONDUCTORES'!BY204</f>
        <v>4</v>
      </c>
      <c r="BR204" s="15">
        <f>+'ENCUESTA CONDUCTORES'!BZ204</f>
        <v>3</v>
      </c>
      <c r="BS204" s="15" t="str">
        <f>+'ENCUESTA CONDUCTORES'!CA204</f>
        <v>SEGURIDAD</v>
      </c>
      <c r="BT204" s="15">
        <f>IF('ENCUESTA CONDUCTORES'!CB204="X",1,0)</f>
        <v>1</v>
      </c>
      <c r="BU204" s="15">
        <f>IF('ENCUESTA CONDUCTORES'!CC204="X",1,0)</f>
        <v>0</v>
      </c>
      <c r="BV204" s="15">
        <f>IF('ENCUESTA CONDUCTORES'!CD204="X",1,0)</f>
        <v>0</v>
      </c>
      <c r="BW204" s="15">
        <f>IF('ENCUESTA CONDUCTORES'!CE204="X",1,0)</f>
        <v>0</v>
      </c>
      <c r="BX204" s="15">
        <f>IF('ENCUESTA CONDUCTORES'!CF204="X",1,0)</f>
        <v>0</v>
      </c>
      <c r="BY204" s="15">
        <f>IF('ENCUESTA CONDUCTORES'!CG204="X",1,0)</f>
        <v>0</v>
      </c>
      <c r="BZ204" s="15">
        <f>IF('ENCUESTA CONDUCTORES'!CH204="X",1,0)</f>
        <v>0</v>
      </c>
      <c r="CA204" s="15">
        <f>IF('ENCUESTA CONDUCTORES'!CI204="X",1,0)</f>
        <v>0</v>
      </c>
      <c r="CB204" s="15">
        <f>IF('ENCUESTA CONDUCTORES'!CJ204="X",1,0)</f>
        <v>0</v>
      </c>
      <c r="CC204" s="15">
        <f>IF('ENCUESTA CONDUCTORES'!CK204="X",1,0)</f>
        <v>1</v>
      </c>
      <c r="CD204" s="15">
        <f>IF('ENCUESTA CONDUCTORES'!CL204="X",1,0)</f>
        <v>0</v>
      </c>
      <c r="CE204" s="15">
        <f>IF('ENCUESTA CONDUCTORES'!CM204="X",1,0)</f>
        <v>0</v>
      </c>
      <c r="CF204" s="15">
        <f>+'ENCUESTA CONDUCTORES'!CN204</f>
        <v>0</v>
      </c>
      <c r="CG204" s="15">
        <f>IF('ENCUESTA CONDUCTORES'!CO204="X",1,0)</f>
        <v>0</v>
      </c>
      <c r="CH204" s="15" t="str">
        <f>+'ENCUESTA CONDUCTORES'!CP204</f>
        <v>NO SABE</v>
      </c>
      <c r="CI204" s="15" t="str">
        <f>+'ENCUESTA CONDUCTORES'!CQ204</f>
        <v>NO CONTESTA</v>
      </c>
      <c r="CJ204" s="15">
        <f>IF('ENCUESTA CONDUCTORES'!CR204="X",1,0)</f>
        <v>1</v>
      </c>
      <c r="CK204" s="15">
        <f>IF('ENCUESTA CONDUCTORES'!CS204="X",1,0)</f>
        <v>0</v>
      </c>
      <c r="CL204" s="15">
        <f>IF('ENCUESTA CONDUCTORES'!CT204="X",1,0)</f>
        <v>0</v>
      </c>
      <c r="CM204" s="15">
        <f>+'ENCUESTA CONDUCTORES'!CU204</f>
        <v>0</v>
      </c>
      <c r="CN204" s="15">
        <f>IF('ENCUESTA CONDUCTORES'!CV204="X",1,0)</f>
        <v>0</v>
      </c>
      <c r="CO204" s="15">
        <f>+'ENCUESTA CONDUCTORES'!CW204</f>
        <v>0</v>
      </c>
      <c r="CP204" s="15">
        <f>IF('ENCUESTA CONDUCTORES'!CX204="X",1,0)</f>
        <v>0</v>
      </c>
      <c r="CQ204" s="15">
        <f>IF('ENCUESTA CONDUCTORES'!CY204="X",1,0)</f>
        <v>1</v>
      </c>
      <c r="CR204" s="3">
        <f>+'ENCUESTA CONDUCTORES'!CZ204</f>
        <v>0</v>
      </c>
      <c r="CS204" s="49">
        <f>+'ENCUESTA CONDUCTORES'!DA204</f>
        <v>0</v>
      </c>
    </row>
    <row r="205" spans="2:97" x14ac:dyDescent="0.25">
      <c r="B205" s="14" t="str">
        <f>+'ENCUESTA CONDUCTORES'!D205</f>
        <v>C-216</v>
      </c>
      <c r="C205" s="15">
        <f>IF('ENCUESTA CONDUCTORES'!E205="X",1,0)</f>
        <v>0</v>
      </c>
      <c r="D205" s="15">
        <f>IF('ENCUESTA CONDUCTORES'!F205="X",1,0)</f>
        <v>0</v>
      </c>
      <c r="E205" s="15">
        <f>IF('ENCUESTA CONDUCTORES'!G205="X",1,0)</f>
        <v>1</v>
      </c>
      <c r="F205" s="15">
        <f>IF('ENCUESTA CONDUCTORES'!H205="X",1,0)</f>
        <v>0</v>
      </c>
      <c r="G205" s="15">
        <f>+'ENCUESTA CONDUCTORES'!I205</f>
        <v>19</v>
      </c>
      <c r="H205" s="15" t="str">
        <f>+'ENCUESTA CONDUCTORES'!J205</f>
        <v>M</v>
      </c>
      <c r="I205" s="15" t="str">
        <f>+'ENCUESTA CONDUCTORES'!K205</f>
        <v>SECUNDARIA</v>
      </c>
      <c r="J205" s="15" t="str">
        <f>+'ENCUESTA CONDUCTORES'!L205</f>
        <v>CUAUTITLÁN, EDO. MEX.</v>
      </c>
      <c r="K205" s="15" t="str">
        <f>+'ENCUESTA CONDUCTORES'!M205</f>
        <v>CUAUTITLÁN</v>
      </c>
      <c r="L205" s="15" t="str">
        <f>+'ENCUESTA CONDUCTORES'!N205</f>
        <v>EDO. MEX.</v>
      </c>
      <c r="M205" s="15">
        <f>+'ENCUESTA CONDUCTORES'!O205</f>
        <v>2</v>
      </c>
      <c r="N205" s="15">
        <f>IF('ENCUESTA CONDUCTORES'!P205="X",1,0)</f>
        <v>1</v>
      </c>
      <c r="O205" s="15">
        <f>IF('ENCUESTA CONDUCTORES'!Q205="X",1,0)</f>
        <v>0</v>
      </c>
      <c r="P205" s="15">
        <f>IF('ENCUESTA CONDUCTORES'!R205="X",1,0)</f>
        <v>0</v>
      </c>
      <c r="Q205" s="15">
        <f>IF('ENCUESTA CONDUCTORES'!S205="X",1,0)</f>
        <v>0</v>
      </c>
      <c r="R205" s="15">
        <f>IF('ENCUESTA CONDUCTORES'!T205="X",1,0)</f>
        <v>0</v>
      </c>
      <c r="S205" s="15">
        <f>IF('ENCUESTA CONDUCTORES'!U205="X",1,0)</f>
        <v>1</v>
      </c>
      <c r="T205" s="15">
        <f>IF('ENCUESTA CONDUCTORES'!V205="X",1,0)</f>
        <v>0</v>
      </c>
      <c r="U205" s="15">
        <f>IF('ENCUESTA CONDUCTORES'!W205="X",1,0)</f>
        <v>0</v>
      </c>
      <c r="V205" s="15">
        <f>IF('ENCUESTA CONDUCTORES'!X205="X",1,0)</f>
        <v>0</v>
      </c>
      <c r="W205" s="15">
        <f>IF('ENCUESTA CONDUCTORES'!Y205="X",1,0)</f>
        <v>0</v>
      </c>
      <c r="X205" s="15">
        <f>IF('ENCUESTA CONDUCTORES'!Z205="X",1,0)</f>
        <v>0</v>
      </c>
      <c r="Y205" s="15">
        <f>+'ENCUESTA CONDUCTORES'!AG205</f>
        <v>0</v>
      </c>
      <c r="Z205" s="15">
        <f>+'ENCUESTA CONDUCTORES'!AH205</f>
        <v>2000</v>
      </c>
      <c r="AA205" s="1" t="str">
        <f>+'ENCUESTA CONDUCTORES'!AI205</f>
        <v>DAÑADO</v>
      </c>
      <c r="AB205" s="15">
        <f>IF('ENCUESTA CONDUCTORES'!AJ205="X",1,0)</f>
        <v>0</v>
      </c>
      <c r="AC205" s="15">
        <f>IF('ENCUESTA CONDUCTORES'!AK205="X",1,0)</f>
        <v>0</v>
      </c>
      <c r="AD205" s="15">
        <f>IF('ENCUESTA CONDUCTORES'!AL205="X",1,0)</f>
        <v>1</v>
      </c>
      <c r="AE205" s="15">
        <f>IF('ENCUESTA CONDUCTORES'!AM205="X",1,0)</f>
        <v>0</v>
      </c>
      <c r="AF205" s="15">
        <f>IF('ENCUESTA CONDUCTORES'!AN205="X",1,0)</f>
        <v>0</v>
      </c>
      <c r="AG205" s="15">
        <f>IF('ENCUESTA CONDUCTORES'!AO205="X",1,0)</f>
        <v>0</v>
      </c>
      <c r="AH205" s="15">
        <f>IF('ENCUESTA CONDUCTORES'!AP205="X",1,0)</f>
        <v>1</v>
      </c>
      <c r="AI205" s="15">
        <f>IF('ENCUESTA CONDUCTORES'!AQ205="X",1,0)</f>
        <v>0</v>
      </c>
      <c r="AJ205" s="15">
        <f>IF('ENCUESTA CONDUCTORES'!AR205="X",1,0)</f>
        <v>0</v>
      </c>
      <c r="AK205" s="15">
        <f>+'ENCUESTA CONDUCTORES'!AS205</f>
        <v>0</v>
      </c>
      <c r="AL205" s="15" t="str">
        <f>+'ENCUESTA CONDUCTORES'!AT205</f>
        <v>DETROIT</v>
      </c>
      <c r="AM205" s="1">
        <f>+'ENCUESTA CONDUCTORES'!AU205</f>
        <v>30000</v>
      </c>
      <c r="AN205" s="48">
        <f>+'ENCUESTA CONDUCTORES'!AV205</f>
        <v>0.5</v>
      </c>
      <c r="AO205" s="15" t="str">
        <f>+'ENCUESTA CONDUCTORES'!AW205</f>
        <v>NO SABE</v>
      </c>
      <c r="AP205" s="15" t="str">
        <f>+'ENCUESTA CONDUCTORES'!AX205</f>
        <v>NO SABE</v>
      </c>
      <c r="AQ205" s="15">
        <f>+'ENCUESTA CONDUCTORES'!AY205</f>
        <v>2</v>
      </c>
      <c r="AR205" s="15">
        <f>+'ENCUESTA CONDUCTORES'!AZ205</f>
        <v>350</v>
      </c>
      <c r="AS205" s="15">
        <f>+'ENCUESTA CONDUCTORES'!BA205</f>
        <v>1500</v>
      </c>
      <c r="AT205" s="15">
        <f>IF('ENCUESTA CONDUCTORES'!BB205="X",1,0)</f>
        <v>1</v>
      </c>
      <c r="AU205" s="15">
        <f>IF('ENCUESTA CONDUCTORES'!BC205="X",1,0)</f>
        <v>1</v>
      </c>
      <c r="AV205" s="15">
        <f>IF('ENCUESTA CONDUCTORES'!BD205="X",1,0)</f>
        <v>1</v>
      </c>
      <c r="AW205" s="1" t="str">
        <f>+'ENCUESTA CONDUCTORES'!BE205</f>
        <v>NO SABE</v>
      </c>
      <c r="AX205" s="1" t="str">
        <f>+'ENCUESTA CONDUCTORES'!BF205</f>
        <v>NO SABE</v>
      </c>
      <c r="AY205" s="1" t="str">
        <f>+'ENCUESTA CONDUCTORES'!BG205</f>
        <v>NO SABE</v>
      </c>
      <c r="AZ205" s="1" t="str">
        <f>+'ENCUESTA CONDUCTORES'!BH205</f>
        <v>NO SABE</v>
      </c>
      <c r="BA205" s="1" t="str">
        <f>+'ENCUESTA CONDUCTORES'!BI205</f>
        <v>NO SABE</v>
      </c>
      <c r="BB205" s="15">
        <f>IF('ENCUESTA CONDUCTORES'!BJ205="X",1,0)</f>
        <v>0</v>
      </c>
      <c r="BC205" s="15">
        <f>IF('ENCUESTA CONDUCTORES'!BK205="X",1,0)</f>
        <v>0</v>
      </c>
      <c r="BD205" s="15">
        <f>IF('ENCUESTA CONDUCTORES'!BL205="X",1,0)</f>
        <v>0</v>
      </c>
      <c r="BE205" s="15">
        <f>IF('ENCUESTA CONDUCTORES'!BM205="X",1,0)</f>
        <v>0</v>
      </c>
      <c r="BF205" s="15">
        <f>IF('ENCUESTA CONDUCTORES'!BN205="X",1,0)</f>
        <v>0</v>
      </c>
      <c r="BG205" s="15">
        <f>IF('ENCUESTA CONDUCTORES'!BO205="X",1,0)</f>
        <v>0</v>
      </c>
      <c r="BH205" s="15">
        <f>IF('ENCUESTA CONDUCTORES'!BP205="X",1,0)</f>
        <v>0</v>
      </c>
      <c r="BI205" s="15">
        <f>IF('ENCUESTA CONDUCTORES'!BQ205="X",1,0)</f>
        <v>0</v>
      </c>
      <c r="BJ205" s="15">
        <f>IF('ENCUESTA CONDUCTORES'!BR205="X",1,0)</f>
        <v>0</v>
      </c>
      <c r="BK205" s="15" t="str">
        <f>+'ENCUESTA CONDUCTORES'!BS205</f>
        <v>ROPA</v>
      </c>
      <c r="BL205" s="15">
        <f>IF('ENCUESTA CONDUCTORES'!BT205="X",1,0)</f>
        <v>0</v>
      </c>
      <c r="BM205" s="15">
        <f>IF('ENCUESTA CONDUCTORES'!BU205="X",1,0)</f>
        <v>0</v>
      </c>
      <c r="BN205" s="15">
        <f>IF('ENCUESTA CONDUCTORES'!BV205="X",1,0)</f>
        <v>1</v>
      </c>
      <c r="BO205" s="15">
        <f>IF('ENCUESTA CONDUCTORES'!BW205="X",1,0)</f>
        <v>0</v>
      </c>
      <c r="BP205" s="15">
        <f>+'ENCUESTA CONDUCTORES'!BX205</f>
        <v>3</v>
      </c>
      <c r="BQ205" s="15">
        <f>+'ENCUESTA CONDUCTORES'!BY205</f>
        <v>4</v>
      </c>
      <c r="BR205" s="15">
        <f>+'ENCUESTA CONDUCTORES'!BZ205</f>
        <v>2</v>
      </c>
      <c r="BS205" s="15" t="str">
        <f>+'ENCUESTA CONDUCTORES'!CA205</f>
        <v>SEGURIDAD</v>
      </c>
      <c r="BT205" s="15">
        <f>IF('ENCUESTA CONDUCTORES'!CB205="X",1,0)</f>
        <v>0</v>
      </c>
      <c r="BU205" s="15">
        <f>IF('ENCUESTA CONDUCTORES'!CC205="X",1,0)</f>
        <v>1</v>
      </c>
      <c r="BV205" s="15">
        <f>IF('ENCUESTA CONDUCTORES'!CD205="X",1,0)</f>
        <v>0</v>
      </c>
      <c r="BW205" s="15">
        <f>IF('ENCUESTA CONDUCTORES'!CE205="X",1,0)</f>
        <v>0</v>
      </c>
      <c r="BX205" s="15">
        <f>IF('ENCUESTA CONDUCTORES'!CF205="X",1,0)</f>
        <v>1</v>
      </c>
      <c r="BY205" s="15">
        <f>IF('ENCUESTA CONDUCTORES'!CG205="X",1,0)</f>
        <v>1</v>
      </c>
      <c r="BZ205" s="15">
        <f>IF('ENCUESTA CONDUCTORES'!CH205="X",1,0)</f>
        <v>1</v>
      </c>
      <c r="CA205" s="15">
        <f>IF('ENCUESTA CONDUCTORES'!CI205="X",1,0)</f>
        <v>1</v>
      </c>
      <c r="CB205" s="15">
        <f>IF('ENCUESTA CONDUCTORES'!CJ205="X",1,0)</f>
        <v>0</v>
      </c>
      <c r="CC205" s="15">
        <f>IF('ENCUESTA CONDUCTORES'!CK205="X",1,0)</f>
        <v>0</v>
      </c>
      <c r="CD205" s="15">
        <f>IF('ENCUESTA CONDUCTORES'!CL205="X",1,0)</f>
        <v>1</v>
      </c>
      <c r="CE205" s="15">
        <f>IF('ENCUESTA CONDUCTORES'!CM205="X",1,0)</f>
        <v>1</v>
      </c>
      <c r="CF205" s="15" t="str">
        <f>+'ENCUESTA CONDUCTORES'!CN205</f>
        <v>POR TIEMPO</v>
      </c>
      <c r="CG205" s="15">
        <f>IF('ENCUESTA CONDUCTORES'!CO205="X",1,0)</f>
        <v>0</v>
      </c>
      <c r="CH205" s="15" t="str">
        <f>+'ENCUESTA CONDUCTORES'!CP205</f>
        <v>NO SABE</v>
      </c>
      <c r="CI205" s="15" t="str">
        <f>+'ENCUESTA CONDUCTORES'!CQ205</f>
        <v>NO CONTESTA</v>
      </c>
      <c r="CJ205" s="15">
        <f>IF('ENCUESTA CONDUCTORES'!CR205="X",1,0)</f>
        <v>1</v>
      </c>
      <c r="CK205" s="15">
        <f>IF('ENCUESTA CONDUCTORES'!CS205="X",1,0)</f>
        <v>0</v>
      </c>
      <c r="CL205" s="15">
        <f>IF('ENCUESTA CONDUCTORES'!CT205="X",1,0)</f>
        <v>0</v>
      </c>
      <c r="CM205" s="15">
        <f>+'ENCUESTA CONDUCTORES'!CU205</f>
        <v>0</v>
      </c>
      <c r="CN205" s="15">
        <f>IF('ENCUESTA CONDUCTORES'!CV205="X",1,0)</f>
        <v>0</v>
      </c>
      <c r="CO205" s="15">
        <f>+'ENCUESTA CONDUCTORES'!CW205</f>
        <v>0</v>
      </c>
      <c r="CP205" s="15">
        <f>IF('ENCUESTA CONDUCTORES'!CX205="X",1,0)</f>
        <v>0</v>
      </c>
      <c r="CQ205" s="15">
        <f>IF('ENCUESTA CONDUCTORES'!CY205="X",1,0)</f>
        <v>1</v>
      </c>
      <c r="CR205" s="3">
        <f>+'ENCUESTA CONDUCTORES'!CZ205</f>
        <v>0</v>
      </c>
      <c r="CS205" s="49">
        <f>+'ENCUESTA CONDUCTORES'!DA205</f>
        <v>0</v>
      </c>
    </row>
    <row r="206" spans="2:97" x14ac:dyDescent="0.25">
      <c r="B206" s="14" t="str">
        <f>+'ENCUESTA CONDUCTORES'!D206</f>
        <v>C-217</v>
      </c>
      <c r="C206" s="15">
        <f>IF('ENCUESTA CONDUCTORES'!E206="X",1,0)</f>
        <v>0</v>
      </c>
      <c r="D206" s="15">
        <f>IF('ENCUESTA CONDUCTORES'!F206="X",1,0)</f>
        <v>0</v>
      </c>
      <c r="E206" s="15">
        <f>IF('ENCUESTA CONDUCTORES'!G206="X",1,0)</f>
        <v>0</v>
      </c>
      <c r="F206" s="15">
        <f>IF('ENCUESTA CONDUCTORES'!H206="X",1,0)</f>
        <v>1</v>
      </c>
      <c r="G206" s="15">
        <f>+'ENCUESTA CONDUCTORES'!I206</f>
        <v>29</v>
      </c>
      <c r="H206" s="15" t="str">
        <f>+'ENCUESTA CONDUCTORES'!J206</f>
        <v>M</v>
      </c>
      <c r="I206" s="15" t="str">
        <f>+'ENCUESTA CONDUCTORES'!K206</f>
        <v>PREPARATORIA</v>
      </c>
      <c r="J206" s="15" t="str">
        <f>+'ENCUESTA CONDUCTORES'!L206</f>
        <v>ECATEPEC, EDO. MEX.</v>
      </c>
      <c r="K206" s="15" t="str">
        <f>+'ENCUESTA CONDUCTORES'!M206</f>
        <v>ECATEPEC</v>
      </c>
      <c r="L206" s="15" t="str">
        <f>+'ENCUESTA CONDUCTORES'!N206</f>
        <v>EDO. MEX.</v>
      </c>
      <c r="M206" s="15">
        <f>+'ENCUESTA CONDUCTORES'!O206</f>
        <v>5</v>
      </c>
      <c r="N206" s="15">
        <f>IF('ENCUESTA CONDUCTORES'!P206="X",1,0)</f>
        <v>0</v>
      </c>
      <c r="O206" s="15">
        <f>IF('ENCUESTA CONDUCTORES'!Q206="X",1,0)</f>
        <v>0</v>
      </c>
      <c r="P206" s="15">
        <f>IF('ENCUESTA CONDUCTORES'!R206="X",1,0)</f>
        <v>0</v>
      </c>
      <c r="Q206" s="15">
        <f>IF('ENCUESTA CONDUCTORES'!S206="X",1,0)</f>
        <v>1</v>
      </c>
      <c r="R206" s="15">
        <f>IF('ENCUESTA CONDUCTORES'!T206="X",1,0)</f>
        <v>0</v>
      </c>
      <c r="S206" s="15">
        <f>IF('ENCUESTA CONDUCTORES'!U206="X",1,0)</f>
        <v>0</v>
      </c>
      <c r="T206" s="15">
        <f>IF('ENCUESTA CONDUCTORES'!V206="X",1,0)</f>
        <v>0</v>
      </c>
      <c r="U206" s="15">
        <f>IF('ENCUESTA CONDUCTORES'!W206="X",1,0)</f>
        <v>0</v>
      </c>
      <c r="V206" s="15">
        <f>IF('ENCUESTA CONDUCTORES'!X206="X",1,0)</f>
        <v>0</v>
      </c>
      <c r="W206" s="15">
        <f>IF('ENCUESTA CONDUCTORES'!Y206="X",1,0)</f>
        <v>0</v>
      </c>
      <c r="X206" s="15">
        <f>IF('ENCUESTA CONDUCTORES'!Z206="X",1,0)</f>
        <v>0</v>
      </c>
      <c r="Y206" s="15">
        <f>+'ENCUESTA CONDUCTORES'!AG206</f>
        <v>0</v>
      </c>
      <c r="Z206" s="15">
        <f>+'ENCUESTA CONDUCTORES'!AH206</f>
        <v>2009</v>
      </c>
      <c r="AA206" s="1">
        <f>+'ENCUESTA CONDUCTORES'!AI206</f>
        <v>350000</v>
      </c>
      <c r="AB206" s="15">
        <f>IF('ENCUESTA CONDUCTORES'!AJ206="X",1,0)</f>
        <v>0</v>
      </c>
      <c r="AC206" s="15">
        <f>IF('ENCUESTA CONDUCTORES'!AK206="X",1,0)</f>
        <v>0</v>
      </c>
      <c r="AD206" s="15">
        <f>IF('ENCUESTA CONDUCTORES'!AL206="X",1,0)</f>
        <v>1</v>
      </c>
      <c r="AE206" s="15">
        <f>IF('ENCUESTA CONDUCTORES'!AM206="X",1,0)</f>
        <v>0</v>
      </c>
      <c r="AF206" s="15">
        <f>IF('ENCUESTA CONDUCTORES'!AN206="X",1,0)</f>
        <v>0</v>
      </c>
      <c r="AG206" s="15">
        <f>IF('ENCUESTA CONDUCTORES'!AO206="X",1,0)</f>
        <v>0</v>
      </c>
      <c r="AH206" s="15">
        <f>IF('ENCUESTA CONDUCTORES'!AP206="X",1,0)</f>
        <v>1</v>
      </c>
      <c r="AI206" s="15">
        <f>IF('ENCUESTA CONDUCTORES'!AQ206="X",1,0)</f>
        <v>0</v>
      </c>
      <c r="AJ206" s="15">
        <f>IF('ENCUESTA CONDUCTORES'!AR206="X",1,0)</f>
        <v>0</v>
      </c>
      <c r="AK206" s="15">
        <f>+'ENCUESTA CONDUCTORES'!AS206</f>
        <v>0</v>
      </c>
      <c r="AL206" s="15" t="str">
        <f>+'ENCUESTA CONDUCTORES'!AT206</f>
        <v>KENWORTH</v>
      </c>
      <c r="AM206" s="1">
        <f>+'ENCUESTA CONDUCTORES'!AU206</f>
        <v>8000</v>
      </c>
      <c r="AN206" s="48">
        <f>+'ENCUESTA CONDUCTORES'!AV206</f>
        <v>0.2</v>
      </c>
      <c r="AO206" s="15">
        <f>+'ENCUESTA CONDUCTORES'!AW206</f>
        <v>1.9</v>
      </c>
      <c r="AP206" s="15">
        <f>+'ENCUESTA CONDUCTORES'!AX206</f>
        <v>1.3</v>
      </c>
      <c r="AQ206" s="15">
        <f>+'ENCUESTA CONDUCTORES'!AY206</f>
        <v>2</v>
      </c>
      <c r="AR206" s="15">
        <f>+'ENCUESTA CONDUCTORES'!AZ206</f>
        <v>940</v>
      </c>
      <c r="AS206" s="15">
        <f>+'ENCUESTA CONDUCTORES'!BA206</f>
        <v>1500</v>
      </c>
      <c r="AT206" s="15">
        <f>IF('ENCUESTA CONDUCTORES'!BB206="X",1,0)</f>
        <v>1</v>
      </c>
      <c r="AU206" s="15">
        <f>IF('ENCUESTA CONDUCTORES'!BC206="X",1,0)</f>
        <v>1</v>
      </c>
      <c r="AV206" s="15">
        <f>IF('ENCUESTA CONDUCTORES'!BD206="X",1,0)</f>
        <v>0</v>
      </c>
      <c r="AW206" s="1">
        <f>+'ENCUESTA CONDUCTORES'!BE206</f>
        <v>13000</v>
      </c>
      <c r="AX206" s="1">
        <f>+'ENCUESTA CONDUCTORES'!BF206</f>
        <v>8000</v>
      </c>
      <c r="AY206" s="1">
        <f>+'ENCUESTA CONDUCTORES'!BG206</f>
        <v>13000</v>
      </c>
      <c r="AZ206" s="1">
        <f>+'ENCUESTA CONDUCTORES'!BH206</f>
        <v>100000</v>
      </c>
      <c r="BA206" s="1">
        <f>+'ENCUESTA CONDUCTORES'!BI206</f>
        <v>13000</v>
      </c>
      <c r="BB206" s="15">
        <f>IF('ENCUESTA CONDUCTORES'!BJ206="X",1,0)</f>
        <v>0</v>
      </c>
      <c r="BC206" s="15">
        <f>IF('ENCUESTA CONDUCTORES'!BK206="X",1,0)</f>
        <v>0</v>
      </c>
      <c r="BD206" s="15">
        <f>IF('ENCUESTA CONDUCTORES'!BL206="X",1,0)</f>
        <v>0</v>
      </c>
      <c r="BE206" s="15">
        <f>IF('ENCUESTA CONDUCTORES'!BM206="X",1,0)</f>
        <v>1</v>
      </c>
      <c r="BF206" s="15">
        <f>IF('ENCUESTA CONDUCTORES'!BN206="X",1,0)</f>
        <v>0</v>
      </c>
      <c r="BG206" s="15">
        <f>IF('ENCUESTA CONDUCTORES'!BO206="X",1,0)</f>
        <v>0</v>
      </c>
      <c r="BH206" s="15">
        <f>IF('ENCUESTA CONDUCTORES'!BP206="X",1,0)</f>
        <v>0</v>
      </c>
      <c r="BI206" s="15">
        <f>IF('ENCUESTA CONDUCTORES'!BQ206="X",1,0)</f>
        <v>0</v>
      </c>
      <c r="BJ206" s="15">
        <f>IF('ENCUESTA CONDUCTORES'!BR206="X",1,0)</f>
        <v>0</v>
      </c>
      <c r="BK206" s="15">
        <f>+'ENCUESTA CONDUCTORES'!BS206</f>
        <v>0</v>
      </c>
      <c r="BL206" s="15">
        <f>IF('ENCUESTA CONDUCTORES'!BT206="X",1,0)</f>
        <v>0</v>
      </c>
      <c r="BM206" s="15">
        <f>IF('ENCUESTA CONDUCTORES'!BU206="X",1,0)</f>
        <v>1</v>
      </c>
      <c r="BN206" s="15">
        <f>IF('ENCUESTA CONDUCTORES'!BV206="X",1,0)</f>
        <v>0</v>
      </c>
      <c r="BO206" s="15">
        <f>IF('ENCUESTA CONDUCTORES'!BW206="X",1,0)</f>
        <v>0</v>
      </c>
      <c r="BP206" s="15">
        <f>+'ENCUESTA CONDUCTORES'!BX206</f>
        <v>1</v>
      </c>
      <c r="BQ206" s="15">
        <f>+'ENCUESTA CONDUCTORES'!BY206</f>
        <v>3</v>
      </c>
      <c r="BR206" s="15">
        <f>+'ENCUESTA CONDUCTORES'!BZ206</f>
        <v>2</v>
      </c>
      <c r="BS206" s="15">
        <f>+'ENCUESTA CONDUCTORES'!CA206</f>
        <v>0</v>
      </c>
      <c r="BT206" s="15">
        <f>IF('ENCUESTA CONDUCTORES'!CB206="X",1,0)</f>
        <v>0</v>
      </c>
      <c r="BU206" s="15">
        <f>IF('ENCUESTA CONDUCTORES'!CC206="X",1,0)</f>
        <v>1</v>
      </c>
      <c r="BV206" s="15">
        <f>IF('ENCUESTA CONDUCTORES'!CD206="X",1,0)</f>
        <v>0</v>
      </c>
      <c r="BW206" s="15">
        <f>IF('ENCUESTA CONDUCTORES'!CE206="X",1,0)</f>
        <v>1</v>
      </c>
      <c r="BX206" s="15">
        <f>IF('ENCUESTA CONDUCTORES'!CF206="X",1,0)</f>
        <v>0</v>
      </c>
      <c r="BY206" s="15">
        <f>IF('ENCUESTA CONDUCTORES'!CG206="X",1,0)</f>
        <v>0</v>
      </c>
      <c r="BZ206" s="15">
        <f>IF('ENCUESTA CONDUCTORES'!CH206="X",1,0)</f>
        <v>1</v>
      </c>
      <c r="CA206" s="15">
        <f>IF('ENCUESTA CONDUCTORES'!CI206="X",1,0)</f>
        <v>1</v>
      </c>
      <c r="CB206" s="15">
        <f>IF('ENCUESTA CONDUCTORES'!CJ206="X",1,0)</f>
        <v>0</v>
      </c>
      <c r="CC206" s="15">
        <f>IF('ENCUESTA CONDUCTORES'!CK206="X",1,0)</f>
        <v>1</v>
      </c>
      <c r="CD206" s="15">
        <f>IF('ENCUESTA CONDUCTORES'!CL206="X",1,0)</f>
        <v>0</v>
      </c>
      <c r="CE206" s="15">
        <f>IF('ENCUESTA CONDUCTORES'!CM206="X",1,0)</f>
        <v>0</v>
      </c>
      <c r="CF206" s="15">
        <f>+'ENCUESTA CONDUCTORES'!CN206</f>
        <v>0</v>
      </c>
      <c r="CG206" s="15">
        <f>IF('ENCUESTA CONDUCTORES'!CO206="X",1,0)</f>
        <v>0</v>
      </c>
      <c r="CH206" s="15" t="str">
        <f>+'ENCUESTA CONDUCTORES'!CP206</f>
        <v>NO SABE</v>
      </c>
      <c r="CI206" s="15" t="str">
        <f>+'ENCUESTA CONDUCTORES'!CQ206</f>
        <v>NO CONTESTA</v>
      </c>
      <c r="CJ206" s="15">
        <f>IF('ENCUESTA CONDUCTORES'!CR206="X",1,0)</f>
        <v>0</v>
      </c>
      <c r="CK206" s="15">
        <f>IF('ENCUESTA CONDUCTORES'!CS206="X",1,0)</f>
        <v>0</v>
      </c>
      <c r="CL206" s="15">
        <f>IF('ENCUESTA CONDUCTORES'!CT206="X",1,0)</f>
        <v>0</v>
      </c>
      <c r="CM206" s="15" t="str">
        <f>+'ENCUESTA CONDUCTORES'!CU206</f>
        <v>DESCARGA DE PRODUCTOS PELIGROSOS</v>
      </c>
      <c r="CN206" s="15">
        <f>IF('ENCUESTA CONDUCTORES'!CV206="X",1,0)</f>
        <v>0</v>
      </c>
      <c r="CO206" s="15">
        <f>+'ENCUESTA CONDUCTORES'!CW206</f>
        <v>0</v>
      </c>
      <c r="CP206" s="15">
        <f>IF('ENCUESTA CONDUCTORES'!CX206="X",1,0)</f>
        <v>0</v>
      </c>
      <c r="CQ206" s="15">
        <f>IF('ENCUESTA CONDUCTORES'!CY206="X",1,0)</f>
        <v>1</v>
      </c>
      <c r="CR206" s="3">
        <f>+'ENCUESTA CONDUCTORES'!CZ206</f>
        <v>0</v>
      </c>
      <c r="CS206" s="49">
        <f>+'ENCUESTA CONDUCTORES'!DA206</f>
        <v>0</v>
      </c>
    </row>
    <row r="207" spans="2:97" x14ac:dyDescent="0.25">
      <c r="B207" s="14" t="str">
        <f>+'ENCUESTA CONDUCTORES'!D207</f>
        <v>C-218</v>
      </c>
      <c r="C207" s="15">
        <f>IF('ENCUESTA CONDUCTORES'!E207="X",1,0)</f>
        <v>0</v>
      </c>
      <c r="D207" s="15">
        <f>IF('ENCUESTA CONDUCTORES'!F207="X",1,0)</f>
        <v>0</v>
      </c>
      <c r="E207" s="15">
        <f>IF('ENCUESTA CONDUCTORES'!G207="X",1,0)</f>
        <v>1</v>
      </c>
      <c r="F207" s="15">
        <f>IF('ENCUESTA CONDUCTORES'!H207="X",1,0)</f>
        <v>0</v>
      </c>
      <c r="G207" s="15">
        <f>+'ENCUESTA CONDUCTORES'!I207</f>
        <v>25</v>
      </c>
      <c r="H207" s="15" t="str">
        <f>+'ENCUESTA CONDUCTORES'!J207</f>
        <v>M</v>
      </c>
      <c r="I207" s="15" t="str">
        <f>+'ENCUESTA CONDUCTORES'!K207</f>
        <v>PREPARATORIA</v>
      </c>
      <c r="J207" s="15" t="str">
        <f>+'ENCUESTA CONDUCTORES'!L207</f>
        <v>TULTITLÁN, EDO. MEX.</v>
      </c>
      <c r="K207" s="15" t="str">
        <f>+'ENCUESTA CONDUCTORES'!M207</f>
        <v>TULTITLÁN</v>
      </c>
      <c r="L207" s="15" t="str">
        <f>+'ENCUESTA CONDUCTORES'!N207</f>
        <v>EDO. MEX.</v>
      </c>
      <c r="M207" s="15">
        <f>+'ENCUESTA CONDUCTORES'!O207</f>
        <v>3</v>
      </c>
      <c r="N207" s="15">
        <f>IF('ENCUESTA CONDUCTORES'!P207="X",1,0)</f>
        <v>0</v>
      </c>
      <c r="O207" s="15">
        <f>IF('ENCUESTA CONDUCTORES'!Q207="X",1,0)</f>
        <v>1</v>
      </c>
      <c r="P207" s="15">
        <f>IF('ENCUESTA CONDUCTORES'!R207="X",1,0)</f>
        <v>0</v>
      </c>
      <c r="Q207" s="15">
        <f>IF('ENCUESTA CONDUCTORES'!S207="X",1,0)</f>
        <v>0</v>
      </c>
      <c r="R207" s="15">
        <f>IF('ENCUESTA CONDUCTORES'!T207="X",1,0)</f>
        <v>0</v>
      </c>
      <c r="S207" s="15">
        <f>IF('ENCUESTA CONDUCTORES'!U207="X",1,0)</f>
        <v>1</v>
      </c>
      <c r="T207" s="15">
        <f>IF('ENCUESTA CONDUCTORES'!V207="X",1,0)</f>
        <v>0</v>
      </c>
      <c r="U207" s="15">
        <f>IF('ENCUESTA CONDUCTORES'!W207="X",1,0)</f>
        <v>0</v>
      </c>
      <c r="V207" s="15">
        <f>IF('ENCUESTA CONDUCTORES'!X207="X",1,0)</f>
        <v>0</v>
      </c>
      <c r="W207" s="15">
        <f>IF('ENCUESTA CONDUCTORES'!Y207="X",1,0)</f>
        <v>0</v>
      </c>
      <c r="X207" s="15">
        <f>IF('ENCUESTA CONDUCTORES'!Z207="X",1,0)</f>
        <v>0</v>
      </c>
      <c r="Y207" s="15">
        <f>+'ENCUESTA CONDUCTORES'!AG207</f>
        <v>0</v>
      </c>
      <c r="Z207" s="15">
        <f>+'ENCUESTA CONDUCTORES'!AH207</f>
        <v>2010</v>
      </c>
      <c r="AA207" s="1">
        <f>+'ENCUESTA CONDUCTORES'!AI207</f>
        <v>400000</v>
      </c>
      <c r="AB207" s="15">
        <f>IF('ENCUESTA CONDUCTORES'!AJ207="X",1,0)</f>
        <v>0</v>
      </c>
      <c r="AC207" s="15">
        <f>IF('ENCUESTA CONDUCTORES'!AK207="X",1,0)</f>
        <v>0</v>
      </c>
      <c r="AD207" s="15">
        <f>IF('ENCUESTA CONDUCTORES'!AL207="X",1,0)</f>
        <v>1</v>
      </c>
      <c r="AE207" s="15">
        <f>IF('ENCUESTA CONDUCTORES'!AM207="X",1,0)</f>
        <v>0</v>
      </c>
      <c r="AF207" s="15">
        <f>IF('ENCUESTA CONDUCTORES'!AN207="X",1,0)</f>
        <v>0</v>
      </c>
      <c r="AG207" s="15">
        <f>IF('ENCUESTA CONDUCTORES'!AO207="X",1,0)</f>
        <v>0</v>
      </c>
      <c r="AH207" s="15">
        <f>IF('ENCUESTA CONDUCTORES'!AP207="X",1,0)</f>
        <v>1</v>
      </c>
      <c r="AI207" s="15">
        <f>IF('ENCUESTA CONDUCTORES'!AQ207="X",1,0)</f>
        <v>0</v>
      </c>
      <c r="AJ207" s="15">
        <f>IF('ENCUESTA CONDUCTORES'!AR207="X",1,0)</f>
        <v>0</v>
      </c>
      <c r="AK207" s="15">
        <f>+'ENCUESTA CONDUCTORES'!AS207</f>
        <v>0</v>
      </c>
      <c r="AL207" s="15" t="str">
        <f>+'ENCUESTA CONDUCTORES'!AT207</f>
        <v>CUMMINS</v>
      </c>
      <c r="AM207" s="1">
        <f>+'ENCUESTA CONDUCTORES'!AU207</f>
        <v>8000</v>
      </c>
      <c r="AN207" s="48">
        <f>+'ENCUESTA CONDUCTORES'!AV207</f>
        <v>0.5</v>
      </c>
      <c r="AO207" s="15">
        <f>+'ENCUESTA CONDUCTORES'!AW207</f>
        <v>2.6</v>
      </c>
      <c r="AP207" s="15">
        <f>+'ENCUESTA CONDUCTORES'!AX207</f>
        <v>2.2000000000000002</v>
      </c>
      <c r="AQ207" s="15">
        <f>+'ENCUESTA CONDUCTORES'!AY207</f>
        <v>2</v>
      </c>
      <c r="AR207" s="15">
        <f>+'ENCUESTA CONDUCTORES'!AZ207</f>
        <v>460</v>
      </c>
      <c r="AS207" s="15">
        <f>+'ENCUESTA CONDUCTORES'!BA207</f>
        <v>1100</v>
      </c>
      <c r="AT207" s="15">
        <f>IF('ENCUESTA CONDUCTORES'!BB207="X",1,0)</f>
        <v>0</v>
      </c>
      <c r="AU207" s="15">
        <f>IF('ENCUESTA CONDUCTORES'!BC207="X",1,0)</f>
        <v>1</v>
      </c>
      <c r="AV207" s="15">
        <f>IF('ENCUESTA CONDUCTORES'!BD207="X",1,0)</f>
        <v>0</v>
      </c>
      <c r="AW207" s="1">
        <f>+'ENCUESTA CONDUCTORES'!BE207</f>
        <v>15000</v>
      </c>
      <c r="AX207" s="1">
        <f>+'ENCUESTA CONDUCTORES'!BF207</f>
        <v>13000</v>
      </c>
      <c r="AY207" s="1">
        <f>+'ENCUESTA CONDUCTORES'!BG207</f>
        <v>15000</v>
      </c>
      <c r="AZ207" s="1" t="str">
        <f>+'ENCUESTA CONDUCTORES'!BH207</f>
        <v>NO SABE</v>
      </c>
      <c r="BA207" s="1">
        <f>+'ENCUESTA CONDUCTORES'!BI207</f>
        <v>15000</v>
      </c>
      <c r="BB207" s="15">
        <f>IF('ENCUESTA CONDUCTORES'!BJ207="X",1,0)</f>
        <v>0</v>
      </c>
      <c r="BC207" s="15">
        <f>IF('ENCUESTA CONDUCTORES'!BK207="X",1,0)</f>
        <v>0</v>
      </c>
      <c r="BD207" s="15">
        <f>IF('ENCUESTA CONDUCTORES'!BL207="X",1,0)</f>
        <v>0</v>
      </c>
      <c r="BE207" s="15">
        <f>IF('ENCUESTA CONDUCTORES'!BM207="X",1,0)</f>
        <v>0</v>
      </c>
      <c r="BF207" s="15">
        <f>IF('ENCUESTA CONDUCTORES'!BN207="X",1,0)</f>
        <v>1</v>
      </c>
      <c r="BG207" s="15">
        <f>IF('ENCUESTA CONDUCTORES'!BO207="X",1,0)</f>
        <v>0</v>
      </c>
      <c r="BH207" s="15">
        <f>IF('ENCUESTA CONDUCTORES'!BP207="X",1,0)</f>
        <v>0</v>
      </c>
      <c r="BI207" s="15">
        <f>IF('ENCUESTA CONDUCTORES'!BQ207="X",1,0)</f>
        <v>0</v>
      </c>
      <c r="BJ207" s="15">
        <f>IF('ENCUESTA CONDUCTORES'!BR207="X",1,0)</f>
        <v>0</v>
      </c>
      <c r="BK207" s="15">
        <f>+'ENCUESTA CONDUCTORES'!BS207</f>
        <v>0</v>
      </c>
      <c r="BL207" s="15">
        <f>IF('ENCUESTA CONDUCTORES'!BT207="X",1,0)</f>
        <v>0</v>
      </c>
      <c r="BM207" s="15">
        <f>IF('ENCUESTA CONDUCTORES'!BU207="X",1,0)</f>
        <v>1</v>
      </c>
      <c r="BN207" s="15">
        <f>IF('ENCUESTA CONDUCTORES'!BV207="X",1,0)</f>
        <v>0</v>
      </c>
      <c r="BO207" s="15">
        <f>IF('ENCUESTA CONDUCTORES'!BW207="X",1,0)</f>
        <v>0</v>
      </c>
      <c r="BP207" s="15">
        <f>+'ENCUESTA CONDUCTORES'!BX207</f>
        <v>2</v>
      </c>
      <c r="BQ207" s="15">
        <f>+'ENCUESTA CONDUCTORES'!BY207</f>
        <v>4</v>
      </c>
      <c r="BR207" s="15">
        <f>+'ENCUESTA CONDUCTORES'!BZ207</f>
        <v>3</v>
      </c>
      <c r="BS207" s="15" t="str">
        <f>+'ENCUESTA CONDUCTORES'!CA207</f>
        <v>SEGURIDAD</v>
      </c>
      <c r="BT207" s="15">
        <f>IF('ENCUESTA CONDUCTORES'!CB207="X",1,0)</f>
        <v>1</v>
      </c>
      <c r="BU207" s="15">
        <f>IF('ENCUESTA CONDUCTORES'!CC207="X",1,0)</f>
        <v>0</v>
      </c>
      <c r="BV207" s="15">
        <f>IF('ENCUESTA CONDUCTORES'!CD207="X",1,0)</f>
        <v>0</v>
      </c>
      <c r="BW207" s="15">
        <f>IF('ENCUESTA CONDUCTORES'!CE207="X",1,0)</f>
        <v>0</v>
      </c>
      <c r="BX207" s="15">
        <f>IF('ENCUESTA CONDUCTORES'!CF207="X",1,0)</f>
        <v>0</v>
      </c>
      <c r="BY207" s="15">
        <f>IF('ENCUESTA CONDUCTORES'!CG207="X",1,0)</f>
        <v>0</v>
      </c>
      <c r="BZ207" s="15">
        <f>IF('ENCUESTA CONDUCTORES'!CH207="X",1,0)</f>
        <v>0</v>
      </c>
      <c r="CA207" s="15">
        <f>IF('ENCUESTA CONDUCTORES'!CI207="X",1,0)</f>
        <v>0</v>
      </c>
      <c r="CB207" s="15">
        <f>IF('ENCUESTA CONDUCTORES'!CJ207="X",1,0)</f>
        <v>0</v>
      </c>
      <c r="CC207" s="15">
        <f>IF('ENCUESTA CONDUCTORES'!CK207="X",1,0)</f>
        <v>1</v>
      </c>
      <c r="CD207" s="15">
        <f>IF('ENCUESTA CONDUCTORES'!CL207="X",1,0)</f>
        <v>0</v>
      </c>
      <c r="CE207" s="15">
        <f>IF('ENCUESTA CONDUCTORES'!CM207="X",1,0)</f>
        <v>0</v>
      </c>
      <c r="CF207" s="15">
        <f>+'ENCUESTA CONDUCTORES'!CN207</f>
        <v>0</v>
      </c>
      <c r="CG207" s="15">
        <f>IF('ENCUESTA CONDUCTORES'!CO207="X",1,0)</f>
        <v>0</v>
      </c>
      <c r="CH207" s="15" t="str">
        <f>+'ENCUESTA CONDUCTORES'!CP207</f>
        <v>NO SABE</v>
      </c>
      <c r="CI207" s="15" t="str">
        <f>+'ENCUESTA CONDUCTORES'!CQ207</f>
        <v>NO CONTESTA</v>
      </c>
      <c r="CJ207" s="15">
        <f>IF('ENCUESTA CONDUCTORES'!CR207="X",1,0)</f>
        <v>0</v>
      </c>
      <c r="CK207" s="15">
        <f>IF('ENCUESTA CONDUCTORES'!CS207="X",1,0)</f>
        <v>0</v>
      </c>
      <c r="CL207" s="15">
        <f>IF('ENCUESTA CONDUCTORES'!CT207="X",1,0)</f>
        <v>0</v>
      </c>
      <c r="CM207" s="15" t="str">
        <f>+'ENCUESTA CONDUCTORES'!CU207</f>
        <v>PROTECCION CIVIL</v>
      </c>
      <c r="CN207" s="15">
        <f>IF('ENCUESTA CONDUCTORES'!CV207="X",1,0)</f>
        <v>0</v>
      </c>
      <c r="CO207" s="15">
        <f>+'ENCUESTA CONDUCTORES'!CW207</f>
        <v>0</v>
      </c>
      <c r="CP207" s="15">
        <f>IF('ENCUESTA CONDUCTORES'!CX207="X",1,0)</f>
        <v>0</v>
      </c>
      <c r="CQ207" s="15">
        <f>IF('ENCUESTA CONDUCTORES'!CY207="X",1,0)</f>
        <v>1</v>
      </c>
      <c r="CR207" s="3">
        <f>+'ENCUESTA CONDUCTORES'!CZ207</f>
        <v>0</v>
      </c>
      <c r="CS207" s="49">
        <f>+'ENCUESTA CONDUCTORES'!DA207</f>
        <v>0</v>
      </c>
    </row>
    <row r="208" spans="2:97" x14ac:dyDescent="0.25">
      <c r="B208" s="14" t="str">
        <f>+'ENCUESTA CONDUCTORES'!D208</f>
        <v>C-219</v>
      </c>
      <c r="C208" s="15">
        <f>IF('ENCUESTA CONDUCTORES'!E208="X",1,0)</f>
        <v>0</v>
      </c>
      <c r="D208" s="15">
        <f>IF('ENCUESTA CONDUCTORES'!F208="X",1,0)</f>
        <v>0</v>
      </c>
      <c r="E208" s="15">
        <f>IF('ENCUESTA CONDUCTORES'!G208="X",1,0)</f>
        <v>1</v>
      </c>
      <c r="F208" s="15">
        <f>IF('ENCUESTA CONDUCTORES'!H208="X",1,0)</f>
        <v>0</v>
      </c>
      <c r="G208" s="15">
        <f>+'ENCUESTA CONDUCTORES'!I208</f>
        <v>36</v>
      </c>
      <c r="H208" s="15" t="str">
        <f>+'ENCUESTA CONDUCTORES'!J208</f>
        <v>M</v>
      </c>
      <c r="I208" s="15" t="str">
        <f>+'ENCUESTA CONDUCTORES'!K208</f>
        <v>SECUNDARIA</v>
      </c>
      <c r="J208" s="15" t="str">
        <f>+'ENCUESTA CONDUCTORES'!L208</f>
        <v>ECATEPEC, EDO. MEX.</v>
      </c>
      <c r="K208" s="15" t="str">
        <f>+'ENCUESTA CONDUCTORES'!M208</f>
        <v>ECATEPEC</v>
      </c>
      <c r="L208" s="15" t="str">
        <f>+'ENCUESTA CONDUCTORES'!N208</f>
        <v>EDO. MEX.</v>
      </c>
      <c r="M208" s="15">
        <f>+'ENCUESTA CONDUCTORES'!O208</f>
        <v>16</v>
      </c>
      <c r="N208" s="15">
        <f>IF('ENCUESTA CONDUCTORES'!P208="X",1,0)</f>
        <v>0</v>
      </c>
      <c r="O208" s="15">
        <f>IF('ENCUESTA CONDUCTORES'!Q208="X",1,0)</f>
        <v>0</v>
      </c>
      <c r="P208" s="15">
        <f>IF('ENCUESTA CONDUCTORES'!R208="X",1,0)</f>
        <v>0</v>
      </c>
      <c r="Q208" s="15">
        <f>IF('ENCUESTA CONDUCTORES'!S208="X",1,0)</f>
        <v>1</v>
      </c>
      <c r="R208" s="15">
        <f>IF('ENCUESTA CONDUCTORES'!T208="X",1,0)</f>
        <v>0</v>
      </c>
      <c r="S208" s="15">
        <f>IF('ENCUESTA CONDUCTORES'!U208="X",1,0)</f>
        <v>0</v>
      </c>
      <c r="T208" s="15">
        <f>IF('ENCUESTA CONDUCTORES'!V208="X",1,0)</f>
        <v>0</v>
      </c>
      <c r="U208" s="15">
        <f>IF('ENCUESTA CONDUCTORES'!W208="X",1,0)</f>
        <v>0</v>
      </c>
      <c r="V208" s="15">
        <f>IF('ENCUESTA CONDUCTORES'!X208="X",1,0)</f>
        <v>0</v>
      </c>
      <c r="W208" s="15">
        <f>IF('ENCUESTA CONDUCTORES'!Y208="X",1,0)</f>
        <v>0</v>
      </c>
      <c r="X208" s="15">
        <f>IF('ENCUESTA CONDUCTORES'!Z208="X",1,0)</f>
        <v>0</v>
      </c>
      <c r="Y208" s="15">
        <f>+'ENCUESTA CONDUCTORES'!AG208</f>
        <v>0</v>
      </c>
      <c r="Z208" s="15">
        <f>+'ENCUESTA CONDUCTORES'!AH208</f>
        <v>2012</v>
      </c>
      <c r="AA208" s="1">
        <f>+'ENCUESTA CONDUCTORES'!AI208</f>
        <v>350000</v>
      </c>
      <c r="AB208" s="15">
        <f>IF('ENCUESTA CONDUCTORES'!AJ208="X",1,0)</f>
        <v>0</v>
      </c>
      <c r="AC208" s="15">
        <f>IF('ENCUESTA CONDUCTORES'!AK208="X",1,0)</f>
        <v>0</v>
      </c>
      <c r="AD208" s="15">
        <f>IF('ENCUESTA CONDUCTORES'!AL208="X",1,0)</f>
        <v>1</v>
      </c>
      <c r="AE208" s="15">
        <f>IF('ENCUESTA CONDUCTORES'!AM208="X",1,0)</f>
        <v>0</v>
      </c>
      <c r="AF208" s="15">
        <f>IF('ENCUESTA CONDUCTORES'!AN208="X",1,0)</f>
        <v>0</v>
      </c>
      <c r="AG208" s="15">
        <f>IF('ENCUESTA CONDUCTORES'!AO208="X",1,0)</f>
        <v>0</v>
      </c>
      <c r="AH208" s="15">
        <f>IF('ENCUESTA CONDUCTORES'!AP208="X",1,0)</f>
        <v>1</v>
      </c>
      <c r="AI208" s="15">
        <f>IF('ENCUESTA CONDUCTORES'!AQ208="X",1,0)</f>
        <v>0</v>
      </c>
      <c r="AJ208" s="15">
        <f>IF('ENCUESTA CONDUCTORES'!AR208="X",1,0)</f>
        <v>0</v>
      </c>
      <c r="AK208" s="15">
        <f>+'ENCUESTA CONDUCTORES'!AS208</f>
        <v>0</v>
      </c>
      <c r="AL208" s="15" t="str">
        <f>+'ENCUESTA CONDUCTORES'!AT208</f>
        <v>CUMMINS</v>
      </c>
      <c r="AM208" s="1">
        <f>+'ENCUESTA CONDUCTORES'!AU208</f>
        <v>18000</v>
      </c>
      <c r="AN208" s="48">
        <f>+'ENCUESTA CONDUCTORES'!AV208</f>
        <v>0</v>
      </c>
      <c r="AO208" s="15">
        <f>+'ENCUESTA CONDUCTORES'!AW208</f>
        <v>2.1</v>
      </c>
      <c r="AP208" s="15">
        <f>+'ENCUESTA CONDUCTORES'!AX208</f>
        <v>1.6</v>
      </c>
      <c r="AQ208" s="15">
        <f>+'ENCUESTA CONDUCTORES'!AY208</f>
        <v>2</v>
      </c>
      <c r="AR208" s="15">
        <f>+'ENCUESTA CONDUCTORES'!AZ208</f>
        <v>1050</v>
      </c>
      <c r="AS208" s="15">
        <f>+'ENCUESTA CONDUCTORES'!BA208</f>
        <v>2000</v>
      </c>
      <c r="AT208" s="15">
        <f>IF('ENCUESTA CONDUCTORES'!BB208="X",1,0)</f>
        <v>1</v>
      </c>
      <c r="AU208" s="15">
        <f>IF('ENCUESTA CONDUCTORES'!BC208="X",1,0)</f>
        <v>1</v>
      </c>
      <c r="AV208" s="15">
        <f>IF('ENCUESTA CONDUCTORES'!BD208="X",1,0)</f>
        <v>1</v>
      </c>
      <c r="AW208" s="1">
        <f>+'ENCUESTA CONDUCTORES'!BE208</f>
        <v>15000</v>
      </c>
      <c r="AX208" s="1">
        <f>+'ENCUESTA CONDUCTORES'!BF208</f>
        <v>18000</v>
      </c>
      <c r="AY208" s="1">
        <f>+'ENCUESTA CONDUCTORES'!BG208</f>
        <v>15000</v>
      </c>
      <c r="AZ208" s="1" t="str">
        <f>+'ENCUESTA CONDUCTORES'!BH208</f>
        <v>NO SABE</v>
      </c>
      <c r="BA208" s="1">
        <f>+'ENCUESTA CONDUCTORES'!BI208</f>
        <v>15000</v>
      </c>
      <c r="BB208" s="15">
        <f>IF('ENCUESTA CONDUCTORES'!BJ208="X",1,0)</f>
        <v>0</v>
      </c>
      <c r="BC208" s="15">
        <f>IF('ENCUESTA CONDUCTORES'!BK208="X",1,0)</f>
        <v>0</v>
      </c>
      <c r="BD208" s="15">
        <f>IF('ENCUESTA CONDUCTORES'!BL208="X",1,0)</f>
        <v>0</v>
      </c>
      <c r="BE208" s="15">
        <f>IF('ENCUESTA CONDUCTORES'!BM208="X",1,0)</f>
        <v>1</v>
      </c>
      <c r="BF208" s="15">
        <f>IF('ENCUESTA CONDUCTORES'!BN208="X",1,0)</f>
        <v>1</v>
      </c>
      <c r="BG208" s="15">
        <f>IF('ENCUESTA CONDUCTORES'!BO208="X",1,0)</f>
        <v>0</v>
      </c>
      <c r="BH208" s="15">
        <f>IF('ENCUESTA CONDUCTORES'!BP208="X",1,0)</f>
        <v>0</v>
      </c>
      <c r="BI208" s="15">
        <f>IF('ENCUESTA CONDUCTORES'!BQ208="X",1,0)</f>
        <v>0</v>
      </c>
      <c r="BJ208" s="15">
        <f>IF('ENCUESTA CONDUCTORES'!BR208="X",1,0)</f>
        <v>0</v>
      </c>
      <c r="BK208" s="15">
        <f>+'ENCUESTA CONDUCTORES'!BS208</f>
        <v>0</v>
      </c>
      <c r="BL208" s="15">
        <f>IF('ENCUESTA CONDUCTORES'!BT208="X",1,0)</f>
        <v>0</v>
      </c>
      <c r="BM208" s="15">
        <f>IF('ENCUESTA CONDUCTORES'!BU208="X",1,0)</f>
        <v>1</v>
      </c>
      <c r="BN208" s="15">
        <f>IF('ENCUESTA CONDUCTORES'!BV208="X",1,0)</f>
        <v>0</v>
      </c>
      <c r="BO208" s="15">
        <f>IF('ENCUESTA CONDUCTORES'!BW208="X",1,0)</f>
        <v>0</v>
      </c>
      <c r="BP208" s="15">
        <f>+'ENCUESTA CONDUCTORES'!BX208</f>
        <v>1</v>
      </c>
      <c r="BQ208" s="15">
        <f>+'ENCUESTA CONDUCTORES'!BY208</f>
        <v>3</v>
      </c>
      <c r="BR208" s="15">
        <f>+'ENCUESTA CONDUCTORES'!BZ208</f>
        <v>2</v>
      </c>
      <c r="BS208" s="15">
        <f>+'ENCUESTA CONDUCTORES'!CA208</f>
        <v>0</v>
      </c>
      <c r="BT208" s="15">
        <f>IF('ENCUESTA CONDUCTORES'!CB208="X",1,0)</f>
        <v>0</v>
      </c>
      <c r="BU208" s="15">
        <f>IF('ENCUESTA CONDUCTORES'!CC208="X",1,0)</f>
        <v>1</v>
      </c>
      <c r="BV208" s="15">
        <f>IF('ENCUESTA CONDUCTORES'!CD208="X",1,0)</f>
        <v>1</v>
      </c>
      <c r="BW208" s="15">
        <f>IF('ENCUESTA CONDUCTORES'!CE208="X",1,0)</f>
        <v>1</v>
      </c>
      <c r="BX208" s="15">
        <f>IF('ENCUESTA CONDUCTORES'!CF208="X",1,0)</f>
        <v>0</v>
      </c>
      <c r="BY208" s="15">
        <f>IF('ENCUESTA CONDUCTORES'!CG208="X",1,0)</f>
        <v>1</v>
      </c>
      <c r="BZ208" s="15">
        <f>IF('ENCUESTA CONDUCTORES'!CH208="X",1,0)</f>
        <v>1</v>
      </c>
      <c r="CA208" s="15">
        <f>IF('ENCUESTA CONDUCTORES'!CI208="X",1,0)</f>
        <v>0</v>
      </c>
      <c r="CB208" s="15">
        <f>IF('ENCUESTA CONDUCTORES'!CJ208="X",1,0)</f>
        <v>0</v>
      </c>
      <c r="CC208" s="15">
        <f>IF('ENCUESTA CONDUCTORES'!CK208="X",1,0)</f>
        <v>1</v>
      </c>
      <c r="CD208" s="15">
        <f>IF('ENCUESTA CONDUCTORES'!CL208="X",1,0)</f>
        <v>0</v>
      </c>
      <c r="CE208" s="15">
        <f>IF('ENCUESTA CONDUCTORES'!CM208="X",1,0)</f>
        <v>0</v>
      </c>
      <c r="CF208" s="15">
        <f>+'ENCUESTA CONDUCTORES'!CN208</f>
        <v>0</v>
      </c>
      <c r="CG208" s="15">
        <f>IF('ENCUESTA CONDUCTORES'!CO208="X",1,0)</f>
        <v>0</v>
      </c>
      <c r="CH208" s="15" t="str">
        <f>+'ENCUESTA CONDUCTORES'!CP208</f>
        <v>NO SABE</v>
      </c>
      <c r="CI208" s="15" t="str">
        <f>+'ENCUESTA CONDUCTORES'!CQ208</f>
        <v>DARLO A CONOCER</v>
      </c>
      <c r="CJ208" s="15">
        <f>IF('ENCUESTA CONDUCTORES'!CR208="X",1,0)</f>
        <v>0</v>
      </c>
      <c r="CK208" s="15">
        <f>IF('ENCUESTA CONDUCTORES'!CS208="X",1,0)</f>
        <v>0</v>
      </c>
      <c r="CL208" s="15">
        <f>IF('ENCUESTA CONDUCTORES'!CT208="X",1,0)</f>
        <v>1</v>
      </c>
      <c r="CM208" s="15">
        <f>+'ENCUESTA CONDUCTORES'!CU208</f>
        <v>0</v>
      </c>
      <c r="CN208" s="15">
        <f>IF('ENCUESTA CONDUCTORES'!CV208="X",1,0)</f>
        <v>0</v>
      </c>
      <c r="CO208" s="15">
        <f>+'ENCUESTA CONDUCTORES'!CW208</f>
        <v>0</v>
      </c>
      <c r="CP208" s="15">
        <f>IF('ENCUESTA CONDUCTORES'!CX208="X",1,0)</f>
        <v>1</v>
      </c>
      <c r="CQ208" s="15">
        <f>IF('ENCUESTA CONDUCTORES'!CY208="X",1,0)</f>
        <v>0</v>
      </c>
      <c r="CR208" s="3">
        <f>+'ENCUESTA CONDUCTORES'!CZ208</f>
        <v>0</v>
      </c>
      <c r="CS208" s="49">
        <f>+'ENCUESTA CONDUCTORES'!DA208</f>
        <v>0</v>
      </c>
    </row>
    <row r="209" spans="2:97" x14ac:dyDescent="0.25">
      <c r="B209" s="14" t="str">
        <f>+'ENCUESTA CONDUCTORES'!D209</f>
        <v>C-220</v>
      </c>
      <c r="C209" s="15">
        <f>IF('ENCUESTA CONDUCTORES'!E209="X",1,0)</f>
        <v>0</v>
      </c>
      <c r="D209" s="15">
        <f>IF('ENCUESTA CONDUCTORES'!F209="X",1,0)</f>
        <v>0</v>
      </c>
      <c r="E209" s="15">
        <f>IF('ENCUESTA CONDUCTORES'!G209="X",1,0)</f>
        <v>0</v>
      </c>
      <c r="F209" s="15">
        <f>IF('ENCUESTA CONDUCTORES'!H209="X",1,0)</f>
        <v>1</v>
      </c>
      <c r="G209" s="15">
        <f>+'ENCUESTA CONDUCTORES'!I209</f>
        <v>43</v>
      </c>
      <c r="H209" s="15" t="str">
        <f>+'ENCUESTA CONDUCTORES'!J209</f>
        <v>M</v>
      </c>
      <c r="I209" s="15" t="str">
        <f>+'ENCUESTA CONDUCTORES'!K209</f>
        <v>SECUNDARIA</v>
      </c>
      <c r="J209" s="15" t="str">
        <f>+'ENCUESTA CONDUCTORES'!L209</f>
        <v>TLALNEPANTLA, EDO. MEX.</v>
      </c>
      <c r="K209" s="15" t="str">
        <f>+'ENCUESTA CONDUCTORES'!M209</f>
        <v>TLALNEPANTLA</v>
      </c>
      <c r="L209" s="15" t="str">
        <f>+'ENCUESTA CONDUCTORES'!N209</f>
        <v>EDO. MEX.</v>
      </c>
      <c r="M209" s="15">
        <f>+'ENCUESTA CONDUCTORES'!O209</f>
        <v>20</v>
      </c>
      <c r="N209" s="15">
        <f>IF('ENCUESTA CONDUCTORES'!P209="X",1,0)</f>
        <v>0</v>
      </c>
      <c r="O209" s="15">
        <f>IF('ENCUESTA CONDUCTORES'!Q209="X",1,0)</f>
        <v>0</v>
      </c>
      <c r="P209" s="15">
        <f>IF('ENCUESTA CONDUCTORES'!R209="X",1,0)</f>
        <v>0</v>
      </c>
      <c r="Q209" s="15">
        <f>IF('ENCUESTA CONDUCTORES'!S209="X",1,0)</f>
        <v>1</v>
      </c>
      <c r="R209" s="15">
        <f>IF('ENCUESTA CONDUCTORES'!T209="X",1,0)</f>
        <v>0</v>
      </c>
      <c r="S209" s="15">
        <f>IF('ENCUESTA CONDUCTORES'!U209="X",1,0)</f>
        <v>1</v>
      </c>
      <c r="T209" s="15">
        <f>IF('ENCUESTA CONDUCTORES'!V209="X",1,0)</f>
        <v>0</v>
      </c>
      <c r="U209" s="15">
        <f>IF('ENCUESTA CONDUCTORES'!W209="X",1,0)</f>
        <v>0</v>
      </c>
      <c r="V209" s="15">
        <f>IF('ENCUESTA CONDUCTORES'!X209="X",1,0)</f>
        <v>0</v>
      </c>
      <c r="W209" s="15">
        <f>IF('ENCUESTA CONDUCTORES'!Y209="X",1,0)</f>
        <v>0</v>
      </c>
      <c r="X209" s="15">
        <f>IF('ENCUESTA CONDUCTORES'!Z209="X",1,0)</f>
        <v>0</v>
      </c>
      <c r="Y209" s="15">
        <f>+'ENCUESTA CONDUCTORES'!AG209</f>
        <v>0</v>
      </c>
      <c r="Z209" s="15">
        <f>+'ENCUESTA CONDUCTORES'!AH209</f>
        <v>2010</v>
      </c>
      <c r="AA209" s="1">
        <f>+'ENCUESTA CONDUCTORES'!AI209</f>
        <v>350000</v>
      </c>
      <c r="AB209" s="15">
        <f>IF('ENCUESTA CONDUCTORES'!AJ209="X",1,0)</f>
        <v>0</v>
      </c>
      <c r="AC209" s="15">
        <f>IF('ENCUESTA CONDUCTORES'!AK209="X",1,0)</f>
        <v>0</v>
      </c>
      <c r="AD209" s="15">
        <f>IF('ENCUESTA CONDUCTORES'!AL209="X",1,0)</f>
        <v>1</v>
      </c>
      <c r="AE209" s="15">
        <f>IF('ENCUESTA CONDUCTORES'!AM209="X",1,0)</f>
        <v>0</v>
      </c>
      <c r="AF209" s="15">
        <f>IF('ENCUESTA CONDUCTORES'!AN209="X",1,0)</f>
        <v>0</v>
      </c>
      <c r="AG209" s="15">
        <f>IF('ENCUESTA CONDUCTORES'!AO209="X",1,0)</f>
        <v>0</v>
      </c>
      <c r="AH209" s="15">
        <f>IF('ENCUESTA CONDUCTORES'!AP209="X",1,0)</f>
        <v>1</v>
      </c>
      <c r="AI209" s="15">
        <f>IF('ENCUESTA CONDUCTORES'!AQ209="X",1,0)</f>
        <v>0</v>
      </c>
      <c r="AJ209" s="15">
        <f>IF('ENCUESTA CONDUCTORES'!AR209="X",1,0)</f>
        <v>0</v>
      </c>
      <c r="AK209" s="15">
        <f>+'ENCUESTA CONDUCTORES'!AS209</f>
        <v>0</v>
      </c>
      <c r="AL209" s="15" t="str">
        <f>+'ENCUESTA CONDUCTORES'!AT209</f>
        <v>KENWORTH</v>
      </c>
      <c r="AM209" s="1">
        <f>+'ENCUESTA CONDUCTORES'!AU209</f>
        <v>6000</v>
      </c>
      <c r="AN209" s="48">
        <f>+'ENCUESTA CONDUCTORES'!AV209</f>
        <v>0.3</v>
      </c>
      <c r="AO209" s="15">
        <f>+'ENCUESTA CONDUCTORES'!AW209</f>
        <v>2.5</v>
      </c>
      <c r="AP209" s="15">
        <f>+'ENCUESTA CONDUCTORES'!AX209</f>
        <v>2.1</v>
      </c>
      <c r="AQ209" s="15">
        <f>+'ENCUESTA CONDUCTORES'!AY209</f>
        <v>2</v>
      </c>
      <c r="AR209" s="15">
        <f>+'ENCUESTA CONDUCTORES'!AZ209</f>
        <v>540</v>
      </c>
      <c r="AS209" s="15">
        <f>+'ENCUESTA CONDUCTORES'!BA209</f>
        <v>1300</v>
      </c>
      <c r="AT209" s="15">
        <f>IF('ENCUESTA CONDUCTORES'!BB209="X",1,0)</f>
        <v>1</v>
      </c>
      <c r="AU209" s="15">
        <f>IF('ENCUESTA CONDUCTORES'!BC209="X",1,0)</f>
        <v>1</v>
      </c>
      <c r="AV209" s="15">
        <f>IF('ENCUESTA CONDUCTORES'!BD209="X",1,0)</f>
        <v>0</v>
      </c>
      <c r="AW209" s="1">
        <f>+'ENCUESTA CONDUCTORES'!BE209</f>
        <v>14000</v>
      </c>
      <c r="AX209" s="1">
        <f>+'ENCUESTA CONDUCTORES'!BF209</f>
        <v>8000</v>
      </c>
      <c r="AY209" s="1">
        <f>+'ENCUESTA CONDUCTORES'!BG209</f>
        <v>14000</v>
      </c>
      <c r="AZ209" s="1">
        <f>+'ENCUESTA CONDUCTORES'!BH209</f>
        <v>144000</v>
      </c>
      <c r="BA209" s="1">
        <f>+'ENCUESTA CONDUCTORES'!BI209</f>
        <v>14000</v>
      </c>
      <c r="BB209" s="15">
        <f>IF('ENCUESTA CONDUCTORES'!BJ209="X",1,0)</f>
        <v>0</v>
      </c>
      <c r="BC209" s="15">
        <f>IF('ENCUESTA CONDUCTORES'!BK209="X",1,0)</f>
        <v>0</v>
      </c>
      <c r="BD209" s="15">
        <f>IF('ENCUESTA CONDUCTORES'!BL209="X",1,0)</f>
        <v>0</v>
      </c>
      <c r="BE209" s="15">
        <f>IF('ENCUESTA CONDUCTORES'!BM209="X",1,0)</f>
        <v>1</v>
      </c>
      <c r="BF209" s="15">
        <f>IF('ENCUESTA CONDUCTORES'!BN209="X",1,0)</f>
        <v>1</v>
      </c>
      <c r="BG209" s="15">
        <f>IF('ENCUESTA CONDUCTORES'!BO209="X",1,0)</f>
        <v>0</v>
      </c>
      <c r="BH209" s="15">
        <f>IF('ENCUESTA CONDUCTORES'!BP209="X",1,0)</f>
        <v>0</v>
      </c>
      <c r="BI209" s="15">
        <f>IF('ENCUESTA CONDUCTORES'!BQ209="X",1,0)</f>
        <v>0</v>
      </c>
      <c r="BJ209" s="15">
        <f>IF('ENCUESTA CONDUCTORES'!BR209="X",1,0)</f>
        <v>0</v>
      </c>
      <c r="BK209" s="15">
        <f>+'ENCUESTA CONDUCTORES'!BS209</f>
        <v>0</v>
      </c>
      <c r="BL209" s="15">
        <f>IF('ENCUESTA CONDUCTORES'!BT209="X",1,0)</f>
        <v>0</v>
      </c>
      <c r="BM209" s="15">
        <f>IF('ENCUESTA CONDUCTORES'!BU209="X",1,0)</f>
        <v>0</v>
      </c>
      <c r="BN209" s="15">
        <f>IF('ENCUESTA CONDUCTORES'!BV209="X",1,0)</f>
        <v>1</v>
      </c>
      <c r="BO209" s="15">
        <f>IF('ENCUESTA CONDUCTORES'!BW209="X",1,0)</f>
        <v>0</v>
      </c>
      <c r="BP209" s="15">
        <f>+'ENCUESTA CONDUCTORES'!BX209</f>
        <v>1</v>
      </c>
      <c r="BQ209" s="15">
        <f>+'ENCUESTA CONDUCTORES'!BY209</f>
        <v>2</v>
      </c>
      <c r="BR209" s="15">
        <f>+'ENCUESTA CONDUCTORES'!BZ209</f>
        <v>3</v>
      </c>
      <c r="BS209" s="15">
        <f>+'ENCUESTA CONDUCTORES'!CA209</f>
        <v>0</v>
      </c>
      <c r="BT209" s="15">
        <f>IF('ENCUESTA CONDUCTORES'!CB209="X",1,0)</f>
        <v>0</v>
      </c>
      <c r="BU209" s="15">
        <f>IF('ENCUESTA CONDUCTORES'!CC209="X",1,0)</f>
        <v>1</v>
      </c>
      <c r="BV209" s="15">
        <f>IF('ENCUESTA CONDUCTORES'!CD209="X",1,0)</f>
        <v>0</v>
      </c>
      <c r="BW209" s="15">
        <f>IF('ENCUESTA CONDUCTORES'!CE209="X",1,0)</f>
        <v>1</v>
      </c>
      <c r="BX209" s="15">
        <f>IF('ENCUESTA CONDUCTORES'!CF209="X",1,0)</f>
        <v>0</v>
      </c>
      <c r="BY209" s="15">
        <f>IF('ENCUESTA CONDUCTORES'!CG209="X",1,0)</f>
        <v>0</v>
      </c>
      <c r="BZ209" s="15">
        <f>IF('ENCUESTA CONDUCTORES'!CH209="X",1,0)</f>
        <v>1</v>
      </c>
      <c r="CA209" s="15">
        <f>IF('ENCUESTA CONDUCTORES'!CI209="X",1,0)</f>
        <v>1</v>
      </c>
      <c r="CB209" s="15">
        <f>IF('ENCUESTA CONDUCTORES'!CJ209="X",1,0)</f>
        <v>0</v>
      </c>
      <c r="CC209" s="15">
        <f>IF('ENCUESTA CONDUCTORES'!CK209="X",1,0)</f>
        <v>0</v>
      </c>
      <c r="CD209" s="15">
        <f>IF('ENCUESTA CONDUCTORES'!CL209="X",1,0)</f>
        <v>1</v>
      </c>
      <c r="CE209" s="15">
        <f>IF('ENCUESTA CONDUCTORES'!CM209="X",1,0)</f>
        <v>1</v>
      </c>
      <c r="CF209" s="15" t="str">
        <f>+'ENCUESTA CONDUCTORES'!CN209</f>
        <v>POR TIEMPO</v>
      </c>
      <c r="CG209" s="15">
        <f>IF('ENCUESTA CONDUCTORES'!CO209="X",1,0)</f>
        <v>0</v>
      </c>
      <c r="CH209" s="15" t="str">
        <f>+'ENCUESTA CONDUCTORES'!CP209</f>
        <v>NO SABE</v>
      </c>
      <c r="CI209" s="15" t="str">
        <f>+'ENCUESTA CONDUCTORES'!CQ209</f>
        <v>MAYOR INFORMACION</v>
      </c>
      <c r="CJ209" s="15">
        <f>IF('ENCUESTA CONDUCTORES'!CR209="X",1,0)</f>
        <v>0</v>
      </c>
      <c r="CK209" s="15">
        <f>IF('ENCUESTA CONDUCTORES'!CS209="X",1,0)</f>
        <v>1</v>
      </c>
      <c r="CL209" s="15">
        <f>IF('ENCUESTA CONDUCTORES'!CT209="X",1,0)</f>
        <v>0</v>
      </c>
      <c r="CM209" s="15">
        <f>+'ENCUESTA CONDUCTORES'!CU209</f>
        <v>0</v>
      </c>
      <c r="CN209" s="15">
        <f>IF('ENCUESTA CONDUCTORES'!CV209="X",1,0)</f>
        <v>1</v>
      </c>
      <c r="CO209" s="15" t="str">
        <f>+'ENCUESTA CONDUCTORES'!CW209</f>
        <v>YA LOS TOMÓ</v>
      </c>
      <c r="CP209" s="15">
        <f>IF('ENCUESTA CONDUCTORES'!CX209="X",1,0)</f>
        <v>0</v>
      </c>
      <c r="CQ209" s="15">
        <f>IF('ENCUESTA CONDUCTORES'!CY209="X",1,0)</f>
        <v>0</v>
      </c>
      <c r="CR209" s="3">
        <f>+'ENCUESTA CONDUCTORES'!CZ209</f>
        <v>0</v>
      </c>
      <c r="CS209" s="49">
        <f>+'ENCUESTA CONDUCTORES'!DA209</f>
        <v>0</v>
      </c>
    </row>
    <row r="210" spans="2:97" x14ac:dyDescent="0.25">
      <c r="B210" s="14" t="str">
        <f>+'ENCUESTA CONDUCTORES'!D210</f>
        <v>C-221</v>
      </c>
      <c r="C210" s="15">
        <f>IF('ENCUESTA CONDUCTORES'!E210="X",1,0)</f>
        <v>0</v>
      </c>
      <c r="D210" s="15">
        <f>IF('ENCUESTA CONDUCTORES'!F210="X",1,0)</f>
        <v>0</v>
      </c>
      <c r="E210" s="15">
        <f>IF('ENCUESTA CONDUCTORES'!G210="X",1,0)</f>
        <v>0</v>
      </c>
      <c r="F210" s="15">
        <f>IF('ENCUESTA CONDUCTORES'!H210="X",1,0)</f>
        <v>1</v>
      </c>
      <c r="G210" s="15">
        <f>+'ENCUESTA CONDUCTORES'!I210</f>
        <v>27</v>
      </c>
      <c r="H210" s="15" t="str">
        <f>+'ENCUESTA CONDUCTORES'!J210</f>
        <v>M</v>
      </c>
      <c r="I210" s="15" t="str">
        <f>+'ENCUESTA CONDUCTORES'!K210</f>
        <v>PREPARATORIA</v>
      </c>
      <c r="J210" s="15" t="str">
        <f>+'ENCUESTA CONDUCTORES'!L210</f>
        <v>GUSTAVO A. MADERO, D.F.</v>
      </c>
      <c r="K210" s="15" t="str">
        <f>+'ENCUESTA CONDUCTORES'!M210</f>
        <v>GUSTAVO A. MADERO</v>
      </c>
      <c r="L210" s="15" t="str">
        <f>+'ENCUESTA CONDUCTORES'!N210</f>
        <v>D.F.</v>
      </c>
      <c r="M210" s="15">
        <f>+'ENCUESTA CONDUCTORES'!O210</f>
        <v>6</v>
      </c>
      <c r="N210" s="15">
        <f>IF('ENCUESTA CONDUCTORES'!P210="X",1,0)</f>
        <v>0</v>
      </c>
      <c r="O210" s="15">
        <f>IF('ENCUESTA CONDUCTORES'!Q210="X",1,0)</f>
        <v>1</v>
      </c>
      <c r="P210" s="15">
        <f>IF('ENCUESTA CONDUCTORES'!R210="X",1,0)</f>
        <v>0</v>
      </c>
      <c r="Q210" s="15">
        <f>IF('ENCUESTA CONDUCTORES'!S210="X",1,0)</f>
        <v>0</v>
      </c>
      <c r="R210" s="15">
        <f>IF('ENCUESTA CONDUCTORES'!T210="X",1,0)</f>
        <v>0</v>
      </c>
      <c r="S210" s="15">
        <f>IF('ENCUESTA CONDUCTORES'!U210="X",1,0)</f>
        <v>0</v>
      </c>
      <c r="T210" s="15">
        <f>IF('ENCUESTA CONDUCTORES'!V210="X",1,0)</f>
        <v>0</v>
      </c>
      <c r="U210" s="15">
        <f>IF('ENCUESTA CONDUCTORES'!W210="X",1,0)</f>
        <v>0</v>
      </c>
      <c r="V210" s="15">
        <f>IF('ENCUESTA CONDUCTORES'!X210="X",1,0)</f>
        <v>0</v>
      </c>
      <c r="W210" s="15">
        <f>IF('ENCUESTA CONDUCTORES'!Y210="X",1,0)</f>
        <v>0</v>
      </c>
      <c r="X210" s="15">
        <f>IF('ENCUESTA CONDUCTORES'!Z210="X",1,0)</f>
        <v>0</v>
      </c>
      <c r="Y210" s="15">
        <f>+'ENCUESTA CONDUCTORES'!AG210</f>
        <v>0</v>
      </c>
      <c r="Z210" s="15">
        <f>+'ENCUESTA CONDUCTORES'!AH210</f>
        <v>1979</v>
      </c>
      <c r="AA210" s="1">
        <f>+'ENCUESTA CONDUCTORES'!AI210</f>
        <v>835000</v>
      </c>
      <c r="AB210" s="15">
        <f>IF('ENCUESTA CONDUCTORES'!AJ210="X",1,0)</f>
        <v>0</v>
      </c>
      <c r="AC210" s="15">
        <f>IF('ENCUESTA CONDUCTORES'!AK210="X",1,0)</f>
        <v>0</v>
      </c>
      <c r="AD210" s="15">
        <f>IF('ENCUESTA CONDUCTORES'!AL210="X",1,0)</f>
        <v>1</v>
      </c>
      <c r="AE210" s="15">
        <f>IF('ENCUESTA CONDUCTORES'!AM210="X",1,0)</f>
        <v>0</v>
      </c>
      <c r="AF210" s="15">
        <f>IF('ENCUESTA CONDUCTORES'!AN210="X",1,0)</f>
        <v>0</v>
      </c>
      <c r="AG210" s="15">
        <f>IF('ENCUESTA CONDUCTORES'!AO210="X",1,0)</f>
        <v>0</v>
      </c>
      <c r="AH210" s="15">
        <f>IF('ENCUESTA CONDUCTORES'!AP210="X",1,0)</f>
        <v>0</v>
      </c>
      <c r="AI210" s="15">
        <f>IF('ENCUESTA CONDUCTORES'!AQ210="X",1,0)</f>
        <v>1</v>
      </c>
      <c r="AJ210" s="15">
        <f>IF('ENCUESTA CONDUCTORES'!AR210="X",1,0)</f>
        <v>0</v>
      </c>
      <c r="AK210" s="15">
        <f>+'ENCUESTA CONDUCTORES'!AS210</f>
        <v>1990</v>
      </c>
      <c r="AL210" s="15" t="str">
        <f>+'ENCUESTA CONDUCTORES'!AT210</f>
        <v>CUMMINS</v>
      </c>
      <c r="AM210" s="1">
        <f>+'ENCUESTA CONDUCTORES'!AU210</f>
        <v>10000</v>
      </c>
      <c r="AN210" s="48">
        <f>+'ENCUESTA CONDUCTORES'!AV210</f>
        <v>0</v>
      </c>
      <c r="AO210" s="15">
        <f>+'ENCUESTA CONDUCTORES'!AW210</f>
        <v>3.5</v>
      </c>
      <c r="AP210" s="15">
        <f>+'ENCUESTA CONDUCTORES'!AX210</f>
        <v>3</v>
      </c>
      <c r="AQ210" s="15">
        <f>+'ENCUESTA CONDUCTORES'!AY210</f>
        <v>1</v>
      </c>
      <c r="AR210" s="15">
        <f>+'ENCUESTA CONDUCTORES'!AZ210</f>
        <v>300</v>
      </c>
      <c r="AS210" s="15">
        <f>+'ENCUESTA CONDUCTORES'!BA210</f>
        <v>1200</v>
      </c>
      <c r="AT210" s="15">
        <f>IF('ENCUESTA CONDUCTORES'!BB210="X",1,0)</f>
        <v>0</v>
      </c>
      <c r="AU210" s="15">
        <f>IF('ENCUESTA CONDUCTORES'!BC210="X",1,0)</f>
        <v>0</v>
      </c>
      <c r="AV210" s="15">
        <f>IF('ENCUESTA CONDUCTORES'!BD210="X",1,0)</f>
        <v>1</v>
      </c>
      <c r="AW210" s="1">
        <f>+'ENCUESTA CONDUCTORES'!BE210</f>
        <v>25000</v>
      </c>
      <c r="AX210" s="1">
        <f>+'ENCUESTA CONDUCTORES'!BF210</f>
        <v>35000</v>
      </c>
      <c r="AY210" s="1">
        <f>+'ENCUESTA CONDUCTORES'!BG210</f>
        <v>25000</v>
      </c>
      <c r="AZ210" s="1">
        <f>+'ENCUESTA CONDUCTORES'!BH210</f>
        <v>150000</v>
      </c>
      <c r="BA210" s="1">
        <f>+'ENCUESTA CONDUCTORES'!BI210</f>
        <v>25000</v>
      </c>
      <c r="BB210" s="15">
        <f>IF('ENCUESTA CONDUCTORES'!BJ210="X",1,0)</f>
        <v>0</v>
      </c>
      <c r="BC210" s="15">
        <f>IF('ENCUESTA CONDUCTORES'!BK210="X",1,0)</f>
        <v>0</v>
      </c>
      <c r="BD210" s="15">
        <f>IF('ENCUESTA CONDUCTORES'!BL210="X",1,0)</f>
        <v>0</v>
      </c>
      <c r="BE210" s="15">
        <f>IF('ENCUESTA CONDUCTORES'!BM210="X",1,0)</f>
        <v>1</v>
      </c>
      <c r="BF210" s="15">
        <f>IF('ENCUESTA CONDUCTORES'!BN210="X",1,0)</f>
        <v>0</v>
      </c>
      <c r="BG210" s="15">
        <f>IF('ENCUESTA CONDUCTORES'!BO210="X",1,0)</f>
        <v>0</v>
      </c>
      <c r="BH210" s="15">
        <f>IF('ENCUESTA CONDUCTORES'!BP210="X",1,0)</f>
        <v>0</v>
      </c>
      <c r="BI210" s="15">
        <f>IF('ENCUESTA CONDUCTORES'!BQ210="X",1,0)</f>
        <v>0</v>
      </c>
      <c r="BJ210" s="15">
        <f>IF('ENCUESTA CONDUCTORES'!BR210="X",1,0)</f>
        <v>0</v>
      </c>
      <c r="BK210" s="15">
        <f>+'ENCUESTA CONDUCTORES'!BS210</f>
        <v>0</v>
      </c>
      <c r="BL210" s="15">
        <f>IF('ENCUESTA CONDUCTORES'!BT210="X",1,0)</f>
        <v>0</v>
      </c>
      <c r="BM210" s="15">
        <f>IF('ENCUESTA CONDUCTORES'!BU210="X",1,0)</f>
        <v>1</v>
      </c>
      <c r="BN210" s="15">
        <f>IF('ENCUESTA CONDUCTORES'!BV210="X",1,0)</f>
        <v>0</v>
      </c>
      <c r="BO210" s="15">
        <f>IF('ENCUESTA CONDUCTORES'!BW210="X",1,0)</f>
        <v>0</v>
      </c>
      <c r="BP210" s="15">
        <f>+'ENCUESTA CONDUCTORES'!BX210</f>
        <v>1</v>
      </c>
      <c r="BQ210" s="15">
        <f>+'ENCUESTA CONDUCTORES'!BY210</f>
        <v>3</v>
      </c>
      <c r="BR210" s="15">
        <f>+'ENCUESTA CONDUCTORES'!BZ210</f>
        <v>2</v>
      </c>
      <c r="BS210" s="15">
        <f>+'ENCUESTA CONDUCTORES'!CA210</f>
        <v>0</v>
      </c>
      <c r="BT210" s="15">
        <f>IF('ENCUESTA CONDUCTORES'!CB210="X",1,0)</f>
        <v>0</v>
      </c>
      <c r="BU210" s="15">
        <f>IF('ENCUESTA CONDUCTORES'!CC210="X",1,0)</f>
        <v>1</v>
      </c>
      <c r="BV210" s="15">
        <f>IF('ENCUESTA CONDUCTORES'!CD210="X",1,0)</f>
        <v>0</v>
      </c>
      <c r="BW210" s="15">
        <f>IF('ENCUESTA CONDUCTORES'!CE210="X",1,0)</f>
        <v>0</v>
      </c>
      <c r="BX210" s="15">
        <f>IF('ENCUESTA CONDUCTORES'!CF210="X",1,0)</f>
        <v>0</v>
      </c>
      <c r="BY210" s="15">
        <f>IF('ENCUESTA CONDUCTORES'!CG210="X",1,0)</f>
        <v>1</v>
      </c>
      <c r="BZ210" s="15">
        <f>IF('ENCUESTA CONDUCTORES'!CH210="X",1,0)</f>
        <v>1</v>
      </c>
      <c r="CA210" s="15">
        <f>IF('ENCUESTA CONDUCTORES'!CI210="X",1,0)</f>
        <v>1</v>
      </c>
      <c r="CB210" s="15">
        <f>IF('ENCUESTA CONDUCTORES'!CJ210="X",1,0)</f>
        <v>0</v>
      </c>
      <c r="CC210" s="15">
        <f>IF('ENCUESTA CONDUCTORES'!CK210="X",1,0)</f>
        <v>1</v>
      </c>
      <c r="CD210" s="15">
        <f>IF('ENCUESTA CONDUCTORES'!CL210="X",1,0)</f>
        <v>0</v>
      </c>
      <c r="CE210" s="15">
        <f>IF('ENCUESTA CONDUCTORES'!CM210="X",1,0)</f>
        <v>0</v>
      </c>
      <c r="CF210" s="15">
        <f>+'ENCUESTA CONDUCTORES'!CN210</f>
        <v>0</v>
      </c>
      <c r="CG210" s="15">
        <f>IF('ENCUESTA CONDUCTORES'!CO210="X",1,0)</f>
        <v>0</v>
      </c>
      <c r="CH210" s="15" t="str">
        <f>+'ENCUESTA CONDUCTORES'!CP210</f>
        <v>NO SABE</v>
      </c>
      <c r="CI210" s="15" t="str">
        <f>+'ENCUESTA CONDUCTORES'!CQ210</f>
        <v>MAYOR INFORMACION</v>
      </c>
      <c r="CJ210" s="15">
        <f>IF('ENCUESTA CONDUCTORES'!CR210="X",1,0)</f>
        <v>1</v>
      </c>
      <c r="CK210" s="15">
        <f>IF('ENCUESTA CONDUCTORES'!CS210="X",1,0)</f>
        <v>0</v>
      </c>
      <c r="CL210" s="15">
        <f>IF('ENCUESTA CONDUCTORES'!CT210="X",1,0)</f>
        <v>0</v>
      </c>
      <c r="CM210" s="15">
        <f>+'ENCUESTA CONDUCTORES'!CU210</f>
        <v>0</v>
      </c>
      <c r="CN210" s="15">
        <f>IF('ENCUESTA CONDUCTORES'!CV210="X",1,0)</f>
        <v>0</v>
      </c>
      <c r="CO210" s="15">
        <f>+'ENCUESTA CONDUCTORES'!CW210</f>
        <v>0</v>
      </c>
      <c r="CP210" s="15">
        <f>IF('ENCUESTA CONDUCTORES'!CX210="X",1,0)</f>
        <v>0</v>
      </c>
      <c r="CQ210" s="15">
        <f>IF('ENCUESTA CONDUCTORES'!CY210="X",1,0)</f>
        <v>1</v>
      </c>
      <c r="CR210" s="3">
        <f>+'ENCUESTA CONDUCTORES'!CZ210</f>
        <v>0</v>
      </c>
      <c r="CS210" s="49">
        <f>+'ENCUESTA CONDUCTORES'!DA210</f>
        <v>0</v>
      </c>
    </row>
    <row r="211" spans="2:97" x14ac:dyDescent="0.25">
      <c r="B211" s="14" t="str">
        <f>+'ENCUESTA CONDUCTORES'!D211</f>
        <v>C-222</v>
      </c>
      <c r="C211" s="15">
        <f>IF('ENCUESTA CONDUCTORES'!E211="X",1,0)</f>
        <v>0</v>
      </c>
      <c r="D211" s="15">
        <f>IF('ENCUESTA CONDUCTORES'!F211="X",1,0)</f>
        <v>0</v>
      </c>
      <c r="E211" s="15">
        <f>IF('ENCUESTA CONDUCTORES'!G211="X",1,0)</f>
        <v>0</v>
      </c>
      <c r="F211" s="15">
        <f>IF('ENCUESTA CONDUCTORES'!H211="X",1,0)</f>
        <v>1</v>
      </c>
      <c r="G211" s="15">
        <f>+'ENCUESTA CONDUCTORES'!I211</f>
        <v>37</v>
      </c>
      <c r="H211" s="15" t="str">
        <f>+'ENCUESTA CONDUCTORES'!J211</f>
        <v>M</v>
      </c>
      <c r="I211" s="15" t="str">
        <f>+'ENCUESTA CONDUCTORES'!K211</f>
        <v>SECUNDARIA</v>
      </c>
      <c r="J211" s="15" t="str">
        <f>+'ENCUESTA CONDUCTORES'!L211</f>
        <v>CUAUTITLÁN, EDO. MEX.</v>
      </c>
      <c r="K211" s="15" t="str">
        <f>+'ENCUESTA CONDUCTORES'!M211</f>
        <v>CUAUTITLÁN</v>
      </c>
      <c r="L211" s="15" t="str">
        <f>+'ENCUESTA CONDUCTORES'!N211</f>
        <v>EDO. MEX.</v>
      </c>
      <c r="M211" s="15">
        <f>+'ENCUESTA CONDUCTORES'!O211</f>
        <v>18</v>
      </c>
      <c r="N211" s="15">
        <f>IF('ENCUESTA CONDUCTORES'!P211="X",1,0)</f>
        <v>0</v>
      </c>
      <c r="O211" s="15">
        <f>IF('ENCUESTA CONDUCTORES'!Q211="X",1,0)</f>
        <v>0</v>
      </c>
      <c r="P211" s="15">
        <f>IF('ENCUESTA CONDUCTORES'!R211="X",1,0)</f>
        <v>0</v>
      </c>
      <c r="Q211" s="15">
        <f>IF('ENCUESTA CONDUCTORES'!S211="X",1,0)</f>
        <v>1</v>
      </c>
      <c r="R211" s="15">
        <f>IF('ENCUESTA CONDUCTORES'!T211="X",1,0)</f>
        <v>0</v>
      </c>
      <c r="S211" s="15">
        <f>IF('ENCUESTA CONDUCTORES'!U211="X",1,0)</f>
        <v>1</v>
      </c>
      <c r="T211" s="15">
        <f>IF('ENCUESTA CONDUCTORES'!V211="X",1,0)</f>
        <v>0</v>
      </c>
      <c r="U211" s="15">
        <f>IF('ENCUESTA CONDUCTORES'!W211="X",1,0)</f>
        <v>0</v>
      </c>
      <c r="V211" s="15">
        <f>IF('ENCUESTA CONDUCTORES'!X211="X",1,0)</f>
        <v>0</v>
      </c>
      <c r="W211" s="15">
        <f>IF('ENCUESTA CONDUCTORES'!Y211="X",1,0)</f>
        <v>0</v>
      </c>
      <c r="X211" s="15">
        <f>IF('ENCUESTA CONDUCTORES'!Z211="X",1,0)</f>
        <v>0</v>
      </c>
      <c r="Y211" s="15">
        <f>+'ENCUESTA CONDUCTORES'!AG211</f>
        <v>0</v>
      </c>
      <c r="Z211" s="15">
        <f>+'ENCUESTA CONDUCTORES'!AH211</f>
        <v>2008</v>
      </c>
      <c r="AA211" s="1">
        <f>+'ENCUESTA CONDUCTORES'!AI211</f>
        <v>600000</v>
      </c>
      <c r="AB211" s="15">
        <f>IF('ENCUESTA CONDUCTORES'!AJ211="X",1,0)</f>
        <v>0</v>
      </c>
      <c r="AC211" s="15">
        <f>IF('ENCUESTA CONDUCTORES'!AK211="X",1,0)</f>
        <v>0</v>
      </c>
      <c r="AD211" s="15">
        <f>IF('ENCUESTA CONDUCTORES'!AL211="X",1,0)</f>
        <v>1</v>
      </c>
      <c r="AE211" s="15">
        <f>IF('ENCUESTA CONDUCTORES'!AM211="X",1,0)</f>
        <v>0</v>
      </c>
      <c r="AF211" s="15">
        <f>IF('ENCUESTA CONDUCTORES'!AN211="X",1,0)</f>
        <v>0</v>
      </c>
      <c r="AG211" s="15">
        <f>IF('ENCUESTA CONDUCTORES'!AO211="X",1,0)</f>
        <v>0</v>
      </c>
      <c r="AH211" s="15">
        <f>IF('ENCUESTA CONDUCTORES'!AP211="X",1,0)</f>
        <v>1</v>
      </c>
      <c r="AI211" s="15">
        <f>IF('ENCUESTA CONDUCTORES'!AQ211="X",1,0)</f>
        <v>0</v>
      </c>
      <c r="AJ211" s="15">
        <f>IF('ENCUESTA CONDUCTORES'!AR211="X",1,0)</f>
        <v>0</v>
      </c>
      <c r="AK211" s="15">
        <f>+'ENCUESTA CONDUCTORES'!AS211</f>
        <v>0</v>
      </c>
      <c r="AL211" s="15" t="str">
        <f>+'ENCUESTA CONDUCTORES'!AT211</f>
        <v>CUMMINS</v>
      </c>
      <c r="AM211" s="1">
        <f>+'ENCUESTA CONDUCTORES'!AU211</f>
        <v>16000</v>
      </c>
      <c r="AN211" s="48">
        <f>+'ENCUESTA CONDUCTORES'!AV211</f>
        <v>0.3</v>
      </c>
      <c r="AO211" s="15">
        <f>+'ENCUESTA CONDUCTORES'!AW211</f>
        <v>2.6</v>
      </c>
      <c r="AP211" s="15">
        <f>+'ENCUESTA CONDUCTORES'!AX211</f>
        <v>2.2999999999999998</v>
      </c>
      <c r="AQ211" s="15">
        <f>+'ENCUESTA CONDUCTORES'!AY211</f>
        <v>2</v>
      </c>
      <c r="AR211" s="15">
        <f>+'ENCUESTA CONDUCTORES'!AZ211</f>
        <v>800</v>
      </c>
      <c r="AS211" s="15">
        <f>+'ENCUESTA CONDUCTORES'!BA211</f>
        <v>2000</v>
      </c>
      <c r="AT211" s="15">
        <f>IF('ENCUESTA CONDUCTORES'!BB211="X",1,0)</f>
        <v>1</v>
      </c>
      <c r="AU211" s="15">
        <f>IF('ENCUESTA CONDUCTORES'!BC211="X",1,0)</f>
        <v>1</v>
      </c>
      <c r="AV211" s="15">
        <f>IF('ENCUESTA CONDUCTORES'!BD211="X",1,0)</f>
        <v>0</v>
      </c>
      <c r="AW211" s="1">
        <f>+'ENCUESTA CONDUCTORES'!BE211</f>
        <v>20000</v>
      </c>
      <c r="AX211" s="1">
        <f>+'ENCUESTA CONDUCTORES'!BF211</f>
        <v>50000</v>
      </c>
      <c r="AY211" s="1">
        <f>+'ENCUESTA CONDUCTORES'!BG211</f>
        <v>30000</v>
      </c>
      <c r="AZ211" s="1" t="str">
        <f>+'ENCUESTA CONDUCTORES'!BH211</f>
        <v>NO SABE</v>
      </c>
      <c r="BA211" s="1">
        <f>+'ENCUESTA CONDUCTORES'!BI211</f>
        <v>30000</v>
      </c>
      <c r="BB211" s="15">
        <f>IF('ENCUESTA CONDUCTORES'!BJ211="X",1,0)</f>
        <v>0</v>
      </c>
      <c r="BC211" s="15">
        <f>IF('ENCUESTA CONDUCTORES'!BK211="X",1,0)</f>
        <v>0</v>
      </c>
      <c r="BD211" s="15">
        <f>IF('ENCUESTA CONDUCTORES'!BL211="X",1,0)</f>
        <v>0</v>
      </c>
      <c r="BE211" s="15">
        <f>IF('ENCUESTA CONDUCTORES'!BM211="X",1,0)</f>
        <v>0</v>
      </c>
      <c r="BF211" s="15">
        <f>IF('ENCUESTA CONDUCTORES'!BN211="X",1,0)</f>
        <v>0</v>
      </c>
      <c r="BG211" s="15">
        <f>IF('ENCUESTA CONDUCTORES'!BO211="X",1,0)</f>
        <v>0</v>
      </c>
      <c r="BH211" s="15">
        <f>IF('ENCUESTA CONDUCTORES'!BP211="X",1,0)</f>
        <v>0</v>
      </c>
      <c r="BI211" s="15">
        <f>IF('ENCUESTA CONDUCTORES'!BQ211="X",1,0)</f>
        <v>0</v>
      </c>
      <c r="BJ211" s="15">
        <f>IF('ENCUESTA CONDUCTORES'!BR211="X",1,0)</f>
        <v>0</v>
      </c>
      <c r="BK211" s="15" t="str">
        <f>+'ENCUESTA CONDUCTORES'!BS211</f>
        <v>GENERAL</v>
      </c>
      <c r="BL211" s="15">
        <f>IF('ENCUESTA CONDUCTORES'!BT211="X",1,0)</f>
        <v>0</v>
      </c>
      <c r="BM211" s="15">
        <f>IF('ENCUESTA CONDUCTORES'!BU211="X",1,0)</f>
        <v>0</v>
      </c>
      <c r="BN211" s="15">
        <f>IF('ENCUESTA CONDUCTORES'!BV211="X",1,0)</f>
        <v>1</v>
      </c>
      <c r="BO211" s="15">
        <f>IF('ENCUESTA CONDUCTORES'!BW211="X",1,0)</f>
        <v>0</v>
      </c>
      <c r="BP211" s="15">
        <f>+'ENCUESTA CONDUCTORES'!BX211</f>
        <v>1</v>
      </c>
      <c r="BQ211" s="15">
        <f>+'ENCUESTA CONDUCTORES'!BY211</f>
        <v>2</v>
      </c>
      <c r="BR211" s="15">
        <f>+'ENCUESTA CONDUCTORES'!BZ211</f>
        <v>3</v>
      </c>
      <c r="BS211" s="15">
        <f>+'ENCUESTA CONDUCTORES'!CA211</f>
        <v>0</v>
      </c>
      <c r="BT211" s="15">
        <f>IF('ENCUESTA CONDUCTORES'!CB211="X",1,0)</f>
        <v>0</v>
      </c>
      <c r="BU211" s="15">
        <f>IF('ENCUESTA CONDUCTORES'!CC211="X",1,0)</f>
        <v>1</v>
      </c>
      <c r="BV211" s="15">
        <f>IF('ENCUESTA CONDUCTORES'!CD211="X",1,0)</f>
        <v>0</v>
      </c>
      <c r="BW211" s="15">
        <f>IF('ENCUESTA CONDUCTORES'!CE211="X",1,0)</f>
        <v>0</v>
      </c>
      <c r="BX211" s="15">
        <f>IF('ENCUESTA CONDUCTORES'!CF211="X",1,0)</f>
        <v>0</v>
      </c>
      <c r="BY211" s="15">
        <f>IF('ENCUESTA CONDUCTORES'!CG211="X",1,0)</f>
        <v>0</v>
      </c>
      <c r="BZ211" s="15">
        <f>IF('ENCUESTA CONDUCTORES'!CH211="X",1,0)</f>
        <v>1</v>
      </c>
      <c r="CA211" s="15">
        <f>IF('ENCUESTA CONDUCTORES'!CI211="X",1,0)</f>
        <v>1</v>
      </c>
      <c r="CB211" s="15">
        <f>IF('ENCUESTA CONDUCTORES'!CJ211="X",1,0)</f>
        <v>0</v>
      </c>
      <c r="CC211" s="15">
        <f>IF('ENCUESTA CONDUCTORES'!CK211="X",1,0)</f>
        <v>0</v>
      </c>
      <c r="CD211" s="15">
        <f>IF('ENCUESTA CONDUCTORES'!CL211="X",1,0)</f>
        <v>1</v>
      </c>
      <c r="CE211" s="15">
        <f>IF('ENCUESTA CONDUCTORES'!CM211="X",1,0)</f>
        <v>1</v>
      </c>
      <c r="CF211" s="15" t="str">
        <f>+'ENCUESTA CONDUCTORES'!CN211</f>
        <v>POR TIEMPO</v>
      </c>
      <c r="CG211" s="15">
        <f>IF('ENCUESTA CONDUCTORES'!CO211="X",1,0)</f>
        <v>0</v>
      </c>
      <c r="CH211" s="15" t="str">
        <f>+'ENCUESTA CONDUCTORES'!CP211</f>
        <v>ES BUENO</v>
      </c>
      <c r="CI211" s="15" t="str">
        <f>+'ENCUESTA CONDUCTORES'!CQ211</f>
        <v>MAYOR INFORMACION</v>
      </c>
      <c r="CJ211" s="15">
        <f>IF('ENCUESTA CONDUCTORES'!CR211="X",1,0)</f>
        <v>1</v>
      </c>
      <c r="CK211" s="15">
        <f>IF('ENCUESTA CONDUCTORES'!CS211="X",1,0)</f>
        <v>0</v>
      </c>
      <c r="CL211" s="15">
        <f>IF('ENCUESTA CONDUCTORES'!CT211="X",1,0)</f>
        <v>0</v>
      </c>
      <c r="CM211" s="15">
        <f>+'ENCUESTA CONDUCTORES'!CU211</f>
        <v>0</v>
      </c>
      <c r="CN211" s="15">
        <f>IF('ENCUESTA CONDUCTORES'!CV211="X",1,0)</f>
        <v>0</v>
      </c>
      <c r="CO211" s="15">
        <f>+'ENCUESTA CONDUCTORES'!CW211</f>
        <v>0</v>
      </c>
      <c r="CP211" s="15">
        <f>IF('ENCUESTA CONDUCTORES'!CX211="X",1,0)</f>
        <v>1</v>
      </c>
      <c r="CQ211" s="15">
        <f>IF('ENCUESTA CONDUCTORES'!CY211="X",1,0)</f>
        <v>1</v>
      </c>
      <c r="CR211" s="3">
        <f>+'ENCUESTA CONDUCTORES'!CZ211</f>
        <v>0</v>
      </c>
      <c r="CS211" s="49">
        <f>+'ENCUESTA CONDUCTORES'!DA211</f>
        <v>0</v>
      </c>
    </row>
    <row r="212" spans="2:97" x14ac:dyDescent="0.25">
      <c r="B212" s="14" t="str">
        <f>+'ENCUESTA CONDUCTORES'!D212</f>
        <v>C-223</v>
      </c>
      <c r="C212" s="15">
        <f>IF('ENCUESTA CONDUCTORES'!E212="X",1,0)</f>
        <v>0</v>
      </c>
      <c r="D212" s="15">
        <f>IF('ENCUESTA CONDUCTORES'!F212="X",1,0)</f>
        <v>0</v>
      </c>
      <c r="E212" s="15">
        <f>IF('ENCUESTA CONDUCTORES'!G212="X",1,0)</f>
        <v>1</v>
      </c>
      <c r="F212" s="15">
        <f>IF('ENCUESTA CONDUCTORES'!H212="X",1,0)</f>
        <v>0</v>
      </c>
      <c r="G212" s="15">
        <f>+'ENCUESTA CONDUCTORES'!I212</f>
        <v>33</v>
      </c>
      <c r="H212" s="15" t="str">
        <f>+'ENCUESTA CONDUCTORES'!J212</f>
        <v>M</v>
      </c>
      <c r="I212" s="15" t="str">
        <f>+'ENCUESTA CONDUCTORES'!K212</f>
        <v>PREPARATORIA</v>
      </c>
      <c r="J212" s="15" t="str">
        <f>+'ENCUESTA CONDUCTORES'!L212</f>
        <v>TLALNEPANTLA, EDO. MEX.</v>
      </c>
      <c r="K212" s="15" t="str">
        <f>+'ENCUESTA CONDUCTORES'!M212</f>
        <v>TLALNEPANTLA</v>
      </c>
      <c r="L212" s="15" t="str">
        <f>+'ENCUESTA CONDUCTORES'!N212</f>
        <v>EDO. MEX.</v>
      </c>
      <c r="M212" s="15">
        <f>+'ENCUESTA CONDUCTORES'!O212</f>
        <v>5</v>
      </c>
      <c r="N212" s="15">
        <f>IF('ENCUESTA CONDUCTORES'!P212="X",1,0)</f>
        <v>1</v>
      </c>
      <c r="O212" s="15">
        <f>IF('ENCUESTA CONDUCTORES'!Q212="X",1,0)</f>
        <v>0</v>
      </c>
      <c r="P212" s="15">
        <f>IF('ENCUESTA CONDUCTORES'!R212="X",1,0)</f>
        <v>0</v>
      </c>
      <c r="Q212" s="15">
        <f>IF('ENCUESTA CONDUCTORES'!S212="X",1,0)</f>
        <v>0</v>
      </c>
      <c r="R212" s="15">
        <f>IF('ENCUESTA CONDUCTORES'!T212="X",1,0)</f>
        <v>0</v>
      </c>
      <c r="S212" s="15">
        <f>IF('ENCUESTA CONDUCTORES'!U212="X",1,0)</f>
        <v>1</v>
      </c>
      <c r="T212" s="15">
        <f>IF('ENCUESTA CONDUCTORES'!V212="X",1,0)</f>
        <v>0</v>
      </c>
      <c r="U212" s="15">
        <f>IF('ENCUESTA CONDUCTORES'!W212="X",1,0)</f>
        <v>0</v>
      </c>
      <c r="V212" s="15">
        <f>IF('ENCUESTA CONDUCTORES'!X212="X",1,0)</f>
        <v>0</v>
      </c>
      <c r="W212" s="15">
        <f>IF('ENCUESTA CONDUCTORES'!Y212="X",1,0)</f>
        <v>0</v>
      </c>
      <c r="X212" s="15">
        <f>IF('ENCUESTA CONDUCTORES'!Z212="X",1,0)</f>
        <v>0</v>
      </c>
      <c r="Y212" s="15">
        <f>+'ENCUESTA CONDUCTORES'!AG212</f>
        <v>0</v>
      </c>
      <c r="Z212" s="15">
        <f>+'ENCUESTA CONDUCTORES'!AH212</f>
        <v>2011</v>
      </c>
      <c r="AA212" s="1">
        <f>+'ENCUESTA CONDUCTORES'!AI212</f>
        <v>150000</v>
      </c>
      <c r="AB212" s="15">
        <f>IF('ENCUESTA CONDUCTORES'!AJ212="X",1,0)</f>
        <v>0</v>
      </c>
      <c r="AC212" s="15">
        <f>IF('ENCUESTA CONDUCTORES'!AK212="X",1,0)</f>
        <v>0</v>
      </c>
      <c r="AD212" s="15">
        <f>IF('ENCUESTA CONDUCTORES'!AL212="X",1,0)</f>
        <v>1</v>
      </c>
      <c r="AE212" s="15">
        <f>IF('ENCUESTA CONDUCTORES'!AM212="X",1,0)</f>
        <v>0</v>
      </c>
      <c r="AF212" s="15">
        <f>IF('ENCUESTA CONDUCTORES'!AN212="X",1,0)</f>
        <v>0</v>
      </c>
      <c r="AG212" s="15">
        <f>IF('ENCUESTA CONDUCTORES'!AO212="X",1,0)</f>
        <v>0</v>
      </c>
      <c r="AH212" s="15">
        <f>IF('ENCUESTA CONDUCTORES'!AP212="X",1,0)</f>
        <v>1</v>
      </c>
      <c r="AI212" s="15">
        <f>IF('ENCUESTA CONDUCTORES'!AQ212="X",1,0)</f>
        <v>0</v>
      </c>
      <c r="AJ212" s="15">
        <f>IF('ENCUESTA CONDUCTORES'!AR212="X",1,0)</f>
        <v>0</v>
      </c>
      <c r="AK212" s="15">
        <f>+'ENCUESTA CONDUCTORES'!AS212</f>
        <v>0</v>
      </c>
      <c r="AL212" s="15" t="str">
        <f>+'ENCUESTA CONDUCTORES'!AT212</f>
        <v>NO SABE</v>
      </c>
      <c r="AM212" s="1">
        <f>+'ENCUESTA CONDUCTORES'!AU212</f>
        <v>20000</v>
      </c>
      <c r="AN212" s="48">
        <f>+'ENCUESTA CONDUCTORES'!AV212</f>
        <v>0.5</v>
      </c>
      <c r="AO212" s="15">
        <f>+'ENCUESTA CONDUCTORES'!AW212</f>
        <v>2</v>
      </c>
      <c r="AP212" s="15">
        <f>+'ENCUESTA CONDUCTORES'!AX212</f>
        <v>1.5</v>
      </c>
      <c r="AQ212" s="15">
        <f>+'ENCUESTA CONDUCTORES'!AY212</f>
        <v>1</v>
      </c>
      <c r="AR212" s="15">
        <f>+'ENCUESTA CONDUCTORES'!AZ212</f>
        <v>485</v>
      </c>
      <c r="AS212" s="15">
        <f>+'ENCUESTA CONDUCTORES'!BA212</f>
        <v>1000</v>
      </c>
      <c r="AT212" s="15">
        <f>IF('ENCUESTA CONDUCTORES'!BB212="X",1,0)</f>
        <v>0</v>
      </c>
      <c r="AU212" s="15">
        <f>IF('ENCUESTA CONDUCTORES'!BC212="X",1,0)</f>
        <v>1</v>
      </c>
      <c r="AV212" s="15">
        <f>IF('ENCUESTA CONDUCTORES'!BD212="X",1,0)</f>
        <v>1</v>
      </c>
      <c r="AW212" s="1">
        <f>+'ENCUESTA CONDUCTORES'!BE212</f>
        <v>15000</v>
      </c>
      <c r="AX212" s="1">
        <f>+'ENCUESTA CONDUCTORES'!BF212</f>
        <v>20000</v>
      </c>
      <c r="AY212" s="1">
        <f>+'ENCUESTA CONDUCTORES'!BG212</f>
        <v>30000</v>
      </c>
      <c r="AZ212" s="1">
        <f>+'ENCUESTA CONDUCTORES'!BH212</f>
        <v>50000</v>
      </c>
      <c r="BA212" s="1">
        <f>+'ENCUESTA CONDUCTORES'!BI212</f>
        <v>30000</v>
      </c>
      <c r="BB212" s="15">
        <f>IF('ENCUESTA CONDUCTORES'!BJ212="X",1,0)</f>
        <v>0</v>
      </c>
      <c r="BC212" s="15">
        <f>IF('ENCUESTA CONDUCTORES'!BK212="X",1,0)</f>
        <v>0</v>
      </c>
      <c r="BD212" s="15">
        <f>IF('ENCUESTA CONDUCTORES'!BL212="X",1,0)</f>
        <v>0</v>
      </c>
      <c r="BE212" s="15">
        <f>IF('ENCUESTA CONDUCTORES'!BM212="X",1,0)</f>
        <v>0</v>
      </c>
      <c r="BF212" s="15">
        <f>IF('ENCUESTA CONDUCTORES'!BN212="X",1,0)</f>
        <v>0</v>
      </c>
      <c r="BG212" s="15">
        <f>IF('ENCUESTA CONDUCTORES'!BO212="X",1,0)</f>
        <v>0</v>
      </c>
      <c r="BH212" s="15">
        <f>IF('ENCUESTA CONDUCTORES'!BP212="X",1,0)</f>
        <v>0</v>
      </c>
      <c r="BI212" s="15">
        <f>IF('ENCUESTA CONDUCTORES'!BQ212="X",1,0)</f>
        <v>0</v>
      </c>
      <c r="BJ212" s="15">
        <f>IF('ENCUESTA CONDUCTORES'!BR212="X",1,0)</f>
        <v>0</v>
      </c>
      <c r="BK212" s="15" t="str">
        <f>+'ENCUESTA CONDUCTORES'!BS212</f>
        <v>MEDICAMENTOS</v>
      </c>
      <c r="BL212" s="15">
        <f>IF('ENCUESTA CONDUCTORES'!BT212="X",1,0)</f>
        <v>0</v>
      </c>
      <c r="BM212" s="15">
        <f>IF('ENCUESTA CONDUCTORES'!BU212="X",1,0)</f>
        <v>1</v>
      </c>
      <c r="BN212" s="15">
        <f>IF('ENCUESTA CONDUCTORES'!BV212="X",1,0)</f>
        <v>0</v>
      </c>
      <c r="BO212" s="15">
        <f>IF('ENCUESTA CONDUCTORES'!BW212="X",1,0)</f>
        <v>0</v>
      </c>
      <c r="BP212" s="15">
        <f>+'ENCUESTA CONDUCTORES'!BX212</f>
        <v>3</v>
      </c>
      <c r="BQ212" s="15">
        <f>+'ENCUESTA CONDUCTORES'!BY212</f>
        <v>2</v>
      </c>
      <c r="BR212" s="15">
        <f>+'ENCUESTA CONDUCTORES'!BZ212</f>
        <v>4</v>
      </c>
      <c r="BS212" s="15" t="str">
        <f>+'ENCUESTA CONDUCTORES'!CA212</f>
        <v>SEGURIDAD</v>
      </c>
      <c r="BT212" s="15">
        <f>IF('ENCUESTA CONDUCTORES'!CB212="X",1,0)</f>
        <v>0</v>
      </c>
      <c r="BU212" s="15">
        <f>IF('ENCUESTA CONDUCTORES'!CC212="X",1,0)</f>
        <v>1</v>
      </c>
      <c r="BV212" s="15">
        <f>IF('ENCUESTA CONDUCTORES'!CD212="X",1,0)</f>
        <v>0</v>
      </c>
      <c r="BW212" s="15">
        <f>IF('ENCUESTA CONDUCTORES'!CE212="X",1,0)</f>
        <v>1</v>
      </c>
      <c r="BX212" s="15">
        <f>IF('ENCUESTA CONDUCTORES'!CF212="X",1,0)</f>
        <v>0</v>
      </c>
      <c r="BY212" s="15">
        <f>IF('ENCUESTA CONDUCTORES'!CG212="X",1,0)</f>
        <v>0</v>
      </c>
      <c r="BZ212" s="15">
        <f>IF('ENCUESTA CONDUCTORES'!CH212="X",1,0)</f>
        <v>0</v>
      </c>
      <c r="CA212" s="15">
        <f>IF('ENCUESTA CONDUCTORES'!CI212="X",1,0)</f>
        <v>1</v>
      </c>
      <c r="CB212" s="15">
        <f>IF('ENCUESTA CONDUCTORES'!CJ212="X",1,0)</f>
        <v>0</v>
      </c>
      <c r="CC212" s="15">
        <f>IF('ENCUESTA CONDUCTORES'!CK212="X",1,0)</f>
        <v>1</v>
      </c>
      <c r="CD212" s="15">
        <f>IF('ENCUESTA CONDUCTORES'!CL212="X",1,0)</f>
        <v>0</v>
      </c>
      <c r="CE212" s="15">
        <f>IF('ENCUESTA CONDUCTORES'!CM212="X",1,0)</f>
        <v>0</v>
      </c>
      <c r="CF212" s="15">
        <f>+'ENCUESTA CONDUCTORES'!CN212</f>
        <v>0</v>
      </c>
      <c r="CG212" s="15">
        <f>IF('ENCUESTA CONDUCTORES'!CO212="X",1,0)</f>
        <v>0</v>
      </c>
      <c r="CH212" s="15" t="str">
        <f>+'ENCUESTA CONDUCTORES'!CP212</f>
        <v>NO SABE</v>
      </c>
      <c r="CI212" s="15" t="str">
        <f>+'ENCUESTA CONDUCTORES'!CQ212</f>
        <v>PUBLICIDAD</v>
      </c>
      <c r="CJ212" s="15">
        <f>IF('ENCUESTA CONDUCTORES'!CR212="X",1,0)</f>
        <v>0</v>
      </c>
      <c r="CK212" s="15">
        <f>IF('ENCUESTA CONDUCTORES'!CS212="X",1,0)</f>
        <v>1</v>
      </c>
      <c r="CL212" s="15">
        <f>IF('ENCUESTA CONDUCTORES'!CT212="X",1,0)</f>
        <v>0</v>
      </c>
      <c r="CM212" s="15">
        <f>+'ENCUESTA CONDUCTORES'!CU212</f>
        <v>0</v>
      </c>
      <c r="CN212" s="15">
        <f>IF('ENCUESTA CONDUCTORES'!CV212="X",1,0)</f>
        <v>0</v>
      </c>
      <c r="CO212" s="15">
        <f>+'ENCUESTA CONDUCTORES'!CW212</f>
        <v>0</v>
      </c>
      <c r="CP212" s="15">
        <f>IF('ENCUESTA CONDUCTORES'!CX212="X",1,0)</f>
        <v>0</v>
      </c>
      <c r="CQ212" s="15">
        <f>IF('ENCUESTA CONDUCTORES'!CY212="X",1,0)</f>
        <v>0</v>
      </c>
      <c r="CR212" s="3" t="str">
        <f>+'ENCUESTA CONDUCTORES'!CZ212</f>
        <v>MANEJO A LA DEFENSIVA</v>
      </c>
      <c r="CS212" s="49" t="str">
        <f>+'ENCUESTA CONDUCTORES'!DA212</f>
        <v>TRANSPORTER</v>
      </c>
    </row>
    <row r="213" spans="2:97" x14ac:dyDescent="0.25">
      <c r="B213" s="14" t="str">
        <f>+'ENCUESTA CONDUCTORES'!D213</f>
        <v>C-224</v>
      </c>
      <c r="C213" s="15">
        <f>IF('ENCUESTA CONDUCTORES'!E213="X",1,0)</f>
        <v>0</v>
      </c>
      <c r="D213" s="15">
        <f>IF('ENCUESTA CONDUCTORES'!F213="X",1,0)</f>
        <v>0</v>
      </c>
      <c r="E213" s="15">
        <f>IF('ENCUESTA CONDUCTORES'!G213="X",1,0)</f>
        <v>0</v>
      </c>
      <c r="F213" s="15">
        <f>IF('ENCUESTA CONDUCTORES'!H213="X",1,0)</f>
        <v>1</v>
      </c>
      <c r="G213" s="15">
        <f>+'ENCUESTA CONDUCTORES'!I213</f>
        <v>24</v>
      </c>
      <c r="H213" s="15" t="str">
        <f>+'ENCUESTA CONDUCTORES'!J213</f>
        <v>M</v>
      </c>
      <c r="I213" s="15" t="str">
        <f>+'ENCUESTA CONDUCTORES'!K213</f>
        <v>PREPARATORIA</v>
      </c>
      <c r="J213" s="15" t="str">
        <f>+'ENCUESTA CONDUCTORES'!L213</f>
        <v>ECATEPEC, EDO. MEX.</v>
      </c>
      <c r="K213" s="15" t="str">
        <f>+'ENCUESTA CONDUCTORES'!M213</f>
        <v>ECATEPEC</v>
      </c>
      <c r="L213" s="15" t="str">
        <f>+'ENCUESTA CONDUCTORES'!N213</f>
        <v>EDO. MEX.</v>
      </c>
      <c r="M213" s="15">
        <f>+'ENCUESTA CONDUCTORES'!O213</f>
        <v>5</v>
      </c>
      <c r="N213" s="15">
        <f>IF('ENCUESTA CONDUCTORES'!P213="X",1,0)</f>
        <v>0</v>
      </c>
      <c r="O213" s="15">
        <f>IF('ENCUESTA CONDUCTORES'!Q213="X",1,0)</f>
        <v>0</v>
      </c>
      <c r="P213" s="15">
        <f>IF('ENCUESTA CONDUCTORES'!R213="X",1,0)</f>
        <v>0</v>
      </c>
      <c r="Q213" s="15">
        <f>IF('ENCUESTA CONDUCTORES'!S213="X",1,0)</f>
        <v>1</v>
      </c>
      <c r="R213" s="15">
        <f>IF('ENCUESTA CONDUCTORES'!T213="X",1,0)</f>
        <v>0</v>
      </c>
      <c r="S213" s="15">
        <f>IF('ENCUESTA CONDUCTORES'!U213="X",1,0)</f>
        <v>1</v>
      </c>
      <c r="T213" s="15">
        <f>IF('ENCUESTA CONDUCTORES'!V213="X",1,0)</f>
        <v>0</v>
      </c>
      <c r="U213" s="15">
        <f>IF('ENCUESTA CONDUCTORES'!W213="X",1,0)</f>
        <v>0</v>
      </c>
      <c r="V213" s="15">
        <f>IF('ENCUESTA CONDUCTORES'!X213="X",1,0)</f>
        <v>0</v>
      </c>
      <c r="W213" s="15">
        <f>IF('ENCUESTA CONDUCTORES'!Y213="X",1,0)</f>
        <v>0</v>
      </c>
      <c r="X213" s="15">
        <f>IF('ENCUESTA CONDUCTORES'!Z213="X",1,0)</f>
        <v>0</v>
      </c>
      <c r="Y213" s="15">
        <f>+'ENCUESTA CONDUCTORES'!AG213</f>
        <v>0</v>
      </c>
      <c r="Z213" s="15">
        <f>+'ENCUESTA CONDUCTORES'!AH213</f>
        <v>2004</v>
      </c>
      <c r="AA213" s="1">
        <f>+'ENCUESTA CONDUCTORES'!AI213</f>
        <v>500000</v>
      </c>
      <c r="AB213" s="15">
        <f>IF('ENCUESTA CONDUCTORES'!AJ213="X",1,0)</f>
        <v>0</v>
      </c>
      <c r="AC213" s="15">
        <f>IF('ENCUESTA CONDUCTORES'!AK213="X",1,0)</f>
        <v>0</v>
      </c>
      <c r="AD213" s="15">
        <f>IF('ENCUESTA CONDUCTORES'!AL213="X",1,0)</f>
        <v>1</v>
      </c>
      <c r="AE213" s="15">
        <f>IF('ENCUESTA CONDUCTORES'!AM213="X",1,0)</f>
        <v>0</v>
      </c>
      <c r="AF213" s="15">
        <f>IF('ENCUESTA CONDUCTORES'!AN213="X",1,0)</f>
        <v>0</v>
      </c>
      <c r="AG213" s="15">
        <f>IF('ENCUESTA CONDUCTORES'!AO213="X",1,0)</f>
        <v>0</v>
      </c>
      <c r="AH213" s="15">
        <f>IF('ENCUESTA CONDUCTORES'!AP213="X",1,0)</f>
        <v>1</v>
      </c>
      <c r="AI213" s="15">
        <f>IF('ENCUESTA CONDUCTORES'!AQ213="X",1,0)</f>
        <v>0</v>
      </c>
      <c r="AJ213" s="15">
        <f>IF('ENCUESTA CONDUCTORES'!AR213="X",1,0)</f>
        <v>0</v>
      </c>
      <c r="AK213" s="15">
        <f>+'ENCUESTA CONDUCTORES'!AS213</f>
        <v>0</v>
      </c>
      <c r="AL213" s="15" t="str">
        <f>+'ENCUESTA CONDUCTORES'!AT213</f>
        <v>FREIGHTLINER</v>
      </c>
      <c r="AM213" s="1">
        <f>+'ENCUESTA CONDUCTORES'!AU213</f>
        <v>5000</v>
      </c>
      <c r="AN213" s="48">
        <f>+'ENCUESTA CONDUCTORES'!AV213</f>
        <v>0.5</v>
      </c>
      <c r="AO213" s="15">
        <f>+'ENCUESTA CONDUCTORES'!AW213</f>
        <v>3.2</v>
      </c>
      <c r="AP213" s="15">
        <f>+'ENCUESTA CONDUCTORES'!AX213</f>
        <v>3</v>
      </c>
      <c r="AQ213" s="15">
        <f>+'ENCUESTA CONDUCTORES'!AY213</f>
        <v>2</v>
      </c>
      <c r="AR213" s="15">
        <f>+'ENCUESTA CONDUCTORES'!AZ213</f>
        <v>580</v>
      </c>
      <c r="AS213" s="15">
        <f>+'ENCUESTA CONDUCTORES'!BA213</f>
        <v>1800</v>
      </c>
      <c r="AT213" s="15">
        <f>IF('ENCUESTA CONDUCTORES'!BB213="X",1,0)</f>
        <v>1</v>
      </c>
      <c r="AU213" s="15">
        <f>IF('ENCUESTA CONDUCTORES'!BC213="X",1,0)</f>
        <v>1</v>
      </c>
      <c r="AV213" s="15">
        <f>IF('ENCUESTA CONDUCTORES'!BD213="X",1,0)</f>
        <v>1</v>
      </c>
      <c r="AW213" s="1">
        <f>+'ENCUESTA CONDUCTORES'!BE213</f>
        <v>20000</v>
      </c>
      <c r="AX213" s="1">
        <f>+'ENCUESTA CONDUCTORES'!BF213</f>
        <v>60000</v>
      </c>
      <c r="AY213" s="1">
        <f>+'ENCUESTA CONDUCTORES'!BG213</f>
        <v>30000</v>
      </c>
      <c r="AZ213" s="1">
        <f>+'ENCUESTA CONDUCTORES'!BH213</f>
        <v>60000</v>
      </c>
      <c r="BA213" s="1">
        <f>+'ENCUESTA CONDUCTORES'!BI213</f>
        <v>30000</v>
      </c>
      <c r="BB213" s="15">
        <f>IF('ENCUESTA CONDUCTORES'!BJ213="X",1,0)</f>
        <v>0</v>
      </c>
      <c r="BC213" s="15">
        <f>IF('ENCUESTA CONDUCTORES'!BK213="X",1,0)</f>
        <v>0</v>
      </c>
      <c r="BD213" s="15">
        <f>IF('ENCUESTA CONDUCTORES'!BL213="X",1,0)</f>
        <v>0</v>
      </c>
      <c r="BE213" s="15">
        <f>IF('ENCUESTA CONDUCTORES'!BM213="X",1,0)</f>
        <v>0</v>
      </c>
      <c r="BF213" s="15">
        <f>IF('ENCUESTA CONDUCTORES'!BN213="X",1,0)</f>
        <v>0</v>
      </c>
      <c r="BG213" s="15">
        <f>IF('ENCUESTA CONDUCTORES'!BO213="X",1,0)</f>
        <v>0</v>
      </c>
      <c r="BH213" s="15">
        <f>IF('ENCUESTA CONDUCTORES'!BP213="X",1,0)</f>
        <v>0</v>
      </c>
      <c r="BI213" s="15">
        <f>IF('ENCUESTA CONDUCTORES'!BQ213="X",1,0)</f>
        <v>0</v>
      </c>
      <c r="BJ213" s="15">
        <f>IF('ENCUESTA CONDUCTORES'!BR213="X",1,0)</f>
        <v>0</v>
      </c>
      <c r="BK213" s="15" t="str">
        <f>+'ENCUESTA CONDUCTORES'!BS213</f>
        <v>GENERAL</v>
      </c>
      <c r="BL213" s="15">
        <f>IF('ENCUESTA CONDUCTORES'!BT213="X",1,0)</f>
        <v>0</v>
      </c>
      <c r="BM213" s="15">
        <f>IF('ENCUESTA CONDUCTORES'!BU213="X",1,0)</f>
        <v>0</v>
      </c>
      <c r="BN213" s="15">
        <f>IF('ENCUESTA CONDUCTORES'!BV213="X",1,0)</f>
        <v>1</v>
      </c>
      <c r="BO213" s="15">
        <f>IF('ENCUESTA CONDUCTORES'!BW213="X",1,0)</f>
        <v>0</v>
      </c>
      <c r="BP213" s="15">
        <f>+'ENCUESTA CONDUCTORES'!BX213</f>
        <v>1</v>
      </c>
      <c r="BQ213" s="15">
        <f>+'ENCUESTA CONDUCTORES'!BY213</f>
        <v>3</v>
      </c>
      <c r="BR213" s="15">
        <f>+'ENCUESTA CONDUCTORES'!BZ213</f>
        <v>2</v>
      </c>
      <c r="BS213" s="15">
        <f>+'ENCUESTA CONDUCTORES'!CA213</f>
        <v>0</v>
      </c>
      <c r="BT213" s="15">
        <f>IF('ENCUESTA CONDUCTORES'!CB213="X",1,0)</f>
        <v>0</v>
      </c>
      <c r="BU213" s="15">
        <f>IF('ENCUESTA CONDUCTORES'!CC213="X",1,0)</f>
        <v>1</v>
      </c>
      <c r="BV213" s="15">
        <f>IF('ENCUESTA CONDUCTORES'!CD213="X",1,0)</f>
        <v>0</v>
      </c>
      <c r="BW213" s="15">
        <f>IF('ENCUESTA CONDUCTORES'!CE213="X",1,0)</f>
        <v>0</v>
      </c>
      <c r="BX213" s="15">
        <f>IF('ENCUESTA CONDUCTORES'!CF213="X",1,0)</f>
        <v>0</v>
      </c>
      <c r="BY213" s="15">
        <f>IF('ENCUESTA CONDUCTORES'!CG213="X",1,0)</f>
        <v>0</v>
      </c>
      <c r="BZ213" s="15">
        <f>IF('ENCUESTA CONDUCTORES'!CH213="X",1,0)</f>
        <v>1</v>
      </c>
      <c r="CA213" s="15">
        <f>IF('ENCUESTA CONDUCTORES'!CI213="X",1,0)</f>
        <v>1</v>
      </c>
      <c r="CB213" s="15">
        <f>IF('ENCUESTA CONDUCTORES'!CJ213="X",1,0)</f>
        <v>0</v>
      </c>
      <c r="CC213" s="15">
        <f>IF('ENCUESTA CONDUCTORES'!CK213="X",1,0)</f>
        <v>1</v>
      </c>
      <c r="CD213" s="15">
        <f>IF('ENCUESTA CONDUCTORES'!CL213="X",1,0)</f>
        <v>0</v>
      </c>
      <c r="CE213" s="15">
        <f>IF('ENCUESTA CONDUCTORES'!CM213="X",1,0)</f>
        <v>0</v>
      </c>
      <c r="CF213" s="15">
        <f>+'ENCUESTA CONDUCTORES'!CN213</f>
        <v>0</v>
      </c>
      <c r="CG213" s="15">
        <f>IF('ENCUESTA CONDUCTORES'!CO213="X",1,0)</f>
        <v>0</v>
      </c>
      <c r="CH213" s="15" t="str">
        <f>+'ENCUESTA CONDUCTORES'!CP213</f>
        <v>NO SABE</v>
      </c>
      <c r="CI213" s="15" t="str">
        <f>+'ENCUESTA CONDUCTORES'!CQ213</f>
        <v>PUBLICIDAD</v>
      </c>
      <c r="CJ213" s="15">
        <f>IF('ENCUESTA CONDUCTORES'!CR213="X",1,0)</f>
        <v>0</v>
      </c>
      <c r="CK213" s="15">
        <f>IF('ENCUESTA CONDUCTORES'!CS213="X",1,0)</f>
        <v>0</v>
      </c>
      <c r="CL213" s="15">
        <f>IF('ENCUESTA CONDUCTORES'!CT213="X",1,0)</f>
        <v>0</v>
      </c>
      <c r="CM213" s="15" t="str">
        <f>+'ENCUESTA CONDUCTORES'!CU213</f>
        <v>MANEJO A LA DEFENSIVA</v>
      </c>
      <c r="CN213" s="15">
        <f>IF('ENCUESTA CONDUCTORES'!CV213="X",1,0)</f>
        <v>0</v>
      </c>
      <c r="CO213" s="15">
        <f>+'ENCUESTA CONDUCTORES'!CW213</f>
        <v>0</v>
      </c>
      <c r="CP213" s="15">
        <f>IF('ENCUESTA CONDUCTORES'!CX213="X",1,0)</f>
        <v>0</v>
      </c>
      <c r="CQ213" s="15">
        <f>IF('ENCUESTA CONDUCTORES'!CY213="X",1,0)</f>
        <v>1</v>
      </c>
      <c r="CR213" s="3">
        <f>+'ENCUESTA CONDUCTORES'!CZ213</f>
        <v>0</v>
      </c>
      <c r="CS213" s="49">
        <f>+'ENCUESTA CONDUCTORES'!DA213</f>
        <v>0</v>
      </c>
    </row>
    <row r="214" spans="2:97" x14ac:dyDescent="0.25">
      <c r="B214" s="14" t="str">
        <f>+'ENCUESTA CONDUCTORES'!D214</f>
        <v>C-225</v>
      </c>
      <c r="C214" s="15">
        <f>IF('ENCUESTA CONDUCTORES'!E214="X",1,0)</f>
        <v>0</v>
      </c>
      <c r="D214" s="15">
        <f>IF('ENCUESTA CONDUCTORES'!F214="X",1,0)</f>
        <v>0</v>
      </c>
      <c r="E214" s="15">
        <f>IF('ENCUESTA CONDUCTORES'!G214="X",1,0)</f>
        <v>0</v>
      </c>
      <c r="F214" s="15">
        <f>IF('ENCUESTA CONDUCTORES'!H214="X",1,0)</f>
        <v>1</v>
      </c>
      <c r="G214" s="15">
        <f>+'ENCUESTA CONDUCTORES'!I214</f>
        <v>40</v>
      </c>
      <c r="H214" s="15" t="str">
        <f>+'ENCUESTA CONDUCTORES'!J214</f>
        <v>M</v>
      </c>
      <c r="I214" s="15" t="str">
        <f>+'ENCUESTA CONDUCTORES'!K214</f>
        <v>SECUNDARIA</v>
      </c>
      <c r="J214" s="15" t="str">
        <f>+'ENCUESTA CONDUCTORES'!L214</f>
        <v>CUAUTITLÁN, EDO. MEX.</v>
      </c>
      <c r="K214" s="15" t="str">
        <f>+'ENCUESTA CONDUCTORES'!M214</f>
        <v>CUAUTITLÁN</v>
      </c>
      <c r="L214" s="15" t="str">
        <f>+'ENCUESTA CONDUCTORES'!N214</f>
        <v>EDO. MEX.</v>
      </c>
      <c r="M214" s="15">
        <f>+'ENCUESTA CONDUCTORES'!O214</f>
        <v>19</v>
      </c>
      <c r="N214" s="15">
        <f>IF('ENCUESTA CONDUCTORES'!P214="X",1,0)</f>
        <v>0</v>
      </c>
      <c r="O214" s="15">
        <f>IF('ENCUESTA CONDUCTORES'!Q214="X",1,0)</f>
        <v>1</v>
      </c>
      <c r="P214" s="15">
        <f>IF('ENCUESTA CONDUCTORES'!R214="X",1,0)</f>
        <v>0</v>
      </c>
      <c r="Q214" s="15">
        <f>IF('ENCUESTA CONDUCTORES'!S214="X",1,0)</f>
        <v>0</v>
      </c>
      <c r="R214" s="15">
        <f>IF('ENCUESTA CONDUCTORES'!T214="X",1,0)</f>
        <v>0</v>
      </c>
      <c r="S214" s="15">
        <f>IF('ENCUESTA CONDUCTORES'!U214="X",1,0)</f>
        <v>0</v>
      </c>
      <c r="T214" s="15">
        <f>IF('ENCUESTA CONDUCTORES'!V214="X",1,0)</f>
        <v>0</v>
      </c>
      <c r="U214" s="15">
        <f>IF('ENCUESTA CONDUCTORES'!W214="X",1,0)</f>
        <v>0</v>
      </c>
      <c r="V214" s="15">
        <f>IF('ENCUESTA CONDUCTORES'!X214="X",1,0)</f>
        <v>0</v>
      </c>
      <c r="W214" s="15">
        <f>IF('ENCUESTA CONDUCTORES'!Y214="X",1,0)</f>
        <v>0</v>
      </c>
      <c r="X214" s="15">
        <f>IF('ENCUESTA CONDUCTORES'!Z214="X",1,0)</f>
        <v>0</v>
      </c>
      <c r="Y214" s="15">
        <f>+'ENCUESTA CONDUCTORES'!AG214</f>
        <v>0</v>
      </c>
      <c r="Z214" s="15">
        <f>+'ENCUESTA CONDUCTORES'!AH214</f>
        <v>1987</v>
      </c>
      <c r="AA214" s="1" t="str">
        <f>+'ENCUESTA CONDUCTORES'!AI214</f>
        <v>DAÑADO</v>
      </c>
      <c r="AB214" s="15">
        <f>IF('ENCUESTA CONDUCTORES'!AJ214="X",1,0)</f>
        <v>0</v>
      </c>
      <c r="AC214" s="15">
        <f>IF('ENCUESTA CONDUCTORES'!AK214="X",1,0)</f>
        <v>0</v>
      </c>
      <c r="AD214" s="15">
        <f>IF('ENCUESTA CONDUCTORES'!AL214="X",1,0)</f>
        <v>1</v>
      </c>
      <c r="AE214" s="15">
        <f>IF('ENCUESTA CONDUCTORES'!AM214="X",1,0)</f>
        <v>0</v>
      </c>
      <c r="AF214" s="15">
        <f>IF('ENCUESTA CONDUCTORES'!AN214="X",1,0)</f>
        <v>0</v>
      </c>
      <c r="AG214" s="15">
        <f>IF('ENCUESTA CONDUCTORES'!AO214="X",1,0)</f>
        <v>0</v>
      </c>
      <c r="AH214" s="15">
        <f>IF('ENCUESTA CONDUCTORES'!AP214="X",1,0)</f>
        <v>0</v>
      </c>
      <c r="AI214" s="15">
        <f>IF('ENCUESTA CONDUCTORES'!AQ214="X",1,0)</f>
        <v>1</v>
      </c>
      <c r="AJ214" s="15">
        <f>IF('ENCUESTA CONDUCTORES'!AR214="X",1,0)</f>
        <v>0</v>
      </c>
      <c r="AK214" s="15">
        <f>+'ENCUESTA CONDUCTORES'!AS214</f>
        <v>2000</v>
      </c>
      <c r="AL214" s="15" t="str">
        <f>+'ENCUESTA CONDUCTORES'!AT214</f>
        <v>CUMMINS</v>
      </c>
      <c r="AM214" s="1">
        <f>+'ENCUESTA CONDUCTORES'!AU214</f>
        <v>2000</v>
      </c>
      <c r="AN214" s="48">
        <f>+'ENCUESTA CONDUCTORES'!AV214</f>
        <v>0.5</v>
      </c>
      <c r="AO214" s="15">
        <f>+'ENCUESTA CONDUCTORES'!AW214</f>
        <v>3.5</v>
      </c>
      <c r="AP214" s="15">
        <f>+'ENCUESTA CONDUCTORES'!AX214</f>
        <v>3</v>
      </c>
      <c r="AQ214" s="15">
        <f>+'ENCUESTA CONDUCTORES'!AY214</f>
        <v>1</v>
      </c>
      <c r="AR214" s="15">
        <f>+'ENCUESTA CONDUCTORES'!AZ214</f>
        <v>600</v>
      </c>
      <c r="AS214" s="15">
        <f>+'ENCUESTA CONDUCTORES'!BA214</f>
        <v>2000</v>
      </c>
      <c r="AT214" s="15">
        <f>IF('ENCUESTA CONDUCTORES'!BB214="X",1,0)</f>
        <v>0</v>
      </c>
      <c r="AU214" s="15">
        <f>IF('ENCUESTA CONDUCTORES'!BC214="X",1,0)</f>
        <v>1</v>
      </c>
      <c r="AV214" s="15">
        <f>IF('ENCUESTA CONDUCTORES'!BD214="X",1,0)</f>
        <v>0</v>
      </c>
      <c r="AW214" s="1">
        <f>+'ENCUESTA CONDUCTORES'!BE214</f>
        <v>10000</v>
      </c>
      <c r="AX214" s="1" t="str">
        <f>+'ENCUESTA CONDUCTORES'!BF214</f>
        <v>NO SABE</v>
      </c>
      <c r="AY214" s="1">
        <f>+'ENCUESTA CONDUCTORES'!BG214</f>
        <v>12000</v>
      </c>
      <c r="AZ214" s="1">
        <f>+'ENCUESTA CONDUCTORES'!BH214</f>
        <v>200000</v>
      </c>
      <c r="BA214" s="1">
        <f>+'ENCUESTA CONDUCTORES'!BI214</f>
        <v>12000</v>
      </c>
      <c r="BB214" s="15">
        <f>IF('ENCUESTA CONDUCTORES'!BJ214="X",1,0)</f>
        <v>0</v>
      </c>
      <c r="BC214" s="15">
        <f>IF('ENCUESTA CONDUCTORES'!BK214="X",1,0)</f>
        <v>0</v>
      </c>
      <c r="BD214" s="15">
        <f>IF('ENCUESTA CONDUCTORES'!BL214="X",1,0)</f>
        <v>0</v>
      </c>
      <c r="BE214" s="15">
        <f>IF('ENCUESTA CONDUCTORES'!BM214="X",1,0)</f>
        <v>1</v>
      </c>
      <c r="BF214" s="15">
        <f>IF('ENCUESTA CONDUCTORES'!BN214="X",1,0)</f>
        <v>1</v>
      </c>
      <c r="BG214" s="15">
        <f>IF('ENCUESTA CONDUCTORES'!BO214="X",1,0)</f>
        <v>0</v>
      </c>
      <c r="BH214" s="15">
        <f>IF('ENCUESTA CONDUCTORES'!BP214="X",1,0)</f>
        <v>0</v>
      </c>
      <c r="BI214" s="15">
        <f>IF('ENCUESTA CONDUCTORES'!BQ214="X",1,0)</f>
        <v>0</v>
      </c>
      <c r="BJ214" s="15">
        <f>IF('ENCUESTA CONDUCTORES'!BR214="X",1,0)</f>
        <v>0</v>
      </c>
      <c r="BK214" s="15">
        <f>+'ENCUESTA CONDUCTORES'!BS214</f>
        <v>0</v>
      </c>
      <c r="BL214" s="15">
        <f>IF('ENCUESTA CONDUCTORES'!BT214="X",1,0)</f>
        <v>0</v>
      </c>
      <c r="BM214" s="15">
        <f>IF('ENCUESTA CONDUCTORES'!BU214="X",1,0)</f>
        <v>1</v>
      </c>
      <c r="BN214" s="15">
        <f>IF('ENCUESTA CONDUCTORES'!BV214="X",1,0)</f>
        <v>0</v>
      </c>
      <c r="BO214" s="15">
        <f>IF('ENCUESTA CONDUCTORES'!BW214="X",1,0)</f>
        <v>0</v>
      </c>
      <c r="BP214" s="15">
        <f>+'ENCUESTA CONDUCTORES'!BX214</f>
        <v>2</v>
      </c>
      <c r="BQ214" s="15">
        <f>+'ENCUESTA CONDUCTORES'!BY214</f>
        <v>4</v>
      </c>
      <c r="BR214" s="15">
        <f>+'ENCUESTA CONDUCTORES'!BZ214</f>
        <v>3</v>
      </c>
      <c r="BS214" s="15" t="str">
        <f>+'ENCUESTA CONDUCTORES'!CA214</f>
        <v>SEGURIDAD</v>
      </c>
      <c r="BT214" s="15">
        <f>IF('ENCUESTA CONDUCTORES'!CB214="X",1,0)</f>
        <v>1</v>
      </c>
      <c r="BU214" s="15">
        <f>IF('ENCUESTA CONDUCTORES'!CC214="X",1,0)</f>
        <v>0</v>
      </c>
      <c r="BV214" s="15">
        <f>IF('ENCUESTA CONDUCTORES'!CD214="X",1,0)</f>
        <v>0</v>
      </c>
      <c r="BW214" s="15">
        <f>IF('ENCUESTA CONDUCTORES'!CE214="X",1,0)</f>
        <v>0</v>
      </c>
      <c r="BX214" s="15">
        <f>IF('ENCUESTA CONDUCTORES'!CF214="X",1,0)</f>
        <v>0</v>
      </c>
      <c r="BY214" s="15">
        <f>IF('ENCUESTA CONDUCTORES'!CG214="X",1,0)</f>
        <v>0</v>
      </c>
      <c r="BZ214" s="15">
        <f>IF('ENCUESTA CONDUCTORES'!CH214="X",1,0)</f>
        <v>0</v>
      </c>
      <c r="CA214" s="15">
        <f>IF('ENCUESTA CONDUCTORES'!CI214="X",1,0)</f>
        <v>0</v>
      </c>
      <c r="CB214" s="15">
        <f>IF('ENCUESTA CONDUCTORES'!CJ214="X",1,0)</f>
        <v>0</v>
      </c>
      <c r="CC214" s="15">
        <f>IF('ENCUESTA CONDUCTORES'!CK214="X",1,0)</f>
        <v>0</v>
      </c>
      <c r="CD214" s="15">
        <f>IF('ENCUESTA CONDUCTORES'!CL214="X",1,0)</f>
        <v>1</v>
      </c>
      <c r="CE214" s="15">
        <f>IF('ENCUESTA CONDUCTORES'!CM214="X",1,0)</f>
        <v>1</v>
      </c>
      <c r="CF214" s="15" t="str">
        <f>+'ENCUESTA CONDUCTORES'!CN214</f>
        <v>POR TIEMPO</v>
      </c>
      <c r="CG214" s="15">
        <f>IF('ENCUESTA CONDUCTORES'!CO214="X",1,0)</f>
        <v>0</v>
      </c>
      <c r="CH214" s="15" t="str">
        <f>+'ENCUESTA CONDUCTORES'!CP214</f>
        <v>ES BUENO</v>
      </c>
      <c r="CI214" s="15" t="str">
        <f>+'ENCUESTA CONDUCTORES'!CQ214</f>
        <v>MAYOR INFORMACION</v>
      </c>
      <c r="CJ214" s="15">
        <f>IF('ENCUESTA CONDUCTORES'!CR214="X",1,0)</f>
        <v>1</v>
      </c>
      <c r="CK214" s="15">
        <f>IF('ENCUESTA CONDUCTORES'!CS214="X",1,0)</f>
        <v>0</v>
      </c>
      <c r="CL214" s="15">
        <f>IF('ENCUESTA CONDUCTORES'!CT214="X",1,0)</f>
        <v>0</v>
      </c>
      <c r="CM214" s="15">
        <f>+'ENCUESTA CONDUCTORES'!CU214</f>
        <v>0</v>
      </c>
      <c r="CN214" s="15">
        <f>IF('ENCUESTA CONDUCTORES'!CV214="X",1,0)</f>
        <v>0</v>
      </c>
      <c r="CO214" s="15">
        <f>+'ENCUESTA CONDUCTORES'!CW214</f>
        <v>0</v>
      </c>
      <c r="CP214" s="15">
        <f>IF('ENCUESTA CONDUCTORES'!CX214="X",1,0)</f>
        <v>0</v>
      </c>
      <c r="CQ214" s="15">
        <f>IF('ENCUESTA CONDUCTORES'!CY214="X",1,0)</f>
        <v>1</v>
      </c>
      <c r="CR214" s="3">
        <f>+'ENCUESTA CONDUCTORES'!CZ214</f>
        <v>0</v>
      </c>
      <c r="CS214" s="49">
        <f>+'ENCUESTA CONDUCTORES'!DA214</f>
        <v>0</v>
      </c>
    </row>
    <row r="215" spans="2:97" x14ac:dyDescent="0.25">
      <c r="B215" s="14" t="str">
        <f>+'ENCUESTA CONDUCTORES'!D215</f>
        <v>C-226</v>
      </c>
      <c r="C215" s="15">
        <f>IF('ENCUESTA CONDUCTORES'!E215="X",1,0)</f>
        <v>0</v>
      </c>
      <c r="D215" s="15">
        <f>IF('ENCUESTA CONDUCTORES'!F215="X",1,0)</f>
        <v>0</v>
      </c>
      <c r="E215" s="15">
        <f>IF('ENCUESTA CONDUCTORES'!G215="X",1,0)</f>
        <v>1</v>
      </c>
      <c r="F215" s="15">
        <f>IF('ENCUESTA CONDUCTORES'!H215="X",1,0)</f>
        <v>0</v>
      </c>
      <c r="G215" s="15">
        <f>+'ENCUESTA CONDUCTORES'!I215</f>
        <v>45</v>
      </c>
      <c r="H215" s="15" t="str">
        <f>+'ENCUESTA CONDUCTORES'!J215</f>
        <v>M</v>
      </c>
      <c r="I215" s="15" t="str">
        <f>+'ENCUESTA CONDUCTORES'!K215</f>
        <v>BACHILLERATO</v>
      </c>
      <c r="J215" s="15" t="str">
        <f>+'ENCUESTA CONDUCTORES'!L215</f>
        <v>NEZAHUALCÓYOTL, EDO. MEX.</v>
      </c>
      <c r="K215" s="15" t="str">
        <f>+'ENCUESTA CONDUCTORES'!M215</f>
        <v>NEZAHUALCÓYOTL</v>
      </c>
      <c r="L215" s="15" t="str">
        <f>+'ENCUESTA CONDUCTORES'!N215</f>
        <v>EDO. MEX.</v>
      </c>
      <c r="M215" s="15">
        <f>+'ENCUESTA CONDUCTORES'!O215</f>
        <v>15</v>
      </c>
      <c r="N215" s="15">
        <f>IF('ENCUESTA CONDUCTORES'!P215="X",1,0)</f>
        <v>1</v>
      </c>
      <c r="O215" s="15">
        <f>IF('ENCUESTA CONDUCTORES'!Q215="X",1,0)</f>
        <v>0</v>
      </c>
      <c r="P215" s="15">
        <f>IF('ENCUESTA CONDUCTORES'!R215="X",1,0)</f>
        <v>0</v>
      </c>
      <c r="Q215" s="15">
        <f>IF('ENCUESTA CONDUCTORES'!S215="X",1,0)</f>
        <v>0</v>
      </c>
      <c r="R215" s="15">
        <f>IF('ENCUESTA CONDUCTORES'!T215="X",1,0)</f>
        <v>0</v>
      </c>
      <c r="S215" s="15">
        <f>IF('ENCUESTA CONDUCTORES'!U215="X",1,0)</f>
        <v>0</v>
      </c>
      <c r="T215" s="15">
        <f>IF('ENCUESTA CONDUCTORES'!V215="X",1,0)</f>
        <v>0</v>
      </c>
      <c r="U215" s="15">
        <f>IF('ENCUESTA CONDUCTORES'!W215="X",1,0)</f>
        <v>0</v>
      </c>
      <c r="V215" s="15">
        <f>IF('ENCUESTA CONDUCTORES'!X215="X",1,0)</f>
        <v>0</v>
      </c>
      <c r="W215" s="15">
        <f>IF('ENCUESTA CONDUCTORES'!Y215="X",1,0)</f>
        <v>0</v>
      </c>
      <c r="X215" s="15">
        <f>IF('ENCUESTA CONDUCTORES'!Z215="X",1,0)</f>
        <v>0</v>
      </c>
      <c r="Y215" s="15">
        <f>+'ENCUESTA CONDUCTORES'!AG215</f>
        <v>0</v>
      </c>
      <c r="Z215" s="15">
        <f>+'ENCUESTA CONDUCTORES'!AH215</f>
        <v>1978</v>
      </c>
      <c r="AA215" s="1">
        <f>+'ENCUESTA CONDUCTORES'!AI215</f>
        <v>1500000</v>
      </c>
      <c r="AB215" s="15">
        <f>IF('ENCUESTA CONDUCTORES'!AJ215="X",1,0)</f>
        <v>0</v>
      </c>
      <c r="AC215" s="15">
        <f>IF('ENCUESTA CONDUCTORES'!AK215="X",1,0)</f>
        <v>0</v>
      </c>
      <c r="AD215" s="15">
        <f>IF('ENCUESTA CONDUCTORES'!AL215="X",1,0)</f>
        <v>1</v>
      </c>
      <c r="AE215" s="15">
        <f>IF('ENCUESTA CONDUCTORES'!AM215="X",1,0)</f>
        <v>0</v>
      </c>
      <c r="AF215" s="15">
        <f>IF('ENCUESTA CONDUCTORES'!AN215="X",1,0)</f>
        <v>0</v>
      </c>
      <c r="AG215" s="15">
        <f>IF('ENCUESTA CONDUCTORES'!AO215="X",1,0)</f>
        <v>0</v>
      </c>
      <c r="AH215" s="15">
        <f>IF('ENCUESTA CONDUCTORES'!AP215="X",1,0)</f>
        <v>1</v>
      </c>
      <c r="AI215" s="15">
        <f>IF('ENCUESTA CONDUCTORES'!AQ215="X",1,0)</f>
        <v>0</v>
      </c>
      <c r="AJ215" s="15">
        <f>IF('ENCUESTA CONDUCTORES'!AR215="X",1,0)</f>
        <v>1</v>
      </c>
      <c r="AK215" s="15">
        <f>+'ENCUESTA CONDUCTORES'!AS215</f>
        <v>1990</v>
      </c>
      <c r="AL215" s="15" t="str">
        <f>+'ENCUESTA CONDUCTORES'!AT215</f>
        <v>DINA</v>
      </c>
      <c r="AM215" s="1">
        <f>+'ENCUESTA CONDUCTORES'!AU215</f>
        <v>3500</v>
      </c>
      <c r="AN215" s="48">
        <f>+'ENCUESTA CONDUCTORES'!AV215</f>
        <v>0.2</v>
      </c>
      <c r="AO215" s="15">
        <f>+'ENCUESTA CONDUCTORES'!AW215</f>
        <v>3</v>
      </c>
      <c r="AP215" s="15">
        <f>+'ENCUESTA CONDUCTORES'!AX215</f>
        <v>2.5</v>
      </c>
      <c r="AQ215" s="15">
        <f>+'ENCUESTA CONDUCTORES'!AY215</f>
        <v>2</v>
      </c>
      <c r="AR215" s="15">
        <f>+'ENCUESTA CONDUCTORES'!AZ215</f>
        <v>430</v>
      </c>
      <c r="AS215" s="15">
        <f>+'ENCUESTA CONDUCTORES'!BA215</f>
        <v>1200</v>
      </c>
      <c r="AT215" s="15">
        <f>IF('ENCUESTA CONDUCTORES'!BB215="X",1,0)</f>
        <v>0</v>
      </c>
      <c r="AU215" s="15">
        <f>IF('ENCUESTA CONDUCTORES'!BC215="X",1,0)</f>
        <v>0</v>
      </c>
      <c r="AV215" s="15">
        <f>IF('ENCUESTA CONDUCTORES'!BD215="X",1,0)</f>
        <v>0</v>
      </c>
      <c r="AW215" s="1">
        <f>+'ENCUESTA CONDUCTORES'!BE215</f>
        <v>10000</v>
      </c>
      <c r="AX215" s="1">
        <f>+'ENCUESTA CONDUCTORES'!BF215</f>
        <v>21000</v>
      </c>
      <c r="AY215" s="1">
        <f>+'ENCUESTA CONDUCTORES'!BG215</f>
        <v>12000</v>
      </c>
      <c r="AZ215" s="1">
        <f>+'ENCUESTA CONDUCTORES'!BH215</f>
        <v>84000</v>
      </c>
      <c r="BA215" s="1">
        <f>+'ENCUESTA CONDUCTORES'!BI215</f>
        <v>12000</v>
      </c>
      <c r="BB215" s="15">
        <f>IF('ENCUESTA CONDUCTORES'!BJ215="X",1,0)</f>
        <v>0</v>
      </c>
      <c r="BC215" s="15">
        <f>IF('ENCUESTA CONDUCTORES'!BK215="X",1,0)</f>
        <v>0</v>
      </c>
      <c r="BD215" s="15">
        <f>IF('ENCUESTA CONDUCTORES'!BL215="X",1,0)</f>
        <v>0</v>
      </c>
      <c r="BE215" s="15">
        <f>IF('ENCUESTA CONDUCTORES'!BM215="X",1,0)</f>
        <v>1</v>
      </c>
      <c r="BF215" s="15">
        <f>IF('ENCUESTA CONDUCTORES'!BN215="X",1,0)</f>
        <v>0</v>
      </c>
      <c r="BG215" s="15">
        <f>IF('ENCUESTA CONDUCTORES'!BO215="X",1,0)</f>
        <v>0</v>
      </c>
      <c r="BH215" s="15">
        <f>IF('ENCUESTA CONDUCTORES'!BP215="X",1,0)</f>
        <v>0</v>
      </c>
      <c r="BI215" s="15">
        <f>IF('ENCUESTA CONDUCTORES'!BQ215="X",1,0)</f>
        <v>0</v>
      </c>
      <c r="BJ215" s="15">
        <f>IF('ENCUESTA CONDUCTORES'!BR215="X",1,0)</f>
        <v>0</v>
      </c>
      <c r="BK215" s="15">
        <f>+'ENCUESTA CONDUCTORES'!BS215</f>
        <v>0</v>
      </c>
      <c r="BL215" s="15">
        <f>IF('ENCUESTA CONDUCTORES'!BT215="X",1,0)</f>
        <v>0</v>
      </c>
      <c r="BM215" s="15">
        <f>IF('ENCUESTA CONDUCTORES'!BU215="X",1,0)</f>
        <v>1</v>
      </c>
      <c r="BN215" s="15">
        <f>IF('ENCUESTA CONDUCTORES'!BV215="X",1,0)</f>
        <v>0</v>
      </c>
      <c r="BO215" s="15">
        <f>IF('ENCUESTA CONDUCTORES'!BW215="X",1,0)</f>
        <v>0</v>
      </c>
      <c r="BP215" s="15">
        <f>+'ENCUESTA CONDUCTORES'!BX215</f>
        <v>2</v>
      </c>
      <c r="BQ215" s="15">
        <f>+'ENCUESTA CONDUCTORES'!BY215</f>
        <v>4</v>
      </c>
      <c r="BR215" s="15">
        <f>+'ENCUESTA CONDUCTORES'!BZ215</f>
        <v>3</v>
      </c>
      <c r="BS215" s="15" t="str">
        <f>+'ENCUESTA CONDUCTORES'!CA215</f>
        <v>SEGURIDAD</v>
      </c>
      <c r="BT215" s="15">
        <f>IF('ENCUESTA CONDUCTORES'!CB215="X",1,0)</f>
        <v>0</v>
      </c>
      <c r="BU215" s="15">
        <f>IF('ENCUESTA CONDUCTORES'!CC215="X",1,0)</f>
        <v>1</v>
      </c>
      <c r="BV215" s="15">
        <f>IF('ENCUESTA CONDUCTORES'!CD215="X",1,0)</f>
        <v>0</v>
      </c>
      <c r="BW215" s="15">
        <f>IF('ENCUESTA CONDUCTORES'!CE215="X",1,0)</f>
        <v>0</v>
      </c>
      <c r="BX215" s="15">
        <f>IF('ENCUESTA CONDUCTORES'!CF215="X",1,0)</f>
        <v>0</v>
      </c>
      <c r="BY215" s="15">
        <f>IF('ENCUESTA CONDUCTORES'!CG215="X",1,0)</f>
        <v>0</v>
      </c>
      <c r="BZ215" s="15">
        <f>IF('ENCUESTA CONDUCTORES'!CH215="X",1,0)</f>
        <v>1</v>
      </c>
      <c r="CA215" s="15">
        <f>IF('ENCUESTA CONDUCTORES'!CI215="X",1,0)</f>
        <v>1</v>
      </c>
      <c r="CB215" s="15">
        <f>IF('ENCUESTA CONDUCTORES'!CJ215="X",1,0)</f>
        <v>0</v>
      </c>
      <c r="CC215" s="15">
        <f>IF('ENCUESTA CONDUCTORES'!CK215="X",1,0)</f>
        <v>1</v>
      </c>
      <c r="CD215" s="15">
        <f>IF('ENCUESTA CONDUCTORES'!CL215="X",1,0)</f>
        <v>0</v>
      </c>
      <c r="CE215" s="15">
        <f>IF('ENCUESTA CONDUCTORES'!CM215="X",1,0)</f>
        <v>0</v>
      </c>
      <c r="CF215" s="15">
        <f>+'ENCUESTA CONDUCTORES'!CN215</f>
        <v>0</v>
      </c>
      <c r="CG215" s="15">
        <f>IF('ENCUESTA CONDUCTORES'!CO215="X",1,0)</f>
        <v>0</v>
      </c>
      <c r="CH215" s="15" t="str">
        <f>+'ENCUESTA CONDUCTORES'!CP215</f>
        <v>NO SABE</v>
      </c>
      <c r="CI215" s="15" t="str">
        <f>+'ENCUESTA CONDUCTORES'!CQ215</f>
        <v>PUBLICIDAD</v>
      </c>
      <c r="CJ215" s="15">
        <f>IF('ENCUESTA CONDUCTORES'!CR215="X",1,0)</f>
        <v>0</v>
      </c>
      <c r="CK215" s="15">
        <f>IF('ENCUESTA CONDUCTORES'!CS215="X",1,0)</f>
        <v>1</v>
      </c>
      <c r="CL215" s="15">
        <f>IF('ENCUESTA CONDUCTORES'!CT215="X",1,0)</f>
        <v>1</v>
      </c>
      <c r="CM215" s="15">
        <f>+'ENCUESTA CONDUCTORES'!CU215</f>
        <v>0</v>
      </c>
      <c r="CN215" s="15">
        <f>IF('ENCUESTA CONDUCTORES'!CV215="X",1,0)</f>
        <v>1</v>
      </c>
      <c r="CO215" s="15" t="str">
        <f>+'ENCUESTA CONDUCTORES'!CW215</f>
        <v>NO TIENE TIEMPO</v>
      </c>
      <c r="CP215" s="15">
        <f>IF('ENCUESTA CONDUCTORES'!CX215="X",1,0)</f>
        <v>0</v>
      </c>
      <c r="CQ215" s="15">
        <f>IF('ENCUESTA CONDUCTORES'!CY215="X",1,0)</f>
        <v>0</v>
      </c>
      <c r="CR215" s="3">
        <f>+'ENCUESTA CONDUCTORES'!CZ215</f>
        <v>0</v>
      </c>
      <c r="CS215" s="49">
        <f>+'ENCUESTA CONDUCTORES'!DA215</f>
        <v>0</v>
      </c>
    </row>
    <row r="216" spans="2:97" x14ac:dyDescent="0.25">
      <c r="B216" s="14" t="str">
        <f>+'ENCUESTA CONDUCTORES'!D216</f>
        <v>C-227</v>
      </c>
      <c r="C216" s="15">
        <f>IF('ENCUESTA CONDUCTORES'!E216="X",1,0)</f>
        <v>1</v>
      </c>
      <c r="D216" s="15">
        <f>IF('ENCUESTA CONDUCTORES'!F216="X",1,0)</f>
        <v>0</v>
      </c>
      <c r="E216" s="15">
        <f>IF('ENCUESTA CONDUCTORES'!G216="X",1,0)</f>
        <v>0</v>
      </c>
      <c r="F216" s="15">
        <f>IF('ENCUESTA CONDUCTORES'!H216="X",1,0)</f>
        <v>0</v>
      </c>
      <c r="G216" s="15">
        <f>+'ENCUESTA CONDUCTORES'!I216</f>
        <v>38</v>
      </c>
      <c r="H216" s="15" t="str">
        <f>+'ENCUESTA CONDUCTORES'!J216</f>
        <v>M</v>
      </c>
      <c r="I216" s="15" t="str">
        <f>+'ENCUESTA CONDUCTORES'!K216</f>
        <v>PREPARATORIA</v>
      </c>
      <c r="J216" s="15" t="str">
        <f>+'ENCUESTA CONDUCTORES'!L216</f>
        <v>COACALCO, EDO. MEX</v>
      </c>
      <c r="K216" s="15" t="str">
        <f>+'ENCUESTA CONDUCTORES'!M216</f>
        <v>COACALCO</v>
      </c>
      <c r="L216" s="15" t="str">
        <f>+'ENCUESTA CONDUCTORES'!N216</f>
        <v>EDO. MEX.</v>
      </c>
      <c r="M216" s="15">
        <f>+'ENCUESTA CONDUCTORES'!O216</f>
        <v>10</v>
      </c>
      <c r="N216" s="15">
        <f>IF('ENCUESTA CONDUCTORES'!P216="X",1,0)</f>
        <v>0</v>
      </c>
      <c r="O216" s="15">
        <f>IF('ENCUESTA CONDUCTORES'!Q216="X",1,0)</f>
        <v>0</v>
      </c>
      <c r="P216" s="15">
        <f>IF('ENCUESTA CONDUCTORES'!R216="X",1,0)</f>
        <v>0</v>
      </c>
      <c r="Q216" s="15">
        <f>IF('ENCUESTA CONDUCTORES'!S216="X",1,0)</f>
        <v>1</v>
      </c>
      <c r="R216" s="15">
        <f>IF('ENCUESTA CONDUCTORES'!T216="X",1,0)</f>
        <v>0</v>
      </c>
      <c r="S216" s="15">
        <f>IF('ENCUESTA CONDUCTORES'!U216="X",1,0)</f>
        <v>1</v>
      </c>
      <c r="T216" s="15">
        <f>IF('ENCUESTA CONDUCTORES'!V216="X",1,0)</f>
        <v>0</v>
      </c>
      <c r="U216" s="15">
        <f>IF('ENCUESTA CONDUCTORES'!W216="X",1,0)</f>
        <v>0</v>
      </c>
      <c r="V216" s="15">
        <f>IF('ENCUESTA CONDUCTORES'!X216="X",1,0)</f>
        <v>0</v>
      </c>
      <c r="W216" s="15">
        <f>IF('ENCUESTA CONDUCTORES'!Y216="X",1,0)</f>
        <v>0</v>
      </c>
      <c r="X216" s="15">
        <f>IF('ENCUESTA CONDUCTORES'!Z216="X",1,0)</f>
        <v>0</v>
      </c>
      <c r="Y216" s="15">
        <f>+'ENCUESTA CONDUCTORES'!AG216</f>
        <v>0</v>
      </c>
      <c r="Z216" s="15">
        <f>+'ENCUESTA CONDUCTORES'!AH216</f>
        <v>2009</v>
      </c>
      <c r="AA216" s="1">
        <f>+'ENCUESTA CONDUCTORES'!AI216</f>
        <v>500000</v>
      </c>
      <c r="AB216" s="15">
        <f>IF('ENCUESTA CONDUCTORES'!AJ216="X",1,0)</f>
        <v>0</v>
      </c>
      <c r="AC216" s="15">
        <f>IF('ENCUESTA CONDUCTORES'!AK216="X",1,0)</f>
        <v>0</v>
      </c>
      <c r="AD216" s="15">
        <f>IF('ENCUESTA CONDUCTORES'!AL216="X",1,0)</f>
        <v>1</v>
      </c>
      <c r="AE216" s="15">
        <f>IF('ENCUESTA CONDUCTORES'!AM216="X",1,0)</f>
        <v>0</v>
      </c>
      <c r="AF216" s="15">
        <f>IF('ENCUESTA CONDUCTORES'!AN216="X",1,0)</f>
        <v>0</v>
      </c>
      <c r="AG216" s="15">
        <f>IF('ENCUESTA CONDUCTORES'!AO216="X",1,0)</f>
        <v>0</v>
      </c>
      <c r="AH216" s="15">
        <f>IF('ENCUESTA CONDUCTORES'!AP216="X",1,0)</f>
        <v>1</v>
      </c>
      <c r="AI216" s="15">
        <f>IF('ENCUESTA CONDUCTORES'!AQ216="X",1,0)</f>
        <v>0</v>
      </c>
      <c r="AJ216" s="15">
        <f>IF('ENCUESTA CONDUCTORES'!AR216="X",1,0)</f>
        <v>0</v>
      </c>
      <c r="AK216" s="15">
        <f>+'ENCUESTA CONDUCTORES'!AS216</f>
        <v>0</v>
      </c>
      <c r="AL216" s="15" t="str">
        <f>+'ENCUESTA CONDUCTORES'!AT216</f>
        <v>INTERNATIONAL</v>
      </c>
      <c r="AM216" s="1">
        <f>+'ENCUESTA CONDUCTORES'!AU216</f>
        <v>10000</v>
      </c>
      <c r="AN216" s="48">
        <f>+'ENCUESTA CONDUCTORES'!AV216</f>
        <v>0.5</v>
      </c>
      <c r="AO216" s="15">
        <f>+'ENCUESTA CONDUCTORES'!AW216</f>
        <v>3</v>
      </c>
      <c r="AP216" s="15">
        <f>+'ENCUESTA CONDUCTORES'!AX216</f>
        <v>2.5</v>
      </c>
      <c r="AQ216" s="15">
        <f>+'ENCUESTA CONDUCTORES'!AY216</f>
        <v>3</v>
      </c>
      <c r="AR216" s="15">
        <f>+'ENCUESTA CONDUCTORES'!AZ216</f>
        <v>1100</v>
      </c>
      <c r="AS216" s="15">
        <f>+'ENCUESTA CONDUCTORES'!BA216</f>
        <v>3000</v>
      </c>
      <c r="AT216" s="15">
        <f>IF('ENCUESTA CONDUCTORES'!BB216="X",1,0)</f>
        <v>0</v>
      </c>
      <c r="AU216" s="15">
        <f>IF('ENCUESTA CONDUCTORES'!BC216="X",1,0)</f>
        <v>1</v>
      </c>
      <c r="AV216" s="15">
        <f>IF('ENCUESTA CONDUCTORES'!BD216="X",1,0)</f>
        <v>0</v>
      </c>
      <c r="AW216" s="1">
        <f>+'ENCUESTA CONDUCTORES'!BE216</f>
        <v>8000</v>
      </c>
      <c r="AX216" s="1">
        <f>+'ENCUESTA CONDUCTORES'!BF216</f>
        <v>80000</v>
      </c>
      <c r="AY216" s="1">
        <f>+'ENCUESTA CONDUCTORES'!BG216</f>
        <v>20000</v>
      </c>
      <c r="AZ216" s="1">
        <f>+'ENCUESTA CONDUCTORES'!BH216</f>
        <v>200000</v>
      </c>
      <c r="BA216" s="1">
        <f>+'ENCUESTA CONDUCTORES'!BI216</f>
        <v>20000</v>
      </c>
      <c r="BB216" s="15">
        <f>IF('ENCUESTA CONDUCTORES'!BJ216="X",1,0)</f>
        <v>0</v>
      </c>
      <c r="BC216" s="15">
        <f>IF('ENCUESTA CONDUCTORES'!BK216="X",1,0)</f>
        <v>0</v>
      </c>
      <c r="BD216" s="15">
        <f>IF('ENCUESTA CONDUCTORES'!BL216="X",1,0)</f>
        <v>0</v>
      </c>
      <c r="BE216" s="15">
        <f>IF('ENCUESTA CONDUCTORES'!BM216="X",1,0)</f>
        <v>0</v>
      </c>
      <c r="BF216" s="15">
        <f>IF('ENCUESTA CONDUCTORES'!BN216="X",1,0)</f>
        <v>1</v>
      </c>
      <c r="BG216" s="15">
        <f>IF('ENCUESTA CONDUCTORES'!BO216="X",1,0)</f>
        <v>0</v>
      </c>
      <c r="BH216" s="15">
        <f>IF('ENCUESTA CONDUCTORES'!BP216="X",1,0)</f>
        <v>0</v>
      </c>
      <c r="BI216" s="15">
        <f>IF('ENCUESTA CONDUCTORES'!BQ216="X",1,0)</f>
        <v>0</v>
      </c>
      <c r="BJ216" s="15">
        <f>IF('ENCUESTA CONDUCTORES'!BR216="X",1,0)</f>
        <v>0</v>
      </c>
      <c r="BK216" s="15">
        <f>+'ENCUESTA CONDUCTORES'!BS216</f>
        <v>0</v>
      </c>
      <c r="BL216" s="15">
        <f>IF('ENCUESTA CONDUCTORES'!BT216="X",1,0)</f>
        <v>0</v>
      </c>
      <c r="BM216" s="15">
        <f>IF('ENCUESTA CONDUCTORES'!BU216="X",1,0)</f>
        <v>1</v>
      </c>
      <c r="BN216" s="15">
        <f>IF('ENCUESTA CONDUCTORES'!BV216="X",1,0)</f>
        <v>0</v>
      </c>
      <c r="BO216" s="15">
        <f>IF('ENCUESTA CONDUCTORES'!BW216="X",1,0)</f>
        <v>0</v>
      </c>
      <c r="BP216" s="15">
        <f>+'ENCUESTA CONDUCTORES'!BX216</f>
        <v>2</v>
      </c>
      <c r="BQ216" s="15">
        <f>+'ENCUESTA CONDUCTORES'!BY216</f>
        <v>4</v>
      </c>
      <c r="BR216" s="15">
        <f>+'ENCUESTA CONDUCTORES'!BZ216</f>
        <v>3</v>
      </c>
      <c r="BS216" s="15" t="str">
        <f>+'ENCUESTA CONDUCTORES'!CA216</f>
        <v>SEGURIDAD</v>
      </c>
      <c r="BT216" s="15">
        <f>IF('ENCUESTA CONDUCTORES'!CB216="X",1,0)</f>
        <v>0</v>
      </c>
      <c r="BU216" s="15">
        <f>IF('ENCUESTA CONDUCTORES'!CC216="X",1,0)</f>
        <v>1</v>
      </c>
      <c r="BV216" s="15">
        <f>IF('ENCUESTA CONDUCTORES'!CD216="X",1,0)</f>
        <v>0</v>
      </c>
      <c r="BW216" s="15">
        <f>IF('ENCUESTA CONDUCTORES'!CE216="X",1,0)</f>
        <v>0</v>
      </c>
      <c r="BX216" s="15">
        <f>IF('ENCUESTA CONDUCTORES'!CF216="X",1,0)</f>
        <v>0</v>
      </c>
      <c r="BY216" s="15">
        <f>IF('ENCUESTA CONDUCTORES'!CG216="X",1,0)</f>
        <v>0</v>
      </c>
      <c r="BZ216" s="15">
        <f>IF('ENCUESTA CONDUCTORES'!CH216="X",1,0)</f>
        <v>1</v>
      </c>
      <c r="CA216" s="15">
        <f>IF('ENCUESTA CONDUCTORES'!CI216="X",1,0)</f>
        <v>1</v>
      </c>
      <c r="CB216" s="15">
        <f>IF('ENCUESTA CONDUCTORES'!CJ216="X",1,0)</f>
        <v>0</v>
      </c>
      <c r="CC216" s="15">
        <f>IF('ENCUESTA CONDUCTORES'!CK216="X",1,0)</f>
        <v>0</v>
      </c>
      <c r="CD216" s="15">
        <f>IF('ENCUESTA CONDUCTORES'!CL216="X",1,0)</f>
        <v>1</v>
      </c>
      <c r="CE216" s="15">
        <f>IF('ENCUESTA CONDUCTORES'!CM216="X",1,0)</f>
        <v>1</v>
      </c>
      <c r="CF216" s="15" t="str">
        <f>+'ENCUESTA CONDUCTORES'!CN216</f>
        <v>NO LE INTERESA</v>
      </c>
      <c r="CG216" s="15">
        <f>IF('ENCUESTA CONDUCTORES'!CO216="X",1,0)</f>
        <v>0</v>
      </c>
      <c r="CH216" s="15" t="str">
        <f>+'ENCUESTA CONDUCTORES'!CP216</f>
        <v>NO SABE</v>
      </c>
      <c r="CI216" s="15" t="str">
        <f>+'ENCUESTA CONDUCTORES'!CQ216</f>
        <v>PUBLICIDAD</v>
      </c>
      <c r="CJ216" s="15">
        <f>IF('ENCUESTA CONDUCTORES'!CR216="X",1,0)</f>
        <v>0</v>
      </c>
      <c r="CK216" s="15">
        <f>IF('ENCUESTA CONDUCTORES'!CS216="X",1,0)</f>
        <v>1</v>
      </c>
      <c r="CL216" s="15">
        <f>IF('ENCUESTA CONDUCTORES'!CT216="X",1,0)</f>
        <v>1</v>
      </c>
      <c r="CM216" s="15">
        <f>+'ENCUESTA CONDUCTORES'!CU216</f>
        <v>0</v>
      </c>
      <c r="CN216" s="15">
        <f>IF('ENCUESTA CONDUCTORES'!CV216="X",1,0)</f>
        <v>1</v>
      </c>
      <c r="CO216" s="15" t="str">
        <f>+'ENCUESTA CONDUCTORES'!CW216</f>
        <v>NO TIENE TIEMPO</v>
      </c>
      <c r="CP216" s="15">
        <f>IF('ENCUESTA CONDUCTORES'!CX216="X",1,0)</f>
        <v>0</v>
      </c>
      <c r="CQ216" s="15">
        <f>IF('ENCUESTA CONDUCTORES'!CY216="X",1,0)</f>
        <v>0</v>
      </c>
      <c r="CR216" s="3">
        <f>+'ENCUESTA CONDUCTORES'!CZ216</f>
        <v>0</v>
      </c>
      <c r="CS216" s="49">
        <f>+'ENCUESTA CONDUCTORES'!DA216</f>
        <v>0</v>
      </c>
    </row>
    <row r="217" spans="2:97" x14ac:dyDescent="0.25">
      <c r="B217" s="14" t="str">
        <f>+'ENCUESTA CONDUCTORES'!D217</f>
        <v>C-228</v>
      </c>
      <c r="C217" s="15">
        <f>IF('ENCUESTA CONDUCTORES'!E217="X",1,0)</f>
        <v>0</v>
      </c>
      <c r="D217" s="15">
        <f>IF('ENCUESTA CONDUCTORES'!F217="X",1,0)</f>
        <v>0</v>
      </c>
      <c r="E217" s="15">
        <f>IF('ENCUESTA CONDUCTORES'!G217="X",1,0)</f>
        <v>0</v>
      </c>
      <c r="F217" s="15">
        <f>IF('ENCUESTA CONDUCTORES'!H217="X",1,0)</f>
        <v>1</v>
      </c>
      <c r="G217" s="15">
        <f>+'ENCUESTA CONDUCTORES'!I217</f>
        <v>36</v>
      </c>
      <c r="H217" s="15" t="str">
        <f>+'ENCUESTA CONDUCTORES'!J217</f>
        <v>M</v>
      </c>
      <c r="I217" s="15" t="str">
        <f>+'ENCUESTA CONDUCTORES'!K217</f>
        <v>PRIMARIA</v>
      </c>
      <c r="J217" s="15" t="str">
        <f>+'ENCUESTA CONDUCTORES'!L217</f>
        <v>TULTEPEC, EDO. MEX.</v>
      </c>
      <c r="K217" s="15" t="str">
        <f>+'ENCUESTA CONDUCTORES'!M217</f>
        <v>TULTEPEC</v>
      </c>
      <c r="L217" s="15" t="str">
        <f>+'ENCUESTA CONDUCTORES'!N217</f>
        <v>EDO. MEX.</v>
      </c>
      <c r="M217" s="15">
        <f>+'ENCUESTA CONDUCTORES'!O217</f>
        <v>10</v>
      </c>
      <c r="N217" s="15">
        <f>IF('ENCUESTA CONDUCTORES'!P217="X",1,0)</f>
        <v>0</v>
      </c>
      <c r="O217" s="15">
        <f>IF('ENCUESTA CONDUCTORES'!Q217="X",1,0)</f>
        <v>0</v>
      </c>
      <c r="P217" s="15">
        <f>IF('ENCUESTA CONDUCTORES'!R217="X",1,0)</f>
        <v>0</v>
      </c>
      <c r="Q217" s="15">
        <f>IF('ENCUESTA CONDUCTORES'!S217="X",1,0)</f>
        <v>1</v>
      </c>
      <c r="R217" s="15">
        <f>IF('ENCUESTA CONDUCTORES'!T217="X",1,0)</f>
        <v>0</v>
      </c>
      <c r="S217" s="15">
        <f>IF('ENCUESTA CONDUCTORES'!U217="X",1,0)</f>
        <v>1</v>
      </c>
      <c r="T217" s="15">
        <f>IF('ENCUESTA CONDUCTORES'!V217="X",1,0)</f>
        <v>0</v>
      </c>
      <c r="U217" s="15">
        <f>IF('ENCUESTA CONDUCTORES'!W217="X",1,0)</f>
        <v>0</v>
      </c>
      <c r="V217" s="15">
        <f>IF('ENCUESTA CONDUCTORES'!X217="X",1,0)</f>
        <v>0</v>
      </c>
      <c r="W217" s="15">
        <f>IF('ENCUESTA CONDUCTORES'!Y217="X",1,0)</f>
        <v>0</v>
      </c>
      <c r="X217" s="15">
        <f>IF('ENCUESTA CONDUCTORES'!Z217="X",1,0)</f>
        <v>0</v>
      </c>
      <c r="Y217" s="15">
        <f>+'ENCUESTA CONDUCTORES'!AG217</f>
        <v>0</v>
      </c>
      <c r="Z217" s="15">
        <f>+'ENCUESTA CONDUCTORES'!AH217</f>
        <v>2011</v>
      </c>
      <c r="AA217" s="1">
        <f>+'ENCUESTA CONDUCTORES'!AI217</f>
        <v>200000</v>
      </c>
      <c r="AB217" s="15">
        <f>IF('ENCUESTA CONDUCTORES'!AJ217="X",1,0)</f>
        <v>0</v>
      </c>
      <c r="AC217" s="15">
        <f>IF('ENCUESTA CONDUCTORES'!AK217="X",1,0)</f>
        <v>0</v>
      </c>
      <c r="AD217" s="15">
        <f>IF('ENCUESTA CONDUCTORES'!AL217="X",1,0)</f>
        <v>1</v>
      </c>
      <c r="AE217" s="15">
        <f>IF('ENCUESTA CONDUCTORES'!AM217="X",1,0)</f>
        <v>0</v>
      </c>
      <c r="AF217" s="15">
        <f>IF('ENCUESTA CONDUCTORES'!AN217="X",1,0)</f>
        <v>0</v>
      </c>
      <c r="AG217" s="15">
        <f>IF('ENCUESTA CONDUCTORES'!AO217="X",1,0)</f>
        <v>0</v>
      </c>
      <c r="AH217" s="15">
        <f>IF('ENCUESTA CONDUCTORES'!AP217="X",1,0)</f>
        <v>1</v>
      </c>
      <c r="AI217" s="15">
        <f>IF('ENCUESTA CONDUCTORES'!AQ217="X",1,0)</f>
        <v>0</v>
      </c>
      <c r="AJ217" s="15">
        <f>IF('ENCUESTA CONDUCTORES'!AR217="X",1,0)</f>
        <v>0</v>
      </c>
      <c r="AK217" s="15">
        <f>+'ENCUESTA CONDUCTORES'!AS217</f>
        <v>0</v>
      </c>
      <c r="AL217" s="15" t="str">
        <f>+'ENCUESTA CONDUCTORES'!AT217</f>
        <v>KENWORTH</v>
      </c>
      <c r="AM217" s="1">
        <f>+'ENCUESTA CONDUCTORES'!AU217</f>
        <v>15000</v>
      </c>
      <c r="AN217" s="48">
        <f>+'ENCUESTA CONDUCTORES'!AV217</f>
        <v>0.5</v>
      </c>
      <c r="AO217" s="15">
        <f>+'ENCUESTA CONDUCTORES'!AW217</f>
        <v>3</v>
      </c>
      <c r="AP217" s="15">
        <f>+'ENCUESTA CONDUCTORES'!AX217</f>
        <v>2.7</v>
      </c>
      <c r="AQ217" s="15">
        <f>+'ENCUESTA CONDUCTORES'!AY217</f>
        <v>3</v>
      </c>
      <c r="AR217" s="15">
        <f>+'ENCUESTA CONDUCTORES'!AZ217</f>
        <v>860</v>
      </c>
      <c r="AS217" s="15">
        <f>+'ENCUESTA CONDUCTORES'!BA217</f>
        <v>2500</v>
      </c>
      <c r="AT217" s="15">
        <f>IF('ENCUESTA CONDUCTORES'!BB217="X",1,0)</f>
        <v>1</v>
      </c>
      <c r="AU217" s="15">
        <f>IF('ENCUESTA CONDUCTORES'!BC217="X",1,0)</f>
        <v>1</v>
      </c>
      <c r="AV217" s="15">
        <f>IF('ENCUESTA CONDUCTORES'!BD217="X",1,0)</f>
        <v>1</v>
      </c>
      <c r="AW217" s="1">
        <f>+'ENCUESTA CONDUCTORES'!BE217</f>
        <v>20000</v>
      </c>
      <c r="AX217" s="1">
        <f>+'ENCUESTA CONDUCTORES'!BF217</f>
        <v>28000</v>
      </c>
      <c r="AY217" s="1">
        <f>+'ENCUESTA CONDUCTORES'!BG217</f>
        <v>40000</v>
      </c>
      <c r="AZ217" s="1">
        <f>+'ENCUESTA CONDUCTORES'!BH217</f>
        <v>23000</v>
      </c>
      <c r="BA217" s="1">
        <f>+'ENCUESTA CONDUCTORES'!BI217</f>
        <v>40000</v>
      </c>
      <c r="BB217" s="15">
        <f>IF('ENCUESTA CONDUCTORES'!BJ217="X",1,0)</f>
        <v>0</v>
      </c>
      <c r="BC217" s="15">
        <f>IF('ENCUESTA CONDUCTORES'!BK217="X",1,0)</f>
        <v>0</v>
      </c>
      <c r="BD217" s="15">
        <f>IF('ENCUESTA CONDUCTORES'!BL217="X",1,0)</f>
        <v>0</v>
      </c>
      <c r="BE217" s="15">
        <f>IF('ENCUESTA CONDUCTORES'!BM217="X",1,0)</f>
        <v>0</v>
      </c>
      <c r="BF217" s="15">
        <f>IF('ENCUESTA CONDUCTORES'!BN217="X",1,0)</f>
        <v>0</v>
      </c>
      <c r="BG217" s="15">
        <f>IF('ENCUESTA CONDUCTORES'!BO217="X",1,0)</f>
        <v>0</v>
      </c>
      <c r="BH217" s="15">
        <f>IF('ENCUESTA CONDUCTORES'!BP217="X",1,0)</f>
        <v>0</v>
      </c>
      <c r="BI217" s="15">
        <f>IF('ENCUESTA CONDUCTORES'!BQ217="X",1,0)</f>
        <v>0</v>
      </c>
      <c r="BJ217" s="15">
        <f>IF('ENCUESTA CONDUCTORES'!BR217="X",1,0)</f>
        <v>1</v>
      </c>
      <c r="BK217" s="15">
        <f>+'ENCUESTA CONDUCTORES'!BS217</f>
        <v>0</v>
      </c>
      <c r="BL217" s="15">
        <f>IF('ENCUESTA CONDUCTORES'!BT217="X",1,0)</f>
        <v>0</v>
      </c>
      <c r="BM217" s="15">
        <f>IF('ENCUESTA CONDUCTORES'!BU217="X",1,0)</f>
        <v>1</v>
      </c>
      <c r="BN217" s="15">
        <f>IF('ENCUESTA CONDUCTORES'!BV217="X",1,0)</f>
        <v>0</v>
      </c>
      <c r="BO217" s="15">
        <f>IF('ENCUESTA CONDUCTORES'!BW217="X",1,0)</f>
        <v>0</v>
      </c>
      <c r="BP217" s="15">
        <f>+'ENCUESTA CONDUCTORES'!BX217</f>
        <v>3</v>
      </c>
      <c r="BQ217" s="15">
        <f>+'ENCUESTA CONDUCTORES'!BY217</f>
        <v>4</v>
      </c>
      <c r="BR217" s="15">
        <f>+'ENCUESTA CONDUCTORES'!BZ217</f>
        <v>2</v>
      </c>
      <c r="BS217" s="15" t="str">
        <f>+'ENCUESTA CONDUCTORES'!CA217</f>
        <v>SEGURIDAD</v>
      </c>
      <c r="BT217" s="15">
        <f>IF('ENCUESTA CONDUCTORES'!CB217="X",1,0)</f>
        <v>0</v>
      </c>
      <c r="BU217" s="15">
        <f>IF('ENCUESTA CONDUCTORES'!CC217="X",1,0)</f>
        <v>1</v>
      </c>
      <c r="BV217" s="15">
        <f>IF('ENCUESTA CONDUCTORES'!CD217="X",1,0)</f>
        <v>0</v>
      </c>
      <c r="BW217" s="15">
        <f>IF('ENCUESTA CONDUCTORES'!CE217="X",1,0)</f>
        <v>1</v>
      </c>
      <c r="BX217" s="15">
        <f>IF('ENCUESTA CONDUCTORES'!CF217="X",1,0)</f>
        <v>1</v>
      </c>
      <c r="BY217" s="15">
        <f>IF('ENCUESTA CONDUCTORES'!CG217="X",1,0)</f>
        <v>1</v>
      </c>
      <c r="BZ217" s="15">
        <f>IF('ENCUESTA CONDUCTORES'!CH217="X",1,0)</f>
        <v>1</v>
      </c>
      <c r="CA217" s="15">
        <f>IF('ENCUESTA CONDUCTORES'!CI217="X",1,0)</f>
        <v>1</v>
      </c>
      <c r="CB217" s="15">
        <f>IF('ENCUESTA CONDUCTORES'!CJ217="X",1,0)</f>
        <v>0</v>
      </c>
      <c r="CC217" s="15">
        <f>IF('ENCUESTA CONDUCTORES'!CK217="X",1,0)</f>
        <v>1</v>
      </c>
      <c r="CD217" s="15">
        <f>IF('ENCUESTA CONDUCTORES'!CL217="X",1,0)</f>
        <v>0</v>
      </c>
      <c r="CE217" s="15">
        <f>IF('ENCUESTA CONDUCTORES'!CM217="X",1,0)</f>
        <v>0</v>
      </c>
      <c r="CF217" s="15">
        <f>+'ENCUESTA CONDUCTORES'!CN217</f>
        <v>0</v>
      </c>
      <c r="CG217" s="15">
        <f>IF('ENCUESTA CONDUCTORES'!CO217="X",1,0)</f>
        <v>0</v>
      </c>
      <c r="CH217" s="15" t="str">
        <f>+'ENCUESTA CONDUCTORES'!CP217</f>
        <v>NO SABE</v>
      </c>
      <c r="CI217" s="15" t="str">
        <f>+'ENCUESTA CONDUCTORES'!CQ217</f>
        <v>NO CONTESTA</v>
      </c>
      <c r="CJ217" s="15">
        <f>IF('ENCUESTA CONDUCTORES'!CR217="X",1,0)</f>
        <v>0</v>
      </c>
      <c r="CK217" s="15">
        <f>IF('ENCUESTA CONDUCTORES'!CS217="X",1,0)</f>
        <v>0</v>
      </c>
      <c r="CL217" s="15">
        <f>IF('ENCUESTA CONDUCTORES'!CT217="X",1,0)</f>
        <v>0</v>
      </c>
      <c r="CM217" s="15" t="str">
        <f>+'ENCUESTA CONDUCTORES'!CU217</f>
        <v>MANEJO A LA DEFENSIVA</v>
      </c>
      <c r="CN217" s="15">
        <f>IF('ENCUESTA CONDUCTORES'!CV217="X",1,0)</f>
        <v>1</v>
      </c>
      <c r="CO217" s="15" t="str">
        <f>+'ENCUESTA CONDUCTORES'!CW217</f>
        <v>NO TIENE TIEMPO</v>
      </c>
      <c r="CP217" s="15">
        <f>IF('ENCUESTA CONDUCTORES'!CX217="X",1,0)</f>
        <v>0</v>
      </c>
      <c r="CQ217" s="15">
        <f>IF('ENCUESTA CONDUCTORES'!CY217="X",1,0)</f>
        <v>0</v>
      </c>
      <c r="CR217" s="3">
        <f>+'ENCUESTA CONDUCTORES'!CZ217</f>
        <v>0</v>
      </c>
      <c r="CS217" s="49">
        <f>+'ENCUESTA CONDUCTORES'!DA217</f>
        <v>0</v>
      </c>
    </row>
    <row r="218" spans="2:97" x14ac:dyDescent="0.25">
      <c r="B218" s="14" t="str">
        <f>+'ENCUESTA CONDUCTORES'!D218</f>
        <v>C-229</v>
      </c>
      <c r="C218" s="15">
        <f>IF('ENCUESTA CONDUCTORES'!E218="X",1,0)</f>
        <v>0</v>
      </c>
      <c r="D218" s="15">
        <f>IF('ENCUESTA CONDUCTORES'!F218="X",1,0)</f>
        <v>0</v>
      </c>
      <c r="E218" s="15">
        <f>IF('ENCUESTA CONDUCTORES'!G218="X",1,0)</f>
        <v>0</v>
      </c>
      <c r="F218" s="15">
        <f>IF('ENCUESTA CONDUCTORES'!H218="X",1,0)</f>
        <v>1</v>
      </c>
      <c r="G218" s="15">
        <f>+'ENCUESTA CONDUCTORES'!I218</f>
        <v>33</v>
      </c>
      <c r="H218" s="15" t="str">
        <f>+'ENCUESTA CONDUCTORES'!J218</f>
        <v>M</v>
      </c>
      <c r="I218" s="15" t="str">
        <f>+'ENCUESTA CONDUCTORES'!K218</f>
        <v>SECUNDARIA</v>
      </c>
      <c r="J218" s="15" t="str">
        <f>+'ENCUESTA CONDUCTORES'!L218</f>
        <v>V. CARRANZA, D.F.</v>
      </c>
      <c r="K218" s="15" t="str">
        <f>+'ENCUESTA CONDUCTORES'!M218</f>
        <v>V. CARRANZA</v>
      </c>
      <c r="L218" s="15" t="str">
        <f>+'ENCUESTA CONDUCTORES'!N218</f>
        <v>D.F.</v>
      </c>
      <c r="M218" s="15">
        <f>+'ENCUESTA CONDUCTORES'!O218</f>
        <v>10</v>
      </c>
      <c r="N218" s="15">
        <f>IF('ENCUESTA CONDUCTORES'!P218="X",1,0)</f>
        <v>0</v>
      </c>
      <c r="O218" s="15">
        <f>IF('ENCUESTA CONDUCTORES'!Q218="X",1,0)</f>
        <v>1</v>
      </c>
      <c r="P218" s="15">
        <f>IF('ENCUESTA CONDUCTORES'!R218="X",1,0)</f>
        <v>0</v>
      </c>
      <c r="Q218" s="15">
        <f>IF('ENCUESTA CONDUCTORES'!S218="X",1,0)</f>
        <v>0</v>
      </c>
      <c r="R218" s="15">
        <f>IF('ENCUESTA CONDUCTORES'!T218="X",1,0)</f>
        <v>0</v>
      </c>
      <c r="S218" s="15">
        <f>IF('ENCUESTA CONDUCTORES'!U218="X",1,0)</f>
        <v>0</v>
      </c>
      <c r="T218" s="15">
        <f>IF('ENCUESTA CONDUCTORES'!V218="X",1,0)</f>
        <v>0</v>
      </c>
      <c r="U218" s="15">
        <f>IF('ENCUESTA CONDUCTORES'!W218="X",1,0)</f>
        <v>0</v>
      </c>
      <c r="V218" s="15">
        <f>IF('ENCUESTA CONDUCTORES'!X218="X",1,0)</f>
        <v>1</v>
      </c>
      <c r="W218" s="15">
        <f>IF('ENCUESTA CONDUCTORES'!Y218="X",1,0)</f>
        <v>0</v>
      </c>
      <c r="X218" s="15">
        <f>IF('ENCUESTA CONDUCTORES'!Z218="X",1,0)</f>
        <v>0</v>
      </c>
      <c r="Y218" s="15">
        <f>+'ENCUESTA CONDUCTORES'!AG218</f>
        <v>0</v>
      </c>
      <c r="Z218" s="15">
        <f>+'ENCUESTA CONDUCTORES'!AH218</f>
        <v>2013</v>
      </c>
      <c r="AA218" s="1">
        <f>+'ENCUESTA CONDUCTORES'!AI218</f>
        <v>300000</v>
      </c>
      <c r="AB218" s="15">
        <f>IF('ENCUESTA CONDUCTORES'!AJ218="X",1,0)</f>
        <v>0</v>
      </c>
      <c r="AC218" s="15">
        <f>IF('ENCUESTA CONDUCTORES'!AK218="X",1,0)</f>
        <v>0</v>
      </c>
      <c r="AD218" s="15">
        <f>IF('ENCUESTA CONDUCTORES'!AL218="X",1,0)</f>
        <v>1</v>
      </c>
      <c r="AE218" s="15">
        <f>IF('ENCUESTA CONDUCTORES'!AM218="X",1,0)</f>
        <v>0</v>
      </c>
      <c r="AF218" s="15">
        <f>IF('ENCUESTA CONDUCTORES'!AN218="X",1,0)</f>
        <v>0</v>
      </c>
      <c r="AG218" s="15">
        <f>IF('ENCUESTA CONDUCTORES'!AO218="X",1,0)</f>
        <v>0</v>
      </c>
      <c r="AH218" s="15">
        <f>IF('ENCUESTA CONDUCTORES'!AP218="X",1,0)</f>
        <v>1</v>
      </c>
      <c r="AI218" s="15">
        <f>IF('ENCUESTA CONDUCTORES'!AQ218="X",1,0)</f>
        <v>0</v>
      </c>
      <c r="AJ218" s="15">
        <f>IF('ENCUESTA CONDUCTORES'!AR218="X",1,0)</f>
        <v>0</v>
      </c>
      <c r="AK218" s="15">
        <f>+'ENCUESTA CONDUCTORES'!AS218</f>
        <v>0</v>
      </c>
      <c r="AL218" s="15" t="str">
        <f>+'ENCUESTA CONDUCTORES'!AT218</f>
        <v>INTERNATIONAL</v>
      </c>
      <c r="AM218" s="1">
        <f>+'ENCUESTA CONDUCTORES'!AU218</f>
        <v>20000</v>
      </c>
      <c r="AN218" s="48">
        <f>+'ENCUESTA CONDUCTORES'!AV218</f>
        <v>0.1</v>
      </c>
      <c r="AO218" s="15">
        <f>+'ENCUESTA CONDUCTORES'!AW218</f>
        <v>3</v>
      </c>
      <c r="AP218" s="15">
        <f>+'ENCUESTA CONDUCTORES'!AX218</f>
        <v>2.5</v>
      </c>
      <c r="AQ218" s="15">
        <f>+'ENCUESTA CONDUCTORES'!AY218</f>
        <v>2</v>
      </c>
      <c r="AR218" s="15">
        <f>+'ENCUESTA CONDUCTORES'!AZ218</f>
        <v>710</v>
      </c>
      <c r="AS218" s="15">
        <f>+'ENCUESTA CONDUCTORES'!BA218</f>
        <v>2000</v>
      </c>
      <c r="AT218" s="15">
        <f>IF('ENCUESTA CONDUCTORES'!BB218="X",1,0)</f>
        <v>1</v>
      </c>
      <c r="AU218" s="15">
        <f>IF('ENCUESTA CONDUCTORES'!BC218="X",1,0)</f>
        <v>1</v>
      </c>
      <c r="AV218" s="15">
        <f>IF('ENCUESTA CONDUCTORES'!BD218="X",1,0)</f>
        <v>1</v>
      </c>
      <c r="AW218" s="1">
        <f>+'ENCUESTA CONDUCTORES'!BE218</f>
        <v>40000</v>
      </c>
      <c r="AX218" s="1">
        <f>+'ENCUESTA CONDUCTORES'!BF218</f>
        <v>20000</v>
      </c>
      <c r="AY218" s="1">
        <f>+'ENCUESTA CONDUCTORES'!BG218</f>
        <v>40000</v>
      </c>
      <c r="AZ218" s="1">
        <f>+'ENCUESTA CONDUCTORES'!BH218</f>
        <v>240000</v>
      </c>
      <c r="BA218" s="1">
        <f>+'ENCUESTA CONDUCTORES'!BI218</f>
        <v>40000</v>
      </c>
      <c r="BB218" s="15">
        <f>IF('ENCUESTA CONDUCTORES'!BJ218="X",1,0)</f>
        <v>0</v>
      </c>
      <c r="BC218" s="15">
        <f>IF('ENCUESTA CONDUCTORES'!BK218="X",1,0)</f>
        <v>0</v>
      </c>
      <c r="BD218" s="15">
        <f>IF('ENCUESTA CONDUCTORES'!BL218="X",1,0)</f>
        <v>0</v>
      </c>
      <c r="BE218" s="15">
        <f>IF('ENCUESTA CONDUCTORES'!BM218="X",1,0)</f>
        <v>0</v>
      </c>
      <c r="BF218" s="15">
        <f>IF('ENCUESTA CONDUCTORES'!BN218="X",1,0)</f>
        <v>0</v>
      </c>
      <c r="BG218" s="15">
        <f>IF('ENCUESTA CONDUCTORES'!BO218="X",1,0)</f>
        <v>0</v>
      </c>
      <c r="BH218" s="15">
        <f>IF('ENCUESTA CONDUCTORES'!BP218="X",1,0)</f>
        <v>0</v>
      </c>
      <c r="BI218" s="15">
        <f>IF('ENCUESTA CONDUCTORES'!BQ218="X",1,0)</f>
        <v>1</v>
      </c>
      <c r="BJ218" s="15">
        <f>IF('ENCUESTA CONDUCTORES'!BR218="X",1,0)</f>
        <v>0</v>
      </c>
      <c r="BK218" s="15">
        <f>+'ENCUESTA CONDUCTORES'!BS218</f>
        <v>0</v>
      </c>
      <c r="BL218" s="15">
        <f>IF('ENCUESTA CONDUCTORES'!BT218="X",1,0)</f>
        <v>1</v>
      </c>
      <c r="BM218" s="15">
        <f>IF('ENCUESTA CONDUCTORES'!BU218="X",1,0)</f>
        <v>0</v>
      </c>
      <c r="BN218" s="15">
        <f>IF('ENCUESTA CONDUCTORES'!BV218="X",1,0)</f>
        <v>0</v>
      </c>
      <c r="BO218" s="15">
        <f>IF('ENCUESTA CONDUCTORES'!BW218="X",1,0)</f>
        <v>0</v>
      </c>
      <c r="BP218" s="15">
        <f>+'ENCUESTA CONDUCTORES'!BX218</f>
        <v>2</v>
      </c>
      <c r="BQ218" s="15">
        <f>+'ENCUESTA CONDUCTORES'!BY218</f>
        <v>3</v>
      </c>
      <c r="BR218" s="15">
        <f>+'ENCUESTA CONDUCTORES'!BZ218</f>
        <v>1</v>
      </c>
      <c r="BS218" s="15">
        <f>+'ENCUESTA CONDUCTORES'!CA218</f>
        <v>0</v>
      </c>
      <c r="BT218" s="15">
        <f>IF('ENCUESTA CONDUCTORES'!CB218="X",1,0)</f>
        <v>0</v>
      </c>
      <c r="BU218" s="15">
        <f>IF('ENCUESTA CONDUCTORES'!CC218="X",1,0)</f>
        <v>1</v>
      </c>
      <c r="BV218" s="15">
        <f>IF('ENCUESTA CONDUCTORES'!CD218="X",1,0)</f>
        <v>0</v>
      </c>
      <c r="BW218" s="15">
        <f>IF('ENCUESTA CONDUCTORES'!CE218="X",1,0)</f>
        <v>0</v>
      </c>
      <c r="BX218" s="15">
        <f>IF('ENCUESTA CONDUCTORES'!CF218="X",1,0)</f>
        <v>0</v>
      </c>
      <c r="BY218" s="15">
        <f>IF('ENCUESTA CONDUCTORES'!CG218="X",1,0)</f>
        <v>0</v>
      </c>
      <c r="BZ218" s="15">
        <f>IF('ENCUESTA CONDUCTORES'!CH218="X",1,0)</f>
        <v>1</v>
      </c>
      <c r="CA218" s="15">
        <f>IF('ENCUESTA CONDUCTORES'!CI218="X",1,0)</f>
        <v>1</v>
      </c>
      <c r="CB218" s="15">
        <f>IF('ENCUESTA CONDUCTORES'!CJ218="X",1,0)</f>
        <v>0</v>
      </c>
      <c r="CC218" s="15">
        <f>IF('ENCUESTA CONDUCTORES'!CK218="X",1,0)</f>
        <v>1</v>
      </c>
      <c r="CD218" s="15">
        <f>IF('ENCUESTA CONDUCTORES'!CL218="X",1,0)</f>
        <v>0</v>
      </c>
      <c r="CE218" s="15">
        <f>IF('ENCUESTA CONDUCTORES'!CM218="X",1,0)</f>
        <v>0</v>
      </c>
      <c r="CF218" s="15" t="str">
        <f>+'ENCUESTA CONDUCTORES'!CN218</f>
        <v>NO LE INTERESA</v>
      </c>
      <c r="CG218" s="15">
        <f>IF('ENCUESTA CONDUCTORES'!CO218="X",1,0)</f>
        <v>0</v>
      </c>
      <c r="CH218" s="15" t="str">
        <f>+'ENCUESTA CONDUCTORES'!CP218</f>
        <v>NO SABE</v>
      </c>
      <c r="CI218" s="15" t="str">
        <f>+'ENCUESTA CONDUCTORES'!CQ218</f>
        <v>NO SABE</v>
      </c>
      <c r="CJ218" s="15">
        <f>IF('ENCUESTA CONDUCTORES'!CR218="X",1,0)</f>
        <v>1</v>
      </c>
      <c r="CK218" s="15">
        <f>IF('ENCUESTA CONDUCTORES'!CS218="X",1,0)</f>
        <v>0</v>
      </c>
      <c r="CL218" s="15">
        <f>IF('ENCUESTA CONDUCTORES'!CT218="X",1,0)</f>
        <v>0</v>
      </c>
      <c r="CM218" s="15">
        <f>+'ENCUESTA CONDUCTORES'!CU218</f>
        <v>0</v>
      </c>
      <c r="CN218" s="15">
        <f>IF('ENCUESTA CONDUCTORES'!CV218="X",1,0)</f>
        <v>1</v>
      </c>
      <c r="CO218" s="15" t="str">
        <f>+'ENCUESTA CONDUCTORES'!CW218</f>
        <v>NO TIENE TIEMPO</v>
      </c>
      <c r="CP218" s="15">
        <f>IF('ENCUESTA CONDUCTORES'!CX218="X",1,0)</f>
        <v>0</v>
      </c>
      <c r="CQ218" s="15">
        <f>IF('ENCUESTA CONDUCTORES'!CY218="X",1,0)</f>
        <v>0</v>
      </c>
      <c r="CR218" s="3">
        <f>+'ENCUESTA CONDUCTORES'!CZ218</f>
        <v>0</v>
      </c>
      <c r="CS218" s="49" t="str">
        <f>+'ENCUESTA CONDUCTORES'!DA218</f>
        <v>PERECEDEROS REFRIGERADOS</v>
      </c>
    </row>
    <row r="219" spans="2:97" x14ac:dyDescent="0.25">
      <c r="B219" s="14" t="str">
        <f>+'ENCUESTA CONDUCTORES'!D219</f>
        <v>C-230</v>
      </c>
      <c r="C219" s="15">
        <f>IF('ENCUESTA CONDUCTORES'!E219="X",1,0)</f>
        <v>0</v>
      </c>
      <c r="D219" s="15">
        <f>IF('ENCUESTA CONDUCTORES'!F219="X",1,0)</f>
        <v>0</v>
      </c>
      <c r="E219" s="15">
        <f>IF('ENCUESTA CONDUCTORES'!G219="X",1,0)</f>
        <v>0</v>
      </c>
      <c r="F219" s="15">
        <f>IF('ENCUESTA CONDUCTORES'!H219="X",1,0)</f>
        <v>1</v>
      </c>
      <c r="G219" s="15">
        <f>+'ENCUESTA CONDUCTORES'!I219</f>
        <v>27</v>
      </c>
      <c r="H219" s="15" t="str">
        <f>+'ENCUESTA CONDUCTORES'!J219</f>
        <v>M</v>
      </c>
      <c r="I219" s="15" t="str">
        <f>+'ENCUESTA CONDUCTORES'!K219</f>
        <v>SECUNDARIA</v>
      </c>
      <c r="J219" s="15" t="str">
        <f>+'ENCUESTA CONDUCTORES'!L219</f>
        <v>ECATEPEC, EDO. MEX.</v>
      </c>
      <c r="K219" s="15" t="str">
        <f>+'ENCUESTA CONDUCTORES'!M219</f>
        <v>ECATEPEC</v>
      </c>
      <c r="L219" s="15" t="str">
        <f>+'ENCUESTA CONDUCTORES'!N219</f>
        <v>EDO. MEX.</v>
      </c>
      <c r="M219" s="15">
        <f>+'ENCUESTA CONDUCTORES'!O219</f>
        <v>4</v>
      </c>
      <c r="N219" s="15">
        <f>IF('ENCUESTA CONDUCTORES'!P219="X",1,0)</f>
        <v>0</v>
      </c>
      <c r="O219" s="15">
        <f>IF('ENCUESTA CONDUCTORES'!Q219="X",1,0)</f>
        <v>1</v>
      </c>
      <c r="P219" s="15">
        <f>IF('ENCUESTA CONDUCTORES'!R219="X",1,0)</f>
        <v>0</v>
      </c>
      <c r="Q219" s="15">
        <f>IF('ENCUESTA CONDUCTORES'!S219="X",1,0)</f>
        <v>0</v>
      </c>
      <c r="R219" s="15">
        <f>IF('ENCUESTA CONDUCTORES'!T219="X",1,0)</f>
        <v>0</v>
      </c>
      <c r="S219" s="15">
        <f>IF('ENCUESTA CONDUCTORES'!U219="X",1,0)</f>
        <v>1</v>
      </c>
      <c r="T219" s="15">
        <f>IF('ENCUESTA CONDUCTORES'!V219="X",1,0)</f>
        <v>0</v>
      </c>
      <c r="U219" s="15">
        <f>IF('ENCUESTA CONDUCTORES'!W219="X",1,0)</f>
        <v>0</v>
      </c>
      <c r="V219" s="15">
        <f>IF('ENCUESTA CONDUCTORES'!X219="X",1,0)</f>
        <v>0</v>
      </c>
      <c r="W219" s="15">
        <f>IF('ENCUESTA CONDUCTORES'!Y219="X",1,0)</f>
        <v>0</v>
      </c>
      <c r="X219" s="15">
        <f>IF('ENCUESTA CONDUCTORES'!Z219="X",1,0)</f>
        <v>0</v>
      </c>
      <c r="Y219" s="15">
        <f>+'ENCUESTA CONDUCTORES'!AG219</f>
        <v>0</v>
      </c>
      <c r="Z219" s="15">
        <f>+'ENCUESTA CONDUCTORES'!AH219</f>
        <v>2005</v>
      </c>
      <c r="AA219" s="1">
        <f>+'ENCUESTA CONDUCTORES'!AI219</f>
        <v>1400000</v>
      </c>
      <c r="AB219" s="15">
        <f>IF('ENCUESTA CONDUCTORES'!AJ219="X",1,0)</f>
        <v>0</v>
      </c>
      <c r="AC219" s="15">
        <f>IF('ENCUESTA CONDUCTORES'!AK219="X",1,0)</f>
        <v>0</v>
      </c>
      <c r="AD219" s="15">
        <f>IF('ENCUESTA CONDUCTORES'!AL219="X",1,0)</f>
        <v>1</v>
      </c>
      <c r="AE219" s="15">
        <f>IF('ENCUESTA CONDUCTORES'!AM219="X",1,0)</f>
        <v>0</v>
      </c>
      <c r="AF219" s="15">
        <f>IF('ENCUESTA CONDUCTORES'!AN219="X",1,0)</f>
        <v>0</v>
      </c>
      <c r="AG219" s="15">
        <f>IF('ENCUESTA CONDUCTORES'!AO219="X",1,0)</f>
        <v>0</v>
      </c>
      <c r="AH219" s="15">
        <f>IF('ENCUESTA CONDUCTORES'!AP219="X",1,0)</f>
        <v>1</v>
      </c>
      <c r="AI219" s="15">
        <f>IF('ENCUESTA CONDUCTORES'!AQ219="X",1,0)</f>
        <v>0</v>
      </c>
      <c r="AJ219" s="15">
        <f>IF('ENCUESTA CONDUCTORES'!AR219="X",1,0)</f>
        <v>0</v>
      </c>
      <c r="AK219" s="15">
        <f>+'ENCUESTA CONDUCTORES'!AS219</f>
        <v>0</v>
      </c>
      <c r="AL219" s="15" t="str">
        <f>+'ENCUESTA CONDUCTORES'!AT219</f>
        <v>INTERNATIONAL</v>
      </c>
      <c r="AM219" s="1">
        <f>+'ENCUESTA CONDUCTORES'!AU219</f>
        <v>15000</v>
      </c>
      <c r="AN219" s="48">
        <f>+'ENCUESTA CONDUCTORES'!AV219</f>
        <v>0.5</v>
      </c>
      <c r="AO219" s="15">
        <f>+'ENCUESTA CONDUCTORES'!AW219</f>
        <v>3</v>
      </c>
      <c r="AP219" s="15">
        <f>+'ENCUESTA CONDUCTORES'!AX219</f>
        <v>2.8</v>
      </c>
      <c r="AQ219" s="15">
        <f>+'ENCUESTA CONDUCTORES'!AY219</f>
        <v>2</v>
      </c>
      <c r="AR219" s="15">
        <f>+'ENCUESTA CONDUCTORES'!AZ219</f>
        <v>410</v>
      </c>
      <c r="AS219" s="15">
        <f>+'ENCUESTA CONDUCTORES'!BA219</f>
        <v>1200</v>
      </c>
      <c r="AT219" s="15">
        <f>IF('ENCUESTA CONDUCTORES'!BB219="X",1,0)</f>
        <v>0</v>
      </c>
      <c r="AU219" s="15">
        <f>IF('ENCUESTA CONDUCTORES'!BC219="X",1,0)</f>
        <v>1</v>
      </c>
      <c r="AV219" s="15">
        <f>IF('ENCUESTA CONDUCTORES'!BD219="X",1,0)</f>
        <v>1</v>
      </c>
      <c r="AW219" s="1">
        <f>+'ENCUESTA CONDUCTORES'!BE219</f>
        <v>20000</v>
      </c>
      <c r="AX219" s="1">
        <f>+'ENCUESTA CONDUCTORES'!BF219</f>
        <v>10000</v>
      </c>
      <c r="AY219" s="1">
        <f>+'ENCUESTA CONDUCTORES'!BG219</f>
        <v>20000</v>
      </c>
      <c r="AZ219" s="1">
        <f>+'ENCUESTA CONDUCTORES'!BH219</f>
        <v>180000</v>
      </c>
      <c r="BA219" s="1">
        <f>+'ENCUESTA CONDUCTORES'!BI219</f>
        <v>20000</v>
      </c>
      <c r="BB219" s="15">
        <f>IF('ENCUESTA CONDUCTORES'!BJ219="X",1,0)</f>
        <v>0</v>
      </c>
      <c r="BC219" s="15">
        <f>IF('ENCUESTA CONDUCTORES'!BK219="X",1,0)</f>
        <v>0</v>
      </c>
      <c r="BD219" s="15">
        <f>IF('ENCUESTA CONDUCTORES'!BL219="X",1,0)</f>
        <v>0</v>
      </c>
      <c r="BE219" s="15">
        <f>IF('ENCUESTA CONDUCTORES'!BM219="X",1,0)</f>
        <v>0</v>
      </c>
      <c r="BF219" s="15">
        <f>IF('ENCUESTA CONDUCTORES'!BN219="X",1,0)</f>
        <v>0</v>
      </c>
      <c r="BG219" s="15">
        <f>IF('ENCUESTA CONDUCTORES'!BO219="X",1,0)</f>
        <v>0</v>
      </c>
      <c r="BH219" s="15">
        <f>IF('ENCUESTA CONDUCTORES'!BP219="X",1,0)</f>
        <v>0</v>
      </c>
      <c r="BI219" s="15">
        <f>IF('ENCUESTA CONDUCTORES'!BQ219="X",1,0)</f>
        <v>0</v>
      </c>
      <c r="BJ219" s="15">
        <f>IF('ENCUESTA CONDUCTORES'!BR219="X",1,0)</f>
        <v>0</v>
      </c>
      <c r="BK219" s="15" t="str">
        <f>+'ENCUESTA CONDUCTORES'!BS219</f>
        <v>MEDICAMENTO NUTRICIONAL</v>
      </c>
      <c r="BL219" s="15">
        <f>IF('ENCUESTA CONDUCTORES'!BT219="X",1,0)</f>
        <v>0</v>
      </c>
      <c r="BM219" s="15">
        <f>IF('ENCUESTA CONDUCTORES'!BU219="X",1,0)</f>
        <v>1</v>
      </c>
      <c r="BN219" s="15">
        <f>IF('ENCUESTA CONDUCTORES'!BV219="X",1,0)</f>
        <v>0</v>
      </c>
      <c r="BO219" s="15">
        <f>IF('ENCUESTA CONDUCTORES'!BW219="X",1,0)</f>
        <v>0</v>
      </c>
      <c r="BP219" s="15">
        <f>+'ENCUESTA CONDUCTORES'!BX219</f>
        <v>2</v>
      </c>
      <c r="BQ219" s="15">
        <f>+'ENCUESTA CONDUCTORES'!BY219</f>
        <v>3</v>
      </c>
      <c r="BR219" s="15">
        <f>+'ENCUESTA CONDUCTORES'!BZ219</f>
        <v>1</v>
      </c>
      <c r="BS219" s="15">
        <f>+'ENCUESTA CONDUCTORES'!CA219</f>
        <v>0</v>
      </c>
      <c r="BT219" s="15">
        <f>IF('ENCUESTA CONDUCTORES'!CB219="X",1,0)</f>
        <v>0</v>
      </c>
      <c r="BU219" s="15">
        <f>IF('ENCUESTA CONDUCTORES'!CC219="X",1,0)</f>
        <v>1</v>
      </c>
      <c r="BV219" s="15">
        <f>IF('ENCUESTA CONDUCTORES'!CD219="X",1,0)</f>
        <v>0</v>
      </c>
      <c r="BW219" s="15">
        <f>IF('ENCUESTA CONDUCTORES'!CE219="X",1,0)</f>
        <v>0</v>
      </c>
      <c r="BX219" s="15">
        <f>IF('ENCUESTA CONDUCTORES'!CF219="X",1,0)</f>
        <v>0</v>
      </c>
      <c r="BY219" s="15">
        <f>IF('ENCUESTA CONDUCTORES'!CG219="X",1,0)</f>
        <v>1</v>
      </c>
      <c r="BZ219" s="15">
        <f>IF('ENCUESTA CONDUCTORES'!CH219="X",1,0)</f>
        <v>1</v>
      </c>
      <c r="CA219" s="15">
        <f>IF('ENCUESTA CONDUCTORES'!CI219="X",1,0)</f>
        <v>1</v>
      </c>
      <c r="CB219" s="15">
        <f>IF('ENCUESTA CONDUCTORES'!CJ219="X",1,0)</f>
        <v>0</v>
      </c>
      <c r="CC219" s="15">
        <f>IF('ENCUESTA CONDUCTORES'!CK219="X",1,0)</f>
        <v>1</v>
      </c>
      <c r="CD219" s="15">
        <f>IF('ENCUESTA CONDUCTORES'!CL219="X",1,0)</f>
        <v>0</v>
      </c>
      <c r="CE219" s="15">
        <f>IF('ENCUESTA CONDUCTORES'!CM219="X",1,0)</f>
        <v>0</v>
      </c>
      <c r="CF219" s="15">
        <f>+'ENCUESTA CONDUCTORES'!CN219</f>
        <v>0</v>
      </c>
      <c r="CG219" s="15">
        <f>IF('ENCUESTA CONDUCTORES'!CO219="X",1,0)</f>
        <v>0</v>
      </c>
      <c r="CH219" s="15" t="str">
        <f>+'ENCUESTA CONDUCTORES'!CP219</f>
        <v>NO SABE</v>
      </c>
      <c r="CI219" s="15" t="str">
        <f>+'ENCUESTA CONDUCTORES'!CQ219</f>
        <v>NO SABE</v>
      </c>
      <c r="CJ219" s="15">
        <f>IF('ENCUESTA CONDUCTORES'!CR219="X",1,0)</f>
        <v>0</v>
      </c>
      <c r="CK219" s="15">
        <f>IF('ENCUESTA CONDUCTORES'!CS219="X",1,0)</f>
        <v>1</v>
      </c>
      <c r="CL219" s="15">
        <f>IF('ENCUESTA CONDUCTORES'!CT219="X",1,0)</f>
        <v>1</v>
      </c>
      <c r="CM219" s="15">
        <f>+'ENCUESTA CONDUCTORES'!CU219</f>
        <v>0</v>
      </c>
      <c r="CN219" s="15">
        <f>IF('ENCUESTA CONDUCTORES'!CV219="X",1,0)</f>
        <v>1</v>
      </c>
      <c r="CO219" s="15" t="str">
        <f>+'ENCUESTA CONDUCTORES'!CW219</f>
        <v>NO TIENE TIEMPO</v>
      </c>
      <c r="CP219" s="15">
        <f>IF('ENCUESTA CONDUCTORES'!CX219="X",1,0)</f>
        <v>0</v>
      </c>
      <c r="CQ219" s="15">
        <f>IF('ENCUESTA CONDUCTORES'!CY219="X",1,0)</f>
        <v>0</v>
      </c>
      <c r="CR219" s="3">
        <f>+'ENCUESTA CONDUCTORES'!CZ219</f>
        <v>0</v>
      </c>
      <c r="CS219" s="49">
        <f>+'ENCUESTA CONDUCTORES'!DA219</f>
        <v>0</v>
      </c>
    </row>
    <row r="220" spans="2:97" x14ac:dyDescent="0.25">
      <c r="B220" s="14" t="str">
        <f>+'ENCUESTA CONDUCTORES'!D220</f>
        <v>C-231</v>
      </c>
      <c r="C220" s="15">
        <f>IF('ENCUESTA CONDUCTORES'!E220="X",1,0)</f>
        <v>0</v>
      </c>
      <c r="D220" s="15">
        <f>IF('ENCUESTA CONDUCTORES'!F220="X",1,0)</f>
        <v>0</v>
      </c>
      <c r="E220" s="15">
        <f>IF('ENCUESTA CONDUCTORES'!G220="X",1,0)</f>
        <v>1</v>
      </c>
      <c r="F220" s="15">
        <f>IF('ENCUESTA CONDUCTORES'!H220="X",1,0)</f>
        <v>0</v>
      </c>
      <c r="G220" s="15">
        <f>+'ENCUESTA CONDUCTORES'!I220</f>
        <v>32</v>
      </c>
      <c r="H220" s="15" t="str">
        <f>+'ENCUESTA CONDUCTORES'!J220</f>
        <v>M</v>
      </c>
      <c r="I220" s="15" t="str">
        <f>+'ENCUESTA CONDUCTORES'!K220</f>
        <v>PRIMARIA</v>
      </c>
      <c r="J220" s="15" t="str">
        <f>+'ENCUESTA CONDUCTORES'!L220</f>
        <v>COYOACÁN, D.F.</v>
      </c>
      <c r="K220" s="15" t="str">
        <f>+'ENCUESTA CONDUCTORES'!M220</f>
        <v>COYOACÁN</v>
      </c>
      <c r="L220" s="15" t="str">
        <f>+'ENCUESTA CONDUCTORES'!N220</f>
        <v>D.F.</v>
      </c>
      <c r="M220" s="15">
        <f>+'ENCUESTA CONDUCTORES'!O220</f>
        <v>15</v>
      </c>
      <c r="N220" s="15">
        <f>IF('ENCUESTA CONDUCTORES'!P220="X",1,0)</f>
        <v>1</v>
      </c>
      <c r="O220" s="15">
        <f>IF('ENCUESTA CONDUCTORES'!Q220="X",1,0)</f>
        <v>0</v>
      </c>
      <c r="P220" s="15">
        <f>IF('ENCUESTA CONDUCTORES'!R220="X",1,0)</f>
        <v>0</v>
      </c>
      <c r="Q220" s="15">
        <f>IF('ENCUESTA CONDUCTORES'!S220="X",1,0)</f>
        <v>0</v>
      </c>
      <c r="R220" s="15">
        <f>IF('ENCUESTA CONDUCTORES'!T220="X",1,0)</f>
        <v>0</v>
      </c>
      <c r="S220" s="15">
        <f>IF('ENCUESTA CONDUCTORES'!U220="X",1,0)</f>
        <v>1</v>
      </c>
      <c r="T220" s="15">
        <f>IF('ENCUESTA CONDUCTORES'!V220="X",1,0)</f>
        <v>0</v>
      </c>
      <c r="U220" s="15">
        <f>IF('ENCUESTA CONDUCTORES'!W220="X",1,0)</f>
        <v>0</v>
      </c>
      <c r="V220" s="15">
        <f>IF('ENCUESTA CONDUCTORES'!X220="X",1,0)</f>
        <v>0</v>
      </c>
      <c r="W220" s="15">
        <f>IF('ENCUESTA CONDUCTORES'!Y220="X",1,0)</f>
        <v>0</v>
      </c>
      <c r="X220" s="15">
        <f>IF('ENCUESTA CONDUCTORES'!Z220="X",1,0)</f>
        <v>0</v>
      </c>
      <c r="Y220" s="15">
        <f>+'ENCUESTA CONDUCTORES'!AG220</f>
        <v>0</v>
      </c>
      <c r="Z220" s="15">
        <f>+'ENCUESTA CONDUCTORES'!AH220</f>
        <v>2010</v>
      </c>
      <c r="AA220" s="1">
        <f>+'ENCUESTA CONDUCTORES'!AI220</f>
        <v>600000</v>
      </c>
      <c r="AB220" s="15">
        <f>IF('ENCUESTA CONDUCTORES'!AJ220="X",1,0)</f>
        <v>0</v>
      </c>
      <c r="AC220" s="15">
        <f>IF('ENCUESTA CONDUCTORES'!AK220="X",1,0)</f>
        <v>0</v>
      </c>
      <c r="AD220" s="15">
        <f>IF('ENCUESTA CONDUCTORES'!AL220="X",1,0)</f>
        <v>1</v>
      </c>
      <c r="AE220" s="15">
        <f>IF('ENCUESTA CONDUCTORES'!AM220="X",1,0)</f>
        <v>0</v>
      </c>
      <c r="AF220" s="15">
        <f>IF('ENCUESTA CONDUCTORES'!AN220="X",1,0)</f>
        <v>0</v>
      </c>
      <c r="AG220" s="15">
        <f>IF('ENCUESTA CONDUCTORES'!AO220="X",1,0)</f>
        <v>0</v>
      </c>
      <c r="AH220" s="15">
        <f>IF('ENCUESTA CONDUCTORES'!AP220="X",1,0)</f>
        <v>1</v>
      </c>
      <c r="AI220" s="15">
        <f>IF('ENCUESTA CONDUCTORES'!AQ220="X",1,0)</f>
        <v>0</v>
      </c>
      <c r="AJ220" s="15">
        <f>IF('ENCUESTA CONDUCTORES'!AR220="X",1,0)</f>
        <v>0</v>
      </c>
      <c r="AK220" s="15">
        <f>+'ENCUESTA CONDUCTORES'!AS220</f>
        <v>0</v>
      </c>
      <c r="AL220" s="15" t="str">
        <f>+'ENCUESTA CONDUCTORES'!AT220</f>
        <v>DETROIT</v>
      </c>
      <c r="AM220" s="1">
        <f>+'ENCUESTA CONDUCTORES'!AU220</f>
        <v>4000</v>
      </c>
      <c r="AN220" s="48">
        <f>+'ENCUESTA CONDUCTORES'!AV220</f>
        <v>0.5</v>
      </c>
      <c r="AO220" s="15">
        <f>+'ENCUESTA CONDUCTORES'!AW220</f>
        <v>2.8</v>
      </c>
      <c r="AP220" s="15">
        <f>+'ENCUESTA CONDUCTORES'!AX220</f>
        <v>2.5</v>
      </c>
      <c r="AQ220" s="15">
        <f>+'ENCUESTA CONDUCTORES'!AY220</f>
        <v>2</v>
      </c>
      <c r="AR220" s="15">
        <f>+'ENCUESTA CONDUCTORES'!AZ220</f>
        <v>770</v>
      </c>
      <c r="AS220" s="15">
        <f>+'ENCUESTA CONDUCTORES'!BA220</f>
        <v>2000</v>
      </c>
      <c r="AT220" s="15">
        <f>IF('ENCUESTA CONDUCTORES'!BB220="X",1,0)</f>
        <v>1</v>
      </c>
      <c r="AU220" s="15">
        <f>IF('ENCUESTA CONDUCTORES'!BC220="X",1,0)</f>
        <v>1</v>
      </c>
      <c r="AV220" s="15">
        <f>IF('ENCUESTA CONDUCTORES'!BD220="X",1,0)</f>
        <v>0</v>
      </c>
      <c r="AW220" s="1">
        <f>+'ENCUESTA CONDUCTORES'!BE220</f>
        <v>8000</v>
      </c>
      <c r="AX220" s="1">
        <f>+'ENCUESTA CONDUCTORES'!BF220</f>
        <v>6000</v>
      </c>
      <c r="AY220" s="1">
        <f>+'ENCUESTA CONDUCTORES'!BG220</f>
        <v>17000</v>
      </c>
      <c r="AZ220" s="1">
        <f>+'ENCUESTA CONDUCTORES'!BH220</f>
        <v>130000</v>
      </c>
      <c r="BA220" s="1">
        <f>+'ENCUESTA CONDUCTORES'!BI220</f>
        <v>17000</v>
      </c>
      <c r="BB220" s="15">
        <f>IF('ENCUESTA CONDUCTORES'!BJ220="X",1,0)</f>
        <v>0</v>
      </c>
      <c r="BC220" s="15">
        <f>IF('ENCUESTA CONDUCTORES'!BK220="X",1,0)</f>
        <v>0</v>
      </c>
      <c r="BD220" s="15">
        <f>IF('ENCUESTA CONDUCTORES'!BL220="X",1,0)</f>
        <v>0</v>
      </c>
      <c r="BE220" s="15">
        <f>IF('ENCUESTA CONDUCTORES'!BM220="X",1,0)</f>
        <v>0</v>
      </c>
      <c r="BF220" s="15">
        <f>IF('ENCUESTA CONDUCTORES'!BN220="X",1,0)</f>
        <v>1</v>
      </c>
      <c r="BG220" s="15">
        <f>IF('ENCUESTA CONDUCTORES'!BO220="X",1,0)</f>
        <v>0</v>
      </c>
      <c r="BH220" s="15">
        <f>IF('ENCUESTA CONDUCTORES'!BP220="X",1,0)</f>
        <v>0</v>
      </c>
      <c r="BI220" s="15">
        <f>IF('ENCUESTA CONDUCTORES'!BQ220="X",1,0)</f>
        <v>0</v>
      </c>
      <c r="BJ220" s="15">
        <f>IF('ENCUESTA CONDUCTORES'!BR220="X",1,0)</f>
        <v>0</v>
      </c>
      <c r="BK220" s="15" t="str">
        <f>+'ENCUESTA CONDUCTORES'!BS220</f>
        <v>GENERAL</v>
      </c>
      <c r="BL220" s="15">
        <f>IF('ENCUESTA CONDUCTORES'!BT220="X",1,0)</f>
        <v>0</v>
      </c>
      <c r="BM220" s="15">
        <f>IF('ENCUESTA CONDUCTORES'!BU220="X",1,0)</f>
        <v>1</v>
      </c>
      <c r="BN220" s="15">
        <f>IF('ENCUESTA CONDUCTORES'!BV220="X",1,0)</f>
        <v>0</v>
      </c>
      <c r="BO220" s="15">
        <f>IF('ENCUESTA CONDUCTORES'!BW220="X",1,0)</f>
        <v>0</v>
      </c>
      <c r="BP220" s="15">
        <f>+'ENCUESTA CONDUCTORES'!BX220</f>
        <v>2</v>
      </c>
      <c r="BQ220" s="15">
        <f>+'ENCUESTA CONDUCTORES'!BY220</f>
        <v>1</v>
      </c>
      <c r="BR220" s="15">
        <f>+'ENCUESTA CONDUCTORES'!BZ220</f>
        <v>3</v>
      </c>
      <c r="BS220" s="15">
        <f>+'ENCUESTA CONDUCTORES'!CA220</f>
        <v>0</v>
      </c>
      <c r="BT220" s="15">
        <f>IF('ENCUESTA CONDUCTORES'!CB220="X",1,0)</f>
        <v>0</v>
      </c>
      <c r="BU220" s="15">
        <f>IF('ENCUESTA CONDUCTORES'!CC220="X",1,0)</f>
        <v>1</v>
      </c>
      <c r="BV220" s="15">
        <f>IF('ENCUESTA CONDUCTORES'!CD220="X",1,0)</f>
        <v>0</v>
      </c>
      <c r="BW220" s="15">
        <f>IF('ENCUESTA CONDUCTORES'!CE220="X",1,0)</f>
        <v>1</v>
      </c>
      <c r="BX220" s="15">
        <f>IF('ENCUESTA CONDUCTORES'!CF220="X",1,0)</f>
        <v>0</v>
      </c>
      <c r="BY220" s="15">
        <f>IF('ENCUESTA CONDUCTORES'!CG220="X",1,0)</f>
        <v>0</v>
      </c>
      <c r="BZ220" s="15">
        <f>IF('ENCUESTA CONDUCTORES'!CH220="X",1,0)</f>
        <v>1</v>
      </c>
      <c r="CA220" s="15">
        <f>IF('ENCUESTA CONDUCTORES'!CI220="X",1,0)</f>
        <v>1</v>
      </c>
      <c r="CB220" s="15">
        <f>IF('ENCUESTA CONDUCTORES'!CJ220="X",1,0)</f>
        <v>0</v>
      </c>
      <c r="CC220" s="15">
        <f>IF('ENCUESTA CONDUCTORES'!CK220="X",1,0)</f>
        <v>0</v>
      </c>
      <c r="CD220" s="15">
        <f>IF('ENCUESTA CONDUCTORES'!CL220="X",1,0)</f>
        <v>1</v>
      </c>
      <c r="CE220" s="15">
        <f>IF('ENCUESTA CONDUCTORES'!CM220="X",1,0)</f>
        <v>1</v>
      </c>
      <c r="CF220" s="15" t="str">
        <f>+'ENCUESTA CONDUCTORES'!CN220</f>
        <v>NO LE INTERESA</v>
      </c>
      <c r="CG220" s="15">
        <f>IF('ENCUESTA CONDUCTORES'!CO220="X",1,0)</f>
        <v>0</v>
      </c>
      <c r="CH220" s="15" t="str">
        <f>+'ENCUESTA CONDUCTORES'!CP220</f>
        <v>HACEN LO QUE QUIEREN, NO SIRVE</v>
      </c>
      <c r="CI220" s="15" t="str">
        <f>+'ENCUESTA CONDUCTORES'!CQ220</f>
        <v>MEJOR EXPLICADO</v>
      </c>
      <c r="CJ220" s="15">
        <f>IF('ENCUESTA CONDUCTORES'!CR220="X",1,0)</f>
        <v>1</v>
      </c>
      <c r="CK220" s="15">
        <f>IF('ENCUESTA CONDUCTORES'!CS220="X",1,0)</f>
        <v>0</v>
      </c>
      <c r="CL220" s="15">
        <f>IF('ENCUESTA CONDUCTORES'!CT220="X",1,0)</f>
        <v>0</v>
      </c>
      <c r="CM220" s="15">
        <f>+'ENCUESTA CONDUCTORES'!CU220</f>
        <v>0</v>
      </c>
      <c r="CN220" s="15">
        <f>IF('ENCUESTA CONDUCTORES'!CV220="X",1,0)</f>
        <v>0</v>
      </c>
      <c r="CO220" s="15">
        <f>+'ENCUESTA CONDUCTORES'!CW220</f>
        <v>0</v>
      </c>
      <c r="CP220" s="15">
        <f>IF('ENCUESTA CONDUCTORES'!CX220="X",1,0)</f>
        <v>0</v>
      </c>
      <c r="CQ220" s="15">
        <f>IF('ENCUESTA CONDUCTORES'!CY220="X",1,0)</f>
        <v>1</v>
      </c>
      <c r="CR220" s="3">
        <f>+'ENCUESTA CONDUCTORES'!CZ220</f>
        <v>0</v>
      </c>
      <c r="CS220" s="49">
        <f>+'ENCUESTA CONDUCTORES'!DA220</f>
        <v>0</v>
      </c>
    </row>
    <row r="221" spans="2:97" x14ac:dyDescent="0.25">
      <c r="B221" s="14" t="str">
        <f>+'ENCUESTA CONDUCTORES'!D221</f>
        <v>C-232</v>
      </c>
      <c r="C221" s="15">
        <f>IF('ENCUESTA CONDUCTORES'!E221="X",1,0)</f>
        <v>0</v>
      </c>
      <c r="D221" s="15">
        <f>IF('ENCUESTA CONDUCTORES'!F221="X",1,0)</f>
        <v>1</v>
      </c>
      <c r="E221" s="15">
        <f>IF('ENCUESTA CONDUCTORES'!G221="X",1,0)</f>
        <v>0</v>
      </c>
      <c r="F221" s="15">
        <f>IF('ENCUESTA CONDUCTORES'!H221="X",1,0)</f>
        <v>0</v>
      </c>
      <c r="G221" s="15">
        <f>+'ENCUESTA CONDUCTORES'!I221</f>
        <v>32</v>
      </c>
      <c r="H221" s="15" t="str">
        <f>+'ENCUESTA CONDUCTORES'!J221</f>
        <v>M</v>
      </c>
      <c r="I221" s="15" t="str">
        <f>+'ENCUESTA CONDUCTORES'!K221</f>
        <v>PREPARATORIA</v>
      </c>
      <c r="J221" s="15" t="str">
        <f>+'ENCUESTA CONDUCTORES'!L221</f>
        <v>CUERNAVACA, MOR.</v>
      </c>
      <c r="K221" s="15" t="str">
        <f>+'ENCUESTA CONDUCTORES'!M221</f>
        <v>CUERNAVACA</v>
      </c>
      <c r="L221" s="15" t="str">
        <f>+'ENCUESTA CONDUCTORES'!N221</f>
        <v>MORELOS</v>
      </c>
      <c r="M221" s="15">
        <f>+'ENCUESTA CONDUCTORES'!O221</f>
        <v>15</v>
      </c>
      <c r="N221" s="15">
        <f>IF('ENCUESTA CONDUCTORES'!P221="X",1,0)</f>
        <v>0</v>
      </c>
      <c r="O221" s="15">
        <f>IF('ENCUESTA CONDUCTORES'!Q221="X",1,0)</f>
        <v>0</v>
      </c>
      <c r="P221" s="15">
        <f>IF('ENCUESTA CONDUCTORES'!R221="X",1,0)</f>
        <v>1</v>
      </c>
      <c r="Q221" s="15">
        <f>IF('ENCUESTA CONDUCTORES'!S221="X",1,0)</f>
        <v>0</v>
      </c>
      <c r="R221" s="15">
        <f>IF('ENCUESTA CONDUCTORES'!T221="X",1,0)</f>
        <v>0</v>
      </c>
      <c r="S221" s="15">
        <f>IF('ENCUESTA CONDUCTORES'!U221="X",1,0)</f>
        <v>0</v>
      </c>
      <c r="T221" s="15">
        <f>IF('ENCUESTA CONDUCTORES'!V221="X",1,0)</f>
        <v>0</v>
      </c>
      <c r="U221" s="15">
        <f>IF('ENCUESTA CONDUCTORES'!W221="X",1,0)</f>
        <v>1</v>
      </c>
      <c r="V221" s="15">
        <f>IF('ENCUESTA CONDUCTORES'!X221="X",1,0)</f>
        <v>0</v>
      </c>
      <c r="W221" s="15">
        <f>IF('ENCUESTA CONDUCTORES'!Y221="X",1,0)</f>
        <v>0</v>
      </c>
      <c r="X221" s="15">
        <f>IF('ENCUESTA CONDUCTORES'!Z221="X",1,0)</f>
        <v>0</v>
      </c>
      <c r="Y221" s="15">
        <f>+'ENCUESTA CONDUCTORES'!AG221</f>
        <v>0</v>
      </c>
      <c r="Z221" s="15">
        <f>+'ENCUESTA CONDUCTORES'!AH221</f>
        <v>2010</v>
      </c>
      <c r="AA221" s="1">
        <f>+'ENCUESTA CONDUCTORES'!AI221</f>
        <v>100000</v>
      </c>
      <c r="AB221" s="15">
        <f>IF('ENCUESTA CONDUCTORES'!AJ221="X",1,0)</f>
        <v>0</v>
      </c>
      <c r="AC221" s="15">
        <f>IF('ENCUESTA CONDUCTORES'!AK221="X",1,0)</f>
        <v>0</v>
      </c>
      <c r="AD221" s="15">
        <f>IF('ENCUESTA CONDUCTORES'!AL221="X",1,0)</f>
        <v>1</v>
      </c>
      <c r="AE221" s="15">
        <f>IF('ENCUESTA CONDUCTORES'!AM221="X",1,0)</f>
        <v>0</v>
      </c>
      <c r="AF221" s="15">
        <f>IF('ENCUESTA CONDUCTORES'!AN221="X",1,0)</f>
        <v>0</v>
      </c>
      <c r="AG221" s="15">
        <f>IF('ENCUESTA CONDUCTORES'!AO221="X",1,0)</f>
        <v>0</v>
      </c>
      <c r="AH221" s="15">
        <f>IF('ENCUESTA CONDUCTORES'!AP221="X",1,0)</f>
        <v>1</v>
      </c>
      <c r="AI221" s="15">
        <f>IF('ENCUESTA CONDUCTORES'!AQ221="X",1,0)</f>
        <v>0</v>
      </c>
      <c r="AJ221" s="15">
        <f>IF('ENCUESTA CONDUCTORES'!AR221="X",1,0)</f>
        <v>0</v>
      </c>
      <c r="AK221" s="15">
        <f>+'ENCUESTA CONDUCTORES'!AS221</f>
        <v>0</v>
      </c>
      <c r="AL221" s="15" t="str">
        <f>+'ENCUESTA CONDUCTORES'!AT221</f>
        <v>INTERNATIONAL</v>
      </c>
      <c r="AM221" s="1">
        <f>+'ENCUESTA CONDUCTORES'!AU221</f>
        <v>2500</v>
      </c>
      <c r="AN221" s="48">
        <f>+'ENCUESTA CONDUCTORES'!AV221</f>
        <v>0.2</v>
      </c>
      <c r="AO221" s="15">
        <f>+'ENCUESTA CONDUCTORES'!AW221</f>
        <v>2.8</v>
      </c>
      <c r="AP221" s="15">
        <f>+'ENCUESTA CONDUCTORES'!AX221</f>
        <v>2</v>
      </c>
      <c r="AQ221" s="15">
        <f>+'ENCUESTA CONDUCTORES'!AY221</f>
        <v>3</v>
      </c>
      <c r="AR221" s="15">
        <f>+'ENCUESTA CONDUCTORES'!AZ221</f>
        <v>800</v>
      </c>
      <c r="AS221" s="15">
        <f>+'ENCUESTA CONDUCTORES'!BA221</f>
        <v>2000</v>
      </c>
      <c r="AT221" s="15">
        <f>IF('ENCUESTA CONDUCTORES'!BB221="X",1,0)</f>
        <v>1</v>
      </c>
      <c r="AU221" s="15">
        <f>IF('ENCUESTA CONDUCTORES'!BC221="X",1,0)</f>
        <v>1</v>
      </c>
      <c r="AV221" s="15">
        <f>IF('ENCUESTA CONDUCTORES'!BD221="X",1,0)</f>
        <v>1</v>
      </c>
      <c r="AW221" s="1">
        <f>+'ENCUESTA CONDUCTORES'!BE221</f>
        <v>7000</v>
      </c>
      <c r="AX221" s="1">
        <f>+'ENCUESTA CONDUCTORES'!BF221</f>
        <v>9000</v>
      </c>
      <c r="AY221" s="1">
        <f>+'ENCUESTA CONDUCTORES'!BG221</f>
        <v>19000</v>
      </c>
      <c r="AZ221" s="1">
        <f>+'ENCUESTA CONDUCTORES'!BH221</f>
        <v>60000</v>
      </c>
      <c r="BA221" s="1">
        <f>+'ENCUESTA CONDUCTORES'!BI221</f>
        <v>19000</v>
      </c>
      <c r="BB221" s="15">
        <f>IF('ENCUESTA CONDUCTORES'!BJ221="X",1,0)</f>
        <v>0</v>
      </c>
      <c r="BC221" s="15">
        <f>IF('ENCUESTA CONDUCTORES'!BK221="X",1,0)</f>
        <v>1</v>
      </c>
      <c r="BD221" s="15">
        <f>IF('ENCUESTA CONDUCTORES'!BL221="X",1,0)</f>
        <v>0</v>
      </c>
      <c r="BE221" s="15">
        <f>IF('ENCUESTA CONDUCTORES'!BM221="X",1,0)</f>
        <v>0</v>
      </c>
      <c r="BF221" s="15">
        <f>IF('ENCUESTA CONDUCTORES'!BN221="X",1,0)</f>
        <v>1</v>
      </c>
      <c r="BG221" s="15">
        <f>IF('ENCUESTA CONDUCTORES'!BO221="X",1,0)</f>
        <v>0</v>
      </c>
      <c r="BH221" s="15">
        <f>IF('ENCUESTA CONDUCTORES'!BP221="X",1,0)</f>
        <v>0</v>
      </c>
      <c r="BI221" s="15">
        <f>IF('ENCUESTA CONDUCTORES'!BQ221="X",1,0)</f>
        <v>0</v>
      </c>
      <c r="BJ221" s="15">
        <f>IF('ENCUESTA CONDUCTORES'!BR221="X",1,0)</f>
        <v>0</v>
      </c>
      <c r="BK221" s="15">
        <f>+'ENCUESTA CONDUCTORES'!BS221</f>
        <v>0</v>
      </c>
      <c r="BL221" s="15">
        <f>IF('ENCUESTA CONDUCTORES'!BT221="X",1,0)</f>
        <v>0</v>
      </c>
      <c r="BM221" s="15">
        <f>IF('ENCUESTA CONDUCTORES'!BU221="X",1,0)</f>
        <v>0</v>
      </c>
      <c r="BN221" s="15">
        <f>IF('ENCUESTA CONDUCTORES'!BV221="X",1,0)</f>
        <v>0</v>
      </c>
      <c r="BO221" s="15">
        <f>IF('ENCUESTA CONDUCTORES'!BW221="X",1,0)</f>
        <v>1</v>
      </c>
      <c r="BP221" s="15">
        <f>+'ENCUESTA CONDUCTORES'!BX221</f>
        <v>3</v>
      </c>
      <c r="BQ221" s="15">
        <f>+'ENCUESTA CONDUCTORES'!BY221</f>
        <v>2</v>
      </c>
      <c r="BR221" s="15">
        <f>+'ENCUESTA CONDUCTORES'!BZ221</f>
        <v>4</v>
      </c>
      <c r="BS221" s="15" t="str">
        <f>+'ENCUESTA CONDUCTORES'!CA221</f>
        <v>SEGURIDAD</v>
      </c>
      <c r="BT221" s="15">
        <f>IF('ENCUESTA CONDUCTORES'!CB221="X",1,0)</f>
        <v>0</v>
      </c>
      <c r="BU221" s="15">
        <f>IF('ENCUESTA CONDUCTORES'!CC221="X",1,0)</f>
        <v>1</v>
      </c>
      <c r="BV221" s="15">
        <f>IF('ENCUESTA CONDUCTORES'!CD221="X",1,0)</f>
        <v>0</v>
      </c>
      <c r="BW221" s="15">
        <f>IF('ENCUESTA CONDUCTORES'!CE221="X",1,0)</f>
        <v>1</v>
      </c>
      <c r="BX221" s="15">
        <f>IF('ENCUESTA CONDUCTORES'!CF221="X",1,0)</f>
        <v>0</v>
      </c>
      <c r="BY221" s="15">
        <f>IF('ENCUESTA CONDUCTORES'!CG221="X",1,0)</f>
        <v>1</v>
      </c>
      <c r="BZ221" s="15">
        <f>IF('ENCUESTA CONDUCTORES'!CH221="X",1,0)</f>
        <v>1</v>
      </c>
      <c r="CA221" s="15">
        <f>IF('ENCUESTA CONDUCTORES'!CI221="X",1,0)</f>
        <v>1</v>
      </c>
      <c r="CB221" s="15">
        <f>IF('ENCUESTA CONDUCTORES'!CJ221="X",1,0)</f>
        <v>0</v>
      </c>
      <c r="CC221" s="15">
        <f>IF('ENCUESTA CONDUCTORES'!CK221="X",1,0)</f>
        <v>0</v>
      </c>
      <c r="CD221" s="15">
        <f>IF('ENCUESTA CONDUCTORES'!CL221="X",1,0)</f>
        <v>1</v>
      </c>
      <c r="CE221" s="15">
        <f>IF('ENCUESTA CONDUCTORES'!CM221="X",1,0)</f>
        <v>1</v>
      </c>
      <c r="CF221" s="15" t="str">
        <f>+'ENCUESTA CONDUCTORES'!CN221</f>
        <v>NO LO NECESITA</v>
      </c>
      <c r="CG221" s="15">
        <f>IF('ENCUESTA CONDUCTORES'!CO221="X",1,0)</f>
        <v>0</v>
      </c>
      <c r="CH221" s="15" t="str">
        <f>+'ENCUESTA CONDUCTORES'!CP221</f>
        <v>ES UN BUEN PROGRAMA PARA TODOS</v>
      </c>
      <c r="CI221" s="15" t="str">
        <f>+'ENCUESTA CONDUCTORES'!CQ221</f>
        <v>PUBLICIDAD</v>
      </c>
      <c r="CJ221" s="15">
        <f>IF('ENCUESTA CONDUCTORES'!CR221="X",1,0)</f>
        <v>0</v>
      </c>
      <c r="CK221" s="15">
        <f>IF('ENCUESTA CONDUCTORES'!CS221="X",1,0)</f>
        <v>1</v>
      </c>
      <c r="CL221" s="15">
        <f>IF('ENCUESTA CONDUCTORES'!CT221="X",1,0)</f>
        <v>1</v>
      </c>
      <c r="CM221" s="15">
        <f>+'ENCUESTA CONDUCTORES'!CU221</f>
        <v>0</v>
      </c>
      <c r="CN221" s="15">
        <f>IF('ENCUESTA CONDUCTORES'!CV221="X",1,0)</f>
        <v>1</v>
      </c>
      <c r="CO221" s="15" t="str">
        <f>+'ENCUESTA CONDUCTORES'!CW221</f>
        <v>NO TIENE TIEMPO</v>
      </c>
      <c r="CP221" s="15">
        <f>IF('ENCUESTA CONDUCTORES'!CX221="X",1,0)</f>
        <v>0</v>
      </c>
      <c r="CQ221" s="15">
        <f>IF('ENCUESTA CONDUCTORES'!CY221="X",1,0)</f>
        <v>0</v>
      </c>
      <c r="CR221" s="3">
        <f>+'ENCUESTA CONDUCTORES'!CZ221</f>
        <v>0</v>
      </c>
      <c r="CS221" s="49">
        <f>+'ENCUESTA CONDUCTORES'!DA221</f>
        <v>0</v>
      </c>
    </row>
    <row r="222" spans="2:97" x14ac:dyDescent="0.25">
      <c r="B222" s="14" t="str">
        <f>+'ENCUESTA CONDUCTORES'!D222</f>
        <v>C-233</v>
      </c>
      <c r="C222" s="15">
        <f>IF('ENCUESTA CONDUCTORES'!E222="X",1,0)</f>
        <v>0</v>
      </c>
      <c r="D222" s="15">
        <f>IF('ENCUESTA CONDUCTORES'!F222="X",1,0)</f>
        <v>1</v>
      </c>
      <c r="E222" s="15">
        <f>IF('ENCUESTA CONDUCTORES'!G222="X",1,0)</f>
        <v>0</v>
      </c>
      <c r="F222" s="15">
        <f>IF('ENCUESTA CONDUCTORES'!H222="X",1,0)</f>
        <v>0</v>
      </c>
      <c r="G222" s="15">
        <f>+'ENCUESTA CONDUCTORES'!I222</f>
        <v>22</v>
      </c>
      <c r="H222" s="15" t="str">
        <f>+'ENCUESTA CONDUCTORES'!J222</f>
        <v>M</v>
      </c>
      <c r="I222" s="15" t="str">
        <f>+'ENCUESTA CONDUCTORES'!K222</f>
        <v>PREPARATORIA</v>
      </c>
      <c r="J222" s="15" t="str">
        <f>+'ENCUESTA CONDUCTORES'!L222</f>
        <v>CHICOLOAPAN, EDO. MEX.</v>
      </c>
      <c r="K222" s="15" t="str">
        <f>+'ENCUESTA CONDUCTORES'!M222</f>
        <v>CHICOLOAPAN</v>
      </c>
      <c r="L222" s="15" t="str">
        <f>+'ENCUESTA CONDUCTORES'!N222</f>
        <v>EDO. MEX.</v>
      </c>
      <c r="M222" s="15">
        <f>+'ENCUESTA CONDUCTORES'!O222</f>
        <v>5</v>
      </c>
      <c r="N222" s="15">
        <f>IF('ENCUESTA CONDUCTORES'!P222="X",1,0)</f>
        <v>1</v>
      </c>
      <c r="O222" s="15">
        <f>IF('ENCUESTA CONDUCTORES'!Q222="X",1,0)</f>
        <v>0</v>
      </c>
      <c r="P222" s="15">
        <f>IF('ENCUESTA CONDUCTORES'!R222="X",1,0)</f>
        <v>0</v>
      </c>
      <c r="Q222" s="15">
        <f>IF('ENCUESTA CONDUCTORES'!S222="X",1,0)</f>
        <v>0</v>
      </c>
      <c r="R222" s="15">
        <f>IF('ENCUESTA CONDUCTORES'!T222="X",1,0)</f>
        <v>0</v>
      </c>
      <c r="S222" s="15">
        <f>IF('ENCUESTA CONDUCTORES'!U222="X",1,0)</f>
        <v>0</v>
      </c>
      <c r="T222" s="15">
        <f>IF('ENCUESTA CONDUCTORES'!V222="X",1,0)</f>
        <v>0</v>
      </c>
      <c r="U222" s="15">
        <f>IF('ENCUESTA CONDUCTORES'!W222="X",1,0)</f>
        <v>0</v>
      </c>
      <c r="V222" s="15">
        <f>IF('ENCUESTA CONDUCTORES'!X222="X",1,0)</f>
        <v>0</v>
      </c>
      <c r="W222" s="15">
        <f>IF('ENCUESTA CONDUCTORES'!Y222="X",1,0)</f>
        <v>0</v>
      </c>
      <c r="X222" s="15">
        <f>IF('ENCUESTA CONDUCTORES'!Z222="X",1,0)</f>
        <v>0</v>
      </c>
      <c r="Y222" s="15">
        <f>+'ENCUESTA CONDUCTORES'!AG222</f>
        <v>0</v>
      </c>
      <c r="Z222" s="15">
        <f>+'ENCUESTA CONDUCTORES'!AH222</f>
        <v>1991</v>
      </c>
      <c r="AA222" s="1" t="str">
        <f>+'ENCUESTA CONDUCTORES'!AI222</f>
        <v>NO SABE</v>
      </c>
      <c r="AB222" s="15">
        <f>IF('ENCUESTA CONDUCTORES'!AJ222="X",1,0)</f>
        <v>0</v>
      </c>
      <c r="AC222" s="15">
        <f>IF('ENCUESTA CONDUCTORES'!AK222="X",1,0)</f>
        <v>0</v>
      </c>
      <c r="AD222" s="15">
        <f>IF('ENCUESTA CONDUCTORES'!AL222="X",1,0)</f>
        <v>1</v>
      </c>
      <c r="AE222" s="15">
        <f>IF('ENCUESTA CONDUCTORES'!AM222="X",1,0)</f>
        <v>0</v>
      </c>
      <c r="AF222" s="15">
        <f>IF('ENCUESTA CONDUCTORES'!AN222="X",1,0)</f>
        <v>0</v>
      </c>
      <c r="AG222" s="15">
        <f>IF('ENCUESTA CONDUCTORES'!AO222="X",1,0)</f>
        <v>0</v>
      </c>
      <c r="AH222" s="15">
        <f>IF('ENCUESTA CONDUCTORES'!AP222="X",1,0)</f>
        <v>0</v>
      </c>
      <c r="AI222" s="15">
        <f>IF('ENCUESTA CONDUCTORES'!AQ222="X",1,0)</f>
        <v>0</v>
      </c>
      <c r="AJ222" s="15">
        <f>IF('ENCUESTA CONDUCTORES'!AR222="X",1,0)</f>
        <v>1</v>
      </c>
      <c r="AK222" s="15">
        <f>+'ENCUESTA CONDUCTORES'!AS222</f>
        <v>2001</v>
      </c>
      <c r="AL222" s="15" t="str">
        <f>+'ENCUESTA CONDUCTORES'!AT222</f>
        <v>CUMMINS</v>
      </c>
      <c r="AM222" s="1">
        <f>+'ENCUESTA CONDUCTORES'!AU222</f>
        <v>2000</v>
      </c>
      <c r="AN222" s="48">
        <f>+'ENCUESTA CONDUCTORES'!AV222</f>
        <v>0.5</v>
      </c>
      <c r="AO222" s="15">
        <f>+'ENCUESTA CONDUCTORES'!AW222</f>
        <v>2.2999999999999998</v>
      </c>
      <c r="AP222" s="15">
        <f>+'ENCUESTA CONDUCTORES'!AX222</f>
        <v>2</v>
      </c>
      <c r="AQ222" s="15">
        <f>+'ENCUESTA CONDUCTORES'!AY222</f>
        <v>2</v>
      </c>
      <c r="AR222" s="15">
        <f>+'ENCUESTA CONDUCTORES'!AZ222</f>
        <v>410</v>
      </c>
      <c r="AS222" s="15">
        <f>+'ENCUESTA CONDUCTORES'!BA222</f>
        <v>900</v>
      </c>
      <c r="AT222" s="15">
        <f>IF('ENCUESTA CONDUCTORES'!BB222="X",1,0)</f>
        <v>0</v>
      </c>
      <c r="AU222" s="15">
        <f>IF('ENCUESTA CONDUCTORES'!BC222="X",1,0)</f>
        <v>1</v>
      </c>
      <c r="AV222" s="15">
        <f>IF('ENCUESTA CONDUCTORES'!BD222="X",1,0)</f>
        <v>0</v>
      </c>
      <c r="AW222" s="1">
        <f>+'ENCUESTA CONDUCTORES'!BE222</f>
        <v>7000</v>
      </c>
      <c r="AX222" s="1">
        <f>+'ENCUESTA CONDUCTORES'!BF222</f>
        <v>5000</v>
      </c>
      <c r="AY222" s="1">
        <f>+'ENCUESTA CONDUCTORES'!BG222</f>
        <v>20000</v>
      </c>
      <c r="AZ222" s="1">
        <f>+'ENCUESTA CONDUCTORES'!BH222</f>
        <v>48000</v>
      </c>
      <c r="BA222" s="1">
        <f>+'ENCUESTA CONDUCTORES'!BI222</f>
        <v>2000</v>
      </c>
      <c r="BB222" s="15">
        <f>IF('ENCUESTA CONDUCTORES'!BJ222="X",1,0)</f>
        <v>0</v>
      </c>
      <c r="BC222" s="15">
        <f>IF('ENCUESTA CONDUCTORES'!BK222="X",1,0)</f>
        <v>0</v>
      </c>
      <c r="BD222" s="15">
        <f>IF('ENCUESTA CONDUCTORES'!BL222="X",1,0)</f>
        <v>0</v>
      </c>
      <c r="BE222" s="15">
        <f>IF('ENCUESTA CONDUCTORES'!BM222="X",1,0)</f>
        <v>1</v>
      </c>
      <c r="BF222" s="15">
        <f>IF('ENCUESTA CONDUCTORES'!BN222="X",1,0)</f>
        <v>0</v>
      </c>
      <c r="BG222" s="15">
        <f>IF('ENCUESTA CONDUCTORES'!BO222="X",1,0)</f>
        <v>0</v>
      </c>
      <c r="BH222" s="15">
        <f>IF('ENCUESTA CONDUCTORES'!BP222="X",1,0)</f>
        <v>0</v>
      </c>
      <c r="BI222" s="15">
        <f>IF('ENCUESTA CONDUCTORES'!BQ222="X",1,0)</f>
        <v>0</v>
      </c>
      <c r="BJ222" s="15">
        <f>IF('ENCUESTA CONDUCTORES'!BR222="X",1,0)</f>
        <v>0</v>
      </c>
      <c r="BK222" s="15">
        <f>+'ENCUESTA CONDUCTORES'!BS222</f>
        <v>0</v>
      </c>
      <c r="BL222" s="15">
        <f>IF('ENCUESTA CONDUCTORES'!BT222="X",1,0)</f>
        <v>0</v>
      </c>
      <c r="BM222" s="15">
        <f>IF('ENCUESTA CONDUCTORES'!BU222="X",1,0)</f>
        <v>1</v>
      </c>
      <c r="BN222" s="15">
        <f>IF('ENCUESTA CONDUCTORES'!BV222="X",1,0)</f>
        <v>0</v>
      </c>
      <c r="BO222" s="15">
        <f>IF('ENCUESTA CONDUCTORES'!BW222="X",1,0)</f>
        <v>0</v>
      </c>
      <c r="BP222" s="15">
        <f>+'ENCUESTA CONDUCTORES'!BX222</f>
        <v>3</v>
      </c>
      <c r="BQ222" s="15">
        <f>+'ENCUESTA CONDUCTORES'!BY222</f>
        <v>4</v>
      </c>
      <c r="BR222" s="15">
        <f>+'ENCUESTA CONDUCTORES'!BZ222</f>
        <v>2</v>
      </c>
      <c r="BS222" s="15" t="str">
        <f>+'ENCUESTA CONDUCTORES'!CA222</f>
        <v>SEGURIDAD</v>
      </c>
      <c r="BT222" s="15">
        <f>IF('ENCUESTA CONDUCTORES'!CB222="X",1,0)</f>
        <v>0</v>
      </c>
      <c r="BU222" s="15">
        <f>IF('ENCUESTA CONDUCTORES'!CC222="X",1,0)</f>
        <v>1</v>
      </c>
      <c r="BV222" s="15">
        <f>IF('ENCUESTA CONDUCTORES'!CD222="X",1,0)</f>
        <v>0</v>
      </c>
      <c r="BW222" s="15">
        <f>IF('ENCUESTA CONDUCTORES'!CE222="X",1,0)</f>
        <v>1</v>
      </c>
      <c r="BX222" s="15">
        <f>IF('ENCUESTA CONDUCTORES'!CF222="X",1,0)</f>
        <v>0</v>
      </c>
      <c r="BY222" s="15">
        <f>IF('ENCUESTA CONDUCTORES'!CG222="X",1,0)</f>
        <v>0</v>
      </c>
      <c r="BZ222" s="15">
        <f>IF('ENCUESTA CONDUCTORES'!CH222="X",1,0)</f>
        <v>1</v>
      </c>
      <c r="CA222" s="15">
        <f>IF('ENCUESTA CONDUCTORES'!CI222="X",1,0)</f>
        <v>1</v>
      </c>
      <c r="CB222" s="15">
        <f>IF('ENCUESTA CONDUCTORES'!CJ222="X",1,0)</f>
        <v>0</v>
      </c>
      <c r="CC222" s="15">
        <f>IF('ENCUESTA CONDUCTORES'!CK222="X",1,0)</f>
        <v>1</v>
      </c>
      <c r="CD222" s="15">
        <f>IF('ENCUESTA CONDUCTORES'!CL222="X",1,0)</f>
        <v>0</v>
      </c>
      <c r="CE222" s="15">
        <f>IF('ENCUESTA CONDUCTORES'!CM222="X",1,0)</f>
        <v>0</v>
      </c>
      <c r="CF222" s="15">
        <f>+'ENCUESTA CONDUCTORES'!CN222</f>
        <v>0</v>
      </c>
      <c r="CG222" s="15">
        <f>IF('ENCUESTA CONDUCTORES'!CO222="X",1,0)</f>
        <v>0</v>
      </c>
      <c r="CH222" s="15" t="str">
        <f>+'ENCUESTA CONDUCTORES'!CP222</f>
        <v>NO SABE</v>
      </c>
      <c r="CI222" s="15" t="str">
        <f>+'ENCUESTA CONDUCTORES'!CQ222</f>
        <v>PUBLICIDAD</v>
      </c>
      <c r="CJ222" s="15">
        <f>IF('ENCUESTA CONDUCTORES'!CR222="X",1,0)</f>
        <v>0</v>
      </c>
      <c r="CK222" s="15">
        <f>IF('ENCUESTA CONDUCTORES'!CS222="X",1,0)</f>
        <v>0</v>
      </c>
      <c r="CL222" s="15">
        <f>IF('ENCUESTA CONDUCTORES'!CT222="X",1,0)</f>
        <v>0</v>
      </c>
      <c r="CM222" s="15" t="str">
        <f>+'ENCUESTA CONDUCTORES'!CU222</f>
        <v>MANEJO A LA DEFENSIVA</v>
      </c>
      <c r="CN222" s="15">
        <f>IF('ENCUESTA CONDUCTORES'!CV222="X",1,0)</f>
        <v>1</v>
      </c>
      <c r="CO222" s="15" t="str">
        <f>+'ENCUESTA CONDUCTORES'!CW222</f>
        <v>NO TIENE TIEMPO</v>
      </c>
      <c r="CP222" s="15">
        <f>IF('ENCUESTA CONDUCTORES'!CX222="X",1,0)</f>
        <v>0</v>
      </c>
      <c r="CQ222" s="15">
        <f>IF('ENCUESTA CONDUCTORES'!CY222="X",1,0)</f>
        <v>0</v>
      </c>
      <c r="CR222" s="3">
        <f>+'ENCUESTA CONDUCTORES'!CZ222</f>
        <v>0</v>
      </c>
      <c r="CS222" s="49">
        <f>+'ENCUESTA CONDUCTORES'!DA222</f>
        <v>0</v>
      </c>
    </row>
    <row r="223" spans="2:97" x14ac:dyDescent="0.25">
      <c r="B223" s="14" t="str">
        <f>+'ENCUESTA CONDUCTORES'!D223</f>
        <v>C-234</v>
      </c>
      <c r="C223" s="15">
        <f>IF('ENCUESTA CONDUCTORES'!E223="X",1,0)</f>
        <v>0</v>
      </c>
      <c r="D223" s="15">
        <f>IF('ENCUESTA CONDUCTORES'!F223="X",1,0)</f>
        <v>0</v>
      </c>
      <c r="E223" s="15">
        <f>IF('ENCUESTA CONDUCTORES'!G223="X",1,0)</f>
        <v>1</v>
      </c>
      <c r="F223" s="15">
        <f>IF('ENCUESTA CONDUCTORES'!H223="X",1,0)</f>
        <v>0</v>
      </c>
      <c r="G223" s="15">
        <f>+'ENCUESTA CONDUCTORES'!I223</f>
        <v>31</v>
      </c>
      <c r="H223" s="15" t="str">
        <f>+'ENCUESTA CONDUCTORES'!J223</f>
        <v>M</v>
      </c>
      <c r="I223" s="15" t="str">
        <f>+'ENCUESTA CONDUCTORES'!K223</f>
        <v>SECUNDARIA</v>
      </c>
      <c r="J223" s="15" t="str">
        <f>+'ENCUESTA CONDUCTORES'!L223</f>
        <v>CUAUTITLÁN, EDO. MEX.</v>
      </c>
      <c r="K223" s="15" t="str">
        <f>+'ENCUESTA CONDUCTORES'!M223</f>
        <v>CUAUTITLÁN</v>
      </c>
      <c r="L223" s="15" t="str">
        <f>+'ENCUESTA CONDUCTORES'!N223</f>
        <v>EDO. MEX.</v>
      </c>
      <c r="M223" s="15">
        <f>+'ENCUESTA CONDUCTORES'!O223</f>
        <v>9</v>
      </c>
      <c r="N223" s="15">
        <f>IF('ENCUESTA CONDUCTORES'!P223="X",1,0)</f>
        <v>0</v>
      </c>
      <c r="O223" s="15">
        <f>IF('ENCUESTA CONDUCTORES'!Q223="X",1,0)</f>
        <v>0</v>
      </c>
      <c r="P223" s="15">
        <f>IF('ENCUESTA CONDUCTORES'!R223="X",1,0)</f>
        <v>0</v>
      </c>
      <c r="Q223" s="15">
        <f>IF('ENCUESTA CONDUCTORES'!S223="X",1,0)</f>
        <v>1</v>
      </c>
      <c r="R223" s="15">
        <f>IF('ENCUESTA CONDUCTORES'!T223="X",1,0)</f>
        <v>0</v>
      </c>
      <c r="S223" s="15">
        <f>IF('ENCUESTA CONDUCTORES'!U223="X",1,0)</f>
        <v>0</v>
      </c>
      <c r="T223" s="15">
        <f>IF('ENCUESTA CONDUCTORES'!V223="X",1,0)</f>
        <v>0</v>
      </c>
      <c r="U223" s="15">
        <f>IF('ENCUESTA CONDUCTORES'!W223="X",1,0)</f>
        <v>0</v>
      </c>
      <c r="V223" s="15">
        <f>IF('ENCUESTA CONDUCTORES'!X223="X",1,0)</f>
        <v>1</v>
      </c>
      <c r="W223" s="15">
        <f>IF('ENCUESTA CONDUCTORES'!Y223="X",1,0)</f>
        <v>0</v>
      </c>
      <c r="X223" s="15">
        <f>IF('ENCUESTA CONDUCTORES'!Z223="X",1,0)</f>
        <v>0</v>
      </c>
      <c r="Y223" s="15">
        <f>+'ENCUESTA CONDUCTORES'!AG223</f>
        <v>0</v>
      </c>
      <c r="Z223" s="15">
        <f>+'ENCUESTA CONDUCTORES'!AH223</f>
        <v>2012</v>
      </c>
      <c r="AA223" s="1">
        <f>+'ENCUESTA CONDUCTORES'!AI223</f>
        <v>250000</v>
      </c>
      <c r="AB223" s="15">
        <f>IF('ENCUESTA CONDUCTORES'!AJ223="X",1,0)</f>
        <v>0</v>
      </c>
      <c r="AC223" s="15">
        <f>IF('ENCUESTA CONDUCTORES'!AK223="X",1,0)</f>
        <v>0</v>
      </c>
      <c r="AD223" s="15">
        <f>IF('ENCUESTA CONDUCTORES'!AL223="X",1,0)</f>
        <v>1</v>
      </c>
      <c r="AE223" s="15">
        <f>IF('ENCUESTA CONDUCTORES'!AM223="X",1,0)</f>
        <v>0</v>
      </c>
      <c r="AF223" s="15">
        <f>IF('ENCUESTA CONDUCTORES'!AN223="X",1,0)</f>
        <v>0</v>
      </c>
      <c r="AG223" s="15">
        <f>IF('ENCUESTA CONDUCTORES'!AO223="X",1,0)</f>
        <v>1</v>
      </c>
      <c r="AH223" s="15">
        <f>IF('ENCUESTA CONDUCTORES'!AP223="X",1,0)</f>
        <v>0</v>
      </c>
      <c r="AI223" s="15">
        <f>IF('ENCUESTA CONDUCTORES'!AQ223="X",1,0)</f>
        <v>0</v>
      </c>
      <c r="AJ223" s="15">
        <f>IF('ENCUESTA CONDUCTORES'!AR223="X",1,0)</f>
        <v>0</v>
      </c>
      <c r="AK223" s="15">
        <f>+'ENCUESTA CONDUCTORES'!AS223</f>
        <v>0</v>
      </c>
      <c r="AL223" s="15" t="str">
        <f>+'ENCUESTA CONDUCTORES'!AT223</f>
        <v>KENWORTH</v>
      </c>
      <c r="AM223" s="1">
        <f>+'ENCUESTA CONDUCTORES'!AU223</f>
        <v>5000</v>
      </c>
      <c r="AN223" s="48">
        <f>+'ENCUESTA CONDUCTORES'!AV223</f>
        <v>0.5</v>
      </c>
      <c r="AO223" s="15">
        <f>+'ENCUESTA CONDUCTORES'!AW223</f>
        <v>2.2999999999999998</v>
      </c>
      <c r="AP223" s="15">
        <f>+'ENCUESTA CONDUCTORES'!AX223</f>
        <v>2</v>
      </c>
      <c r="AQ223" s="15">
        <f>+'ENCUESTA CONDUCTORES'!AY223</f>
        <v>2</v>
      </c>
      <c r="AR223" s="15">
        <f>+'ENCUESTA CONDUCTORES'!AZ223</f>
        <v>1050</v>
      </c>
      <c r="AS223" s="15">
        <f>+'ENCUESTA CONDUCTORES'!BA223</f>
        <v>2300</v>
      </c>
      <c r="AT223" s="15">
        <f>IF('ENCUESTA CONDUCTORES'!BB223="X",1,0)</f>
        <v>1</v>
      </c>
      <c r="AU223" s="15">
        <f>IF('ENCUESTA CONDUCTORES'!BC223="X",1,0)</f>
        <v>1</v>
      </c>
      <c r="AV223" s="15">
        <f>IF('ENCUESTA CONDUCTORES'!BD223="X",1,0)</f>
        <v>0</v>
      </c>
      <c r="AW223" s="1">
        <f>+'ENCUESTA CONDUCTORES'!BE223</f>
        <v>7000</v>
      </c>
      <c r="AX223" s="1">
        <f>+'ENCUESTA CONDUCTORES'!BF223</f>
        <v>11000</v>
      </c>
      <c r="AY223" s="1">
        <f>+'ENCUESTA CONDUCTORES'!BG223</f>
        <v>15000</v>
      </c>
      <c r="AZ223" s="1">
        <f>+'ENCUESTA CONDUCTORES'!BH223</f>
        <v>90000</v>
      </c>
      <c r="BA223" s="1">
        <f>+'ENCUESTA CONDUCTORES'!BI223</f>
        <v>15000</v>
      </c>
      <c r="BB223" s="15">
        <f>IF('ENCUESTA CONDUCTORES'!BJ223="X",1,0)</f>
        <v>1</v>
      </c>
      <c r="BC223" s="15">
        <f>IF('ENCUESTA CONDUCTORES'!BK223="X",1,0)</f>
        <v>0</v>
      </c>
      <c r="BD223" s="15">
        <f>IF('ENCUESTA CONDUCTORES'!BL223="X",1,0)</f>
        <v>0</v>
      </c>
      <c r="BE223" s="15">
        <f>IF('ENCUESTA CONDUCTORES'!BM223="X",1,0)</f>
        <v>0</v>
      </c>
      <c r="BF223" s="15">
        <f>IF('ENCUESTA CONDUCTORES'!BN223="X",1,0)</f>
        <v>0</v>
      </c>
      <c r="BG223" s="15">
        <f>IF('ENCUESTA CONDUCTORES'!BO223="X",1,0)</f>
        <v>0</v>
      </c>
      <c r="BH223" s="15">
        <f>IF('ENCUESTA CONDUCTORES'!BP223="X",1,0)</f>
        <v>0</v>
      </c>
      <c r="BI223" s="15">
        <f>IF('ENCUESTA CONDUCTORES'!BQ223="X",1,0)</f>
        <v>0</v>
      </c>
      <c r="BJ223" s="15">
        <f>IF('ENCUESTA CONDUCTORES'!BR223="X",1,0)</f>
        <v>0</v>
      </c>
      <c r="BK223" s="15">
        <f>+'ENCUESTA CONDUCTORES'!BS223</f>
        <v>0</v>
      </c>
      <c r="BL223" s="15">
        <f>IF('ENCUESTA CONDUCTORES'!BT223="X",1,0)</f>
        <v>0</v>
      </c>
      <c r="BM223" s="15">
        <f>IF('ENCUESTA CONDUCTORES'!BU223="X",1,0)</f>
        <v>0</v>
      </c>
      <c r="BN223" s="15">
        <f>IF('ENCUESTA CONDUCTORES'!BV223="X",1,0)</f>
        <v>1</v>
      </c>
      <c r="BO223" s="15">
        <f>IF('ENCUESTA CONDUCTORES'!BW223="X",1,0)</f>
        <v>0</v>
      </c>
      <c r="BP223" s="15">
        <f>+'ENCUESTA CONDUCTORES'!BX223</f>
        <v>1</v>
      </c>
      <c r="BQ223" s="15">
        <f>+'ENCUESTA CONDUCTORES'!BY223</f>
        <v>3</v>
      </c>
      <c r="BR223" s="15">
        <f>+'ENCUESTA CONDUCTORES'!BZ223</f>
        <v>2</v>
      </c>
      <c r="BS223" s="15">
        <f>+'ENCUESTA CONDUCTORES'!CA223</f>
        <v>0</v>
      </c>
      <c r="BT223" s="15">
        <f>IF('ENCUESTA CONDUCTORES'!CB223="X",1,0)</f>
        <v>0</v>
      </c>
      <c r="BU223" s="15">
        <f>IF('ENCUESTA CONDUCTORES'!CC223="X",1,0)</f>
        <v>1</v>
      </c>
      <c r="BV223" s="15">
        <f>IF('ENCUESTA CONDUCTORES'!CD223="X",1,0)</f>
        <v>0</v>
      </c>
      <c r="BW223" s="15">
        <f>IF('ENCUESTA CONDUCTORES'!CE223="X",1,0)</f>
        <v>0</v>
      </c>
      <c r="BX223" s="15">
        <f>IF('ENCUESTA CONDUCTORES'!CF223="X",1,0)</f>
        <v>0</v>
      </c>
      <c r="BY223" s="15">
        <f>IF('ENCUESTA CONDUCTORES'!CG223="X",1,0)</f>
        <v>0</v>
      </c>
      <c r="BZ223" s="15">
        <f>IF('ENCUESTA CONDUCTORES'!CH223="X",1,0)</f>
        <v>1</v>
      </c>
      <c r="CA223" s="15">
        <f>IF('ENCUESTA CONDUCTORES'!CI223="X",1,0)</f>
        <v>1</v>
      </c>
      <c r="CB223" s="15">
        <f>IF('ENCUESTA CONDUCTORES'!CJ223="X",1,0)</f>
        <v>0</v>
      </c>
      <c r="CC223" s="15">
        <f>IF('ENCUESTA CONDUCTORES'!CK223="X",1,0)</f>
        <v>1</v>
      </c>
      <c r="CD223" s="15">
        <f>IF('ENCUESTA CONDUCTORES'!CL223="X",1,0)</f>
        <v>0</v>
      </c>
      <c r="CE223" s="15">
        <f>IF('ENCUESTA CONDUCTORES'!CM223="X",1,0)</f>
        <v>0</v>
      </c>
      <c r="CF223" s="15">
        <f>+'ENCUESTA CONDUCTORES'!CN223</f>
        <v>0</v>
      </c>
      <c r="CG223" s="15">
        <f>IF('ENCUESTA CONDUCTORES'!CO223="X",1,0)</f>
        <v>0</v>
      </c>
      <c r="CH223" s="15" t="str">
        <f>+'ENCUESTA CONDUCTORES'!CP223</f>
        <v>NO SABE</v>
      </c>
      <c r="CI223" s="15" t="str">
        <f>+'ENCUESTA CONDUCTORES'!CQ223</f>
        <v>MAYOR INFORMACION</v>
      </c>
      <c r="CJ223" s="15">
        <f>IF('ENCUESTA CONDUCTORES'!CR223="X",1,0)</f>
        <v>1</v>
      </c>
      <c r="CK223" s="15">
        <f>IF('ENCUESTA CONDUCTORES'!CS223="X",1,0)</f>
        <v>0</v>
      </c>
      <c r="CL223" s="15">
        <f>IF('ENCUESTA CONDUCTORES'!CT223="X",1,0)</f>
        <v>0</v>
      </c>
      <c r="CM223" s="15">
        <f>+'ENCUESTA CONDUCTORES'!CU223</f>
        <v>0</v>
      </c>
      <c r="CN223" s="15">
        <f>IF('ENCUESTA CONDUCTORES'!CV223="X",1,0)</f>
        <v>0</v>
      </c>
      <c r="CO223" s="15">
        <f>+'ENCUESTA CONDUCTORES'!CW223</f>
        <v>0</v>
      </c>
      <c r="CP223" s="15">
        <f>IF('ENCUESTA CONDUCTORES'!CX223="X",1,0)</f>
        <v>0</v>
      </c>
      <c r="CQ223" s="15">
        <f>IF('ENCUESTA CONDUCTORES'!CY223="X",1,0)</f>
        <v>1</v>
      </c>
      <c r="CR223" s="3">
        <f>+'ENCUESTA CONDUCTORES'!CZ223</f>
        <v>0</v>
      </c>
      <c r="CS223" s="49">
        <f>+'ENCUESTA CONDUCTORES'!DA223</f>
        <v>0</v>
      </c>
    </row>
    <row r="224" spans="2:97" x14ac:dyDescent="0.25">
      <c r="B224" s="14" t="str">
        <f>+'ENCUESTA CONDUCTORES'!D224</f>
        <v>C-235</v>
      </c>
      <c r="C224" s="15">
        <f>IF('ENCUESTA CONDUCTORES'!E224="X",1,0)</f>
        <v>0</v>
      </c>
      <c r="D224" s="15">
        <f>IF('ENCUESTA CONDUCTORES'!F224="X",1,0)</f>
        <v>0</v>
      </c>
      <c r="E224" s="15">
        <f>IF('ENCUESTA CONDUCTORES'!G224="X",1,0)</f>
        <v>0</v>
      </c>
      <c r="F224" s="15">
        <f>IF('ENCUESTA CONDUCTORES'!H224="X",1,0)</f>
        <v>1</v>
      </c>
      <c r="G224" s="15">
        <f>+'ENCUESTA CONDUCTORES'!I224</f>
        <v>57</v>
      </c>
      <c r="H224" s="15" t="str">
        <f>+'ENCUESTA CONDUCTORES'!J224</f>
        <v>M</v>
      </c>
      <c r="I224" s="15" t="str">
        <f>+'ENCUESTA CONDUCTORES'!K224</f>
        <v>PRIMARIA</v>
      </c>
      <c r="J224" s="15" t="str">
        <f>+'ENCUESTA CONDUCTORES'!L224</f>
        <v>ZACUALTIPAN, HGO.</v>
      </c>
      <c r="K224" s="15" t="str">
        <f>+'ENCUESTA CONDUCTORES'!M224</f>
        <v>ZACUALTIPAN</v>
      </c>
      <c r="L224" s="15" t="str">
        <f>+'ENCUESTA CONDUCTORES'!N224</f>
        <v>HIDALGO</v>
      </c>
      <c r="M224" s="15">
        <f>+'ENCUESTA CONDUCTORES'!O224</f>
        <v>30</v>
      </c>
      <c r="N224" s="15">
        <f>IF('ENCUESTA CONDUCTORES'!P224="X",1,0)</f>
        <v>0</v>
      </c>
      <c r="O224" s="15">
        <f>IF('ENCUESTA CONDUCTORES'!Q224="X",1,0)</f>
        <v>1</v>
      </c>
      <c r="P224" s="15">
        <f>IF('ENCUESTA CONDUCTORES'!R224="X",1,0)</f>
        <v>0</v>
      </c>
      <c r="Q224" s="15">
        <f>IF('ENCUESTA CONDUCTORES'!S224="X",1,0)</f>
        <v>0</v>
      </c>
      <c r="R224" s="15">
        <f>IF('ENCUESTA CONDUCTORES'!T224="X",1,0)</f>
        <v>0</v>
      </c>
      <c r="S224" s="15">
        <f>IF('ENCUESTA CONDUCTORES'!U224="X",1,0)</f>
        <v>1</v>
      </c>
      <c r="T224" s="15">
        <f>IF('ENCUESTA CONDUCTORES'!V224="X",1,0)</f>
        <v>0</v>
      </c>
      <c r="U224" s="15">
        <f>IF('ENCUESTA CONDUCTORES'!W224="X",1,0)</f>
        <v>0</v>
      </c>
      <c r="V224" s="15">
        <f>IF('ENCUESTA CONDUCTORES'!X224="X",1,0)</f>
        <v>0</v>
      </c>
      <c r="W224" s="15">
        <f>IF('ENCUESTA CONDUCTORES'!Y224="X",1,0)</f>
        <v>0</v>
      </c>
      <c r="X224" s="15">
        <f>IF('ENCUESTA CONDUCTORES'!Z224="X",1,0)</f>
        <v>0</v>
      </c>
      <c r="Y224" s="15">
        <f>+'ENCUESTA CONDUCTORES'!AG224</f>
        <v>0</v>
      </c>
      <c r="Z224" s="15">
        <f>+'ENCUESTA CONDUCTORES'!AH224</f>
        <v>1983</v>
      </c>
      <c r="AA224" s="1">
        <f>+'ENCUESTA CONDUCTORES'!AI224</f>
        <v>1500000</v>
      </c>
      <c r="AB224" s="15">
        <f>IF('ENCUESTA CONDUCTORES'!AJ224="X",1,0)</f>
        <v>0</v>
      </c>
      <c r="AC224" s="15">
        <f>IF('ENCUESTA CONDUCTORES'!AK224="X",1,0)</f>
        <v>0</v>
      </c>
      <c r="AD224" s="15">
        <f>IF('ENCUESTA CONDUCTORES'!AL224="X",1,0)</f>
        <v>1</v>
      </c>
      <c r="AE224" s="15">
        <f>IF('ENCUESTA CONDUCTORES'!AM224="X",1,0)</f>
        <v>0</v>
      </c>
      <c r="AF224" s="15">
        <f>IF('ENCUESTA CONDUCTORES'!AN224="X",1,0)</f>
        <v>0</v>
      </c>
      <c r="AG224" s="15">
        <f>IF('ENCUESTA CONDUCTORES'!AO224="X",1,0)</f>
        <v>1</v>
      </c>
      <c r="AH224" s="15">
        <f>IF('ENCUESTA CONDUCTORES'!AP224="X",1,0)</f>
        <v>0</v>
      </c>
      <c r="AI224" s="15">
        <f>IF('ENCUESTA CONDUCTORES'!AQ224="X",1,0)</f>
        <v>0</v>
      </c>
      <c r="AJ224" s="15">
        <f>IF('ENCUESTA CONDUCTORES'!AR224="X",1,0)</f>
        <v>0</v>
      </c>
      <c r="AK224" s="15">
        <f>+'ENCUESTA CONDUCTORES'!AS224</f>
        <v>0</v>
      </c>
      <c r="AL224" s="15" t="str">
        <f>+'ENCUESTA CONDUCTORES'!AT224</f>
        <v>DINA</v>
      </c>
      <c r="AM224" s="1">
        <f>+'ENCUESTA CONDUCTORES'!AU224</f>
        <v>5000</v>
      </c>
      <c r="AN224" s="48">
        <f>+'ENCUESTA CONDUCTORES'!AV224</f>
        <v>0.5</v>
      </c>
      <c r="AO224" s="15">
        <f>+'ENCUESTA CONDUCTORES'!AW224</f>
        <v>2.2000000000000002</v>
      </c>
      <c r="AP224" s="15">
        <f>+'ENCUESTA CONDUCTORES'!AX224</f>
        <v>2</v>
      </c>
      <c r="AQ224" s="15">
        <f>+'ENCUESTA CONDUCTORES'!AY224</f>
        <v>2</v>
      </c>
      <c r="AR224" s="15">
        <f>+'ENCUESTA CONDUCTORES'!AZ224</f>
        <v>710</v>
      </c>
      <c r="AS224" s="15">
        <f>+'ENCUESTA CONDUCTORES'!BA224</f>
        <v>1500</v>
      </c>
      <c r="AT224" s="15">
        <f>IF('ENCUESTA CONDUCTORES'!BB224="X",1,0)</f>
        <v>0</v>
      </c>
      <c r="AU224" s="15">
        <f>IF('ENCUESTA CONDUCTORES'!BC224="X",1,0)</f>
        <v>0</v>
      </c>
      <c r="AV224" s="15">
        <f>IF('ENCUESTA CONDUCTORES'!BD224="X",1,0)</f>
        <v>0</v>
      </c>
      <c r="AW224" s="1">
        <f>+'ENCUESTA CONDUCTORES'!BE224</f>
        <v>10000</v>
      </c>
      <c r="AX224" s="1">
        <f>+'ENCUESTA CONDUCTORES'!BF224</f>
        <v>8000</v>
      </c>
      <c r="AY224" s="1">
        <f>+'ENCUESTA CONDUCTORES'!BG224</f>
        <v>12000</v>
      </c>
      <c r="AZ224" s="1">
        <f>+'ENCUESTA CONDUCTORES'!BH224</f>
        <v>60000</v>
      </c>
      <c r="BA224" s="1">
        <f>+'ENCUESTA CONDUCTORES'!BI224</f>
        <v>12000</v>
      </c>
      <c r="BB224" s="15">
        <f>IF('ENCUESTA CONDUCTORES'!BJ224="X",1,0)</f>
        <v>0</v>
      </c>
      <c r="BC224" s="15">
        <f>IF('ENCUESTA CONDUCTORES'!BK224="X",1,0)</f>
        <v>0</v>
      </c>
      <c r="BD224" s="15">
        <f>IF('ENCUESTA CONDUCTORES'!BL224="X",1,0)</f>
        <v>0</v>
      </c>
      <c r="BE224" s="15">
        <f>IF('ENCUESTA CONDUCTORES'!BM224="X",1,0)</f>
        <v>0</v>
      </c>
      <c r="BF224" s="15">
        <f>IF('ENCUESTA CONDUCTORES'!BN224="X",1,0)</f>
        <v>0</v>
      </c>
      <c r="BG224" s="15">
        <f>IF('ENCUESTA CONDUCTORES'!BO224="X",1,0)</f>
        <v>0</v>
      </c>
      <c r="BH224" s="15">
        <f>IF('ENCUESTA CONDUCTORES'!BP224="X",1,0)</f>
        <v>0</v>
      </c>
      <c r="BI224" s="15">
        <f>IF('ENCUESTA CONDUCTORES'!BQ224="X",1,0)</f>
        <v>0</v>
      </c>
      <c r="BJ224" s="15">
        <f>IF('ENCUESTA CONDUCTORES'!BR224="X",1,0)</f>
        <v>0</v>
      </c>
      <c r="BK224" s="15" t="str">
        <f>+'ENCUESTA CONDUCTORES'!BS224</f>
        <v>GENERAL</v>
      </c>
      <c r="BL224" s="15">
        <f>IF('ENCUESTA CONDUCTORES'!BT224="X",1,0)</f>
        <v>0</v>
      </c>
      <c r="BM224" s="15">
        <f>IF('ENCUESTA CONDUCTORES'!BU224="X",1,0)</f>
        <v>1</v>
      </c>
      <c r="BN224" s="15">
        <f>IF('ENCUESTA CONDUCTORES'!BV224="X",1,0)</f>
        <v>0</v>
      </c>
      <c r="BO224" s="15">
        <f>IF('ENCUESTA CONDUCTORES'!BW224="X",1,0)</f>
        <v>0</v>
      </c>
      <c r="BP224" s="15">
        <f>+'ENCUESTA CONDUCTORES'!BX224</f>
        <v>1</v>
      </c>
      <c r="BQ224" s="15">
        <f>+'ENCUESTA CONDUCTORES'!BY224</f>
        <v>3</v>
      </c>
      <c r="BR224" s="15">
        <f>+'ENCUESTA CONDUCTORES'!BZ224</f>
        <v>2</v>
      </c>
      <c r="BS224" s="15">
        <f>+'ENCUESTA CONDUCTORES'!CA224</f>
        <v>0</v>
      </c>
      <c r="BT224" s="15">
        <f>IF('ENCUESTA CONDUCTORES'!CB224="X",1,0)</f>
        <v>1</v>
      </c>
      <c r="BU224" s="15">
        <f>IF('ENCUESTA CONDUCTORES'!CC224="X",1,0)</f>
        <v>0</v>
      </c>
      <c r="BV224" s="15">
        <f>IF('ENCUESTA CONDUCTORES'!CD224="X",1,0)</f>
        <v>0</v>
      </c>
      <c r="BW224" s="15">
        <f>IF('ENCUESTA CONDUCTORES'!CE224="X",1,0)</f>
        <v>0</v>
      </c>
      <c r="BX224" s="15">
        <f>IF('ENCUESTA CONDUCTORES'!CF224="X",1,0)</f>
        <v>0</v>
      </c>
      <c r="BY224" s="15">
        <f>IF('ENCUESTA CONDUCTORES'!CG224="X",1,0)</f>
        <v>0</v>
      </c>
      <c r="BZ224" s="15">
        <f>IF('ENCUESTA CONDUCTORES'!CH224="X",1,0)</f>
        <v>0</v>
      </c>
      <c r="CA224" s="15">
        <f>IF('ENCUESTA CONDUCTORES'!CI224="X",1,0)</f>
        <v>0</v>
      </c>
      <c r="CB224" s="15">
        <f>IF('ENCUESTA CONDUCTORES'!CJ224="X",1,0)</f>
        <v>0</v>
      </c>
      <c r="CC224" s="15">
        <f>IF('ENCUESTA CONDUCTORES'!CK224="X",1,0)</f>
        <v>1</v>
      </c>
      <c r="CD224" s="15">
        <f>IF('ENCUESTA CONDUCTORES'!CL224="X",1,0)</f>
        <v>0</v>
      </c>
      <c r="CE224" s="15">
        <f>IF('ENCUESTA CONDUCTORES'!CM224="X",1,0)</f>
        <v>0</v>
      </c>
      <c r="CF224" s="15">
        <f>+'ENCUESTA CONDUCTORES'!CN224</f>
        <v>0</v>
      </c>
      <c r="CG224" s="15">
        <f>IF('ENCUESTA CONDUCTORES'!CO224="X",1,0)</f>
        <v>0</v>
      </c>
      <c r="CH224" s="15" t="str">
        <f>+'ENCUESTA CONDUCTORES'!CP224</f>
        <v>NO SABE</v>
      </c>
      <c r="CI224" s="15" t="str">
        <f>+'ENCUESTA CONDUCTORES'!CQ224</f>
        <v>MAYOR INFORMACION</v>
      </c>
      <c r="CJ224" s="15">
        <f>IF('ENCUESTA CONDUCTORES'!CR224="X",1,0)</f>
        <v>0</v>
      </c>
      <c r="CK224" s="15">
        <f>IF('ENCUESTA CONDUCTORES'!CS224="X",1,0)</f>
        <v>1</v>
      </c>
      <c r="CL224" s="15">
        <f>IF('ENCUESTA CONDUCTORES'!CT224="X",1,0)</f>
        <v>1</v>
      </c>
      <c r="CM224" s="15">
        <f>+'ENCUESTA CONDUCTORES'!CU224</f>
        <v>0</v>
      </c>
      <c r="CN224" s="15">
        <f>IF('ENCUESTA CONDUCTORES'!CV224="X",1,0)</f>
        <v>1</v>
      </c>
      <c r="CO224" s="15" t="str">
        <f>+'ENCUESTA CONDUCTORES'!CW224</f>
        <v>NO TIENE TIEMPO</v>
      </c>
      <c r="CP224" s="15">
        <f>IF('ENCUESTA CONDUCTORES'!CX224="X",1,0)</f>
        <v>0</v>
      </c>
      <c r="CQ224" s="15">
        <f>IF('ENCUESTA CONDUCTORES'!CY224="X",1,0)</f>
        <v>0</v>
      </c>
      <c r="CR224" s="3">
        <f>+'ENCUESTA CONDUCTORES'!CZ224</f>
        <v>0</v>
      </c>
      <c r="CS224" s="49">
        <f>+'ENCUESTA CONDUCTORES'!DA224</f>
        <v>0</v>
      </c>
    </row>
    <row r="225" spans="2:97" x14ac:dyDescent="0.25">
      <c r="B225" s="14" t="str">
        <f>+'ENCUESTA CONDUCTORES'!D225</f>
        <v>C-236</v>
      </c>
      <c r="C225" s="15">
        <f>IF('ENCUESTA CONDUCTORES'!E225="X",1,0)</f>
        <v>0</v>
      </c>
      <c r="D225" s="15">
        <f>IF('ENCUESTA CONDUCTORES'!F225="X",1,0)</f>
        <v>0</v>
      </c>
      <c r="E225" s="15">
        <f>IF('ENCUESTA CONDUCTORES'!G225="X",1,0)</f>
        <v>0</v>
      </c>
      <c r="F225" s="15">
        <f>IF('ENCUESTA CONDUCTORES'!H225="X",1,0)</f>
        <v>1</v>
      </c>
      <c r="G225" s="15">
        <f>+'ENCUESTA CONDUCTORES'!I225</f>
        <v>34</v>
      </c>
      <c r="H225" s="15" t="str">
        <f>+'ENCUESTA CONDUCTORES'!J225</f>
        <v>M</v>
      </c>
      <c r="I225" s="15" t="str">
        <f>+'ENCUESTA CONDUCTORES'!K225</f>
        <v>SECUNDARIA</v>
      </c>
      <c r="J225" s="15" t="str">
        <f>+'ENCUESTA CONDUCTORES'!L225</f>
        <v>TLALNEPANTLA, EDO. MEX.</v>
      </c>
      <c r="K225" s="15" t="str">
        <f>+'ENCUESTA CONDUCTORES'!M225</f>
        <v>TLALNEPANTLA</v>
      </c>
      <c r="L225" s="15" t="str">
        <f>+'ENCUESTA CONDUCTORES'!N225</f>
        <v>EDO. MEX.</v>
      </c>
      <c r="M225" s="15">
        <f>+'ENCUESTA CONDUCTORES'!O225</f>
        <v>10</v>
      </c>
      <c r="N225" s="15">
        <f>IF('ENCUESTA CONDUCTORES'!P225="X",1,0)</f>
        <v>0</v>
      </c>
      <c r="O225" s="15">
        <f>IF('ENCUESTA CONDUCTORES'!Q225="X",1,0)</f>
        <v>0</v>
      </c>
      <c r="P225" s="15">
        <f>IF('ENCUESTA CONDUCTORES'!R225="X",1,0)</f>
        <v>0</v>
      </c>
      <c r="Q225" s="15">
        <f>IF('ENCUESTA CONDUCTORES'!S225="X",1,0)</f>
        <v>1</v>
      </c>
      <c r="R225" s="15">
        <f>IF('ENCUESTA CONDUCTORES'!T225="X",1,0)</f>
        <v>0</v>
      </c>
      <c r="S225" s="15">
        <f>IF('ENCUESTA CONDUCTORES'!U225="X",1,0)</f>
        <v>0</v>
      </c>
      <c r="T225" s="15">
        <f>IF('ENCUESTA CONDUCTORES'!V225="X",1,0)</f>
        <v>0</v>
      </c>
      <c r="U225" s="15">
        <f>IF('ENCUESTA CONDUCTORES'!W225="X",1,0)</f>
        <v>0</v>
      </c>
      <c r="V225" s="15">
        <f>IF('ENCUESTA CONDUCTORES'!X225="X",1,0)</f>
        <v>1</v>
      </c>
      <c r="W225" s="15">
        <f>IF('ENCUESTA CONDUCTORES'!Y225="X",1,0)</f>
        <v>0</v>
      </c>
      <c r="X225" s="15">
        <f>IF('ENCUESTA CONDUCTORES'!Z225="X",1,0)</f>
        <v>0</v>
      </c>
      <c r="Y225" s="15">
        <f>+'ENCUESTA CONDUCTORES'!AG225</f>
        <v>0</v>
      </c>
      <c r="Z225" s="15">
        <f>+'ENCUESTA CONDUCTORES'!AH225</f>
        <v>2009</v>
      </c>
      <c r="AA225" s="1">
        <f>+'ENCUESTA CONDUCTORES'!AI225</f>
        <v>300000</v>
      </c>
      <c r="AB225" s="15">
        <f>IF('ENCUESTA CONDUCTORES'!AJ225="X",1,0)</f>
        <v>0</v>
      </c>
      <c r="AC225" s="15">
        <f>IF('ENCUESTA CONDUCTORES'!AK225="X",1,0)</f>
        <v>0</v>
      </c>
      <c r="AD225" s="15">
        <f>IF('ENCUESTA CONDUCTORES'!AL225="X",1,0)</f>
        <v>1</v>
      </c>
      <c r="AE225" s="15">
        <f>IF('ENCUESTA CONDUCTORES'!AM225="X",1,0)</f>
        <v>0</v>
      </c>
      <c r="AF225" s="15">
        <f>IF('ENCUESTA CONDUCTORES'!AN225="X",1,0)</f>
        <v>0</v>
      </c>
      <c r="AG225" s="15">
        <f>IF('ENCUESTA CONDUCTORES'!AO225="X",1,0)</f>
        <v>0</v>
      </c>
      <c r="AH225" s="15">
        <f>IF('ENCUESTA CONDUCTORES'!AP225="X",1,0)</f>
        <v>1</v>
      </c>
      <c r="AI225" s="15">
        <f>IF('ENCUESTA CONDUCTORES'!AQ225="X",1,0)</f>
        <v>0</v>
      </c>
      <c r="AJ225" s="15">
        <f>IF('ENCUESTA CONDUCTORES'!AR225="X",1,0)</f>
        <v>0</v>
      </c>
      <c r="AK225" s="15">
        <f>+'ENCUESTA CONDUCTORES'!AS225</f>
        <v>0</v>
      </c>
      <c r="AL225" s="15" t="str">
        <f>+'ENCUESTA CONDUCTORES'!AT225</f>
        <v>KENWORTH</v>
      </c>
      <c r="AM225" s="1">
        <f>+'ENCUESTA CONDUCTORES'!AU225</f>
        <v>5000</v>
      </c>
      <c r="AN225" s="48">
        <f>+'ENCUESTA CONDUCTORES'!AV225</f>
        <v>0.5</v>
      </c>
      <c r="AO225" s="15">
        <f>+'ENCUESTA CONDUCTORES'!AW225</f>
        <v>2.8</v>
      </c>
      <c r="AP225" s="15">
        <f>+'ENCUESTA CONDUCTORES'!AX225</f>
        <v>2.2999999999999998</v>
      </c>
      <c r="AQ225" s="15">
        <f>+'ENCUESTA CONDUCTORES'!AY225</f>
        <v>2</v>
      </c>
      <c r="AR225" s="15">
        <f>+'ENCUESTA CONDUCTORES'!AZ225</f>
        <v>600</v>
      </c>
      <c r="AS225" s="15">
        <f>+'ENCUESTA CONDUCTORES'!BA225</f>
        <v>1500</v>
      </c>
      <c r="AT225" s="15">
        <f>IF('ENCUESTA CONDUCTORES'!BB225="X",1,0)</f>
        <v>0</v>
      </c>
      <c r="AU225" s="15">
        <f>IF('ENCUESTA CONDUCTORES'!BC225="X",1,0)</f>
        <v>1</v>
      </c>
      <c r="AV225" s="15">
        <f>IF('ENCUESTA CONDUCTORES'!BD225="X",1,0)</f>
        <v>0</v>
      </c>
      <c r="AW225" s="1">
        <f>+'ENCUESTA CONDUCTORES'!BE225</f>
        <v>12000</v>
      </c>
      <c r="AX225" s="1">
        <f>+'ENCUESTA CONDUCTORES'!BF225</f>
        <v>6000</v>
      </c>
      <c r="AY225" s="1">
        <f>+'ENCUESTA CONDUCTORES'!BG225</f>
        <v>15000</v>
      </c>
      <c r="AZ225" s="1">
        <f>+'ENCUESTA CONDUCTORES'!BH225</f>
        <v>60000</v>
      </c>
      <c r="BA225" s="1">
        <f>+'ENCUESTA CONDUCTORES'!BI225</f>
        <v>15000</v>
      </c>
      <c r="BB225" s="15">
        <f>IF('ENCUESTA CONDUCTORES'!BJ225="X",1,0)</f>
        <v>1</v>
      </c>
      <c r="BC225" s="15">
        <f>IF('ENCUESTA CONDUCTORES'!BK225="X",1,0)</f>
        <v>0</v>
      </c>
      <c r="BD225" s="15">
        <f>IF('ENCUESTA CONDUCTORES'!BL225="X",1,0)</f>
        <v>0</v>
      </c>
      <c r="BE225" s="15">
        <f>IF('ENCUESTA CONDUCTORES'!BM225="X",1,0)</f>
        <v>0</v>
      </c>
      <c r="BF225" s="15">
        <f>IF('ENCUESTA CONDUCTORES'!BN225="X",1,0)</f>
        <v>0</v>
      </c>
      <c r="BG225" s="15">
        <f>IF('ENCUESTA CONDUCTORES'!BO225="X",1,0)</f>
        <v>0</v>
      </c>
      <c r="BH225" s="15">
        <f>IF('ENCUESTA CONDUCTORES'!BP225="X",1,0)</f>
        <v>0</v>
      </c>
      <c r="BI225" s="15">
        <f>IF('ENCUESTA CONDUCTORES'!BQ225="X",1,0)</f>
        <v>0</v>
      </c>
      <c r="BJ225" s="15">
        <f>IF('ENCUESTA CONDUCTORES'!BR225="X",1,0)</f>
        <v>0</v>
      </c>
      <c r="BK225" s="15">
        <f>+'ENCUESTA CONDUCTORES'!BS225</f>
        <v>0</v>
      </c>
      <c r="BL225" s="15">
        <f>IF('ENCUESTA CONDUCTORES'!BT225="X",1,0)</f>
        <v>0</v>
      </c>
      <c r="BM225" s="15">
        <f>IF('ENCUESTA CONDUCTORES'!BU225="X",1,0)</f>
        <v>1</v>
      </c>
      <c r="BN225" s="15">
        <f>IF('ENCUESTA CONDUCTORES'!BV225="X",1,0)</f>
        <v>0</v>
      </c>
      <c r="BO225" s="15">
        <f>IF('ENCUESTA CONDUCTORES'!BW225="X",1,0)</f>
        <v>0</v>
      </c>
      <c r="BP225" s="15">
        <f>+'ENCUESTA CONDUCTORES'!BX225</f>
        <v>2</v>
      </c>
      <c r="BQ225" s="15">
        <f>+'ENCUESTA CONDUCTORES'!BY225</f>
        <v>1</v>
      </c>
      <c r="BR225" s="15">
        <f>+'ENCUESTA CONDUCTORES'!BZ225</f>
        <v>3</v>
      </c>
      <c r="BS225" s="15">
        <f>+'ENCUESTA CONDUCTORES'!CA225</f>
        <v>0</v>
      </c>
      <c r="BT225" s="15">
        <f>IF('ENCUESTA CONDUCTORES'!CB225="X",1,0)</f>
        <v>0</v>
      </c>
      <c r="BU225" s="15">
        <f>IF('ENCUESTA CONDUCTORES'!CC225="X",1,0)</f>
        <v>1</v>
      </c>
      <c r="BV225" s="15">
        <f>IF('ENCUESTA CONDUCTORES'!CD225="X",1,0)</f>
        <v>0</v>
      </c>
      <c r="BW225" s="15">
        <f>IF('ENCUESTA CONDUCTORES'!CE225="X",1,0)</f>
        <v>1</v>
      </c>
      <c r="BX225" s="15">
        <f>IF('ENCUESTA CONDUCTORES'!CF225="X",1,0)</f>
        <v>0</v>
      </c>
      <c r="BY225" s="15">
        <f>IF('ENCUESTA CONDUCTORES'!CG225="X",1,0)</f>
        <v>1</v>
      </c>
      <c r="BZ225" s="15">
        <f>IF('ENCUESTA CONDUCTORES'!CH225="X",1,0)</f>
        <v>0</v>
      </c>
      <c r="CA225" s="15">
        <f>IF('ENCUESTA CONDUCTORES'!CI225="X",1,0)</f>
        <v>1</v>
      </c>
      <c r="CB225" s="15">
        <f>IF('ENCUESTA CONDUCTORES'!CJ225="X",1,0)</f>
        <v>0</v>
      </c>
      <c r="CC225" s="15">
        <f>IF('ENCUESTA CONDUCTORES'!CK225="X",1,0)</f>
        <v>1</v>
      </c>
      <c r="CD225" s="15">
        <f>IF('ENCUESTA CONDUCTORES'!CL225="X",1,0)</f>
        <v>0</v>
      </c>
      <c r="CE225" s="15">
        <f>IF('ENCUESTA CONDUCTORES'!CM225="X",1,0)</f>
        <v>0</v>
      </c>
      <c r="CF225" s="15">
        <f>+'ENCUESTA CONDUCTORES'!CN225</f>
        <v>0</v>
      </c>
      <c r="CG225" s="15">
        <f>IF('ENCUESTA CONDUCTORES'!CO225="X",1,0)</f>
        <v>0</v>
      </c>
      <c r="CH225" s="15" t="str">
        <f>+'ENCUESTA CONDUCTORES'!CP225</f>
        <v>NO SABE</v>
      </c>
      <c r="CI225" s="15" t="str">
        <f>+'ENCUESTA CONDUCTORES'!CQ225</f>
        <v>MAYOR INFORMACION</v>
      </c>
      <c r="CJ225" s="15">
        <f>IF('ENCUESTA CONDUCTORES'!CR225="X",1,0)</f>
        <v>0</v>
      </c>
      <c r="CK225" s="15">
        <f>IF('ENCUESTA CONDUCTORES'!CS225="X",1,0)</f>
        <v>1</v>
      </c>
      <c r="CL225" s="15">
        <f>IF('ENCUESTA CONDUCTORES'!CT225="X",1,0)</f>
        <v>0</v>
      </c>
      <c r="CM225" s="15">
        <f>+'ENCUESTA CONDUCTORES'!CU225</f>
        <v>0</v>
      </c>
      <c r="CN225" s="15">
        <f>IF('ENCUESTA CONDUCTORES'!CV225="X",1,0)</f>
        <v>1</v>
      </c>
      <c r="CO225" s="15" t="str">
        <f>+'ENCUESTA CONDUCTORES'!CW225</f>
        <v>NO TIENE TIEMPO</v>
      </c>
      <c r="CP225" s="15">
        <f>IF('ENCUESTA CONDUCTORES'!CX225="X",1,0)</f>
        <v>0</v>
      </c>
      <c r="CQ225" s="15">
        <f>IF('ENCUESTA CONDUCTORES'!CY225="X",1,0)</f>
        <v>0</v>
      </c>
      <c r="CR225" s="3">
        <f>+'ENCUESTA CONDUCTORES'!CZ225</f>
        <v>0</v>
      </c>
      <c r="CS225" s="49">
        <f>+'ENCUESTA CONDUCTORES'!DA225</f>
        <v>0</v>
      </c>
    </row>
    <row r="226" spans="2:97" x14ac:dyDescent="0.25">
      <c r="B226" s="14" t="str">
        <f>+'ENCUESTA CONDUCTORES'!D226</f>
        <v>C-237</v>
      </c>
      <c r="C226" s="15">
        <f>IF('ENCUESTA CONDUCTORES'!E226="X",1,0)</f>
        <v>1</v>
      </c>
      <c r="D226" s="15">
        <f>IF('ENCUESTA CONDUCTORES'!F226="X",1,0)</f>
        <v>0</v>
      </c>
      <c r="E226" s="15">
        <f>IF('ENCUESTA CONDUCTORES'!G226="X",1,0)</f>
        <v>0</v>
      </c>
      <c r="F226" s="15">
        <f>IF('ENCUESTA CONDUCTORES'!H226="X",1,0)</f>
        <v>0</v>
      </c>
      <c r="G226" s="15">
        <f>+'ENCUESTA CONDUCTORES'!I226</f>
        <v>28</v>
      </c>
      <c r="H226" s="15" t="str">
        <f>+'ENCUESTA CONDUCTORES'!J226</f>
        <v>M</v>
      </c>
      <c r="I226" s="15" t="str">
        <f>+'ENCUESTA CONDUCTORES'!K226</f>
        <v>PREPARATORIA</v>
      </c>
      <c r="J226" s="15" t="str">
        <f>+'ENCUESTA CONDUCTORES'!L226</f>
        <v>ECATEPEC, EDO. MEX.</v>
      </c>
      <c r="K226" s="15" t="str">
        <f>+'ENCUESTA CONDUCTORES'!M226</f>
        <v>ECATEPEC</v>
      </c>
      <c r="L226" s="15" t="str">
        <f>+'ENCUESTA CONDUCTORES'!N226</f>
        <v>EDO. MEX.</v>
      </c>
      <c r="M226" s="15">
        <f>+'ENCUESTA CONDUCTORES'!O226</f>
        <v>5</v>
      </c>
      <c r="N226" s="15">
        <f>IF('ENCUESTA CONDUCTORES'!P226="X",1,0)</f>
        <v>0</v>
      </c>
      <c r="O226" s="15">
        <f>IF('ENCUESTA CONDUCTORES'!Q226="X",1,0)</f>
        <v>0</v>
      </c>
      <c r="P226" s="15">
        <f>IF('ENCUESTA CONDUCTORES'!R226="X",1,0)</f>
        <v>0</v>
      </c>
      <c r="Q226" s="15">
        <f>IF('ENCUESTA CONDUCTORES'!S226="X",1,0)</f>
        <v>1</v>
      </c>
      <c r="R226" s="15">
        <f>IF('ENCUESTA CONDUCTORES'!T226="X",1,0)</f>
        <v>0</v>
      </c>
      <c r="S226" s="15">
        <f>IF('ENCUESTA CONDUCTORES'!U226="X",1,0)</f>
        <v>0</v>
      </c>
      <c r="T226" s="15">
        <f>IF('ENCUESTA CONDUCTORES'!V226="X",1,0)</f>
        <v>0</v>
      </c>
      <c r="U226" s="15">
        <f>IF('ENCUESTA CONDUCTORES'!W226="X",1,0)</f>
        <v>1</v>
      </c>
      <c r="V226" s="15">
        <f>IF('ENCUESTA CONDUCTORES'!X226="X",1,0)</f>
        <v>0</v>
      </c>
      <c r="W226" s="15">
        <f>IF('ENCUESTA CONDUCTORES'!Y226="X",1,0)</f>
        <v>0</v>
      </c>
      <c r="X226" s="15">
        <f>IF('ENCUESTA CONDUCTORES'!Z226="X",1,0)</f>
        <v>0</v>
      </c>
      <c r="Y226" s="15">
        <f>+'ENCUESTA CONDUCTORES'!AG226</f>
        <v>0</v>
      </c>
      <c r="Z226" s="15">
        <f>+'ENCUESTA CONDUCTORES'!AH226</f>
        <v>2012</v>
      </c>
      <c r="AA226" s="1">
        <f>+'ENCUESTA CONDUCTORES'!AI226</f>
        <v>200000</v>
      </c>
      <c r="AB226" s="15">
        <f>IF('ENCUESTA CONDUCTORES'!AJ226="X",1,0)</f>
        <v>0</v>
      </c>
      <c r="AC226" s="15">
        <f>IF('ENCUESTA CONDUCTORES'!AK226="X",1,0)</f>
        <v>0</v>
      </c>
      <c r="AD226" s="15">
        <f>IF('ENCUESTA CONDUCTORES'!AL226="X",1,0)</f>
        <v>1</v>
      </c>
      <c r="AE226" s="15">
        <f>IF('ENCUESTA CONDUCTORES'!AM226="X",1,0)</f>
        <v>0</v>
      </c>
      <c r="AF226" s="15">
        <f>IF('ENCUESTA CONDUCTORES'!AN226="X",1,0)</f>
        <v>0</v>
      </c>
      <c r="AG226" s="15">
        <f>IF('ENCUESTA CONDUCTORES'!AO226="X",1,0)</f>
        <v>0</v>
      </c>
      <c r="AH226" s="15">
        <f>IF('ENCUESTA CONDUCTORES'!AP226="X",1,0)</f>
        <v>1</v>
      </c>
      <c r="AI226" s="15">
        <f>IF('ENCUESTA CONDUCTORES'!AQ226="X",1,0)</f>
        <v>0</v>
      </c>
      <c r="AJ226" s="15">
        <f>IF('ENCUESTA CONDUCTORES'!AR226="X",1,0)</f>
        <v>0</v>
      </c>
      <c r="AK226" s="15">
        <f>+'ENCUESTA CONDUCTORES'!AS226</f>
        <v>0</v>
      </c>
      <c r="AL226" s="15" t="str">
        <f>+'ENCUESTA CONDUCTORES'!AT226</f>
        <v>FREIGHTLINER</v>
      </c>
      <c r="AM226" s="1">
        <f>+'ENCUESTA CONDUCTORES'!AU226</f>
        <v>10000</v>
      </c>
      <c r="AN226" s="48">
        <f>+'ENCUESTA CONDUCTORES'!AV226</f>
        <v>0.1</v>
      </c>
      <c r="AO226" s="15">
        <f>+'ENCUESTA CONDUCTORES'!AW226</f>
        <v>3</v>
      </c>
      <c r="AP226" s="15">
        <f>+'ENCUESTA CONDUCTORES'!AX226</f>
        <v>2</v>
      </c>
      <c r="AQ226" s="15">
        <f>+'ENCUESTA CONDUCTORES'!AY226</f>
        <v>2</v>
      </c>
      <c r="AR226" s="15">
        <f>+'ENCUESTA CONDUCTORES'!AZ226</f>
        <v>800</v>
      </c>
      <c r="AS226" s="15">
        <f>+'ENCUESTA CONDUCTORES'!BA226</f>
        <v>2000</v>
      </c>
      <c r="AT226" s="15">
        <f>IF('ENCUESTA CONDUCTORES'!BB226="X",1,0)</f>
        <v>1</v>
      </c>
      <c r="AU226" s="15">
        <f>IF('ENCUESTA CONDUCTORES'!BC226="X",1,0)</f>
        <v>1</v>
      </c>
      <c r="AV226" s="15">
        <f>IF('ENCUESTA CONDUCTORES'!BD226="X",1,0)</f>
        <v>1</v>
      </c>
      <c r="AW226" s="1">
        <f>+'ENCUESTA CONDUCTORES'!BE226</f>
        <v>10000</v>
      </c>
      <c r="AX226" s="1">
        <f>+'ENCUESTA CONDUCTORES'!BF226</f>
        <v>10000</v>
      </c>
      <c r="AY226" s="1">
        <f>+'ENCUESTA CONDUCTORES'!BG226</f>
        <v>18000</v>
      </c>
      <c r="AZ226" s="1">
        <f>+'ENCUESTA CONDUCTORES'!BH226</f>
        <v>120000</v>
      </c>
      <c r="BA226" s="1">
        <f>+'ENCUESTA CONDUCTORES'!BI226</f>
        <v>18000</v>
      </c>
      <c r="BB226" s="15">
        <f>IF('ENCUESTA CONDUCTORES'!BJ226="X",1,0)</f>
        <v>0</v>
      </c>
      <c r="BC226" s="15">
        <f>IF('ENCUESTA CONDUCTORES'!BK226="X",1,0)</f>
        <v>0</v>
      </c>
      <c r="BD226" s="15">
        <f>IF('ENCUESTA CONDUCTORES'!BL226="X",1,0)</f>
        <v>0</v>
      </c>
      <c r="BE226" s="15">
        <f>IF('ENCUESTA CONDUCTORES'!BM226="X",1,0)</f>
        <v>0</v>
      </c>
      <c r="BF226" s="15">
        <f>IF('ENCUESTA CONDUCTORES'!BN226="X",1,0)</f>
        <v>0</v>
      </c>
      <c r="BG226" s="15">
        <f>IF('ENCUESTA CONDUCTORES'!BO226="X",1,0)</f>
        <v>0</v>
      </c>
      <c r="BH226" s="15">
        <f>IF('ENCUESTA CONDUCTORES'!BP226="X",1,0)</f>
        <v>0</v>
      </c>
      <c r="BI226" s="15">
        <f>IF('ENCUESTA CONDUCTORES'!BQ226="X",1,0)</f>
        <v>0</v>
      </c>
      <c r="BJ226" s="15">
        <f>IF('ENCUESTA CONDUCTORES'!BR226="X",1,0)</f>
        <v>0</v>
      </c>
      <c r="BK226" s="15" t="str">
        <f>+'ENCUESTA CONDUCTORES'!BS226</f>
        <v>GENERAL</v>
      </c>
      <c r="BL226" s="15">
        <f>IF('ENCUESTA CONDUCTORES'!BT226="X",1,0)</f>
        <v>0</v>
      </c>
      <c r="BM226" s="15">
        <f>IF('ENCUESTA CONDUCTORES'!BU226="X",1,0)</f>
        <v>0</v>
      </c>
      <c r="BN226" s="15">
        <f>IF('ENCUESTA CONDUCTORES'!BV226="X",1,0)</f>
        <v>1</v>
      </c>
      <c r="BO226" s="15">
        <f>IF('ENCUESTA CONDUCTORES'!BW226="X",1,0)</f>
        <v>0</v>
      </c>
      <c r="BP226" s="15">
        <f>+'ENCUESTA CONDUCTORES'!BX226</f>
        <v>1</v>
      </c>
      <c r="BQ226" s="15">
        <f>+'ENCUESTA CONDUCTORES'!BY226</f>
        <v>3</v>
      </c>
      <c r="BR226" s="15">
        <f>+'ENCUESTA CONDUCTORES'!BZ226</f>
        <v>2</v>
      </c>
      <c r="BS226" s="15">
        <f>+'ENCUESTA CONDUCTORES'!CA226</f>
        <v>0</v>
      </c>
      <c r="BT226" s="15">
        <f>IF('ENCUESTA CONDUCTORES'!CB226="X",1,0)</f>
        <v>0</v>
      </c>
      <c r="BU226" s="15">
        <f>IF('ENCUESTA CONDUCTORES'!CC226="X",1,0)</f>
        <v>1</v>
      </c>
      <c r="BV226" s="15">
        <f>IF('ENCUESTA CONDUCTORES'!CD226="X",1,0)</f>
        <v>0</v>
      </c>
      <c r="BW226" s="15">
        <f>IF('ENCUESTA CONDUCTORES'!CE226="X",1,0)</f>
        <v>1</v>
      </c>
      <c r="BX226" s="15">
        <f>IF('ENCUESTA CONDUCTORES'!CF226="X",1,0)</f>
        <v>0</v>
      </c>
      <c r="BY226" s="15">
        <f>IF('ENCUESTA CONDUCTORES'!CG226="X",1,0)</f>
        <v>1</v>
      </c>
      <c r="BZ226" s="15">
        <f>IF('ENCUESTA CONDUCTORES'!CH226="X",1,0)</f>
        <v>1</v>
      </c>
      <c r="CA226" s="15">
        <f>IF('ENCUESTA CONDUCTORES'!CI226="X",1,0)</f>
        <v>1</v>
      </c>
      <c r="CB226" s="15">
        <f>IF('ENCUESTA CONDUCTORES'!CJ226="X",1,0)</f>
        <v>0</v>
      </c>
      <c r="CC226" s="15">
        <f>IF('ENCUESTA CONDUCTORES'!CK226="X",1,0)</f>
        <v>0</v>
      </c>
      <c r="CD226" s="15">
        <f>IF('ENCUESTA CONDUCTORES'!CL226="X",1,0)</f>
        <v>1</v>
      </c>
      <c r="CE226" s="15">
        <f>IF('ENCUESTA CONDUCTORES'!CM226="X",1,0)</f>
        <v>1</v>
      </c>
      <c r="CF226" s="15" t="str">
        <f>+'ENCUESTA CONDUCTORES'!CN226</f>
        <v>NO LO NECESITA</v>
      </c>
      <c r="CG226" s="15">
        <f>IF('ENCUESTA CONDUCTORES'!CO226="X",1,0)</f>
        <v>0</v>
      </c>
      <c r="CH226" s="15" t="str">
        <f>+'ENCUESTA CONDUCTORES'!CP226</f>
        <v>QUE BUENO QUE LO HACEN</v>
      </c>
      <c r="CI226" s="15" t="str">
        <f>+'ENCUESTA CONDUCTORES'!CQ226</f>
        <v>MAYOR INFORMACION</v>
      </c>
      <c r="CJ226" s="15">
        <f>IF('ENCUESTA CONDUCTORES'!CR226="X",1,0)</f>
        <v>0</v>
      </c>
      <c r="CK226" s="15">
        <f>IF('ENCUESTA CONDUCTORES'!CS226="X",1,0)</f>
        <v>1</v>
      </c>
      <c r="CL226" s="15">
        <f>IF('ENCUESTA CONDUCTORES'!CT226="X",1,0)</f>
        <v>1</v>
      </c>
      <c r="CM226" s="15">
        <f>+'ENCUESTA CONDUCTORES'!CU226</f>
        <v>0</v>
      </c>
      <c r="CN226" s="15">
        <f>IF('ENCUESTA CONDUCTORES'!CV226="X",1,0)</f>
        <v>0</v>
      </c>
      <c r="CO226" s="15">
        <f>+'ENCUESTA CONDUCTORES'!CW226</f>
        <v>0</v>
      </c>
      <c r="CP226" s="15">
        <f>IF('ENCUESTA CONDUCTORES'!CX226="X",1,0)</f>
        <v>0</v>
      </c>
      <c r="CQ226" s="15">
        <f>IF('ENCUESTA CONDUCTORES'!CY226="X",1,0)</f>
        <v>0</v>
      </c>
      <c r="CR226" s="3" t="str">
        <f>+'ENCUESTA CONDUCTORES'!CZ226</f>
        <v>PROTECCION CIVIL</v>
      </c>
      <c r="CS226" s="49">
        <f>+'ENCUESTA CONDUCTORES'!DA226</f>
        <v>0</v>
      </c>
    </row>
    <row r="227" spans="2:97" x14ac:dyDescent="0.25">
      <c r="B227" s="14" t="str">
        <f>+'ENCUESTA CONDUCTORES'!D227</f>
        <v>C-238</v>
      </c>
      <c r="C227" s="15">
        <f>IF('ENCUESTA CONDUCTORES'!E227="X",1,0)</f>
        <v>0</v>
      </c>
      <c r="D227" s="15">
        <f>IF('ENCUESTA CONDUCTORES'!F227="X",1,0)</f>
        <v>0</v>
      </c>
      <c r="E227" s="15">
        <f>IF('ENCUESTA CONDUCTORES'!G227="X",1,0)</f>
        <v>1</v>
      </c>
      <c r="F227" s="15">
        <f>IF('ENCUESTA CONDUCTORES'!H227="X",1,0)</f>
        <v>0</v>
      </c>
      <c r="G227" s="15">
        <f>+'ENCUESTA CONDUCTORES'!I227</f>
        <v>33</v>
      </c>
      <c r="H227" s="15" t="str">
        <f>+'ENCUESTA CONDUCTORES'!J227</f>
        <v>M</v>
      </c>
      <c r="I227" s="15" t="str">
        <f>+'ENCUESTA CONDUCTORES'!K227</f>
        <v>SECUNDARIA</v>
      </c>
      <c r="J227" s="15" t="str">
        <f>+'ENCUESTA CONDUCTORES'!L227</f>
        <v>CHIMALHUACÁN, EDO. MEX.</v>
      </c>
      <c r="K227" s="15" t="str">
        <f>+'ENCUESTA CONDUCTORES'!M227</f>
        <v>CHIMALHUACÁN</v>
      </c>
      <c r="L227" s="15" t="str">
        <f>+'ENCUESTA CONDUCTORES'!N227</f>
        <v>EDO. MEX.</v>
      </c>
      <c r="M227" s="15">
        <f>+'ENCUESTA CONDUCTORES'!O227</f>
        <v>15</v>
      </c>
      <c r="N227" s="15">
        <f>IF('ENCUESTA CONDUCTORES'!P227="X",1,0)</f>
        <v>0</v>
      </c>
      <c r="O227" s="15">
        <f>IF('ENCUESTA CONDUCTORES'!Q227="X",1,0)</f>
        <v>1</v>
      </c>
      <c r="P227" s="15">
        <f>IF('ENCUESTA CONDUCTORES'!R227="X",1,0)</f>
        <v>0</v>
      </c>
      <c r="Q227" s="15">
        <f>IF('ENCUESTA CONDUCTORES'!S227="X",1,0)</f>
        <v>0</v>
      </c>
      <c r="R227" s="15">
        <f>IF('ENCUESTA CONDUCTORES'!T227="X",1,0)</f>
        <v>0</v>
      </c>
      <c r="S227" s="15">
        <f>IF('ENCUESTA CONDUCTORES'!U227="X",1,0)</f>
        <v>0</v>
      </c>
      <c r="T227" s="15">
        <f>IF('ENCUESTA CONDUCTORES'!V227="X",1,0)</f>
        <v>0</v>
      </c>
      <c r="U227" s="15">
        <f>IF('ENCUESTA CONDUCTORES'!W227="X",1,0)</f>
        <v>0</v>
      </c>
      <c r="V227" s="15">
        <f>IF('ENCUESTA CONDUCTORES'!X227="X",1,0)</f>
        <v>0</v>
      </c>
      <c r="W227" s="15">
        <f>IF('ENCUESTA CONDUCTORES'!Y227="X",1,0)</f>
        <v>1</v>
      </c>
      <c r="X227" s="15">
        <f>IF('ENCUESTA CONDUCTORES'!Z227="X",1,0)</f>
        <v>0</v>
      </c>
      <c r="Y227" s="15">
        <f>+'ENCUESTA CONDUCTORES'!AG227</f>
        <v>0</v>
      </c>
      <c r="Z227" s="15">
        <f>+'ENCUESTA CONDUCTORES'!AH227</f>
        <v>2010</v>
      </c>
      <c r="AA227" s="1">
        <f>+'ENCUESTA CONDUCTORES'!AI227</f>
        <v>500000</v>
      </c>
      <c r="AB227" s="15">
        <f>IF('ENCUESTA CONDUCTORES'!AJ227="X",1,0)</f>
        <v>0</v>
      </c>
      <c r="AC227" s="15">
        <f>IF('ENCUESTA CONDUCTORES'!AK227="X",1,0)</f>
        <v>0</v>
      </c>
      <c r="AD227" s="15">
        <f>IF('ENCUESTA CONDUCTORES'!AL227="X",1,0)</f>
        <v>1</v>
      </c>
      <c r="AE227" s="15">
        <f>IF('ENCUESTA CONDUCTORES'!AM227="X",1,0)</f>
        <v>0</v>
      </c>
      <c r="AF227" s="15">
        <f>IF('ENCUESTA CONDUCTORES'!AN227="X",1,0)</f>
        <v>0</v>
      </c>
      <c r="AG227" s="15">
        <f>IF('ENCUESTA CONDUCTORES'!AO227="X",1,0)</f>
        <v>0</v>
      </c>
      <c r="AH227" s="15">
        <f>IF('ENCUESTA CONDUCTORES'!AP227="X",1,0)</f>
        <v>1</v>
      </c>
      <c r="AI227" s="15">
        <f>IF('ENCUESTA CONDUCTORES'!AQ227="X",1,0)</f>
        <v>0</v>
      </c>
      <c r="AJ227" s="15">
        <f>IF('ENCUESTA CONDUCTORES'!AR227="X",1,0)</f>
        <v>0</v>
      </c>
      <c r="AK227" s="15">
        <f>+'ENCUESTA CONDUCTORES'!AS227</f>
        <v>0</v>
      </c>
      <c r="AL227" s="15" t="str">
        <f>+'ENCUESTA CONDUCTORES'!AT227</f>
        <v>KENWORTH</v>
      </c>
      <c r="AM227" s="1">
        <f>+'ENCUESTA CONDUCTORES'!AU227</f>
        <v>12000</v>
      </c>
      <c r="AN227" s="48">
        <f>+'ENCUESTA CONDUCTORES'!AV227</f>
        <v>0.2</v>
      </c>
      <c r="AO227" s="15">
        <f>+'ENCUESTA CONDUCTORES'!AW227</f>
        <v>2.8</v>
      </c>
      <c r="AP227" s="15">
        <f>+'ENCUESTA CONDUCTORES'!AX227</f>
        <v>2.5</v>
      </c>
      <c r="AQ227" s="15">
        <f>+'ENCUESTA CONDUCTORES'!AY227</f>
        <v>2</v>
      </c>
      <c r="AR227" s="15">
        <f>+'ENCUESTA CONDUCTORES'!AZ227</f>
        <v>590</v>
      </c>
      <c r="AS227" s="15">
        <f>+'ENCUESTA CONDUCTORES'!BA227</f>
        <v>1600</v>
      </c>
      <c r="AT227" s="15">
        <f>IF('ENCUESTA CONDUCTORES'!BB227="X",1,0)</f>
        <v>0</v>
      </c>
      <c r="AU227" s="15">
        <f>IF('ENCUESTA CONDUCTORES'!BC227="X",1,0)</f>
        <v>1</v>
      </c>
      <c r="AV227" s="15">
        <f>IF('ENCUESTA CONDUCTORES'!BD227="X",1,0)</f>
        <v>0</v>
      </c>
      <c r="AW227" s="1">
        <f>+'ENCUESTA CONDUCTORES'!BE227</f>
        <v>10000</v>
      </c>
      <c r="AX227" s="1">
        <f>+'ENCUESTA CONDUCTORES'!BF227</f>
        <v>8000</v>
      </c>
      <c r="AY227" s="1">
        <f>+'ENCUESTA CONDUCTORES'!BG227</f>
        <v>20000</v>
      </c>
      <c r="AZ227" s="1">
        <f>+'ENCUESTA CONDUCTORES'!BH227</f>
        <v>144000</v>
      </c>
      <c r="BA227" s="1">
        <f>+'ENCUESTA CONDUCTORES'!BI227</f>
        <v>20000</v>
      </c>
      <c r="BB227" s="15">
        <f>IF('ENCUESTA CONDUCTORES'!BJ227="X",1,0)</f>
        <v>0</v>
      </c>
      <c r="BC227" s="15">
        <f>IF('ENCUESTA CONDUCTORES'!BK227="X",1,0)</f>
        <v>0</v>
      </c>
      <c r="BD227" s="15">
        <f>IF('ENCUESTA CONDUCTORES'!BL227="X",1,0)</f>
        <v>0</v>
      </c>
      <c r="BE227" s="15">
        <f>IF('ENCUESTA CONDUCTORES'!BM227="X",1,0)</f>
        <v>0</v>
      </c>
      <c r="BF227" s="15">
        <f>IF('ENCUESTA CONDUCTORES'!BN227="X",1,0)</f>
        <v>0</v>
      </c>
      <c r="BG227" s="15">
        <f>IF('ENCUESTA CONDUCTORES'!BO227="X",1,0)</f>
        <v>0</v>
      </c>
      <c r="BH227" s="15">
        <f>IF('ENCUESTA CONDUCTORES'!BP227="X",1,0)</f>
        <v>0</v>
      </c>
      <c r="BI227" s="15">
        <f>IF('ENCUESTA CONDUCTORES'!BQ227="X",1,0)</f>
        <v>0</v>
      </c>
      <c r="BJ227" s="15">
        <f>IF('ENCUESTA CONDUCTORES'!BR227="X",1,0)</f>
        <v>0</v>
      </c>
      <c r="BK227" s="15" t="str">
        <f>+'ENCUESTA CONDUCTORES'!BS227</f>
        <v>AGUA</v>
      </c>
      <c r="BL227" s="15">
        <f>IF('ENCUESTA CONDUCTORES'!BT227="X",1,0)</f>
        <v>0</v>
      </c>
      <c r="BM227" s="15">
        <f>IF('ENCUESTA CONDUCTORES'!BU227="X",1,0)</f>
        <v>1</v>
      </c>
      <c r="BN227" s="15">
        <f>IF('ENCUESTA CONDUCTORES'!BV227="X",1,0)</f>
        <v>0</v>
      </c>
      <c r="BO227" s="15">
        <f>IF('ENCUESTA CONDUCTORES'!BW227="X",1,0)</f>
        <v>0</v>
      </c>
      <c r="BP227" s="15">
        <f>+'ENCUESTA CONDUCTORES'!BX227</f>
        <v>2</v>
      </c>
      <c r="BQ227" s="15">
        <f>+'ENCUESTA CONDUCTORES'!BY227</f>
        <v>4</v>
      </c>
      <c r="BR227" s="15">
        <f>+'ENCUESTA CONDUCTORES'!BZ227</f>
        <v>3</v>
      </c>
      <c r="BS227" s="15" t="str">
        <f>+'ENCUESTA CONDUCTORES'!CA227</f>
        <v>SEGURIDAD</v>
      </c>
      <c r="BT227" s="15">
        <f>IF('ENCUESTA CONDUCTORES'!CB227="X",1,0)</f>
        <v>0</v>
      </c>
      <c r="BU227" s="15">
        <f>IF('ENCUESTA CONDUCTORES'!CC227="X",1,0)</f>
        <v>1</v>
      </c>
      <c r="BV227" s="15">
        <f>IF('ENCUESTA CONDUCTORES'!CD227="X",1,0)</f>
        <v>0</v>
      </c>
      <c r="BW227" s="15">
        <f>IF('ENCUESTA CONDUCTORES'!CE227="X",1,0)</f>
        <v>0</v>
      </c>
      <c r="BX227" s="15">
        <f>IF('ENCUESTA CONDUCTORES'!CF227="X",1,0)</f>
        <v>0</v>
      </c>
      <c r="BY227" s="15">
        <f>IF('ENCUESTA CONDUCTORES'!CG227="X",1,0)</f>
        <v>1</v>
      </c>
      <c r="BZ227" s="15">
        <f>IF('ENCUESTA CONDUCTORES'!CH227="X",1,0)</f>
        <v>1</v>
      </c>
      <c r="CA227" s="15">
        <f>IF('ENCUESTA CONDUCTORES'!CI227="X",1,0)</f>
        <v>1</v>
      </c>
      <c r="CB227" s="15">
        <f>IF('ENCUESTA CONDUCTORES'!CJ227="X",1,0)</f>
        <v>0</v>
      </c>
      <c r="CC227" s="15">
        <f>IF('ENCUESTA CONDUCTORES'!CK227="X",1,0)</f>
        <v>0</v>
      </c>
      <c r="CD227" s="15">
        <f>IF('ENCUESTA CONDUCTORES'!CL227="X",1,0)</f>
        <v>1</v>
      </c>
      <c r="CE227" s="15">
        <f>IF('ENCUESTA CONDUCTORES'!CM227="X",1,0)</f>
        <v>1</v>
      </c>
      <c r="CF227" s="15" t="str">
        <f>+'ENCUESTA CONDUCTORES'!CN227</f>
        <v>NO LE INTERESA AL DUEÑO</v>
      </c>
      <c r="CG227" s="15">
        <f>IF('ENCUESTA CONDUCTORES'!CO227="X",1,0)</f>
        <v>0</v>
      </c>
      <c r="CH227" s="15" t="str">
        <f>+'ENCUESTA CONDUCTORES'!CP227</f>
        <v>ES BUENO PARA NO CONTAMINAR</v>
      </c>
      <c r="CI227" s="15" t="str">
        <f>+'ENCUESTA CONDUCTORES'!CQ227</f>
        <v>MAYOR INFORMACION</v>
      </c>
      <c r="CJ227" s="15">
        <f>IF('ENCUESTA CONDUCTORES'!CR227="X",1,0)</f>
        <v>0</v>
      </c>
      <c r="CK227" s="15">
        <f>IF('ENCUESTA CONDUCTORES'!CS227="X",1,0)</f>
        <v>1</v>
      </c>
      <c r="CL227" s="15">
        <f>IF('ENCUESTA CONDUCTORES'!CT227="X",1,0)</f>
        <v>0</v>
      </c>
      <c r="CM227" s="15">
        <f>+'ENCUESTA CONDUCTORES'!CU227</f>
        <v>0</v>
      </c>
      <c r="CN227" s="15">
        <f>IF('ENCUESTA CONDUCTORES'!CV227="X",1,0)</f>
        <v>0</v>
      </c>
      <c r="CO227" s="15">
        <f>+'ENCUESTA CONDUCTORES'!CW227</f>
        <v>0</v>
      </c>
      <c r="CP227" s="15">
        <f>IF('ENCUESTA CONDUCTORES'!CX227="X",1,0)</f>
        <v>0</v>
      </c>
      <c r="CQ227" s="15">
        <f>IF('ENCUESTA CONDUCTORES'!CY227="X",1,0)</f>
        <v>1</v>
      </c>
      <c r="CR227" s="3">
        <f>+'ENCUESTA CONDUCTORES'!CZ227</f>
        <v>0</v>
      </c>
      <c r="CS227" s="49">
        <f>+'ENCUESTA CONDUCTORES'!DA227</f>
        <v>0</v>
      </c>
    </row>
    <row r="228" spans="2:97" x14ac:dyDescent="0.25">
      <c r="B228" s="14" t="str">
        <f>+'ENCUESTA CONDUCTORES'!D228</f>
        <v>C-239</v>
      </c>
      <c r="C228" s="15">
        <f>IF('ENCUESTA CONDUCTORES'!E228="X",1,0)</f>
        <v>0</v>
      </c>
      <c r="D228" s="15">
        <f>IF('ENCUESTA CONDUCTORES'!F228="X",1,0)</f>
        <v>0</v>
      </c>
      <c r="E228" s="15">
        <f>IF('ENCUESTA CONDUCTORES'!G228="X",1,0)</f>
        <v>1</v>
      </c>
      <c r="F228" s="15">
        <f>IF('ENCUESTA CONDUCTORES'!H228="X",1,0)</f>
        <v>0</v>
      </c>
      <c r="G228" s="15">
        <f>+'ENCUESTA CONDUCTORES'!I228</f>
        <v>40</v>
      </c>
      <c r="H228" s="15" t="str">
        <f>+'ENCUESTA CONDUCTORES'!J228</f>
        <v>M</v>
      </c>
      <c r="I228" s="15" t="str">
        <f>+'ENCUESTA CONDUCTORES'!K228</f>
        <v>SECUNDARIA</v>
      </c>
      <c r="J228" s="15" t="str">
        <f>+'ENCUESTA CONDUCTORES'!L228</f>
        <v>CHIMALHUACÁN, EDO. MEX.</v>
      </c>
      <c r="K228" s="15" t="str">
        <f>+'ENCUESTA CONDUCTORES'!M228</f>
        <v>CHIMALHUACÁN</v>
      </c>
      <c r="L228" s="15" t="str">
        <f>+'ENCUESTA CONDUCTORES'!N228</f>
        <v>EDO. MEX.</v>
      </c>
      <c r="M228" s="15">
        <f>+'ENCUESTA CONDUCTORES'!O228</f>
        <v>15</v>
      </c>
      <c r="N228" s="15">
        <f>IF('ENCUESTA CONDUCTORES'!P228="X",1,0)</f>
        <v>1</v>
      </c>
      <c r="O228" s="15">
        <f>IF('ENCUESTA CONDUCTORES'!Q228="X",1,0)</f>
        <v>0</v>
      </c>
      <c r="P228" s="15">
        <f>IF('ENCUESTA CONDUCTORES'!R228="X",1,0)</f>
        <v>0</v>
      </c>
      <c r="Q228" s="15">
        <f>IF('ENCUESTA CONDUCTORES'!S228="X",1,0)</f>
        <v>0</v>
      </c>
      <c r="R228" s="15">
        <f>IF('ENCUESTA CONDUCTORES'!T228="X",1,0)</f>
        <v>0</v>
      </c>
      <c r="S228" s="15">
        <f>IF('ENCUESTA CONDUCTORES'!U228="X",1,0)</f>
        <v>1</v>
      </c>
      <c r="T228" s="15">
        <f>IF('ENCUESTA CONDUCTORES'!V228="X",1,0)</f>
        <v>0</v>
      </c>
      <c r="U228" s="15">
        <f>IF('ENCUESTA CONDUCTORES'!W228="X",1,0)</f>
        <v>0</v>
      </c>
      <c r="V228" s="15">
        <f>IF('ENCUESTA CONDUCTORES'!X228="X",1,0)</f>
        <v>0</v>
      </c>
      <c r="W228" s="15">
        <f>IF('ENCUESTA CONDUCTORES'!Y228="X",1,0)</f>
        <v>0</v>
      </c>
      <c r="X228" s="15">
        <f>IF('ENCUESTA CONDUCTORES'!Z228="X",1,0)</f>
        <v>0</v>
      </c>
      <c r="Y228" s="15">
        <f>+'ENCUESTA CONDUCTORES'!AG228</f>
        <v>0</v>
      </c>
      <c r="Z228" s="15">
        <f>+'ENCUESTA CONDUCTORES'!AH228</f>
        <v>2011</v>
      </c>
      <c r="AA228" s="1">
        <f>+'ENCUESTA CONDUCTORES'!AI228</f>
        <v>120500</v>
      </c>
      <c r="AB228" s="15">
        <f>IF('ENCUESTA CONDUCTORES'!AJ228="X",1,0)</f>
        <v>1</v>
      </c>
      <c r="AC228" s="15">
        <f>IF('ENCUESTA CONDUCTORES'!AK228="X",1,0)</f>
        <v>0</v>
      </c>
      <c r="AD228" s="15">
        <f>IF('ENCUESTA CONDUCTORES'!AL228="X",1,0)</f>
        <v>0</v>
      </c>
      <c r="AE228" s="15">
        <f>IF('ENCUESTA CONDUCTORES'!AM228="X",1,0)</f>
        <v>0</v>
      </c>
      <c r="AF228" s="15">
        <f>IF('ENCUESTA CONDUCTORES'!AN228="X",1,0)</f>
        <v>0</v>
      </c>
      <c r="AG228" s="15">
        <f>IF('ENCUESTA CONDUCTORES'!AO228="X",1,0)</f>
        <v>0</v>
      </c>
      <c r="AH228" s="15">
        <f>IF('ENCUESTA CONDUCTORES'!AP228="X",1,0)</f>
        <v>1</v>
      </c>
      <c r="AI228" s="15">
        <f>IF('ENCUESTA CONDUCTORES'!AQ228="X",1,0)</f>
        <v>0</v>
      </c>
      <c r="AJ228" s="15">
        <f>IF('ENCUESTA CONDUCTORES'!AR228="X",1,0)</f>
        <v>0</v>
      </c>
      <c r="AK228" s="15">
        <f>+'ENCUESTA CONDUCTORES'!AS228</f>
        <v>0</v>
      </c>
      <c r="AL228" s="15" t="str">
        <f>+'ENCUESTA CONDUCTORES'!AT228</f>
        <v>FORD</v>
      </c>
      <c r="AM228" s="1">
        <f>+'ENCUESTA CONDUCTORES'!AU228</f>
        <v>2000</v>
      </c>
      <c r="AN228" s="48">
        <f>+'ENCUESTA CONDUCTORES'!AV228</f>
        <v>0.5</v>
      </c>
      <c r="AO228" s="15">
        <f>+'ENCUESTA CONDUCTORES'!AW228</f>
        <v>6</v>
      </c>
      <c r="AP228" s="15">
        <f>+'ENCUESTA CONDUCTORES'!AX228</f>
        <v>5</v>
      </c>
      <c r="AQ228" s="15">
        <f>+'ENCUESTA CONDUCTORES'!AY228</f>
        <v>1</v>
      </c>
      <c r="AR228" s="15">
        <f>+'ENCUESTA CONDUCTORES'!AZ228</f>
        <v>150</v>
      </c>
      <c r="AS228" s="15">
        <f>+'ENCUESTA CONDUCTORES'!BA228</f>
        <v>700</v>
      </c>
      <c r="AT228" s="15">
        <f>IF('ENCUESTA CONDUCTORES'!BB228="X",1,0)</f>
        <v>0</v>
      </c>
      <c r="AU228" s="15">
        <f>IF('ENCUESTA CONDUCTORES'!BC228="X",1,0)</f>
        <v>1</v>
      </c>
      <c r="AV228" s="15">
        <f>IF('ENCUESTA CONDUCTORES'!BD228="X",1,0)</f>
        <v>0</v>
      </c>
      <c r="AW228" s="1">
        <f>+'ENCUESTA CONDUCTORES'!BE228</f>
        <v>40000</v>
      </c>
      <c r="AX228" s="1">
        <f>+'ENCUESTA CONDUCTORES'!BF228</f>
        <v>12000</v>
      </c>
      <c r="AY228" s="1">
        <f>+'ENCUESTA CONDUCTORES'!BG228</f>
        <v>60000</v>
      </c>
      <c r="AZ228" s="1">
        <f>+'ENCUESTA CONDUCTORES'!BH228</f>
        <v>48000</v>
      </c>
      <c r="BA228" s="1" t="str">
        <f>+'ENCUESTA CONDUCTORES'!BI228</f>
        <v>NO APLICA</v>
      </c>
      <c r="BB228" s="15">
        <f>IF('ENCUESTA CONDUCTORES'!BJ228="X",1,0)</f>
        <v>0</v>
      </c>
      <c r="BC228" s="15">
        <f>IF('ENCUESTA CONDUCTORES'!BK228="X",1,0)</f>
        <v>0</v>
      </c>
      <c r="BD228" s="15">
        <f>IF('ENCUESTA CONDUCTORES'!BL228="X",1,0)</f>
        <v>0</v>
      </c>
      <c r="BE228" s="15">
        <f>IF('ENCUESTA CONDUCTORES'!BM228="X",1,0)</f>
        <v>0</v>
      </c>
      <c r="BF228" s="15">
        <f>IF('ENCUESTA CONDUCTORES'!BN228="X",1,0)</f>
        <v>0</v>
      </c>
      <c r="BG228" s="15">
        <f>IF('ENCUESTA CONDUCTORES'!BO228="X",1,0)</f>
        <v>0</v>
      </c>
      <c r="BH228" s="15">
        <f>IF('ENCUESTA CONDUCTORES'!BP228="X",1,0)</f>
        <v>0</v>
      </c>
      <c r="BI228" s="15">
        <f>IF('ENCUESTA CONDUCTORES'!BQ228="X",1,0)</f>
        <v>0</v>
      </c>
      <c r="BJ228" s="15">
        <f>IF('ENCUESTA CONDUCTORES'!BR228="X",1,0)</f>
        <v>0</v>
      </c>
      <c r="BK228" s="15" t="str">
        <f>+'ENCUESTA CONDUCTORES'!BS228</f>
        <v>GENERAL</v>
      </c>
      <c r="BL228" s="15">
        <f>IF('ENCUESTA CONDUCTORES'!BT228="X",1,0)</f>
        <v>0</v>
      </c>
      <c r="BM228" s="15">
        <f>IF('ENCUESTA CONDUCTORES'!BU228="X",1,0)</f>
        <v>0</v>
      </c>
      <c r="BN228" s="15">
        <f>IF('ENCUESTA CONDUCTORES'!BV228="X",1,0)</f>
        <v>1</v>
      </c>
      <c r="BO228" s="15">
        <f>IF('ENCUESTA CONDUCTORES'!BW228="X",1,0)</f>
        <v>0</v>
      </c>
      <c r="BP228" s="15">
        <f>+'ENCUESTA CONDUCTORES'!BX228</f>
        <v>1</v>
      </c>
      <c r="BQ228" s="15">
        <f>+'ENCUESTA CONDUCTORES'!BY228</f>
        <v>3</v>
      </c>
      <c r="BR228" s="15">
        <f>+'ENCUESTA CONDUCTORES'!BZ228</f>
        <v>2</v>
      </c>
      <c r="BS228" s="15">
        <f>+'ENCUESTA CONDUCTORES'!CA228</f>
        <v>0</v>
      </c>
      <c r="BT228" s="15">
        <f>IF('ENCUESTA CONDUCTORES'!CB228="X",1,0)</f>
        <v>1</v>
      </c>
      <c r="BU228" s="15">
        <f>IF('ENCUESTA CONDUCTORES'!CC228="X",1,0)</f>
        <v>0</v>
      </c>
      <c r="BV228" s="15">
        <f>IF('ENCUESTA CONDUCTORES'!CD228="X",1,0)</f>
        <v>0</v>
      </c>
      <c r="BW228" s="15">
        <f>IF('ENCUESTA CONDUCTORES'!CE228="X",1,0)</f>
        <v>0</v>
      </c>
      <c r="BX228" s="15">
        <f>IF('ENCUESTA CONDUCTORES'!CF228="X",1,0)</f>
        <v>0</v>
      </c>
      <c r="BY228" s="15">
        <f>IF('ENCUESTA CONDUCTORES'!CG228="X",1,0)</f>
        <v>0</v>
      </c>
      <c r="BZ228" s="15">
        <f>IF('ENCUESTA CONDUCTORES'!CH228="X",1,0)</f>
        <v>0</v>
      </c>
      <c r="CA228" s="15">
        <f>IF('ENCUESTA CONDUCTORES'!CI228="X",1,0)</f>
        <v>0</v>
      </c>
      <c r="CB228" s="15">
        <f>IF('ENCUESTA CONDUCTORES'!CJ228="X",1,0)</f>
        <v>0</v>
      </c>
      <c r="CC228" s="15">
        <f>IF('ENCUESTA CONDUCTORES'!CK228="X",1,0)</f>
        <v>0</v>
      </c>
      <c r="CD228" s="15">
        <f>IF('ENCUESTA CONDUCTORES'!CL228="X",1,0)</f>
        <v>1</v>
      </c>
      <c r="CE228" s="15">
        <f>IF('ENCUESTA CONDUCTORES'!CM228="X",1,0)</f>
        <v>1</v>
      </c>
      <c r="CF228" s="15" t="str">
        <f>+'ENCUESTA CONDUCTORES'!CN228</f>
        <v>FALTA DE TIEMPO</v>
      </c>
      <c r="CG228" s="15">
        <f>IF('ENCUESTA CONDUCTORES'!CO228="X",1,0)</f>
        <v>0</v>
      </c>
      <c r="CH228" s="15" t="str">
        <f>+'ENCUESTA CONDUCTORES'!CP228</f>
        <v>ES BUENO, PERO NO LE HACEN CASO</v>
      </c>
      <c r="CI228" s="15" t="str">
        <f>+'ENCUESTA CONDUCTORES'!CQ228</f>
        <v>PUBLICIDAD</v>
      </c>
      <c r="CJ228" s="15">
        <f>IF('ENCUESTA CONDUCTORES'!CR228="X",1,0)</f>
        <v>1</v>
      </c>
      <c r="CK228" s="15">
        <f>IF('ENCUESTA CONDUCTORES'!CS228="X",1,0)</f>
        <v>0</v>
      </c>
      <c r="CL228" s="15">
        <f>IF('ENCUESTA CONDUCTORES'!CT228="X",1,0)</f>
        <v>0</v>
      </c>
      <c r="CM228" s="15">
        <f>+'ENCUESTA CONDUCTORES'!CU228</f>
        <v>0</v>
      </c>
      <c r="CN228" s="15">
        <f>IF('ENCUESTA CONDUCTORES'!CV228="X",1,0)</f>
        <v>0</v>
      </c>
      <c r="CO228" s="15">
        <f>+'ENCUESTA CONDUCTORES'!CW228</f>
        <v>0</v>
      </c>
      <c r="CP228" s="15">
        <f>IF('ENCUESTA CONDUCTORES'!CX228="X",1,0)</f>
        <v>1</v>
      </c>
      <c r="CQ228" s="15">
        <f>IF('ENCUESTA CONDUCTORES'!CY228="X",1,0)</f>
        <v>1</v>
      </c>
      <c r="CR228" s="3">
        <f>+'ENCUESTA CONDUCTORES'!CZ228</f>
        <v>0</v>
      </c>
      <c r="CS228" s="49">
        <f>+'ENCUESTA CONDUCTORES'!DA228</f>
        <v>0</v>
      </c>
    </row>
    <row r="229" spans="2:97" x14ac:dyDescent="0.25">
      <c r="B229" s="14" t="str">
        <f>+'ENCUESTA CONDUCTORES'!D229</f>
        <v>C-240</v>
      </c>
      <c r="C229" s="15">
        <f>IF('ENCUESTA CONDUCTORES'!E229="X",1,0)</f>
        <v>0</v>
      </c>
      <c r="D229" s="15">
        <f>IF('ENCUESTA CONDUCTORES'!F229="X",1,0)</f>
        <v>1</v>
      </c>
      <c r="E229" s="15">
        <f>IF('ENCUESTA CONDUCTORES'!G229="X",1,0)</f>
        <v>0</v>
      </c>
      <c r="F229" s="15">
        <f>IF('ENCUESTA CONDUCTORES'!H229="X",1,0)</f>
        <v>0</v>
      </c>
      <c r="G229" s="15">
        <f>+'ENCUESTA CONDUCTORES'!I229</f>
        <v>28</v>
      </c>
      <c r="H229" s="15" t="str">
        <f>+'ENCUESTA CONDUCTORES'!J229</f>
        <v>M</v>
      </c>
      <c r="I229" s="15" t="str">
        <f>+'ENCUESTA CONDUCTORES'!K229</f>
        <v>SECUNDARIA</v>
      </c>
      <c r="J229" s="15" t="str">
        <f>+'ENCUESTA CONDUCTORES'!L229</f>
        <v>CUAJIMALPA, D.F.</v>
      </c>
      <c r="K229" s="15" t="str">
        <f>+'ENCUESTA CONDUCTORES'!M229</f>
        <v>CUAJIMALPA</v>
      </c>
      <c r="L229" s="15" t="str">
        <f>+'ENCUESTA CONDUCTORES'!N229</f>
        <v>D.F.</v>
      </c>
      <c r="M229" s="15">
        <f>+'ENCUESTA CONDUCTORES'!O229</f>
        <v>7</v>
      </c>
      <c r="N229" s="15">
        <f>IF('ENCUESTA CONDUCTORES'!P229="X",1,0)</f>
        <v>0</v>
      </c>
      <c r="O229" s="15">
        <f>IF('ENCUESTA CONDUCTORES'!Q229="X",1,0)</f>
        <v>0</v>
      </c>
      <c r="P229" s="15">
        <f>IF('ENCUESTA CONDUCTORES'!R229="X",1,0)</f>
        <v>0</v>
      </c>
      <c r="Q229" s="15">
        <f>IF('ENCUESTA CONDUCTORES'!S229="X",1,0)</f>
        <v>1</v>
      </c>
      <c r="R229" s="15">
        <f>IF('ENCUESTA CONDUCTORES'!T229="X",1,0)</f>
        <v>0</v>
      </c>
      <c r="S229" s="15">
        <f>IF('ENCUESTA CONDUCTORES'!U229="X",1,0)</f>
        <v>0</v>
      </c>
      <c r="T229" s="15">
        <f>IF('ENCUESTA CONDUCTORES'!V229="X",1,0)</f>
        <v>0</v>
      </c>
      <c r="U229" s="15">
        <f>IF('ENCUESTA CONDUCTORES'!W229="X",1,0)</f>
        <v>0</v>
      </c>
      <c r="V229" s="15">
        <f>IF('ENCUESTA CONDUCTORES'!X229="X",1,0)</f>
        <v>1</v>
      </c>
      <c r="W229" s="15">
        <f>IF('ENCUESTA CONDUCTORES'!Y229="X",1,0)</f>
        <v>0</v>
      </c>
      <c r="X229" s="15">
        <f>IF('ENCUESTA CONDUCTORES'!Z229="X",1,0)</f>
        <v>0</v>
      </c>
      <c r="Y229" s="15">
        <f>+'ENCUESTA CONDUCTORES'!AG229</f>
        <v>0</v>
      </c>
      <c r="Z229" s="15">
        <f>+'ENCUESTA CONDUCTORES'!AH229</f>
        <v>2005</v>
      </c>
      <c r="AA229" s="1">
        <f>+'ENCUESTA CONDUCTORES'!AI229</f>
        <v>600000</v>
      </c>
      <c r="AB229" s="15">
        <f>IF('ENCUESTA CONDUCTORES'!AJ229="X",1,0)</f>
        <v>0</v>
      </c>
      <c r="AC229" s="15">
        <f>IF('ENCUESTA CONDUCTORES'!AK229="X",1,0)</f>
        <v>0</v>
      </c>
      <c r="AD229" s="15">
        <f>IF('ENCUESTA CONDUCTORES'!AL229="X",1,0)</f>
        <v>1</v>
      </c>
      <c r="AE229" s="15">
        <f>IF('ENCUESTA CONDUCTORES'!AM229="X",1,0)</f>
        <v>0</v>
      </c>
      <c r="AF229" s="15">
        <f>IF('ENCUESTA CONDUCTORES'!AN229="X",1,0)</f>
        <v>0</v>
      </c>
      <c r="AG229" s="15">
        <f>IF('ENCUESTA CONDUCTORES'!AO229="X",1,0)</f>
        <v>0</v>
      </c>
      <c r="AH229" s="15">
        <f>IF('ENCUESTA CONDUCTORES'!AP229="X",1,0)</f>
        <v>1</v>
      </c>
      <c r="AI229" s="15">
        <f>IF('ENCUESTA CONDUCTORES'!AQ229="X",1,0)</f>
        <v>0</v>
      </c>
      <c r="AJ229" s="15">
        <f>IF('ENCUESTA CONDUCTORES'!AR229="X",1,0)</f>
        <v>0</v>
      </c>
      <c r="AK229" s="15">
        <f>+'ENCUESTA CONDUCTORES'!AS229</f>
        <v>0</v>
      </c>
      <c r="AL229" s="15" t="str">
        <f>+'ENCUESTA CONDUCTORES'!AT229</f>
        <v>DETROIT</v>
      </c>
      <c r="AM229" s="1">
        <f>+'ENCUESTA CONDUCTORES'!AU229</f>
        <v>10000</v>
      </c>
      <c r="AN229" s="48">
        <f>+'ENCUESTA CONDUCTORES'!AV229</f>
        <v>0.5</v>
      </c>
      <c r="AO229" s="15">
        <f>+'ENCUESTA CONDUCTORES'!AW229</f>
        <v>2.8</v>
      </c>
      <c r="AP229" s="15">
        <f>+'ENCUESTA CONDUCTORES'!AX229</f>
        <v>2.5</v>
      </c>
      <c r="AQ229" s="15">
        <f>+'ENCUESTA CONDUCTORES'!AY229</f>
        <v>2</v>
      </c>
      <c r="AR229" s="15">
        <f>+'ENCUESTA CONDUCTORES'!AZ229</f>
        <v>590</v>
      </c>
      <c r="AS229" s="15">
        <f>+'ENCUESTA CONDUCTORES'!BA229</f>
        <v>1600</v>
      </c>
      <c r="AT229" s="15">
        <f>IF('ENCUESTA CONDUCTORES'!BB229="X",1,0)</f>
        <v>1</v>
      </c>
      <c r="AU229" s="15">
        <f>IF('ENCUESTA CONDUCTORES'!BC229="X",1,0)</f>
        <v>1</v>
      </c>
      <c r="AV229" s="15">
        <f>IF('ENCUESTA CONDUCTORES'!BD229="X",1,0)</f>
        <v>0</v>
      </c>
      <c r="AW229" s="1">
        <f>+'ENCUESTA CONDUCTORES'!BE229</f>
        <v>12000</v>
      </c>
      <c r="AX229" s="1">
        <f>+'ENCUESTA CONDUCTORES'!BF229</f>
        <v>10000</v>
      </c>
      <c r="AY229" s="1">
        <f>+'ENCUESTA CONDUCTORES'!BG229</f>
        <v>15000</v>
      </c>
      <c r="AZ229" s="1">
        <f>+'ENCUESTA CONDUCTORES'!BH229</f>
        <v>180000</v>
      </c>
      <c r="BA229" s="1">
        <f>+'ENCUESTA CONDUCTORES'!BI229</f>
        <v>15000</v>
      </c>
      <c r="BB229" s="15">
        <f>IF('ENCUESTA CONDUCTORES'!BJ229="X",1,0)</f>
        <v>1</v>
      </c>
      <c r="BC229" s="15">
        <f>IF('ENCUESTA CONDUCTORES'!BK229="X",1,0)</f>
        <v>0</v>
      </c>
      <c r="BD229" s="15">
        <f>IF('ENCUESTA CONDUCTORES'!BL229="X",1,0)</f>
        <v>0</v>
      </c>
      <c r="BE229" s="15">
        <f>IF('ENCUESTA CONDUCTORES'!BM229="X",1,0)</f>
        <v>0</v>
      </c>
      <c r="BF229" s="15">
        <f>IF('ENCUESTA CONDUCTORES'!BN229="X",1,0)</f>
        <v>0</v>
      </c>
      <c r="BG229" s="15">
        <f>IF('ENCUESTA CONDUCTORES'!BO229="X",1,0)</f>
        <v>0</v>
      </c>
      <c r="BH229" s="15">
        <f>IF('ENCUESTA CONDUCTORES'!BP229="X",1,0)</f>
        <v>0</v>
      </c>
      <c r="BI229" s="15">
        <f>IF('ENCUESTA CONDUCTORES'!BQ229="X",1,0)</f>
        <v>0</v>
      </c>
      <c r="BJ229" s="15">
        <f>IF('ENCUESTA CONDUCTORES'!BR229="X",1,0)</f>
        <v>0</v>
      </c>
      <c r="BK229" s="15">
        <f>+'ENCUESTA CONDUCTORES'!BS229</f>
        <v>0</v>
      </c>
      <c r="BL229" s="15">
        <f>IF('ENCUESTA CONDUCTORES'!BT229="X",1,0)</f>
        <v>0</v>
      </c>
      <c r="BM229" s="15">
        <f>IF('ENCUESTA CONDUCTORES'!BU229="X",1,0)</f>
        <v>0</v>
      </c>
      <c r="BN229" s="15">
        <f>IF('ENCUESTA CONDUCTORES'!BV229="X",1,0)</f>
        <v>1</v>
      </c>
      <c r="BO229" s="15">
        <f>IF('ENCUESTA CONDUCTORES'!BW229="X",1,0)</f>
        <v>0</v>
      </c>
      <c r="BP229" s="15">
        <f>+'ENCUESTA CONDUCTORES'!BX229</f>
        <v>1</v>
      </c>
      <c r="BQ229" s="15">
        <f>+'ENCUESTA CONDUCTORES'!BY229</f>
        <v>2</v>
      </c>
      <c r="BR229" s="15">
        <f>+'ENCUESTA CONDUCTORES'!BZ229</f>
        <v>3</v>
      </c>
      <c r="BS229" s="15">
        <f>+'ENCUESTA CONDUCTORES'!CA229</f>
        <v>0</v>
      </c>
      <c r="BT229" s="15">
        <f>IF('ENCUESTA CONDUCTORES'!CB229="X",1,0)</f>
        <v>0</v>
      </c>
      <c r="BU229" s="15">
        <f>IF('ENCUESTA CONDUCTORES'!CC229="X",1,0)</f>
        <v>1</v>
      </c>
      <c r="BV229" s="15">
        <f>IF('ENCUESTA CONDUCTORES'!CD229="X",1,0)</f>
        <v>0</v>
      </c>
      <c r="BW229" s="15">
        <f>IF('ENCUESTA CONDUCTORES'!CE229="X",1,0)</f>
        <v>0</v>
      </c>
      <c r="BX229" s="15">
        <f>IF('ENCUESTA CONDUCTORES'!CF229="X",1,0)</f>
        <v>0</v>
      </c>
      <c r="BY229" s="15">
        <f>IF('ENCUESTA CONDUCTORES'!CG229="X",1,0)</f>
        <v>0</v>
      </c>
      <c r="BZ229" s="15">
        <f>IF('ENCUESTA CONDUCTORES'!CH229="X",1,0)</f>
        <v>1</v>
      </c>
      <c r="CA229" s="15">
        <f>IF('ENCUESTA CONDUCTORES'!CI229="X",1,0)</f>
        <v>1</v>
      </c>
      <c r="CB229" s="15">
        <f>IF('ENCUESTA CONDUCTORES'!CJ229="X",1,0)</f>
        <v>0</v>
      </c>
      <c r="CC229" s="15">
        <f>IF('ENCUESTA CONDUCTORES'!CK229="X",1,0)</f>
        <v>1</v>
      </c>
      <c r="CD229" s="15">
        <f>IF('ENCUESTA CONDUCTORES'!CL229="X",1,0)</f>
        <v>0</v>
      </c>
      <c r="CE229" s="15">
        <f>IF('ENCUESTA CONDUCTORES'!CM229="X",1,0)</f>
        <v>0</v>
      </c>
      <c r="CF229" s="15">
        <f>+'ENCUESTA CONDUCTORES'!CN229</f>
        <v>0</v>
      </c>
      <c r="CG229" s="15">
        <f>IF('ENCUESTA CONDUCTORES'!CO229="X",1,0)</f>
        <v>0</v>
      </c>
      <c r="CH229" s="15" t="str">
        <f>+'ENCUESTA CONDUCTORES'!CP229</f>
        <v>NO SABE</v>
      </c>
      <c r="CI229" s="15" t="str">
        <f>+'ENCUESTA CONDUCTORES'!CQ229</f>
        <v>PUBLICIDAD</v>
      </c>
      <c r="CJ229" s="15">
        <f>IF('ENCUESTA CONDUCTORES'!CR229="X",1,0)</f>
        <v>1</v>
      </c>
      <c r="CK229" s="15">
        <f>IF('ENCUESTA CONDUCTORES'!CS229="X",1,0)</f>
        <v>0</v>
      </c>
      <c r="CL229" s="15">
        <f>IF('ENCUESTA CONDUCTORES'!CT229="X",1,0)</f>
        <v>0</v>
      </c>
      <c r="CM229" s="15">
        <f>+'ENCUESTA CONDUCTORES'!CU229</f>
        <v>0</v>
      </c>
      <c r="CN229" s="15">
        <f>IF('ENCUESTA CONDUCTORES'!CV229="X",1,0)</f>
        <v>0</v>
      </c>
      <c r="CO229" s="15">
        <f>+'ENCUESTA CONDUCTORES'!CW229</f>
        <v>0</v>
      </c>
      <c r="CP229" s="15">
        <f>IF('ENCUESTA CONDUCTORES'!CX229="X",1,0)</f>
        <v>1</v>
      </c>
      <c r="CQ229" s="15">
        <f>IF('ENCUESTA CONDUCTORES'!CY229="X",1,0)</f>
        <v>1</v>
      </c>
      <c r="CR229" s="3">
        <f>+'ENCUESTA CONDUCTORES'!CZ229</f>
        <v>0</v>
      </c>
      <c r="CS229" s="49">
        <f>+'ENCUESTA CONDUCTORES'!DA229</f>
        <v>0</v>
      </c>
    </row>
    <row r="230" spans="2:97" x14ac:dyDescent="0.25">
      <c r="B230" s="14" t="str">
        <f>+'ENCUESTA CONDUCTORES'!D230</f>
        <v>C-241</v>
      </c>
      <c r="C230" s="15">
        <f>IF('ENCUESTA CONDUCTORES'!E230="X",1,0)</f>
        <v>0</v>
      </c>
      <c r="D230" s="15">
        <f>IF('ENCUESTA CONDUCTORES'!F230="X",1,0)</f>
        <v>0</v>
      </c>
      <c r="E230" s="15">
        <f>IF('ENCUESTA CONDUCTORES'!G230="X",1,0)</f>
        <v>0</v>
      </c>
      <c r="F230" s="15">
        <f>IF('ENCUESTA CONDUCTORES'!H230="X",1,0)</f>
        <v>1</v>
      </c>
      <c r="G230" s="15">
        <f>+'ENCUESTA CONDUCTORES'!I230</f>
        <v>53</v>
      </c>
      <c r="H230" s="15" t="str">
        <f>+'ENCUESTA CONDUCTORES'!J230</f>
        <v>M</v>
      </c>
      <c r="I230" s="15" t="str">
        <f>+'ENCUESTA CONDUCTORES'!K230</f>
        <v>SECUNDARIA</v>
      </c>
      <c r="J230" s="15" t="str">
        <f>+'ENCUESTA CONDUCTORES'!L230</f>
        <v>NEZAHUALCÓYOTL, EDO. MEX.</v>
      </c>
      <c r="K230" s="15" t="str">
        <f>+'ENCUESTA CONDUCTORES'!M230</f>
        <v>NEZAHUALCÓYOTL</v>
      </c>
      <c r="L230" s="15" t="str">
        <f>+'ENCUESTA CONDUCTORES'!N230</f>
        <v>EDO. MEX.</v>
      </c>
      <c r="M230" s="15">
        <f>+'ENCUESTA CONDUCTORES'!O230</f>
        <v>21</v>
      </c>
      <c r="N230" s="15">
        <f>IF('ENCUESTA CONDUCTORES'!P230="X",1,0)</f>
        <v>0</v>
      </c>
      <c r="O230" s="15">
        <f>IF('ENCUESTA CONDUCTORES'!Q230="X",1,0)</f>
        <v>0</v>
      </c>
      <c r="P230" s="15">
        <f>IF('ENCUESTA CONDUCTORES'!R230="X",1,0)</f>
        <v>0</v>
      </c>
      <c r="Q230" s="15">
        <f>IF('ENCUESTA CONDUCTORES'!S230="X",1,0)</f>
        <v>1</v>
      </c>
      <c r="R230" s="15">
        <f>IF('ENCUESTA CONDUCTORES'!T230="X",1,0)</f>
        <v>0</v>
      </c>
      <c r="S230" s="15">
        <f>IF('ENCUESTA CONDUCTORES'!U230="X",1,0)</f>
        <v>1</v>
      </c>
      <c r="T230" s="15">
        <f>IF('ENCUESTA CONDUCTORES'!V230="X",1,0)</f>
        <v>0</v>
      </c>
      <c r="U230" s="15">
        <f>IF('ENCUESTA CONDUCTORES'!W230="X",1,0)</f>
        <v>0</v>
      </c>
      <c r="V230" s="15">
        <f>IF('ENCUESTA CONDUCTORES'!X230="X",1,0)</f>
        <v>0</v>
      </c>
      <c r="W230" s="15">
        <f>IF('ENCUESTA CONDUCTORES'!Y230="X",1,0)</f>
        <v>0</v>
      </c>
      <c r="X230" s="15">
        <f>IF('ENCUESTA CONDUCTORES'!Z230="X",1,0)</f>
        <v>0</v>
      </c>
      <c r="Y230" s="15">
        <f>+'ENCUESTA CONDUCTORES'!AG230</f>
        <v>0</v>
      </c>
      <c r="Z230" s="15">
        <f>+'ENCUESTA CONDUCTORES'!AH230</f>
        <v>2007</v>
      </c>
      <c r="AA230" s="1">
        <f>+'ENCUESTA CONDUCTORES'!AI230</f>
        <v>500000</v>
      </c>
      <c r="AB230" s="15">
        <f>IF('ENCUESTA CONDUCTORES'!AJ230="X",1,0)</f>
        <v>0</v>
      </c>
      <c r="AC230" s="15">
        <f>IF('ENCUESTA CONDUCTORES'!AK230="X",1,0)</f>
        <v>0</v>
      </c>
      <c r="AD230" s="15">
        <f>IF('ENCUESTA CONDUCTORES'!AL230="X",1,0)</f>
        <v>1</v>
      </c>
      <c r="AE230" s="15">
        <f>IF('ENCUESTA CONDUCTORES'!AM230="X",1,0)</f>
        <v>0</v>
      </c>
      <c r="AF230" s="15">
        <f>IF('ENCUESTA CONDUCTORES'!AN230="X",1,0)</f>
        <v>0</v>
      </c>
      <c r="AG230" s="15">
        <f>IF('ENCUESTA CONDUCTORES'!AO230="X",1,0)</f>
        <v>0</v>
      </c>
      <c r="AH230" s="15">
        <f>IF('ENCUESTA CONDUCTORES'!AP230="X",1,0)</f>
        <v>1</v>
      </c>
      <c r="AI230" s="15">
        <f>IF('ENCUESTA CONDUCTORES'!AQ230="X",1,0)</f>
        <v>0</v>
      </c>
      <c r="AJ230" s="15">
        <f>IF('ENCUESTA CONDUCTORES'!AR230="X",1,0)</f>
        <v>0</v>
      </c>
      <c r="AK230" s="15">
        <f>+'ENCUESTA CONDUCTORES'!AS230</f>
        <v>0</v>
      </c>
      <c r="AL230" s="15" t="str">
        <f>+'ENCUESTA CONDUCTORES'!AT230</f>
        <v>KENWORTH</v>
      </c>
      <c r="AM230" s="1">
        <f>+'ENCUESTA CONDUCTORES'!AU230</f>
        <v>5000</v>
      </c>
      <c r="AN230" s="48">
        <f>+'ENCUESTA CONDUCTORES'!AV230</f>
        <v>0.3</v>
      </c>
      <c r="AO230" s="15">
        <f>+'ENCUESTA CONDUCTORES'!AW230</f>
        <v>3.2</v>
      </c>
      <c r="AP230" s="15">
        <f>+'ENCUESTA CONDUCTORES'!AX230</f>
        <v>2.8</v>
      </c>
      <c r="AQ230" s="15">
        <f>+'ENCUESTA CONDUCTORES'!AY230</f>
        <v>2</v>
      </c>
      <c r="AR230" s="15">
        <f>+'ENCUESTA CONDUCTORES'!AZ230</f>
        <v>770</v>
      </c>
      <c r="AS230" s="15">
        <f>+'ENCUESTA CONDUCTORES'!BA230</f>
        <v>2300</v>
      </c>
      <c r="AT230" s="15">
        <f>IF('ENCUESTA CONDUCTORES'!BB230="X",1,0)</f>
        <v>0</v>
      </c>
      <c r="AU230" s="15">
        <f>IF('ENCUESTA CONDUCTORES'!BC230="X",1,0)</f>
        <v>1</v>
      </c>
      <c r="AV230" s="15">
        <f>IF('ENCUESTA CONDUCTORES'!BD230="X",1,0)</f>
        <v>0</v>
      </c>
      <c r="AW230" s="1">
        <f>+'ENCUESTA CONDUCTORES'!BE230</f>
        <v>8000</v>
      </c>
      <c r="AX230" s="1">
        <f>+'ENCUESTA CONDUCTORES'!BF230</f>
        <v>6000</v>
      </c>
      <c r="AY230" s="1">
        <f>+'ENCUESTA CONDUCTORES'!BG230</f>
        <v>20000</v>
      </c>
      <c r="AZ230" s="1">
        <f>+'ENCUESTA CONDUCTORES'!BH230</f>
        <v>170000</v>
      </c>
      <c r="BA230" s="1">
        <f>+'ENCUESTA CONDUCTORES'!BI230</f>
        <v>20000</v>
      </c>
      <c r="BB230" s="15">
        <f>IF('ENCUESTA CONDUCTORES'!BJ230="X",1,0)</f>
        <v>1</v>
      </c>
      <c r="BC230" s="15">
        <f>IF('ENCUESTA CONDUCTORES'!BK230="X",1,0)</f>
        <v>0</v>
      </c>
      <c r="BD230" s="15">
        <f>IF('ENCUESTA CONDUCTORES'!BL230="X",1,0)</f>
        <v>0</v>
      </c>
      <c r="BE230" s="15">
        <f>IF('ENCUESTA CONDUCTORES'!BM230="X",1,0)</f>
        <v>0</v>
      </c>
      <c r="BF230" s="15">
        <f>IF('ENCUESTA CONDUCTORES'!BN230="X",1,0)</f>
        <v>0</v>
      </c>
      <c r="BG230" s="15">
        <f>IF('ENCUESTA CONDUCTORES'!BO230="X",1,0)</f>
        <v>0</v>
      </c>
      <c r="BH230" s="15">
        <f>IF('ENCUESTA CONDUCTORES'!BP230="X",1,0)</f>
        <v>0</v>
      </c>
      <c r="BI230" s="15">
        <f>IF('ENCUESTA CONDUCTORES'!BQ230="X",1,0)</f>
        <v>0</v>
      </c>
      <c r="BJ230" s="15">
        <f>IF('ENCUESTA CONDUCTORES'!BR230="X",1,0)</f>
        <v>0</v>
      </c>
      <c r="BK230" s="15">
        <f>+'ENCUESTA CONDUCTORES'!BS230</f>
        <v>0</v>
      </c>
      <c r="BL230" s="15">
        <f>IF('ENCUESTA CONDUCTORES'!BT230="X",1,0)</f>
        <v>0</v>
      </c>
      <c r="BM230" s="15">
        <f>IF('ENCUESTA CONDUCTORES'!BU230="X",1,0)</f>
        <v>0</v>
      </c>
      <c r="BN230" s="15">
        <f>IF('ENCUESTA CONDUCTORES'!BV230="X",1,0)</f>
        <v>1</v>
      </c>
      <c r="BO230" s="15">
        <f>IF('ENCUESTA CONDUCTORES'!BW230="X",1,0)</f>
        <v>0</v>
      </c>
      <c r="BP230" s="15">
        <f>+'ENCUESTA CONDUCTORES'!BX230</f>
        <v>2</v>
      </c>
      <c r="BQ230" s="15">
        <f>+'ENCUESTA CONDUCTORES'!BY230</f>
        <v>1</v>
      </c>
      <c r="BR230" s="15">
        <f>+'ENCUESTA CONDUCTORES'!BZ230</f>
        <v>3</v>
      </c>
      <c r="BS230" s="15">
        <f>+'ENCUESTA CONDUCTORES'!CA230</f>
        <v>0</v>
      </c>
      <c r="BT230" s="15">
        <f>IF('ENCUESTA CONDUCTORES'!CB230="X",1,0)</f>
        <v>0</v>
      </c>
      <c r="BU230" s="15">
        <f>IF('ENCUESTA CONDUCTORES'!CC230="X",1,0)</f>
        <v>1</v>
      </c>
      <c r="BV230" s="15">
        <f>IF('ENCUESTA CONDUCTORES'!CD230="X",1,0)</f>
        <v>0</v>
      </c>
      <c r="BW230" s="15">
        <f>IF('ENCUESTA CONDUCTORES'!CE230="X",1,0)</f>
        <v>0</v>
      </c>
      <c r="BX230" s="15">
        <f>IF('ENCUESTA CONDUCTORES'!CF230="X",1,0)</f>
        <v>0</v>
      </c>
      <c r="BY230" s="15">
        <f>IF('ENCUESTA CONDUCTORES'!CG230="X",1,0)</f>
        <v>0</v>
      </c>
      <c r="BZ230" s="15">
        <f>IF('ENCUESTA CONDUCTORES'!CH230="X",1,0)</f>
        <v>1</v>
      </c>
      <c r="CA230" s="15">
        <f>IF('ENCUESTA CONDUCTORES'!CI230="X",1,0)</f>
        <v>1</v>
      </c>
      <c r="CB230" s="15">
        <f>IF('ENCUESTA CONDUCTORES'!CJ230="X",1,0)</f>
        <v>0</v>
      </c>
      <c r="CC230" s="15">
        <f>IF('ENCUESTA CONDUCTORES'!CK230="X",1,0)</f>
        <v>1</v>
      </c>
      <c r="CD230" s="15">
        <f>IF('ENCUESTA CONDUCTORES'!CL230="X",1,0)</f>
        <v>0</v>
      </c>
      <c r="CE230" s="15">
        <f>IF('ENCUESTA CONDUCTORES'!CM230="X",1,0)</f>
        <v>0</v>
      </c>
      <c r="CF230" s="15">
        <f>+'ENCUESTA CONDUCTORES'!CN230</f>
        <v>0</v>
      </c>
      <c r="CG230" s="15">
        <f>IF('ENCUESTA CONDUCTORES'!CO230="X",1,0)</f>
        <v>0</v>
      </c>
      <c r="CH230" s="15" t="str">
        <f>+'ENCUESTA CONDUCTORES'!CP230</f>
        <v>NO SABE</v>
      </c>
      <c r="CI230" s="15" t="str">
        <f>+'ENCUESTA CONDUCTORES'!CQ230</f>
        <v>MAYOR INFORMACION</v>
      </c>
      <c r="CJ230" s="15">
        <f>IF('ENCUESTA CONDUCTORES'!CR230="X",1,0)</f>
        <v>0</v>
      </c>
      <c r="CK230" s="15">
        <f>IF('ENCUESTA CONDUCTORES'!CS230="X",1,0)</f>
        <v>0</v>
      </c>
      <c r="CL230" s="15">
        <f>IF('ENCUESTA CONDUCTORES'!CT230="X",1,0)</f>
        <v>0</v>
      </c>
      <c r="CM230" s="15" t="str">
        <f>+'ENCUESTA CONDUCTORES'!CU230</f>
        <v>MANEJO A LA DEFENSIVA</v>
      </c>
      <c r="CN230" s="15">
        <f>IF('ENCUESTA CONDUCTORES'!CV230="X",1,0)</f>
        <v>0</v>
      </c>
      <c r="CO230" s="15">
        <f>+'ENCUESTA CONDUCTORES'!CW230</f>
        <v>0</v>
      </c>
      <c r="CP230" s="15">
        <f>IF('ENCUESTA CONDUCTORES'!CX230="X",1,0)</f>
        <v>0</v>
      </c>
      <c r="CQ230" s="15">
        <f>IF('ENCUESTA CONDUCTORES'!CY230="X",1,0)</f>
        <v>1</v>
      </c>
      <c r="CR230" s="3">
        <f>+'ENCUESTA CONDUCTORES'!CZ230</f>
        <v>0</v>
      </c>
      <c r="CS230" s="49">
        <f>+'ENCUESTA CONDUCTORES'!DA230</f>
        <v>0</v>
      </c>
    </row>
    <row r="231" spans="2:97" x14ac:dyDescent="0.25">
      <c r="B231" s="14" t="str">
        <f>+'ENCUESTA CONDUCTORES'!D231</f>
        <v>C-242</v>
      </c>
      <c r="C231" s="15">
        <f>IF('ENCUESTA CONDUCTORES'!E231="X",1,0)</f>
        <v>0</v>
      </c>
      <c r="D231" s="15">
        <f>IF('ENCUESTA CONDUCTORES'!F231="X",1,0)</f>
        <v>0</v>
      </c>
      <c r="E231" s="15">
        <f>IF('ENCUESTA CONDUCTORES'!G231="X",1,0)</f>
        <v>1</v>
      </c>
      <c r="F231" s="15">
        <f>IF('ENCUESTA CONDUCTORES'!H231="X",1,0)</f>
        <v>0</v>
      </c>
      <c r="G231" s="15">
        <f>+'ENCUESTA CONDUCTORES'!I231</f>
        <v>55</v>
      </c>
      <c r="H231" s="15" t="str">
        <f>+'ENCUESTA CONDUCTORES'!J231</f>
        <v>M</v>
      </c>
      <c r="I231" s="15" t="str">
        <f>+'ENCUESTA CONDUCTORES'!K231</f>
        <v>PRIMARIA</v>
      </c>
      <c r="J231" s="15" t="str">
        <f>+'ENCUESTA CONDUCTORES'!L231</f>
        <v>SAN JUAN CASA BLANCA, EDO. MEX.</v>
      </c>
      <c r="K231" s="15" t="str">
        <f>+'ENCUESTA CONDUCTORES'!M231</f>
        <v>SAN JUAN CASA BLANCA</v>
      </c>
      <c r="L231" s="15" t="str">
        <f>+'ENCUESTA CONDUCTORES'!N231</f>
        <v>EDO. MEX.</v>
      </c>
      <c r="M231" s="15">
        <f>+'ENCUESTA CONDUCTORES'!O231</f>
        <v>34</v>
      </c>
      <c r="N231" s="15">
        <f>IF('ENCUESTA CONDUCTORES'!P231="X",1,0)</f>
        <v>0</v>
      </c>
      <c r="O231" s="15">
        <f>IF('ENCUESTA CONDUCTORES'!Q231="X",1,0)</f>
        <v>0</v>
      </c>
      <c r="P231" s="15">
        <f>IF('ENCUESTA CONDUCTORES'!R231="X",1,0)</f>
        <v>0</v>
      </c>
      <c r="Q231" s="15">
        <f>IF('ENCUESTA CONDUCTORES'!S231="X",1,0)</f>
        <v>1</v>
      </c>
      <c r="R231" s="15">
        <f>IF('ENCUESTA CONDUCTORES'!T231="X",1,0)</f>
        <v>0</v>
      </c>
      <c r="S231" s="15">
        <f>IF('ENCUESTA CONDUCTORES'!U231="X",1,0)</f>
        <v>1</v>
      </c>
      <c r="T231" s="15">
        <f>IF('ENCUESTA CONDUCTORES'!V231="X",1,0)</f>
        <v>0</v>
      </c>
      <c r="U231" s="15">
        <f>IF('ENCUESTA CONDUCTORES'!W231="X",1,0)</f>
        <v>0</v>
      </c>
      <c r="V231" s="15">
        <f>IF('ENCUESTA CONDUCTORES'!X231="X",1,0)</f>
        <v>0</v>
      </c>
      <c r="W231" s="15">
        <f>IF('ENCUESTA CONDUCTORES'!Y231="X",1,0)</f>
        <v>0</v>
      </c>
      <c r="X231" s="15">
        <f>IF('ENCUESTA CONDUCTORES'!Z231="X",1,0)</f>
        <v>0</v>
      </c>
      <c r="Y231" s="15">
        <f>+'ENCUESTA CONDUCTORES'!AG231</f>
        <v>0</v>
      </c>
      <c r="Z231" s="15">
        <f>+'ENCUESTA CONDUCTORES'!AH231</f>
        <v>1980</v>
      </c>
      <c r="AA231" s="1" t="str">
        <f>+'ENCUESTA CONDUCTORES'!AI231</f>
        <v>DAÑADO</v>
      </c>
      <c r="AB231" s="15">
        <f>IF('ENCUESTA CONDUCTORES'!AJ231="X",1,0)</f>
        <v>0</v>
      </c>
      <c r="AC231" s="15">
        <f>IF('ENCUESTA CONDUCTORES'!AK231="X",1,0)</f>
        <v>0</v>
      </c>
      <c r="AD231" s="15">
        <f>IF('ENCUESTA CONDUCTORES'!AL231="X",1,0)</f>
        <v>1</v>
      </c>
      <c r="AE231" s="15">
        <f>IF('ENCUESTA CONDUCTORES'!AM231="X",1,0)</f>
        <v>0</v>
      </c>
      <c r="AF231" s="15">
        <f>IF('ENCUESTA CONDUCTORES'!AN231="X",1,0)</f>
        <v>0</v>
      </c>
      <c r="AG231" s="15">
        <f>IF('ENCUESTA CONDUCTORES'!AO231="X",1,0)</f>
        <v>0</v>
      </c>
      <c r="AH231" s="15">
        <f>IF('ENCUESTA CONDUCTORES'!AP231="X",1,0)</f>
        <v>1</v>
      </c>
      <c r="AI231" s="15">
        <f>IF('ENCUESTA CONDUCTORES'!AQ231="X",1,0)</f>
        <v>0</v>
      </c>
      <c r="AJ231" s="15">
        <f>IF('ENCUESTA CONDUCTORES'!AR231="X",1,0)</f>
        <v>0</v>
      </c>
      <c r="AK231" s="15">
        <f>+'ENCUESTA CONDUCTORES'!AS231</f>
        <v>0</v>
      </c>
      <c r="AL231" s="15" t="str">
        <f>+'ENCUESTA CONDUCTORES'!AT231</f>
        <v>CUMMINS</v>
      </c>
      <c r="AM231" s="1">
        <f>+'ENCUESTA CONDUCTORES'!AU231</f>
        <v>2000</v>
      </c>
      <c r="AN231" s="48">
        <f>+'ENCUESTA CONDUCTORES'!AV231</f>
        <v>0.5</v>
      </c>
      <c r="AO231" s="15">
        <f>+'ENCUESTA CONDUCTORES'!AW231</f>
        <v>2.2000000000000002</v>
      </c>
      <c r="AP231" s="15">
        <f>+'ENCUESTA CONDUCTORES'!AX231</f>
        <v>1.9</v>
      </c>
      <c r="AQ231" s="15">
        <f>+'ENCUESTA CONDUCTORES'!AY231</f>
        <v>2</v>
      </c>
      <c r="AR231" s="15">
        <f>+'ENCUESTA CONDUCTORES'!AZ231</f>
        <v>500</v>
      </c>
      <c r="AS231" s="15">
        <f>+'ENCUESTA CONDUCTORES'!BA231</f>
        <v>1000</v>
      </c>
      <c r="AT231" s="15">
        <f>IF('ENCUESTA CONDUCTORES'!BB231="X",1,0)</f>
        <v>0</v>
      </c>
      <c r="AU231" s="15">
        <f>IF('ENCUESTA CONDUCTORES'!BC231="X",1,0)</f>
        <v>1</v>
      </c>
      <c r="AV231" s="15">
        <f>IF('ENCUESTA CONDUCTORES'!BD231="X",1,0)</f>
        <v>0</v>
      </c>
      <c r="AW231" s="1">
        <f>+'ENCUESTA CONDUCTORES'!BE231</f>
        <v>4000</v>
      </c>
      <c r="AX231" s="1">
        <f>+'ENCUESTA CONDUCTORES'!BF231</f>
        <v>2000</v>
      </c>
      <c r="AY231" s="1">
        <f>+'ENCUESTA CONDUCTORES'!BG231</f>
        <v>13000</v>
      </c>
      <c r="AZ231" s="1">
        <f>+'ENCUESTA CONDUCTORES'!BH231</f>
        <v>48000</v>
      </c>
      <c r="BA231" s="1">
        <f>+'ENCUESTA CONDUCTORES'!BI231</f>
        <v>13000</v>
      </c>
      <c r="BB231" s="15">
        <f>IF('ENCUESTA CONDUCTORES'!BJ231="X",1,0)</f>
        <v>0</v>
      </c>
      <c r="BC231" s="15">
        <f>IF('ENCUESTA CONDUCTORES'!BK231="X",1,0)</f>
        <v>0</v>
      </c>
      <c r="BD231" s="15">
        <f>IF('ENCUESTA CONDUCTORES'!BL231="X",1,0)</f>
        <v>0</v>
      </c>
      <c r="BE231" s="15">
        <f>IF('ENCUESTA CONDUCTORES'!BM231="X",1,0)</f>
        <v>0</v>
      </c>
      <c r="BF231" s="15">
        <f>IF('ENCUESTA CONDUCTORES'!BN231="X",1,0)</f>
        <v>0</v>
      </c>
      <c r="BG231" s="15">
        <f>IF('ENCUESTA CONDUCTORES'!BO231="X",1,0)</f>
        <v>0</v>
      </c>
      <c r="BH231" s="15">
        <f>IF('ENCUESTA CONDUCTORES'!BP231="X",1,0)</f>
        <v>0</v>
      </c>
      <c r="BI231" s="15">
        <f>IF('ENCUESTA CONDUCTORES'!BQ231="X",1,0)</f>
        <v>0</v>
      </c>
      <c r="BJ231" s="15">
        <f>IF('ENCUESTA CONDUCTORES'!BR231="X",1,0)</f>
        <v>0</v>
      </c>
      <c r="BK231" s="15" t="str">
        <f>+'ENCUESTA CONDUCTORES'!BS231</f>
        <v>GENERAL</v>
      </c>
      <c r="BL231" s="15">
        <f>IF('ENCUESTA CONDUCTORES'!BT231="X",1,0)</f>
        <v>1</v>
      </c>
      <c r="BM231" s="15">
        <f>IF('ENCUESTA CONDUCTORES'!BU231="X",1,0)</f>
        <v>0</v>
      </c>
      <c r="BN231" s="15">
        <f>IF('ENCUESTA CONDUCTORES'!BV231="X",1,0)</f>
        <v>0</v>
      </c>
      <c r="BO231" s="15">
        <f>IF('ENCUESTA CONDUCTORES'!BW231="X",1,0)</f>
        <v>0</v>
      </c>
      <c r="BP231" s="15">
        <f>+'ENCUESTA CONDUCTORES'!BX231</f>
        <v>1</v>
      </c>
      <c r="BQ231" s="15">
        <f>+'ENCUESTA CONDUCTORES'!BY231</f>
        <v>3</v>
      </c>
      <c r="BR231" s="15">
        <f>+'ENCUESTA CONDUCTORES'!BZ231</f>
        <v>2</v>
      </c>
      <c r="BS231" s="15">
        <f>+'ENCUESTA CONDUCTORES'!CA231</f>
        <v>0</v>
      </c>
      <c r="BT231" s="15">
        <f>IF('ENCUESTA CONDUCTORES'!CB231="X",1,0)</f>
        <v>1</v>
      </c>
      <c r="BU231" s="15">
        <f>IF('ENCUESTA CONDUCTORES'!CC231="X",1,0)</f>
        <v>0</v>
      </c>
      <c r="BV231" s="15">
        <f>IF('ENCUESTA CONDUCTORES'!CD231="X",1,0)</f>
        <v>0</v>
      </c>
      <c r="BW231" s="15">
        <f>IF('ENCUESTA CONDUCTORES'!CE231="X",1,0)</f>
        <v>0</v>
      </c>
      <c r="BX231" s="15">
        <f>IF('ENCUESTA CONDUCTORES'!CF231="X",1,0)</f>
        <v>0</v>
      </c>
      <c r="BY231" s="15">
        <f>IF('ENCUESTA CONDUCTORES'!CG231="X",1,0)</f>
        <v>0</v>
      </c>
      <c r="BZ231" s="15">
        <f>IF('ENCUESTA CONDUCTORES'!CH231="X",1,0)</f>
        <v>0</v>
      </c>
      <c r="CA231" s="15">
        <f>IF('ENCUESTA CONDUCTORES'!CI231="X",1,0)</f>
        <v>0</v>
      </c>
      <c r="CB231" s="15">
        <f>IF('ENCUESTA CONDUCTORES'!CJ231="X",1,0)</f>
        <v>0</v>
      </c>
      <c r="CC231" s="15">
        <f>IF('ENCUESTA CONDUCTORES'!CK231="X",1,0)</f>
        <v>1</v>
      </c>
      <c r="CD231" s="15">
        <f>IF('ENCUESTA CONDUCTORES'!CL231="X",1,0)</f>
        <v>0</v>
      </c>
      <c r="CE231" s="15">
        <f>IF('ENCUESTA CONDUCTORES'!CM231="X",1,0)</f>
        <v>0</v>
      </c>
      <c r="CF231" s="15">
        <f>+'ENCUESTA CONDUCTORES'!CN231</f>
        <v>0</v>
      </c>
      <c r="CG231" s="15">
        <f>IF('ENCUESTA CONDUCTORES'!CO231="X",1,0)</f>
        <v>0</v>
      </c>
      <c r="CH231" s="15" t="str">
        <f>+'ENCUESTA CONDUCTORES'!CP231</f>
        <v>NO SABE</v>
      </c>
      <c r="CI231" s="15" t="str">
        <f>+'ENCUESTA CONDUCTORES'!CQ231</f>
        <v>MAYOR INFORMACION</v>
      </c>
      <c r="CJ231" s="15">
        <f>IF('ENCUESTA CONDUCTORES'!CR231="X",1,0)</f>
        <v>1</v>
      </c>
      <c r="CK231" s="15">
        <f>IF('ENCUESTA CONDUCTORES'!CS231="X",1,0)</f>
        <v>0</v>
      </c>
      <c r="CL231" s="15">
        <f>IF('ENCUESTA CONDUCTORES'!CT231="X",1,0)</f>
        <v>0</v>
      </c>
      <c r="CM231" s="15">
        <f>+'ENCUESTA CONDUCTORES'!CU231</f>
        <v>0</v>
      </c>
      <c r="CN231" s="15">
        <f>IF('ENCUESTA CONDUCTORES'!CV231="X",1,0)</f>
        <v>1</v>
      </c>
      <c r="CO231" s="15" t="str">
        <f>+'ENCUESTA CONDUCTORES'!CW231</f>
        <v>NO TIENE TIEMPO</v>
      </c>
      <c r="CP231" s="15">
        <f>IF('ENCUESTA CONDUCTORES'!CX231="X",1,0)</f>
        <v>0</v>
      </c>
      <c r="CQ231" s="15">
        <f>IF('ENCUESTA CONDUCTORES'!CY231="X",1,0)</f>
        <v>0</v>
      </c>
      <c r="CR231" s="3">
        <f>+'ENCUESTA CONDUCTORES'!CZ231</f>
        <v>0</v>
      </c>
      <c r="CS231" s="49">
        <f>+'ENCUESTA CONDUCTORES'!DA231</f>
        <v>0</v>
      </c>
    </row>
    <row r="232" spans="2:97" x14ac:dyDescent="0.25">
      <c r="B232" s="14" t="str">
        <f>+'ENCUESTA CONDUCTORES'!D232</f>
        <v>C-243</v>
      </c>
      <c r="C232" s="15">
        <f>IF('ENCUESTA CONDUCTORES'!E232="X",1,0)</f>
        <v>0</v>
      </c>
      <c r="D232" s="15">
        <f>IF('ENCUESTA CONDUCTORES'!F232="X",1,0)</f>
        <v>0</v>
      </c>
      <c r="E232" s="15">
        <f>IF('ENCUESTA CONDUCTORES'!G232="X",1,0)</f>
        <v>0</v>
      </c>
      <c r="F232" s="15">
        <f>IF('ENCUESTA CONDUCTORES'!H232="X",1,0)</f>
        <v>1</v>
      </c>
      <c r="G232" s="15">
        <f>+'ENCUESTA CONDUCTORES'!I232</f>
        <v>52</v>
      </c>
      <c r="H232" s="15" t="str">
        <f>+'ENCUESTA CONDUCTORES'!J232</f>
        <v>M</v>
      </c>
      <c r="I232" s="15" t="str">
        <f>+'ENCUESTA CONDUCTORES'!K232</f>
        <v>SECUNDARIA</v>
      </c>
      <c r="J232" s="15" t="str">
        <f>+'ENCUESTA CONDUCTORES'!L232</f>
        <v>MILPA ALTA, D.F.</v>
      </c>
      <c r="K232" s="15" t="str">
        <f>+'ENCUESTA CONDUCTORES'!M232</f>
        <v>MILPA ALTA</v>
      </c>
      <c r="L232" s="15" t="str">
        <f>+'ENCUESTA CONDUCTORES'!N232</f>
        <v>D.F.</v>
      </c>
      <c r="M232" s="15">
        <f>+'ENCUESTA CONDUCTORES'!O232</f>
        <v>25</v>
      </c>
      <c r="N232" s="15">
        <f>IF('ENCUESTA CONDUCTORES'!P232="X",1,0)</f>
        <v>0</v>
      </c>
      <c r="O232" s="15">
        <f>IF('ENCUESTA CONDUCTORES'!Q232="X",1,0)</f>
        <v>0</v>
      </c>
      <c r="P232" s="15">
        <f>IF('ENCUESTA CONDUCTORES'!R232="X",1,0)</f>
        <v>0</v>
      </c>
      <c r="Q232" s="15">
        <f>IF('ENCUESTA CONDUCTORES'!S232="X",1,0)</f>
        <v>1</v>
      </c>
      <c r="R232" s="15">
        <f>IF('ENCUESTA CONDUCTORES'!T232="X",1,0)</f>
        <v>0</v>
      </c>
      <c r="S232" s="15">
        <f>IF('ENCUESTA CONDUCTORES'!U232="X",1,0)</f>
        <v>1</v>
      </c>
      <c r="T232" s="15">
        <f>IF('ENCUESTA CONDUCTORES'!V232="X",1,0)</f>
        <v>0</v>
      </c>
      <c r="U232" s="15">
        <f>IF('ENCUESTA CONDUCTORES'!W232="X",1,0)</f>
        <v>0</v>
      </c>
      <c r="V232" s="15">
        <f>IF('ENCUESTA CONDUCTORES'!X232="X",1,0)</f>
        <v>0</v>
      </c>
      <c r="W232" s="15">
        <f>IF('ENCUESTA CONDUCTORES'!Y232="X",1,0)</f>
        <v>0</v>
      </c>
      <c r="X232" s="15">
        <f>IF('ENCUESTA CONDUCTORES'!Z232="X",1,0)</f>
        <v>0</v>
      </c>
      <c r="Y232" s="15">
        <f>+'ENCUESTA CONDUCTORES'!AG232</f>
        <v>0</v>
      </c>
      <c r="Z232" s="15">
        <f>+'ENCUESTA CONDUCTORES'!AH232</f>
        <v>2009</v>
      </c>
      <c r="AA232" s="1" t="str">
        <f>+'ENCUESTA CONDUCTORES'!AI232</f>
        <v>DAÑADO</v>
      </c>
      <c r="AB232" s="15">
        <f>IF('ENCUESTA CONDUCTORES'!AJ232="X",1,0)</f>
        <v>0</v>
      </c>
      <c r="AC232" s="15">
        <f>IF('ENCUESTA CONDUCTORES'!AK232="X",1,0)</f>
        <v>0</v>
      </c>
      <c r="AD232" s="15">
        <f>IF('ENCUESTA CONDUCTORES'!AL232="X",1,0)</f>
        <v>1</v>
      </c>
      <c r="AE232" s="15">
        <f>IF('ENCUESTA CONDUCTORES'!AM232="X",1,0)</f>
        <v>0</v>
      </c>
      <c r="AF232" s="15">
        <f>IF('ENCUESTA CONDUCTORES'!AN232="X",1,0)</f>
        <v>0</v>
      </c>
      <c r="AG232" s="15">
        <f>IF('ENCUESTA CONDUCTORES'!AO232="X",1,0)</f>
        <v>0</v>
      </c>
      <c r="AH232" s="15">
        <f>IF('ENCUESTA CONDUCTORES'!AP232="X",1,0)</f>
        <v>1</v>
      </c>
      <c r="AI232" s="15">
        <f>IF('ENCUESTA CONDUCTORES'!AQ232="X",1,0)</f>
        <v>0</v>
      </c>
      <c r="AJ232" s="15">
        <f>IF('ENCUESTA CONDUCTORES'!AR232="X",1,0)</f>
        <v>0</v>
      </c>
      <c r="AK232" s="15">
        <f>+'ENCUESTA CONDUCTORES'!AS232</f>
        <v>0</v>
      </c>
      <c r="AL232" s="15" t="str">
        <f>+'ENCUESTA CONDUCTORES'!AT232</f>
        <v>KENWORTH</v>
      </c>
      <c r="AM232" s="1">
        <f>+'ENCUESTA CONDUCTORES'!AU232</f>
        <v>5000</v>
      </c>
      <c r="AN232" s="48">
        <f>+'ENCUESTA CONDUCTORES'!AV232</f>
        <v>0.5</v>
      </c>
      <c r="AO232" s="15">
        <f>+'ENCUESTA CONDUCTORES'!AW232</f>
        <v>2</v>
      </c>
      <c r="AP232" s="15">
        <f>+'ENCUESTA CONDUCTORES'!AX232</f>
        <v>1.7</v>
      </c>
      <c r="AQ232" s="15">
        <f>+'ENCUESTA CONDUCTORES'!AY232</f>
        <v>2</v>
      </c>
      <c r="AR232" s="15">
        <f>+'ENCUESTA CONDUCTORES'!AZ232</f>
        <v>1100</v>
      </c>
      <c r="AS232" s="15">
        <f>+'ENCUESTA CONDUCTORES'!BA232</f>
        <v>2000</v>
      </c>
      <c r="AT232" s="15">
        <f>IF('ENCUESTA CONDUCTORES'!BB232="X",1,0)</f>
        <v>1</v>
      </c>
      <c r="AU232" s="15">
        <f>IF('ENCUESTA CONDUCTORES'!BC232="X",1,0)</f>
        <v>1</v>
      </c>
      <c r="AV232" s="15">
        <f>IF('ENCUESTA CONDUCTORES'!BD232="X",1,0)</f>
        <v>1</v>
      </c>
      <c r="AW232" s="1">
        <f>+'ENCUESTA CONDUCTORES'!BE232</f>
        <v>15000</v>
      </c>
      <c r="AX232" s="1">
        <f>+'ENCUESTA CONDUCTORES'!BF232</f>
        <v>10000</v>
      </c>
      <c r="AY232" s="1">
        <f>+'ENCUESTA CONDUCTORES'!BG232</f>
        <v>12000</v>
      </c>
      <c r="AZ232" s="1">
        <f>+'ENCUESTA CONDUCTORES'!BH232</f>
        <v>150000</v>
      </c>
      <c r="BA232" s="1">
        <f>+'ENCUESTA CONDUCTORES'!BI232</f>
        <v>12000</v>
      </c>
      <c r="BB232" s="15">
        <f>IF('ENCUESTA CONDUCTORES'!BJ232="X",1,0)</f>
        <v>1</v>
      </c>
      <c r="BC232" s="15">
        <f>IF('ENCUESTA CONDUCTORES'!BK232="X",1,0)</f>
        <v>0</v>
      </c>
      <c r="BD232" s="15">
        <f>IF('ENCUESTA CONDUCTORES'!BL232="X",1,0)</f>
        <v>0</v>
      </c>
      <c r="BE232" s="15">
        <f>IF('ENCUESTA CONDUCTORES'!BM232="X",1,0)</f>
        <v>0</v>
      </c>
      <c r="BF232" s="15">
        <f>IF('ENCUESTA CONDUCTORES'!BN232="X",1,0)</f>
        <v>0</v>
      </c>
      <c r="BG232" s="15">
        <f>IF('ENCUESTA CONDUCTORES'!BO232="X",1,0)</f>
        <v>0</v>
      </c>
      <c r="BH232" s="15">
        <f>IF('ENCUESTA CONDUCTORES'!BP232="X",1,0)</f>
        <v>0</v>
      </c>
      <c r="BI232" s="15">
        <f>IF('ENCUESTA CONDUCTORES'!BQ232="X",1,0)</f>
        <v>0</v>
      </c>
      <c r="BJ232" s="15">
        <f>IF('ENCUESTA CONDUCTORES'!BR232="X",1,0)</f>
        <v>0</v>
      </c>
      <c r="BK232" s="15">
        <f>+'ENCUESTA CONDUCTORES'!BS232</f>
        <v>0</v>
      </c>
      <c r="BL232" s="15">
        <f>IF('ENCUESTA CONDUCTORES'!BT232="X",1,0)</f>
        <v>0</v>
      </c>
      <c r="BM232" s="15">
        <f>IF('ENCUESTA CONDUCTORES'!BU232="X",1,0)</f>
        <v>0</v>
      </c>
      <c r="BN232" s="15">
        <f>IF('ENCUESTA CONDUCTORES'!BV232="X",1,0)</f>
        <v>0</v>
      </c>
      <c r="BO232" s="15">
        <f>IF('ENCUESTA CONDUCTORES'!BW232="X",1,0)</f>
        <v>0</v>
      </c>
      <c r="BP232" s="15">
        <f>+'ENCUESTA CONDUCTORES'!BX232</f>
        <v>2</v>
      </c>
      <c r="BQ232" s="15">
        <f>+'ENCUESTA CONDUCTORES'!BY232</f>
        <v>4</v>
      </c>
      <c r="BR232" s="15">
        <f>+'ENCUESTA CONDUCTORES'!BZ232</f>
        <v>3</v>
      </c>
      <c r="BS232" s="15" t="str">
        <f>+'ENCUESTA CONDUCTORES'!CA232</f>
        <v>SEGURIDAD</v>
      </c>
      <c r="BT232" s="15">
        <f>IF('ENCUESTA CONDUCTORES'!CB232="X",1,0)</f>
        <v>0</v>
      </c>
      <c r="BU232" s="15">
        <f>IF('ENCUESTA CONDUCTORES'!CC232="X",1,0)</f>
        <v>1</v>
      </c>
      <c r="BV232" s="15">
        <f>IF('ENCUESTA CONDUCTORES'!CD232="X",1,0)</f>
        <v>1</v>
      </c>
      <c r="BW232" s="15">
        <f>IF('ENCUESTA CONDUCTORES'!CE232="X",1,0)</f>
        <v>1</v>
      </c>
      <c r="BX232" s="15">
        <f>IF('ENCUESTA CONDUCTORES'!CF232="X",1,0)</f>
        <v>0</v>
      </c>
      <c r="BY232" s="15">
        <f>IF('ENCUESTA CONDUCTORES'!CG232="X",1,0)</f>
        <v>0</v>
      </c>
      <c r="BZ232" s="15">
        <f>IF('ENCUESTA CONDUCTORES'!CH232="X",1,0)</f>
        <v>1</v>
      </c>
      <c r="CA232" s="15">
        <f>IF('ENCUESTA CONDUCTORES'!CI232="X",1,0)</f>
        <v>1</v>
      </c>
      <c r="CB232" s="15">
        <f>IF('ENCUESTA CONDUCTORES'!CJ232="X",1,0)</f>
        <v>0</v>
      </c>
      <c r="CC232" s="15">
        <f>IF('ENCUESTA CONDUCTORES'!CK232="X",1,0)</f>
        <v>0</v>
      </c>
      <c r="CD232" s="15">
        <f>IF('ENCUESTA CONDUCTORES'!CL232="X",1,0)</f>
        <v>1</v>
      </c>
      <c r="CE232" s="15">
        <f>IF('ENCUESTA CONDUCTORES'!CM232="X",1,0)</f>
        <v>1</v>
      </c>
      <c r="CF232" s="15" t="str">
        <f>+'ENCUESTA CONDUCTORES'!CN232</f>
        <v>NO HAY TIEMPO</v>
      </c>
      <c r="CG232" s="15">
        <f>IF('ENCUESTA CONDUCTORES'!CO232="X",1,0)</f>
        <v>0</v>
      </c>
      <c r="CH232" s="15" t="str">
        <f>+'ENCUESTA CONDUCTORES'!CP232</f>
        <v>ESTA BIEN</v>
      </c>
      <c r="CI232" s="15" t="str">
        <f>+'ENCUESTA CONDUCTORES'!CQ232</f>
        <v>MAYOR INFORMACION</v>
      </c>
      <c r="CJ232" s="15">
        <f>IF('ENCUESTA CONDUCTORES'!CR232="X",1,0)</f>
        <v>1</v>
      </c>
      <c r="CK232" s="15">
        <f>IF('ENCUESTA CONDUCTORES'!CS232="X",1,0)</f>
        <v>0</v>
      </c>
      <c r="CL232" s="15">
        <f>IF('ENCUESTA CONDUCTORES'!CT232="X",1,0)</f>
        <v>0</v>
      </c>
      <c r="CM232" s="15">
        <f>+'ENCUESTA CONDUCTORES'!CU232</f>
        <v>0</v>
      </c>
      <c r="CN232" s="15">
        <f>IF('ENCUESTA CONDUCTORES'!CV232="X",1,0)</f>
        <v>0</v>
      </c>
      <c r="CO232" s="15">
        <f>+'ENCUESTA CONDUCTORES'!CW232</f>
        <v>0</v>
      </c>
      <c r="CP232" s="15">
        <f>IF('ENCUESTA CONDUCTORES'!CX232="X",1,0)</f>
        <v>0</v>
      </c>
      <c r="CQ232" s="15">
        <f>IF('ENCUESTA CONDUCTORES'!CY232="X",1,0)</f>
        <v>1</v>
      </c>
      <c r="CR232" s="3">
        <f>+'ENCUESTA CONDUCTORES'!CZ232</f>
        <v>0</v>
      </c>
      <c r="CS232" s="49">
        <f>+'ENCUESTA CONDUCTORES'!DA232</f>
        <v>0</v>
      </c>
    </row>
    <row r="233" spans="2:97" x14ac:dyDescent="0.25">
      <c r="B233" s="14" t="str">
        <f>+'ENCUESTA CONDUCTORES'!D233</f>
        <v>C-244</v>
      </c>
      <c r="C233" s="15">
        <f>IF('ENCUESTA CONDUCTORES'!E233="X",1,0)</f>
        <v>0</v>
      </c>
      <c r="D233" s="15">
        <f>IF('ENCUESTA CONDUCTORES'!F233="X",1,0)</f>
        <v>0</v>
      </c>
      <c r="E233" s="15">
        <f>IF('ENCUESTA CONDUCTORES'!G233="X",1,0)</f>
        <v>0</v>
      </c>
      <c r="F233" s="15">
        <f>IF('ENCUESTA CONDUCTORES'!H233="X",1,0)</f>
        <v>1</v>
      </c>
      <c r="G233" s="15">
        <f>+'ENCUESTA CONDUCTORES'!I233</f>
        <v>22</v>
      </c>
      <c r="H233" s="15" t="str">
        <f>+'ENCUESTA CONDUCTORES'!J233</f>
        <v>M</v>
      </c>
      <c r="I233" s="15" t="str">
        <f>+'ENCUESTA CONDUCTORES'!K233</f>
        <v>BACHILLERATO</v>
      </c>
      <c r="J233" s="15" t="str">
        <f>+'ENCUESTA CONDUCTORES'!L233</f>
        <v>TULTEPEC, EDO. MEX.</v>
      </c>
      <c r="K233" s="15" t="str">
        <f>+'ENCUESTA CONDUCTORES'!M233</f>
        <v>TULTEPEC</v>
      </c>
      <c r="L233" s="15" t="str">
        <f>+'ENCUESTA CONDUCTORES'!N233</f>
        <v>EDO. MEX.</v>
      </c>
      <c r="M233" s="15">
        <f>+'ENCUESTA CONDUCTORES'!O233</f>
        <v>3</v>
      </c>
      <c r="N233" s="15">
        <f>IF('ENCUESTA CONDUCTORES'!P233="X",1,0)</f>
        <v>1</v>
      </c>
      <c r="O233" s="15">
        <f>IF('ENCUESTA CONDUCTORES'!Q233="X",1,0)</f>
        <v>0</v>
      </c>
      <c r="P233" s="15">
        <f>IF('ENCUESTA CONDUCTORES'!R233="X",1,0)</f>
        <v>0</v>
      </c>
      <c r="Q233" s="15">
        <f>IF('ENCUESTA CONDUCTORES'!S233="X",1,0)</f>
        <v>0</v>
      </c>
      <c r="R233" s="15">
        <f>IF('ENCUESTA CONDUCTORES'!T233="X",1,0)</f>
        <v>0</v>
      </c>
      <c r="S233" s="15">
        <f>IF('ENCUESTA CONDUCTORES'!U233="X",1,0)</f>
        <v>1</v>
      </c>
      <c r="T233" s="15">
        <f>IF('ENCUESTA CONDUCTORES'!V233="X",1,0)</f>
        <v>0</v>
      </c>
      <c r="U233" s="15">
        <f>IF('ENCUESTA CONDUCTORES'!W233="X",1,0)</f>
        <v>0</v>
      </c>
      <c r="V233" s="15">
        <f>IF('ENCUESTA CONDUCTORES'!X233="X",1,0)</f>
        <v>0</v>
      </c>
      <c r="W233" s="15">
        <f>IF('ENCUESTA CONDUCTORES'!Y233="X",1,0)</f>
        <v>0</v>
      </c>
      <c r="X233" s="15">
        <f>IF('ENCUESTA CONDUCTORES'!Z233="X",1,0)</f>
        <v>0</v>
      </c>
      <c r="Y233" s="15">
        <f>+'ENCUESTA CONDUCTORES'!AG233</f>
        <v>0</v>
      </c>
      <c r="Z233" s="15">
        <f>+'ENCUESTA CONDUCTORES'!AH233</f>
        <v>2006</v>
      </c>
      <c r="AA233" s="1">
        <f>+'ENCUESTA CONDUCTORES'!AI233</f>
        <v>400000</v>
      </c>
      <c r="AB233" s="15">
        <f>IF('ENCUESTA CONDUCTORES'!AJ233="X",1,0)</f>
        <v>0</v>
      </c>
      <c r="AC233" s="15">
        <f>IF('ENCUESTA CONDUCTORES'!AK233="X",1,0)</f>
        <v>0</v>
      </c>
      <c r="AD233" s="15">
        <f>IF('ENCUESTA CONDUCTORES'!AL233="X",1,0)</f>
        <v>1</v>
      </c>
      <c r="AE233" s="15">
        <f>IF('ENCUESTA CONDUCTORES'!AM233="X",1,0)</f>
        <v>0</v>
      </c>
      <c r="AF233" s="15">
        <f>IF('ENCUESTA CONDUCTORES'!AN233="X",1,0)</f>
        <v>0</v>
      </c>
      <c r="AG233" s="15">
        <f>IF('ENCUESTA CONDUCTORES'!AO233="X",1,0)</f>
        <v>1</v>
      </c>
      <c r="AH233" s="15">
        <f>IF('ENCUESTA CONDUCTORES'!AP233="X",1,0)</f>
        <v>0</v>
      </c>
      <c r="AI233" s="15">
        <f>IF('ENCUESTA CONDUCTORES'!AQ233="X",1,0)</f>
        <v>0</v>
      </c>
      <c r="AJ233" s="15">
        <f>IF('ENCUESTA CONDUCTORES'!AR233="X",1,0)</f>
        <v>0</v>
      </c>
      <c r="AK233" s="15">
        <f>+'ENCUESTA CONDUCTORES'!AS233</f>
        <v>0</v>
      </c>
      <c r="AL233" s="15" t="str">
        <f>+'ENCUESTA CONDUCTORES'!AT233</f>
        <v>NO SABE</v>
      </c>
      <c r="AM233" s="1">
        <f>+'ENCUESTA CONDUCTORES'!AU233</f>
        <v>3000</v>
      </c>
      <c r="AN233" s="48">
        <f>+'ENCUESTA CONDUCTORES'!AV233</f>
        <v>0.2</v>
      </c>
      <c r="AO233" s="15">
        <f>+'ENCUESTA CONDUCTORES'!AW233</f>
        <v>2.5</v>
      </c>
      <c r="AP233" s="15">
        <f>+'ENCUESTA CONDUCTORES'!AX233</f>
        <v>2.2000000000000002</v>
      </c>
      <c r="AQ233" s="15">
        <f>+'ENCUESTA CONDUCTORES'!AY233</f>
        <v>2</v>
      </c>
      <c r="AR233" s="15">
        <f>+'ENCUESTA CONDUCTORES'!AZ233</f>
        <v>625</v>
      </c>
      <c r="AS233" s="15">
        <f>+'ENCUESTA CONDUCTORES'!BA233</f>
        <v>1500</v>
      </c>
      <c r="AT233" s="15">
        <f>IF('ENCUESTA CONDUCTORES'!BB233="X",1,0)</f>
        <v>0</v>
      </c>
      <c r="AU233" s="15">
        <f>IF('ENCUESTA CONDUCTORES'!BC233="X",1,0)</f>
        <v>1</v>
      </c>
      <c r="AV233" s="15">
        <f>IF('ENCUESTA CONDUCTORES'!BD233="X",1,0)</f>
        <v>0</v>
      </c>
      <c r="AW233" s="1">
        <f>+'ENCUESTA CONDUCTORES'!BE233</f>
        <v>5000</v>
      </c>
      <c r="AX233" s="1">
        <f>+'ENCUESTA CONDUCTORES'!BF233</f>
        <v>7000</v>
      </c>
      <c r="AY233" s="1">
        <f>+'ENCUESTA CONDUCTORES'!BG233</f>
        <v>12000</v>
      </c>
      <c r="AZ233" s="1">
        <f>+'ENCUESTA CONDUCTORES'!BH233</f>
        <v>72000</v>
      </c>
      <c r="BA233" s="1">
        <f>+'ENCUESTA CONDUCTORES'!BI233</f>
        <v>12000</v>
      </c>
      <c r="BB233" s="15">
        <f>IF('ENCUESTA CONDUCTORES'!BJ233="X",1,0)</f>
        <v>1</v>
      </c>
      <c r="BC233" s="15">
        <f>IF('ENCUESTA CONDUCTORES'!BK233="X",1,0)</f>
        <v>0</v>
      </c>
      <c r="BD233" s="15">
        <f>IF('ENCUESTA CONDUCTORES'!BL233="X",1,0)</f>
        <v>0</v>
      </c>
      <c r="BE233" s="15">
        <f>IF('ENCUESTA CONDUCTORES'!BM233="X",1,0)</f>
        <v>0</v>
      </c>
      <c r="BF233" s="15">
        <f>IF('ENCUESTA CONDUCTORES'!BN233="X",1,0)</f>
        <v>0</v>
      </c>
      <c r="BG233" s="15">
        <f>IF('ENCUESTA CONDUCTORES'!BO233="X",1,0)</f>
        <v>0</v>
      </c>
      <c r="BH233" s="15">
        <f>IF('ENCUESTA CONDUCTORES'!BP233="X",1,0)</f>
        <v>0</v>
      </c>
      <c r="BI233" s="15">
        <f>IF('ENCUESTA CONDUCTORES'!BQ233="X",1,0)</f>
        <v>0</v>
      </c>
      <c r="BJ233" s="15">
        <f>IF('ENCUESTA CONDUCTORES'!BR233="X",1,0)</f>
        <v>0</v>
      </c>
      <c r="BK233" s="15">
        <f>+'ENCUESTA CONDUCTORES'!BS233</f>
        <v>0</v>
      </c>
      <c r="BL233" s="15">
        <f>IF('ENCUESTA CONDUCTORES'!BT233="X",1,0)</f>
        <v>0</v>
      </c>
      <c r="BM233" s="15">
        <f>IF('ENCUESTA CONDUCTORES'!BU233="X",1,0)</f>
        <v>1</v>
      </c>
      <c r="BN233" s="15">
        <f>IF('ENCUESTA CONDUCTORES'!BV233="X",1,0)</f>
        <v>0</v>
      </c>
      <c r="BO233" s="15">
        <f>IF('ENCUESTA CONDUCTORES'!BW233="X",1,0)</f>
        <v>0</v>
      </c>
      <c r="BP233" s="15">
        <f>+'ENCUESTA CONDUCTORES'!BX233</f>
        <v>2</v>
      </c>
      <c r="BQ233" s="15">
        <f>+'ENCUESTA CONDUCTORES'!BY233</f>
        <v>3</v>
      </c>
      <c r="BR233" s="15">
        <f>+'ENCUESTA CONDUCTORES'!BZ233</f>
        <v>1</v>
      </c>
      <c r="BS233" s="15">
        <f>+'ENCUESTA CONDUCTORES'!CA233</f>
        <v>0</v>
      </c>
      <c r="BT233" s="15">
        <f>IF('ENCUESTA CONDUCTORES'!CB233="X",1,0)</f>
        <v>1</v>
      </c>
      <c r="BU233" s="15">
        <f>IF('ENCUESTA CONDUCTORES'!CC233="X",1,0)</f>
        <v>0</v>
      </c>
      <c r="BV233" s="15">
        <f>IF('ENCUESTA CONDUCTORES'!CD233="X",1,0)</f>
        <v>0</v>
      </c>
      <c r="BW233" s="15">
        <f>IF('ENCUESTA CONDUCTORES'!CE233="X",1,0)</f>
        <v>0</v>
      </c>
      <c r="BX233" s="15">
        <f>IF('ENCUESTA CONDUCTORES'!CF233="X",1,0)</f>
        <v>0</v>
      </c>
      <c r="BY233" s="15">
        <f>IF('ENCUESTA CONDUCTORES'!CG233="X",1,0)</f>
        <v>0</v>
      </c>
      <c r="BZ233" s="15">
        <f>IF('ENCUESTA CONDUCTORES'!CH233="X",1,0)</f>
        <v>0</v>
      </c>
      <c r="CA233" s="15">
        <f>IF('ENCUESTA CONDUCTORES'!CI233="X",1,0)</f>
        <v>0</v>
      </c>
      <c r="CB233" s="15">
        <f>IF('ENCUESTA CONDUCTORES'!CJ233="X",1,0)</f>
        <v>0</v>
      </c>
      <c r="CC233" s="15">
        <f>IF('ENCUESTA CONDUCTORES'!CK233="X",1,0)</f>
        <v>0</v>
      </c>
      <c r="CD233" s="15">
        <f>IF('ENCUESTA CONDUCTORES'!CL233="X",1,0)</f>
        <v>1</v>
      </c>
      <c r="CE233" s="15">
        <f>IF('ENCUESTA CONDUCTORES'!CM233="X",1,0)</f>
        <v>1</v>
      </c>
      <c r="CF233" s="15" t="str">
        <f>+'ENCUESTA CONDUCTORES'!CN233</f>
        <v>NO HAY TIEMPO</v>
      </c>
      <c r="CG233" s="15">
        <f>IF('ENCUESTA CONDUCTORES'!CO233="X",1,0)</f>
        <v>0</v>
      </c>
      <c r="CH233" s="15" t="str">
        <f>+'ENCUESTA CONDUCTORES'!CP233</f>
        <v>ES BUENO</v>
      </c>
      <c r="CI233" s="15" t="str">
        <f>+'ENCUESTA CONDUCTORES'!CQ233</f>
        <v>QUE EL PATRON LO PONGA EN LA EMPRESA</v>
      </c>
      <c r="CJ233" s="15">
        <f>IF('ENCUESTA CONDUCTORES'!CR233="X",1,0)</f>
        <v>1</v>
      </c>
      <c r="CK233" s="15">
        <f>IF('ENCUESTA CONDUCTORES'!CS233="X",1,0)</f>
        <v>0</v>
      </c>
      <c r="CL233" s="15">
        <f>IF('ENCUESTA CONDUCTORES'!CT233="X",1,0)</f>
        <v>0</v>
      </c>
      <c r="CM233" s="15">
        <f>+'ENCUESTA CONDUCTORES'!CU233</f>
        <v>0</v>
      </c>
      <c r="CN233" s="15">
        <f>IF('ENCUESTA CONDUCTORES'!CV233="X",1,0)</f>
        <v>0</v>
      </c>
      <c r="CO233" s="15">
        <f>+'ENCUESTA CONDUCTORES'!CW233</f>
        <v>0</v>
      </c>
      <c r="CP233" s="15">
        <f>IF('ENCUESTA CONDUCTORES'!CX233="X",1,0)</f>
        <v>1</v>
      </c>
      <c r="CQ233" s="15">
        <f>IF('ENCUESTA CONDUCTORES'!CY233="X",1,0)</f>
        <v>1</v>
      </c>
      <c r="CR233" s="3">
        <f>+'ENCUESTA CONDUCTORES'!CZ233</f>
        <v>0</v>
      </c>
      <c r="CS233" s="49">
        <f>+'ENCUESTA CONDUCTORES'!DA233</f>
        <v>0</v>
      </c>
    </row>
    <row r="234" spans="2:97" x14ac:dyDescent="0.25">
      <c r="B234" s="14" t="str">
        <f>+'ENCUESTA CONDUCTORES'!D234</f>
        <v>C-245</v>
      </c>
      <c r="C234" s="15">
        <f>IF('ENCUESTA CONDUCTORES'!E234="X",1,0)</f>
        <v>0</v>
      </c>
      <c r="D234" s="15">
        <f>IF('ENCUESTA CONDUCTORES'!F234="X",1,0)</f>
        <v>0</v>
      </c>
      <c r="E234" s="15">
        <f>IF('ENCUESTA CONDUCTORES'!G234="X",1,0)</f>
        <v>0</v>
      </c>
      <c r="F234" s="15">
        <f>IF('ENCUESTA CONDUCTORES'!H234="X",1,0)</f>
        <v>1</v>
      </c>
      <c r="G234" s="15">
        <f>+'ENCUESTA CONDUCTORES'!I234</f>
        <v>26</v>
      </c>
      <c r="H234" s="15" t="str">
        <f>+'ENCUESTA CONDUCTORES'!J234</f>
        <v>M</v>
      </c>
      <c r="I234" s="15" t="str">
        <f>+'ENCUESTA CONDUCTORES'!K234</f>
        <v>PREPARATORIA</v>
      </c>
      <c r="J234" s="15" t="str">
        <f>+'ENCUESTA CONDUCTORES'!L234</f>
        <v>MAGDALENA CONTRERAS, D.F.</v>
      </c>
      <c r="K234" s="15" t="str">
        <f>+'ENCUESTA CONDUCTORES'!M234</f>
        <v>MAGDALENA CONTRERAS</v>
      </c>
      <c r="L234" s="15" t="str">
        <f>+'ENCUESTA CONDUCTORES'!N234</f>
        <v>D.F.</v>
      </c>
      <c r="M234" s="15">
        <f>+'ENCUESTA CONDUCTORES'!O234</f>
        <v>8</v>
      </c>
      <c r="N234" s="15">
        <f>IF('ENCUESTA CONDUCTORES'!P234="X",1,0)</f>
        <v>0</v>
      </c>
      <c r="O234" s="15">
        <f>IF('ENCUESTA CONDUCTORES'!Q234="X",1,0)</f>
        <v>1</v>
      </c>
      <c r="P234" s="15">
        <f>IF('ENCUESTA CONDUCTORES'!R234="X",1,0)</f>
        <v>0</v>
      </c>
      <c r="Q234" s="15">
        <f>IF('ENCUESTA CONDUCTORES'!S234="X",1,0)</f>
        <v>0</v>
      </c>
      <c r="R234" s="15">
        <f>IF('ENCUESTA CONDUCTORES'!T234="X",1,0)</f>
        <v>0</v>
      </c>
      <c r="S234" s="15">
        <f>IF('ENCUESTA CONDUCTORES'!U234="X",1,0)</f>
        <v>0</v>
      </c>
      <c r="T234" s="15">
        <f>IF('ENCUESTA CONDUCTORES'!V234="X",1,0)</f>
        <v>0</v>
      </c>
      <c r="U234" s="15">
        <f>IF('ENCUESTA CONDUCTORES'!W234="X",1,0)</f>
        <v>0</v>
      </c>
      <c r="V234" s="15">
        <f>IF('ENCUESTA CONDUCTORES'!X234="X",1,0)</f>
        <v>0</v>
      </c>
      <c r="W234" s="15">
        <f>IF('ENCUESTA CONDUCTORES'!Y234="X",1,0)</f>
        <v>1</v>
      </c>
      <c r="X234" s="15">
        <f>IF('ENCUESTA CONDUCTORES'!Z234="X",1,0)</f>
        <v>0</v>
      </c>
      <c r="Y234" s="15">
        <f>+'ENCUESTA CONDUCTORES'!AG234</f>
        <v>0</v>
      </c>
      <c r="Z234" s="15">
        <f>+'ENCUESTA CONDUCTORES'!AH234</f>
        <v>1979</v>
      </c>
      <c r="AA234" s="1">
        <f>+'ENCUESTA CONDUCTORES'!AI234</f>
        <v>852500</v>
      </c>
      <c r="AB234" s="15">
        <f>IF('ENCUESTA CONDUCTORES'!AJ234="X",1,0)</f>
        <v>0</v>
      </c>
      <c r="AC234" s="15">
        <f>IF('ENCUESTA CONDUCTORES'!AK234="X",1,0)</f>
        <v>0</v>
      </c>
      <c r="AD234" s="15">
        <f>IF('ENCUESTA CONDUCTORES'!AL234="X",1,0)</f>
        <v>1</v>
      </c>
      <c r="AE234" s="15">
        <f>IF('ENCUESTA CONDUCTORES'!AM234="X",1,0)</f>
        <v>0</v>
      </c>
      <c r="AF234" s="15">
        <f>IF('ENCUESTA CONDUCTORES'!AN234="X",1,0)</f>
        <v>0</v>
      </c>
      <c r="AG234" s="15">
        <f>IF('ENCUESTA CONDUCTORES'!AO234="X",1,0)</f>
        <v>1</v>
      </c>
      <c r="AH234" s="15">
        <f>IF('ENCUESTA CONDUCTORES'!AP234="X",1,0)</f>
        <v>0</v>
      </c>
      <c r="AI234" s="15">
        <f>IF('ENCUESTA CONDUCTORES'!AQ234="X",1,0)</f>
        <v>0</v>
      </c>
      <c r="AJ234" s="15">
        <f>IF('ENCUESTA CONDUCTORES'!AR234="X",1,0)</f>
        <v>0</v>
      </c>
      <c r="AK234" s="15">
        <f>+'ENCUESTA CONDUCTORES'!AS234</f>
        <v>0</v>
      </c>
      <c r="AL234" s="15" t="str">
        <f>+'ENCUESTA CONDUCTORES'!AT234</f>
        <v>CUMMINS</v>
      </c>
      <c r="AM234" s="1">
        <f>+'ENCUESTA CONDUCTORES'!AU234</f>
        <v>1500</v>
      </c>
      <c r="AN234" s="48">
        <f>+'ENCUESTA CONDUCTORES'!AV234</f>
        <v>0.1</v>
      </c>
      <c r="AO234" s="15">
        <f>+'ENCUESTA CONDUCTORES'!AW234</f>
        <v>2.8</v>
      </c>
      <c r="AP234" s="15">
        <f>+'ENCUESTA CONDUCTORES'!AX234</f>
        <v>2.5</v>
      </c>
      <c r="AQ234" s="15">
        <f>+'ENCUESTA CONDUCTORES'!AY234</f>
        <v>2</v>
      </c>
      <c r="AR234" s="15">
        <f>+'ENCUESTA CONDUCTORES'!AZ234</f>
        <v>740</v>
      </c>
      <c r="AS234" s="15">
        <f>+'ENCUESTA CONDUCTORES'!BA234</f>
        <v>2000</v>
      </c>
      <c r="AT234" s="15">
        <f>IF('ENCUESTA CONDUCTORES'!BB234="X",1,0)</f>
        <v>0</v>
      </c>
      <c r="AU234" s="15">
        <f>IF('ENCUESTA CONDUCTORES'!BC234="X",1,0)</f>
        <v>0</v>
      </c>
      <c r="AV234" s="15">
        <f>IF('ENCUESTA CONDUCTORES'!BD234="X",1,0)</f>
        <v>0</v>
      </c>
      <c r="AW234" s="1">
        <f>+'ENCUESTA CONDUCTORES'!BE234</f>
        <v>9000</v>
      </c>
      <c r="AX234" s="1">
        <f>+'ENCUESTA CONDUCTORES'!BF234</f>
        <v>6000</v>
      </c>
      <c r="AY234" s="1">
        <f>+'ENCUESTA CONDUCTORES'!BG234</f>
        <v>18000</v>
      </c>
      <c r="AZ234" s="1">
        <f>+'ENCUESTA CONDUCTORES'!BH234</f>
        <v>45000</v>
      </c>
      <c r="BA234" s="1">
        <f>+'ENCUESTA CONDUCTORES'!BI234</f>
        <v>18000</v>
      </c>
      <c r="BB234" s="15">
        <f>IF('ENCUESTA CONDUCTORES'!BJ234="X",1,0)</f>
        <v>0</v>
      </c>
      <c r="BC234" s="15">
        <f>IF('ENCUESTA CONDUCTORES'!BK234="X",1,0)</f>
        <v>0</v>
      </c>
      <c r="BD234" s="15">
        <f>IF('ENCUESTA CONDUCTORES'!BL234="X",1,0)</f>
        <v>0</v>
      </c>
      <c r="BE234" s="15">
        <f>IF('ENCUESTA CONDUCTORES'!BM234="X",1,0)</f>
        <v>0</v>
      </c>
      <c r="BF234" s="15">
        <f>IF('ENCUESTA CONDUCTORES'!BN234="X",1,0)</f>
        <v>0</v>
      </c>
      <c r="BG234" s="15">
        <f>IF('ENCUESTA CONDUCTORES'!BO234="X",1,0)</f>
        <v>0</v>
      </c>
      <c r="BH234" s="15">
        <f>IF('ENCUESTA CONDUCTORES'!BP234="X",1,0)</f>
        <v>0</v>
      </c>
      <c r="BI234" s="15">
        <f>IF('ENCUESTA CONDUCTORES'!BQ234="X",1,0)</f>
        <v>0</v>
      </c>
      <c r="BJ234" s="15">
        <f>IF('ENCUESTA CONDUCTORES'!BR234="X",1,0)</f>
        <v>0</v>
      </c>
      <c r="BK234" s="15" t="str">
        <f>+'ENCUESTA CONDUCTORES'!BS234</f>
        <v>AGUA</v>
      </c>
      <c r="BL234" s="15">
        <f>IF('ENCUESTA CONDUCTORES'!BT234="X",1,0)</f>
        <v>0</v>
      </c>
      <c r="BM234" s="15">
        <f>IF('ENCUESTA CONDUCTORES'!BU234="X",1,0)</f>
        <v>0</v>
      </c>
      <c r="BN234" s="15">
        <f>IF('ENCUESTA CONDUCTORES'!BV234="X",1,0)</f>
        <v>1</v>
      </c>
      <c r="BO234" s="15">
        <f>IF('ENCUESTA CONDUCTORES'!BW234="X",1,0)</f>
        <v>0</v>
      </c>
      <c r="BP234" s="15">
        <f>+'ENCUESTA CONDUCTORES'!BX234</f>
        <v>1</v>
      </c>
      <c r="BQ234" s="15">
        <f>+'ENCUESTA CONDUCTORES'!BY234</f>
        <v>3</v>
      </c>
      <c r="BR234" s="15">
        <f>+'ENCUESTA CONDUCTORES'!BZ234</f>
        <v>2</v>
      </c>
      <c r="BS234" s="15">
        <f>+'ENCUESTA CONDUCTORES'!CA234</f>
        <v>0</v>
      </c>
      <c r="BT234" s="15">
        <f>IF('ENCUESTA CONDUCTORES'!CB234="X",1,0)</f>
        <v>1</v>
      </c>
      <c r="BU234" s="15">
        <f>IF('ENCUESTA CONDUCTORES'!CC234="X",1,0)</f>
        <v>0</v>
      </c>
      <c r="BV234" s="15">
        <f>IF('ENCUESTA CONDUCTORES'!CD234="X",1,0)</f>
        <v>0</v>
      </c>
      <c r="BW234" s="15">
        <f>IF('ENCUESTA CONDUCTORES'!CE234="X",1,0)</f>
        <v>0</v>
      </c>
      <c r="BX234" s="15">
        <f>IF('ENCUESTA CONDUCTORES'!CF234="X",1,0)</f>
        <v>0</v>
      </c>
      <c r="BY234" s="15">
        <f>IF('ENCUESTA CONDUCTORES'!CG234="X",1,0)</f>
        <v>0</v>
      </c>
      <c r="BZ234" s="15">
        <f>IF('ENCUESTA CONDUCTORES'!CH234="X",1,0)</f>
        <v>0</v>
      </c>
      <c r="CA234" s="15">
        <f>IF('ENCUESTA CONDUCTORES'!CI234="X",1,0)</f>
        <v>0</v>
      </c>
      <c r="CB234" s="15">
        <f>IF('ENCUESTA CONDUCTORES'!CJ234="X",1,0)</f>
        <v>0</v>
      </c>
      <c r="CC234" s="15">
        <f>IF('ENCUESTA CONDUCTORES'!CK234="X",1,0)</f>
        <v>1</v>
      </c>
      <c r="CD234" s="15">
        <f>IF('ENCUESTA CONDUCTORES'!CL234="X",1,0)</f>
        <v>0</v>
      </c>
      <c r="CE234" s="15">
        <f>IF('ENCUESTA CONDUCTORES'!CM234="X",1,0)</f>
        <v>0</v>
      </c>
      <c r="CF234" s="15">
        <f>+'ENCUESTA CONDUCTORES'!CN234</f>
        <v>0</v>
      </c>
      <c r="CG234" s="15">
        <f>IF('ENCUESTA CONDUCTORES'!CO234="X",1,0)</f>
        <v>0</v>
      </c>
      <c r="CH234" s="15" t="str">
        <f>+'ENCUESTA CONDUCTORES'!CP234</f>
        <v>NO SABE</v>
      </c>
      <c r="CI234" s="15" t="str">
        <f>+'ENCUESTA CONDUCTORES'!CQ234</f>
        <v>MAYOR INFORMACION</v>
      </c>
      <c r="CJ234" s="15">
        <f>IF('ENCUESTA CONDUCTORES'!CR234="X",1,0)</f>
        <v>1</v>
      </c>
      <c r="CK234" s="15">
        <f>IF('ENCUESTA CONDUCTORES'!CS234="X",1,0)</f>
        <v>0</v>
      </c>
      <c r="CL234" s="15">
        <f>IF('ENCUESTA CONDUCTORES'!CT234="X",1,0)</f>
        <v>0</v>
      </c>
      <c r="CM234" s="15">
        <f>+'ENCUESTA CONDUCTORES'!CU234</f>
        <v>0</v>
      </c>
      <c r="CN234" s="15">
        <f>IF('ENCUESTA CONDUCTORES'!CV234="X",1,0)</f>
        <v>0</v>
      </c>
      <c r="CO234" s="15">
        <f>+'ENCUESTA CONDUCTORES'!CW234</f>
        <v>0</v>
      </c>
      <c r="CP234" s="15">
        <f>IF('ENCUESTA CONDUCTORES'!CX234="X",1,0)</f>
        <v>0</v>
      </c>
      <c r="CQ234" s="15">
        <f>IF('ENCUESTA CONDUCTORES'!CY234="X",1,0)</f>
        <v>1</v>
      </c>
      <c r="CR234" s="3">
        <f>+'ENCUESTA CONDUCTORES'!CZ234</f>
        <v>0</v>
      </c>
      <c r="CS234" s="49">
        <f>+'ENCUESTA CONDUCTORES'!DA234</f>
        <v>0</v>
      </c>
    </row>
    <row r="235" spans="2:97" x14ac:dyDescent="0.25">
      <c r="B235" s="14" t="str">
        <f>+'ENCUESTA CONDUCTORES'!D235</f>
        <v>C-246</v>
      </c>
      <c r="C235" s="15">
        <f>IF('ENCUESTA CONDUCTORES'!E235="X",1,0)</f>
        <v>0</v>
      </c>
      <c r="D235" s="15">
        <f>IF('ENCUESTA CONDUCTORES'!F235="X",1,0)</f>
        <v>0</v>
      </c>
      <c r="E235" s="15">
        <f>IF('ENCUESTA CONDUCTORES'!G235="X",1,0)</f>
        <v>1</v>
      </c>
      <c r="F235" s="15">
        <f>IF('ENCUESTA CONDUCTORES'!H235="X",1,0)</f>
        <v>0</v>
      </c>
      <c r="G235" s="15">
        <f>+'ENCUESTA CONDUCTORES'!I235</f>
        <v>37</v>
      </c>
      <c r="H235" s="15" t="str">
        <f>+'ENCUESTA CONDUCTORES'!J235</f>
        <v>M</v>
      </c>
      <c r="I235" s="15" t="str">
        <f>+'ENCUESTA CONDUCTORES'!K235</f>
        <v>SECUNDARIA</v>
      </c>
      <c r="J235" s="15" t="str">
        <f>+'ENCUESTA CONDUCTORES'!L235</f>
        <v>TLALPAN, D.F.</v>
      </c>
      <c r="K235" s="15" t="str">
        <f>+'ENCUESTA CONDUCTORES'!M235</f>
        <v>TLALPAN</v>
      </c>
      <c r="L235" s="15" t="str">
        <f>+'ENCUESTA CONDUCTORES'!N235</f>
        <v>D.F.</v>
      </c>
      <c r="M235" s="15">
        <f>+'ENCUESTA CONDUCTORES'!O235</f>
        <v>9</v>
      </c>
      <c r="N235" s="15">
        <f>IF('ENCUESTA CONDUCTORES'!P235="X",1,0)</f>
        <v>1</v>
      </c>
      <c r="O235" s="15">
        <f>IF('ENCUESTA CONDUCTORES'!Q235="X",1,0)</f>
        <v>0</v>
      </c>
      <c r="P235" s="15">
        <f>IF('ENCUESTA CONDUCTORES'!R235="X",1,0)</f>
        <v>0</v>
      </c>
      <c r="Q235" s="15">
        <f>IF('ENCUESTA CONDUCTORES'!S235="X",1,0)</f>
        <v>0</v>
      </c>
      <c r="R235" s="15">
        <f>IF('ENCUESTA CONDUCTORES'!T235="X",1,0)</f>
        <v>0</v>
      </c>
      <c r="S235" s="15">
        <f>IF('ENCUESTA CONDUCTORES'!U235="X",1,0)</f>
        <v>0</v>
      </c>
      <c r="T235" s="15">
        <f>IF('ENCUESTA CONDUCTORES'!V235="X",1,0)</f>
        <v>0</v>
      </c>
      <c r="U235" s="15">
        <f>IF('ENCUESTA CONDUCTORES'!W235="X",1,0)</f>
        <v>0</v>
      </c>
      <c r="V235" s="15">
        <f>IF('ENCUESTA CONDUCTORES'!X235="X",1,0)</f>
        <v>1</v>
      </c>
      <c r="W235" s="15">
        <f>IF('ENCUESTA CONDUCTORES'!Y235="X",1,0)</f>
        <v>0</v>
      </c>
      <c r="X235" s="15">
        <f>IF('ENCUESTA CONDUCTORES'!Z235="X",1,0)</f>
        <v>0</v>
      </c>
      <c r="Y235" s="15">
        <f>+'ENCUESTA CONDUCTORES'!AG235</f>
        <v>0</v>
      </c>
      <c r="Z235" s="15">
        <f>+'ENCUESTA CONDUCTORES'!AH235</f>
        <v>2008</v>
      </c>
      <c r="AA235" s="1">
        <f>+'ENCUESTA CONDUCTORES'!AI235</f>
        <v>300000</v>
      </c>
      <c r="AB235" s="15">
        <f>IF('ENCUESTA CONDUCTORES'!AJ235="X",1,0)</f>
        <v>0</v>
      </c>
      <c r="AC235" s="15">
        <f>IF('ENCUESTA CONDUCTORES'!AK235="X",1,0)</f>
        <v>0</v>
      </c>
      <c r="AD235" s="15">
        <f>IF('ENCUESTA CONDUCTORES'!AL235="X",1,0)</f>
        <v>1</v>
      </c>
      <c r="AE235" s="15">
        <f>IF('ENCUESTA CONDUCTORES'!AM235="X",1,0)</f>
        <v>0</v>
      </c>
      <c r="AF235" s="15">
        <f>IF('ENCUESTA CONDUCTORES'!AN235="X",1,0)</f>
        <v>0</v>
      </c>
      <c r="AG235" s="15">
        <f>IF('ENCUESTA CONDUCTORES'!AO235="X",1,0)</f>
        <v>0</v>
      </c>
      <c r="AH235" s="15">
        <f>IF('ENCUESTA CONDUCTORES'!AP235="X",1,0)</f>
        <v>1</v>
      </c>
      <c r="AI235" s="15">
        <f>IF('ENCUESTA CONDUCTORES'!AQ235="X",1,0)</f>
        <v>0</v>
      </c>
      <c r="AJ235" s="15">
        <f>IF('ENCUESTA CONDUCTORES'!AR235="X",1,0)</f>
        <v>0</v>
      </c>
      <c r="AK235" s="15">
        <f>+'ENCUESTA CONDUCTORES'!AS235</f>
        <v>0</v>
      </c>
      <c r="AL235" s="15" t="str">
        <f>+'ENCUESTA CONDUCTORES'!AT235</f>
        <v>CUMMINS</v>
      </c>
      <c r="AM235" s="1">
        <f>+'ENCUESTA CONDUCTORES'!AU235</f>
        <v>4000</v>
      </c>
      <c r="AN235" s="48">
        <f>+'ENCUESTA CONDUCTORES'!AV235</f>
        <v>0.3</v>
      </c>
      <c r="AO235" s="15">
        <f>+'ENCUESTA CONDUCTORES'!AW235</f>
        <v>2.8</v>
      </c>
      <c r="AP235" s="15">
        <f>+'ENCUESTA CONDUCTORES'!AX235</f>
        <v>2.5</v>
      </c>
      <c r="AQ235" s="15">
        <f>+'ENCUESTA CONDUCTORES'!AY235</f>
        <v>2</v>
      </c>
      <c r="AR235" s="15">
        <f>+'ENCUESTA CONDUCTORES'!AZ235</f>
        <v>740</v>
      </c>
      <c r="AS235" s="15">
        <f>+'ENCUESTA CONDUCTORES'!BA235</f>
        <v>2000</v>
      </c>
      <c r="AT235" s="15">
        <f>IF('ENCUESTA CONDUCTORES'!BB235="X",1,0)</f>
        <v>0</v>
      </c>
      <c r="AU235" s="15">
        <f>IF('ENCUESTA CONDUCTORES'!BC235="X",1,0)</f>
        <v>1</v>
      </c>
      <c r="AV235" s="15">
        <f>IF('ENCUESTA CONDUCTORES'!BD235="X",1,0)</f>
        <v>0</v>
      </c>
      <c r="AW235" s="1">
        <f>+'ENCUESTA CONDUCTORES'!BE235</f>
        <v>25000</v>
      </c>
      <c r="AX235" s="1">
        <f>+'ENCUESTA CONDUCTORES'!BF235</f>
        <v>18000</v>
      </c>
      <c r="AY235" s="1">
        <f>+'ENCUESTA CONDUCTORES'!BG235</f>
        <v>30000</v>
      </c>
      <c r="AZ235" s="1">
        <f>+'ENCUESTA CONDUCTORES'!BH235</f>
        <v>90000</v>
      </c>
      <c r="BA235" s="1">
        <f>+'ENCUESTA CONDUCTORES'!BI235</f>
        <v>30000</v>
      </c>
      <c r="BB235" s="15">
        <f>IF('ENCUESTA CONDUCTORES'!BJ235="X",1,0)</f>
        <v>0</v>
      </c>
      <c r="BC235" s="15">
        <f>IF('ENCUESTA CONDUCTORES'!BK235="X",1,0)</f>
        <v>0</v>
      </c>
      <c r="BD235" s="15">
        <f>IF('ENCUESTA CONDUCTORES'!BL235="X",1,0)</f>
        <v>0</v>
      </c>
      <c r="BE235" s="15">
        <f>IF('ENCUESTA CONDUCTORES'!BM235="X",1,0)</f>
        <v>0</v>
      </c>
      <c r="BF235" s="15">
        <f>IF('ENCUESTA CONDUCTORES'!BN235="X",1,0)</f>
        <v>0</v>
      </c>
      <c r="BG235" s="15">
        <f>IF('ENCUESTA CONDUCTORES'!BO235="X",1,0)</f>
        <v>0</v>
      </c>
      <c r="BH235" s="15">
        <f>IF('ENCUESTA CONDUCTORES'!BP235="X",1,0)</f>
        <v>0</v>
      </c>
      <c r="BI235" s="15">
        <f>IF('ENCUESTA CONDUCTORES'!BQ235="X",1,0)</f>
        <v>1</v>
      </c>
      <c r="BJ235" s="15">
        <f>IF('ENCUESTA CONDUCTORES'!BR235="X",1,0)</f>
        <v>0</v>
      </c>
      <c r="BK235" s="15">
        <f>+'ENCUESTA CONDUCTORES'!BS235</f>
        <v>0</v>
      </c>
      <c r="BL235" s="15">
        <f>IF('ENCUESTA CONDUCTORES'!BT235="X",1,0)</f>
        <v>0</v>
      </c>
      <c r="BM235" s="15">
        <f>IF('ENCUESTA CONDUCTORES'!BU235="X",1,0)</f>
        <v>0</v>
      </c>
      <c r="BN235" s="15">
        <f>IF('ENCUESTA CONDUCTORES'!BV235="X",1,0)</f>
        <v>1</v>
      </c>
      <c r="BO235" s="15">
        <f>IF('ENCUESTA CONDUCTORES'!BW235="X",1,0)</f>
        <v>0</v>
      </c>
      <c r="BP235" s="15">
        <f>+'ENCUESTA CONDUCTORES'!BX235</f>
        <v>1</v>
      </c>
      <c r="BQ235" s="15">
        <f>+'ENCUESTA CONDUCTORES'!BY235</f>
        <v>3</v>
      </c>
      <c r="BR235" s="15">
        <f>+'ENCUESTA CONDUCTORES'!BZ235</f>
        <v>2</v>
      </c>
      <c r="BS235" s="15">
        <f>+'ENCUESTA CONDUCTORES'!CA235</f>
        <v>0</v>
      </c>
      <c r="BT235" s="15">
        <f>IF('ENCUESTA CONDUCTORES'!CB235="X",1,0)</f>
        <v>1</v>
      </c>
      <c r="BU235" s="15">
        <f>IF('ENCUESTA CONDUCTORES'!CC235="X",1,0)</f>
        <v>0</v>
      </c>
      <c r="BV235" s="15">
        <f>IF('ENCUESTA CONDUCTORES'!CD235="X",1,0)</f>
        <v>0</v>
      </c>
      <c r="BW235" s="15">
        <f>IF('ENCUESTA CONDUCTORES'!CE235="X",1,0)</f>
        <v>0</v>
      </c>
      <c r="BX235" s="15">
        <f>IF('ENCUESTA CONDUCTORES'!CF235="X",1,0)</f>
        <v>0</v>
      </c>
      <c r="BY235" s="15">
        <f>IF('ENCUESTA CONDUCTORES'!CG235="X",1,0)</f>
        <v>0</v>
      </c>
      <c r="BZ235" s="15">
        <f>IF('ENCUESTA CONDUCTORES'!CH235="X",1,0)</f>
        <v>0</v>
      </c>
      <c r="CA235" s="15">
        <f>IF('ENCUESTA CONDUCTORES'!CI235="X",1,0)</f>
        <v>0</v>
      </c>
      <c r="CB235" s="15">
        <f>IF('ENCUESTA CONDUCTORES'!CJ235="X",1,0)</f>
        <v>0</v>
      </c>
      <c r="CC235" s="15">
        <f>IF('ENCUESTA CONDUCTORES'!CK235="X",1,0)</f>
        <v>1</v>
      </c>
      <c r="CD235" s="15">
        <f>IF('ENCUESTA CONDUCTORES'!CL235="X",1,0)</f>
        <v>0</v>
      </c>
      <c r="CE235" s="15">
        <f>IF('ENCUESTA CONDUCTORES'!CM235="X",1,0)</f>
        <v>0</v>
      </c>
      <c r="CF235" s="15">
        <f>+'ENCUESTA CONDUCTORES'!CN235</f>
        <v>0</v>
      </c>
      <c r="CG235" s="15">
        <f>IF('ENCUESTA CONDUCTORES'!CO235="X",1,0)</f>
        <v>0</v>
      </c>
      <c r="CH235" s="15" t="str">
        <f>+'ENCUESTA CONDUCTORES'!CP235</f>
        <v>NO SABE</v>
      </c>
      <c r="CI235" s="15" t="str">
        <f>+'ENCUESTA CONDUCTORES'!CQ235</f>
        <v>MAYOR INFORMACION</v>
      </c>
      <c r="CJ235" s="15">
        <f>IF('ENCUESTA CONDUCTORES'!CR235="X",1,0)</f>
        <v>1</v>
      </c>
      <c r="CK235" s="15">
        <f>IF('ENCUESTA CONDUCTORES'!CS235="X",1,0)</f>
        <v>0</v>
      </c>
      <c r="CL235" s="15">
        <f>IF('ENCUESTA CONDUCTORES'!CT235="X",1,0)</f>
        <v>0</v>
      </c>
      <c r="CM235" s="15">
        <f>+'ENCUESTA CONDUCTORES'!CU235</f>
        <v>0</v>
      </c>
      <c r="CN235" s="15">
        <f>IF('ENCUESTA CONDUCTORES'!CV235="X",1,0)</f>
        <v>0</v>
      </c>
      <c r="CO235" s="15">
        <f>+'ENCUESTA CONDUCTORES'!CW235</f>
        <v>0</v>
      </c>
      <c r="CP235" s="15">
        <f>IF('ENCUESTA CONDUCTORES'!CX235="X",1,0)</f>
        <v>0</v>
      </c>
      <c r="CQ235" s="15">
        <f>IF('ENCUESTA CONDUCTORES'!CY235="X",1,0)</f>
        <v>1</v>
      </c>
      <c r="CR235" s="3">
        <f>+'ENCUESTA CONDUCTORES'!CZ235</f>
        <v>0</v>
      </c>
      <c r="CS235" s="49">
        <f>+'ENCUESTA CONDUCTORES'!DA235</f>
        <v>0</v>
      </c>
    </row>
    <row r="236" spans="2:97" x14ac:dyDescent="0.25">
      <c r="B236" s="14" t="str">
        <f>+'ENCUESTA CONDUCTORES'!D236</f>
        <v>C-247</v>
      </c>
      <c r="C236" s="15">
        <f>IF('ENCUESTA CONDUCTORES'!E236="X",1,0)</f>
        <v>1</v>
      </c>
      <c r="D236" s="15">
        <f>IF('ENCUESTA CONDUCTORES'!F236="X",1,0)</f>
        <v>0</v>
      </c>
      <c r="E236" s="15">
        <f>IF('ENCUESTA CONDUCTORES'!G236="X",1,0)</f>
        <v>0</v>
      </c>
      <c r="F236" s="15">
        <f>IF('ENCUESTA CONDUCTORES'!H236="X",1,0)</f>
        <v>0</v>
      </c>
      <c r="G236" s="15">
        <f>+'ENCUESTA CONDUCTORES'!I236</f>
        <v>20</v>
      </c>
      <c r="H236" s="15" t="str">
        <f>+'ENCUESTA CONDUCTORES'!J236</f>
        <v>M</v>
      </c>
      <c r="I236" s="15" t="str">
        <f>+'ENCUESTA CONDUCTORES'!K236</f>
        <v>BACHILLERATO</v>
      </c>
      <c r="J236" s="15" t="str">
        <f>+'ENCUESTA CONDUCTORES'!L236</f>
        <v>IZTAPALAPA, D.F.</v>
      </c>
      <c r="K236" s="15" t="str">
        <f>+'ENCUESTA CONDUCTORES'!M236</f>
        <v>IZTAPALAPA</v>
      </c>
      <c r="L236" s="15" t="str">
        <f>+'ENCUESTA CONDUCTORES'!N236</f>
        <v>D.F.</v>
      </c>
      <c r="M236" s="15">
        <f>+'ENCUESTA CONDUCTORES'!O236</f>
        <v>1</v>
      </c>
      <c r="N236" s="15">
        <f>IF('ENCUESTA CONDUCTORES'!P236="X",1,0)</f>
        <v>1</v>
      </c>
      <c r="O236" s="15">
        <f>IF('ENCUESTA CONDUCTORES'!Q236="X",1,0)</f>
        <v>0</v>
      </c>
      <c r="P236" s="15">
        <f>IF('ENCUESTA CONDUCTORES'!R236="X",1,0)</f>
        <v>0</v>
      </c>
      <c r="Q236" s="15">
        <f>IF('ENCUESTA CONDUCTORES'!S236="X",1,0)</f>
        <v>0</v>
      </c>
      <c r="R236" s="15">
        <f>IF('ENCUESTA CONDUCTORES'!T236="X",1,0)</f>
        <v>0</v>
      </c>
      <c r="S236" s="15">
        <f>IF('ENCUESTA CONDUCTORES'!U236="X",1,0)</f>
        <v>0</v>
      </c>
      <c r="T236" s="15">
        <f>IF('ENCUESTA CONDUCTORES'!V236="X",1,0)</f>
        <v>0</v>
      </c>
      <c r="U236" s="15">
        <f>IF('ENCUESTA CONDUCTORES'!W236="X",1,0)</f>
        <v>0</v>
      </c>
      <c r="V236" s="15">
        <f>IF('ENCUESTA CONDUCTORES'!X236="X",1,0)</f>
        <v>0</v>
      </c>
      <c r="W236" s="15">
        <f>IF('ENCUESTA CONDUCTORES'!Y236="X",1,0)</f>
        <v>1</v>
      </c>
      <c r="X236" s="15">
        <f>IF('ENCUESTA CONDUCTORES'!Z236="X",1,0)</f>
        <v>0</v>
      </c>
      <c r="Y236" s="15">
        <f>+'ENCUESTA CONDUCTORES'!AG236</f>
        <v>0</v>
      </c>
      <c r="Z236" s="15">
        <f>+'ENCUESTA CONDUCTORES'!AH236</f>
        <v>2000</v>
      </c>
      <c r="AA236" s="1">
        <f>+'ENCUESTA CONDUCTORES'!AI236</f>
        <v>700000</v>
      </c>
      <c r="AB236" s="15">
        <f>IF('ENCUESTA CONDUCTORES'!AJ236="X",1,0)</f>
        <v>0</v>
      </c>
      <c r="AC236" s="15">
        <f>IF('ENCUESTA CONDUCTORES'!AK236="X",1,0)</f>
        <v>0</v>
      </c>
      <c r="AD236" s="15">
        <f>IF('ENCUESTA CONDUCTORES'!AL236="X",1,0)</f>
        <v>1</v>
      </c>
      <c r="AE236" s="15">
        <f>IF('ENCUESTA CONDUCTORES'!AM236="X",1,0)</f>
        <v>0</v>
      </c>
      <c r="AF236" s="15">
        <f>IF('ENCUESTA CONDUCTORES'!AN236="X",1,0)</f>
        <v>0</v>
      </c>
      <c r="AG236" s="15">
        <f>IF('ENCUESTA CONDUCTORES'!AO236="X",1,0)</f>
        <v>0</v>
      </c>
      <c r="AH236" s="15">
        <f>IF('ENCUESTA CONDUCTORES'!AP236="X",1,0)</f>
        <v>1</v>
      </c>
      <c r="AI236" s="15">
        <f>IF('ENCUESTA CONDUCTORES'!AQ236="X",1,0)</f>
        <v>0</v>
      </c>
      <c r="AJ236" s="15">
        <f>IF('ENCUESTA CONDUCTORES'!AR236="X",1,0)</f>
        <v>0</v>
      </c>
      <c r="AK236" s="15">
        <f>+'ENCUESTA CONDUCTORES'!AS236</f>
        <v>0</v>
      </c>
      <c r="AL236" s="15" t="str">
        <f>+'ENCUESTA CONDUCTORES'!AT236</f>
        <v>CUMMINS</v>
      </c>
      <c r="AM236" s="1">
        <f>+'ENCUESTA CONDUCTORES'!AU236</f>
        <v>2500</v>
      </c>
      <c r="AN236" s="48">
        <f>+'ENCUESTA CONDUCTORES'!AV236</f>
        <v>0.1</v>
      </c>
      <c r="AO236" s="15">
        <f>+'ENCUESTA CONDUCTORES'!AW236</f>
        <v>2.5</v>
      </c>
      <c r="AP236" s="15">
        <f>+'ENCUESTA CONDUCTORES'!AX236</f>
        <v>2</v>
      </c>
      <c r="AQ236" s="15">
        <f>+'ENCUESTA CONDUCTORES'!AY236</f>
        <v>2</v>
      </c>
      <c r="AR236" s="15">
        <f>+'ENCUESTA CONDUCTORES'!AZ236</f>
        <v>650</v>
      </c>
      <c r="AS236" s="15">
        <f>+'ENCUESTA CONDUCTORES'!BA236</f>
        <v>1500</v>
      </c>
      <c r="AT236" s="15">
        <f>IF('ENCUESTA CONDUCTORES'!BB236="X",1,0)</f>
        <v>0</v>
      </c>
      <c r="AU236" s="15">
        <f>IF('ENCUESTA CONDUCTORES'!BC236="X",1,0)</f>
        <v>0</v>
      </c>
      <c r="AV236" s="15">
        <f>IF('ENCUESTA CONDUCTORES'!BD236="X",1,0)</f>
        <v>0</v>
      </c>
      <c r="AW236" s="1">
        <f>+'ENCUESTA CONDUCTORES'!BE236</f>
        <v>10000</v>
      </c>
      <c r="AX236" s="1">
        <f>+'ENCUESTA CONDUCTORES'!BF236</f>
        <v>10000</v>
      </c>
      <c r="AY236" s="1">
        <f>+'ENCUESTA CONDUCTORES'!BG236</f>
        <v>20000</v>
      </c>
      <c r="AZ236" s="1">
        <f>+'ENCUESTA CONDUCTORES'!BH236</f>
        <v>120000</v>
      </c>
      <c r="BA236" s="1">
        <f>+'ENCUESTA CONDUCTORES'!BI236</f>
        <v>20000</v>
      </c>
      <c r="BB236" s="15">
        <f>IF('ENCUESTA CONDUCTORES'!BJ236="X",1,0)</f>
        <v>0</v>
      </c>
      <c r="BC236" s="15">
        <f>IF('ENCUESTA CONDUCTORES'!BK236="X",1,0)</f>
        <v>0</v>
      </c>
      <c r="BD236" s="15">
        <f>IF('ENCUESTA CONDUCTORES'!BL236="X",1,0)</f>
        <v>0</v>
      </c>
      <c r="BE236" s="15">
        <f>IF('ENCUESTA CONDUCTORES'!BM236="X",1,0)</f>
        <v>0</v>
      </c>
      <c r="BF236" s="15">
        <f>IF('ENCUESTA CONDUCTORES'!BN236="X",1,0)</f>
        <v>0</v>
      </c>
      <c r="BG236" s="15">
        <f>IF('ENCUESTA CONDUCTORES'!BO236="X",1,0)</f>
        <v>0</v>
      </c>
      <c r="BH236" s="15">
        <f>IF('ENCUESTA CONDUCTORES'!BP236="X",1,0)</f>
        <v>0</v>
      </c>
      <c r="BI236" s="15">
        <f>IF('ENCUESTA CONDUCTORES'!BQ236="X",1,0)</f>
        <v>0</v>
      </c>
      <c r="BJ236" s="15">
        <f>IF('ENCUESTA CONDUCTORES'!BR236="X",1,0)</f>
        <v>1</v>
      </c>
      <c r="BK236" s="15">
        <f>+'ENCUESTA CONDUCTORES'!BS236</f>
        <v>0</v>
      </c>
      <c r="BL236" s="15">
        <f>IF('ENCUESTA CONDUCTORES'!BT236="X",1,0)</f>
        <v>0</v>
      </c>
      <c r="BM236" s="15">
        <f>IF('ENCUESTA CONDUCTORES'!BU236="X",1,0)</f>
        <v>0</v>
      </c>
      <c r="BN236" s="15">
        <f>IF('ENCUESTA CONDUCTORES'!BV236="X",1,0)</f>
        <v>1</v>
      </c>
      <c r="BO236" s="15">
        <f>IF('ENCUESTA CONDUCTORES'!BW236="X",1,0)</f>
        <v>0</v>
      </c>
      <c r="BP236" s="15">
        <f>+'ENCUESTA CONDUCTORES'!BX236</f>
        <v>2</v>
      </c>
      <c r="BQ236" s="15">
        <f>+'ENCUESTA CONDUCTORES'!BY236</f>
        <v>4</v>
      </c>
      <c r="BR236" s="15">
        <f>+'ENCUESTA CONDUCTORES'!BZ236</f>
        <v>3</v>
      </c>
      <c r="BS236" s="15" t="str">
        <f>+'ENCUESTA CONDUCTORES'!CA236</f>
        <v>SEGURIDAD</v>
      </c>
      <c r="BT236" s="15">
        <f>IF('ENCUESTA CONDUCTORES'!CB236="X",1,0)</f>
        <v>0</v>
      </c>
      <c r="BU236" s="15">
        <f>IF('ENCUESTA CONDUCTORES'!CC236="X",1,0)</f>
        <v>1</v>
      </c>
      <c r="BV236" s="15">
        <f>IF('ENCUESTA CONDUCTORES'!CD236="X",1,0)</f>
        <v>0</v>
      </c>
      <c r="BW236" s="15">
        <f>IF('ENCUESTA CONDUCTORES'!CE236="X",1,0)</f>
        <v>0</v>
      </c>
      <c r="BX236" s="15">
        <f>IF('ENCUESTA CONDUCTORES'!CF236="X",1,0)</f>
        <v>0</v>
      </c>
      <c r="BY236" s="15">
        <f>IF('ENCUESTA CONDUCTORES'!CG236="X",1,0)</f>
        <v>0</v>
      </c>
      <c r="BZ236" s="15">
        <f>IF('ENCUESTA CONDUCTORES'!CH236="X",1,0)</f>
        <v>0</v>
      </c>
      <c r="CA236" s="15">
        <f>IF('ENCUESTA CONDUCTORES'!CI236="X",1,0)</f>
        <v>1</v>
      </c>
      <c r="CB236" s="15">
        <f>IF('ENCUESTA CONDUCTORES'!CJ236="X",1,0)</f>
        <v>0</v>
      </c>
      <c r="CC236" s="15">
        <f>IF('ENCUESTA CONDUCTORES'!CK236="X",1,0)</f>
        <v>1</v>
      </c>
      <c r="CD236" s="15">
        <f>IF('ENCUESTA CONDUCTORES'!CL236="X",1,0)</f>
        <v>0</v>
      </c>
      <c r="CE236" s="15">
        <f>IF('ENCUESTA CONDUCTORES'!CM236="X",1,0)</f>
        <v>0</v>
      </c>
      <c r="CF236" s="15">
        <f>+'ENCUESTA CONDUCTORES'!CN236</f>
        <v>0</v>
      </c>
      <c r="CG236" s="15">
        <f>IF('ENCUESTA CONDUCTORES'!CO236="X",1,0)</f>
        <v>0</v>
      </c>
      <c r="CH236" s="15" t="str">
        <f>+'ENCUESTA CONDUCTORES'!CP236</f>
        <v>NO SABE</v>
      </c>
      <c r="CI236" s="15" t="str">
        <f>+'ENCUESTA CONDUCTORES'!CQ236</f>
        <v>MAYOR INFORMACION</v>
      </c>
      <c r="CJ236" s="15">
        <f>IF('ENCUESTA CONDUCTORES'!CR236="X",1,0)</f>
        <v>0</v>
      </c>
      <c r="CK236" s="15">
        <f>IF('ENCUESTA CONDUCTORES'!CS236="X",1,0)</f>
        <v>0</v>
      </c>
      <c r="CL236" s="15">
        <f>IF('ENCUESTA CONDUCTORES'!CT236="X",1,0)</f>
        <v>0</v>
      </c>
      <c r="CM236" s="15" t="str">
        <f>+'ENCUESTA CONDUCTORES'!CU236</f>
        <v>MANEJO DE RESIDUOS PELIGROSOS</v>
      </c>
      <c r="CN236" s="15">
        <f>IF('ENCUESTA CONDUCTORES'!CV236="X",1,0)</f>
        <v>0</v>
      </c>
      <c r="CO236" s="15">
        <f>+'ENCUESTA CONDUCTORES'!CW236</f>
        <v>0</v>
      </c>
      <c r="CP236" s="15">
        <f>IF('ENCUESTA CONDUCTORES'!CX236="X",1,0)</f>
        <v>1</v>
      </c>
      <c r="CQ236" s="15">
        <f>IF('ENCUESTA CONDUCTORES'!CY236="X",1,0)</f>
        <v>0</v>
      </c>
      <c r="CR236" s="3">
        <f>+'ENCUESTA CONDUCTORES'!CZ236</f>
        <v>0</v>
      </c>
      <c r="CS236" s="49" t="str">
        <f>+'ENCUESTA CONDUCTORES'!DA236</f>
        <v>TRANSPORTA TURBOSINA</v>
      </c>
    </row>
    <row r="237" spans="2:97" x14ac:dyDescent="0.25">
      <c r="B237" s="14" t="str">
        <f>+'ENCUESTA CONDUCTORES'!D237</f>
        <v>C-248</v>
      </c>
      <c r="C237" s="15">
        <f>IF('ENCUESTA CONDUCTORES'!E237="X",1,0)</f>
        <v>0</v>
      </c>
      <c r="D237" s="15">
        <f>IF('ENCUESTA CONDUCTORES'!F237="X",1,0)</f>
        <v>0</v>
      </c>
      <c r="E237" s="15">
        <f>IF('ENCUESTA CONDUCTORES'!G237="X",1,0)</f>
        <v>1</v>
      </c>
      <c r="F237" s="15">
        <f>IF('ENCUESTA CONDUCTORES'!H237="X",1,0)</f>
        <v>0</v>
      </c>
      <c r="G237" s="15">
        <f>+'ENCUESTA CONDUCTORES'!I237</f>
        <v>28</v>
      </c>
      <c r="H237" s="15" t="str">
        <f>+'ENCUESTA CONDUCTORES'!J237</f>
        <v>M</v>
      </c>
      <c r="I237" s="15" t="str">
        <f>+'ENCUESTA CONDUCTORES'!K237</f>
        <v>BACHILLERATO</v>
      </c>
      <c r="J237" s="15" t="str">
        <f>+'ENCUESTA CONDUCTORES'!L237</f>
        <v>CHALCO, EDO. MEX.</v>
      </c>
      <c r="K237" s="15" t="str">
        <f>+'ENCUESTA CONDUCTORES'!M237</f>
        <v>CHALCO</v>
      </c>
      <c r="L237" s="15" t="str">
        <f>+'ENCUESTA CONDUCTORES'!N237</f>
        <v>EDO. MEX.</v>
      </c>
      <c r="M237" s="15">
        <f>+'ENCUESTA CONDUCTORES'!O237</f>
        <v>5</v>
      </c>
      <c r="N237" s="15">
        <f>IF('ENCUESTA CONDUCTORES'!P237="X",1,0)</f>
        <v>0</v>
      </c>
      <c r="O237" s="15">
        <f>IF('ENCUESTA CONDUCTORES'!Q237="X",1,0)</f>
        <v>0</v>
      </c>
      <c r="P237" s="15">
        <f>IF('ENCUESTA CONDUCTORES'!R237="X",1,0)</f>
        <v>0</v>
      </c>
      <c r="Q237" s="15">
        <f>IF('ENCUESTA CONDUCTORES'!S237="X",1,0)</f>
        <v>1</v>
      </c>
      <c r="R237" s="15">
        <f>IF('ENCUESTA CONDUCTORES'!T237="X",1,0)</f>
        <v>0</v>
      </c>
      <c r="S237" s="15">
        <f>IF('ENCUESTA CONDUCTORES'!U237="X",1,0)</f>
        <v>1</v>
      </c>
      <c r="T237" s="15">
        <f>IF('ENCUESTA CONDUCTORES'!V237="X",1,0)</f>
        <v>0</v>
      </c>
      <c r="U237" s="15">
        <f>IF('ENCUESTA CONDUCTORES'!W237="X",1,0)</f>
        <v>0</v>
      </c>
      <c r="V237" s="15">
        <f>IF('ENCUESTA CONDUCTORES'!X237="X",1,0)</f>
        <v>0</v>
      </c>
      <c r="W237" s="15">
        <f>IF('ENCUESTA CONDUCTORES'!Y237="X",1,0)</f>
        <v>0</v>
      </c>
      <c r="X237" s="15">
        <f>IF('ENCUESTA CONDUCTORES'!Z237="X",1,0)</f>
        <v>0</v>
      </c>
      <c r="Y237" s="15">
        <f>+'ENCUESTA CONDUCTORES'!AG237</f>
        <v>0</v>
      </c>
      <c r="Z237" s="15">
        <f>+'ENCUESTA CONDUCTORES'!AH237</f>
        <v>2009</v>
      </c>
      <c r="AA237" s="1">
        <f>+'ENCUESTA CONDUCTORES'!AI237</f>
        <v>600000</v>
      </c>
      <c r="AB237" s="15">
        <f>IF('ENCUESTA CONDUCTORES'!AJ237="X",1,0)</f>
        <v>0</v>
      </c>
      <c r="AC237" s="15">
        <f>IF('ENCUESTA CONDUCTORES'!AK237="X",1,0)</f>
        <v>0</v>
      </c>
      <c r="AD237" s="15">
        <f>IF('ENCUESTA CONDUCTORES'!AL237="X",1,0)</f>
        <v>1</v>
      </c>
      <c r="AE237" s="15">
        <f>IF('ENCUESTA CONDUCTORES'!AM237="X",1,0)</f>
        <v>0</v>
      </c>
      <c r="AF237" s="15">
        <f>IF('ENCUESTA CONDUCTORES'!AN237="X",1,0)</f>
        <v>0</v>
      </c>
      <c r="AG237" s="15">
        <f>IF('ENCUESTA CONDUCTORES'!AO237="X",1,0)</f>
        <v>0</v>
      </c>
      <c r="AH237" s="15">
        <f>IF('ENCUESTA CONDUCTORES'!AP237="X",1,0)</f>
        <v>1</v>
      </c>
      <c r="AI237" s="15">
        <f>IF('ENCUESTA CONDUCTORES'!AQ237="X",1,0)</f>
        <v>0</v>
      </c>
      <c r="AJ237" s="15">
        <f>IF('ENCUESTA CONDUCTORES'!AR237="X",1,0)</f>
        <v>0</v>
      </c>
      <c r="AK237" s="15">
        <f>+'ENCUESTA CONDUCTORES'!AS237</f>
        <v>0</v>
      </c>
      <c r="AL237" s="15" t="str">
        <f>+'ENCUESTA CONDUCTORES'!AT237</f>
        <v>KENWORTH</v>
      </c>
      <c r="AM237" s="1">
        <f>+'ENCUESTA CONDUCTORES'!AU237</f>
        <v>6000</v>
      </c>
      <c r="AN237" s="48">
        <f>+'ENCUESTA CONDUCTORES'!AV237</f>
        <v>0.2</v>
      </c>
      <c r="AO237" s="15">
        <f>+'ENCUESTA CONDUCTORES'!AW237</f>
        <v>2.8</v>
      </c>
      <c r="AP237" s="15">
        <f>+'ENCUESTA CONDUCTORES'!AX237</f>
        <v>2.5</v>
      </c>
      <c r="AQ237" s="15">
        <f>+'ENCUESTA CONDUCTORES'!AY237</f>
        <v>2</v>
      </c>
      <c r="AR237" s="15">
        <f>+'ENCUESTA CONDUCTORES'!AZ237</f>
        <v>810</v>
      </c>
      <c r="AS237" s="15">
        <f>+'ENCUESTA CONDUCTORES'!BA237</f>
        <v>2200</v>
      </c>
      <c r="AT237" s="15">
        <f>IF('ENCUESTA CONDUCTORES'!BB237="X",1,0)</f>
        <v>1</v>
      </c>
      <c r="AU237" s="15">
        <f>IF('ENCUESTA CONDUCTORES'!BC237="X",1,0)</f>
        <v>1</v>
      </c>
      <c r="AV237" s="15">
        <f>IF('ENCUESTA CONDUCTORES'!BD237="X",1,0)</f>
        <v>1</v>
      </c>
      <c r="AW237" s="1">
        <f>+'ENCUESTA CONDUCTORES'!BE237</f>
        <v>10000</v>
      </c>
      <c r="AX237" s="1">
        <f>+'ENCUESTA CONDUCTORES'!BF237</f>
        <v>6000</v>
      </c>
      <c r="AY237" s="1">
        <f>+'ENCUESTA CONDUCTORES'!BG237</f>
        <v>13000</v>
      </c>
      <c r="AZ237" s="1">
        <f>+'ENCUESTA CONDUCTORES'!BH237</f>
        <v>150000</v>
      </c>
      <c r="BA237" s="1">
        <f>+'ENCUESTA CONDUCTORES'!BI237</f>
        <v>13000</v>
      </c>
      <c r="BB237" s="15">
        <f>IF('ENCUESTA CONDUCTORES'!BJ237="X",1,0)</f>
        <v>0</v>
      </c>
      <c r="BC237" s="15">
        <f>IF('ENCUESTA CONDUCTORES'!BK237="X",1,0)</f>
        <v>0</v>
      </c>
      <c r="BD237" s="15">
        <f>IF('ENCUESTA CONDUCTORES'!BL237="X",1,0)</f>
        <v>0</v>
      </c>
      <c r="BE237" s="15">
        <f>IF('ENCUESTA CONDUCTORES'!BM237="X",1,0)</f>
        <v>0</v>
      </c>
      <c r="BF237" s="15">
        <f>IF('ENCUESTA CONDUCTORES'!BN237="X",1,0)</f>
        <v>0</v>
      </c>
      <c r="BG237" s="15">
        <f>IF('ENCUESTA CONDUCTORES'!BO237="X",1,0)</f>
        <v>0</v>
      </c>
      <c r="BH237" s="15">
        <f>IF('ENCUESTA CONDUCTORES'!BP237="X",1,0)</f>
        <v>0</v>
      </c>
      <c r="BI237" s="15">
        <f>IF('ENCUESTA CONDUCTORES'!BQ237="X",1,0)</f>
        <v>0</v>
      </c>
      <c r="BJ237" s="15">
        <f>IF('ENCUESTA CONDUCTORES'!BR237="X",1,0)</f>
        <v>0</v>
      </c>
      <c r="BK237" s="15" t="str">
        <f>+'ENCUESTA CONDUCTORES'!BS237</f>
        <v>GENERAL</v>
      </c>
      <c r="BL237" s="15">
        <f>IF('ENCUESTA CONDUCTORES'!BT237="X",1,0)</f>
        <v>0</v>
      </c>
      <c r="BM237" s="15">
        <f>IF('ENCUESTA CONDUCTORES'!BU237="X",1,0)</f>
        <v>1</v>
      </c>
      <c r="BN237" s="15">
        <f>IF('ENCUESTA CONDUCTORES'!BV237="X",1,0)</f>
        <v>0</v>
      </c>
      <c r="BO237" s="15">
        <f>IF('ENCUESTA CONDUCTORES'!BW237="X",1,0)</f>
        <v>0</v>
      </c>
      <c r="BP237" s="15">
        <f>+'ENCUESTA CONDUCTORES'!BX237</f>
        <v>3</v>
      </c>
      <c r="BQ237" s="15">
        <f>+'ENCUESTA CONDUCTORES'!BY237</f>
        <v>1</v>
      </c>
      <c r="BR237" s="15">
        <f>+'ENCUESTA CONDUCTORES'!BZ237</f>
        <v>2</v>
      </c>
      <c r="BS237" s="15">
        <f>+'ENCUESTA CONDUCTORES'!CA237</f>
        <v>0</v>
      </c>
      <c r="BT237" s="15">
        <f>IF('ENCUESTA CONDUCTORES'!CB237="X",1,0)</f>
        <v>1</v>
      </c>
      <c r="BU237" s="15">
        <f>IF('ENCUESTA CONDUCTORES'!CC237="X",1,0)</f>
        <v>0</v>
      </c>
      <c r="BV237" s="15">
        <f>IF('ENCUESTA CONDUCTORES'!CD237="X",1,0)</f>
        <v>0</v>
      </c>
      <c r="BW237" s="15">
        <f>IF('ENCUESTA CONDUCTORES'!CE237="X",1,0)</f>
        <v>0</v>
      </c>
      <c r="BX237" s="15">
        <f>IF('ENCUESTA CONDUCTORES'!CF237="X",1,0)</f>
        <v>0</v>
      </c>
      <c r="BY237" s="15">
        <f>IF('ENCUESTA CONDUCTORES'!CG237="X",1,0)</f>
        <v>0</v>
      </c>
      <c r="BZ237" s="15">
        <f>IF('ENCUESTA CONDUCTORES'!CH237="X",1,0)</f>
        <v>0</v>
      </c>
      <c r="CA237" s="15">
        <f>IF('ENCUESTA CONDUCTORES'!CI237="X",1,0)</f>
        <v>0</v>
      </c>
      <c r="CB237" s="15">
        <f>IF('ENCUESTA CONDUCTORES'!CJ237="X",1,0)</f>
        <v>0</v>
      </c>
      <c r="CC237" s="15">
        <f>IF('ENCUESTA CONDUCTORES'!CK237="X",1,0)</f>
        <v>1</v>
      </c>
      <c r="CD237" s="15">
        <f>IF('ENCUESTA CONDUCTORES'!CL237="X",1,0)</f>
        <v>0</v>
      </c>
      <c r="CE237" s="15">
        <f>IF('ENCUESTA CONDUCTORES'!CM237="X",1,0)</f>
        <v>0</v>
      </c>
      <c r="CF237" s="15">
        <f>+'ENCUESTA CONDUCTORES'!CN237</f>
        <v>0</v>
      </c>
      <c r="CG237" s="15">
        <f>IF('ENCUESTA CONDUCTORES'!CO237="X",1,0)</f>
        <v>0</v>
      </c>
      <c r="CH237" s="15" t="str">
        <f>+'ENCUESTA CONDUCTORES'!CP237</f>
        <v>NO SABE</v>
      </c>
      <c r="CI237" s="15" t="str">
        <f>+'ENCUESTA CONDUCTORES'!CQ237</f>
        <v>PUBLICIDAD</v>
      </c>
      <c r="CJ237" s="15">
        <f>IF('ENCUESTA CONDUCTORES'!CR237="X",1,0)</f>
        <v>0</v>
      </c>
      <c r="CK237" s="15">
        <f>IF('ENCUESTA CONDUCTORES'!CS237="X",1,0)</f>
        <v>0</v>
      </c>
      <c r="CL237" s="15">
        <f>IF('ENCUESTA CONDUCTORES'!CT237="X",1,0)</f>
        <v>0</v>
      </c>
      <c r="CM237" s="15" t="str">
        <f>+'ENCUESTA CONDUCTORES'!CU237</f>
        <v>MANEJO A LA DEFENSIVA</v>
      </c>
      <c r="CN237" s="15">
        <f>IF('ENCUESTA CONDUCTORES'!CV237="X",1,0)</f>
        <v>0</v>
      </c>
      <c r="CO237" s="15">
        <f>+'ENCUESTA CONDUCTORES'!CW237</f>
        <v>0</v>
      </c>
      <c r="CP237" s="15">
        <f>IF('ENCUESTA CONDUCTORES'!CX237="X",1,0)</f>
        <v>0</v>
      </c>
      <c r="CQ237" s="15">
        <f>IF('ENCUESTA CONDUCTORES'!CY237="X",1,0)</f>
        <v>1</v>
      </c>
      <c r="CR237" s="3">
        <f>+'ENCUESTA CONDUCTORES'!CZ237</f>
        <v>0</v>
      </c>
      <c r="CS237" s="49">
        <f>+'ENCUESTA CONDUCTORES'!DA237</f>
        <v>0</v>
      </c>
    </row>
    <row r="238" spans="2:97" x14ac:dyDescent="0.25">
      <c r="B238" s="14" t="str">
        <f>+'ENCUESTA CONDUCTORES'!D238</f>
        <v>C-249</v>
      </c>
      <c r="C238" s="15">
        <f>IF('ENCUESTA CONDUCTORES'!E238="X",1,0)</f>
        <v>0</v>
      </c>
      <c r="D238" s="15">
        <f>IF('ENCUESTA CONDUCTORES'!F238="X",1,0)</f>
        <v>0</v>
      </c>
      <c r="E238" s="15">
        <f>IF('ENCUESTA CONDUCTORES'!G238="X",1,0)</f>
        <v>1</v>
      </c>
      <c r="F238" s="15">
        <f>IF('ENCUESTA CONDUCTORES'!H238="X",1,0)</f>
        <v>0</v>
      </c>
      <c r="G238" s="15">
        <f>+'ENCUESTA CONDUCTORES'!I238</f>
        <v>45</v>
      </c>
      <c r="H238" s="15" t="str">
        <f>+'ENCUESTA CONDUCTORES'!J238</f>
        <v>M</v>
      </c>
      <c r="I238" s="15" t="str">
        <f>+'ENCUESTA CONDUCTORES'!K238</f>
        <v>SECUNDARIA</v>
      </c>
      <c r="J238" s="15" t="str">
        <f>+'ENCUESTA CONDUCTORES'!L238</f>
        <v>CHICOLOAPAN, EDO. MEX.</v>
      </c>
      <c r="K238" s="15" t="str">
        <f>+'ENCUESTA CONDUCTORES'!M238</f>
        <v>CHICOLOAPAN</v>
      </c>
      <c r="L238" s="15" t="str">
        <f>+'ENCUESTA CONDUCTORES'!N238</f>
        <v>EDO. MEX.</v>
      </c>
      <c r="M238" s="15">
        <f>+'ENCUESTA CONDUCTORES'!O238</f>
        <v>19</v>
      </c>
      <c r="N238" s="15">
        <f>IF('ENCUESTA CONDUCTORES'!P238="X",1,0)</f>
        <v>1</v>
      </c>
      <c r="O238" s="15">
        <f>IF('ENCUESTA CONDUCTORES'!Q238="X",1,0)</f>
        <v>0</v>
      </c>
      <c r="P238" s="15">
        <f>IF('ENCUESTA CONDUCTORES'!R238="X",1,0)</f>
        <v>0</v>
      </c>
      <c r="Q238" s="15">
        <f>IF('ENCUESTA CONDUCTORES'!S238="X",1,0)</f>
        <v>0</v>
      </c>
      <c r="R238" s="15">
        <f>IF('ENCUESTA CONDUCTORES'!T238="X",1,0)</f>
        <v>0</v>
      </c>
      <c r="S238" s="15">
        <f>IF('ENCUESTA CONDUCTORES'!U238="X",1,0)</f>
        <v>1</v>
      </c>
      <c r="T238" s="15">
        <f>IF('ENCUESTA CONDUCTORES'!V238="X",1,0)</f>
        <v>0</v>
      </c>
      <c r="U238" s="15">
        <f>IF('ENCUESTA CONDUCTORES'!W238="X",1,0)</f>
        <v>0</v>
      </c>
      <c r="V238" s="15">
        <f>IF('ENCUESTA CONDUCTORES'!X238="X",1,0)</f>
        <v>0</v>
      </c>
      <c r="W238" s="15">
        <f>IF('ENCUESTA CONDUCTORES'!Y238="X",1,0)</f>
        <v>0</v>
      </c>
      <c r="X238" s="15">
        <f>IF('ENCUESTA CONDUCTORES'!Z238="X",1,0)</f>
        <v>0</v>
      </c>
      <c r="Y238" s="15">
        <f>+'ENCUESTA CONDUCTORES'!AG238</f>
        <v>0</v>
      </c>
      <c r="Z238" s="15">
        <f>+'ENCUESTA CONDUCTORES'!AH238</f>
        <v>2003</v>
      </c>
      <c r="AA238" s="1">
        <f>+'ENCUESTA CONDUCTORES'!AI238</f>
        <v>700000</v>
      </c>
      <c r="AB238" s="15">
        <f>IF('ENCUESTA CONDUCTORES'!AJ238="X",1,0)</f>
        <v>0</v>
      </c>
      <c r="AC238" s="15">
        <f>IF('ENCUESTA CONDUCTORES'!AK238="X",1,0)</f>
        <v>0</v>
      </c>
      <c r="AD238" s="15">
        <f>IF('ENCUESTA CONDUCTORES'!AL238="X",1,0)</f>
        <v>1</v>
      </c>
      <c r="AE238" s="15">
        <f>IF('ENCUESTA CONDUCTORES'!AM238="X",1,0)</f>
        <v>0</v>
      </c>
      <c r="AF238" s="15">
        <f>IF('ENCUESTA CONDUCTORES'!AN238="X",1,0)</f>
        <v>0</v>
      </c>
      <c r="AG238" s="15">
        <f>IF('ENCUESTA CONDUCTORES'!AO238="X",1,0)</f>
        <v>0</v>
      </c>
      <c r="AH238" s="15">
        <f>IF('ENCUESTA CONDUCTORES'!AP238="X",1,0)</f>
        <v>1</v>
      </c>
      <c r="AI238" s="15">
        <f>IF('ENCUESTA CONDUCTORES'!AQ238="X",1,0)</f>
        <v>0</v>
      </c>
      <c r="AJ238" s="15">
        <f>IF('ENCUESTA CONDUCTORES'!AR238="X",1,0)</f>
        <v>0</v>
      </c>
      <c r="AK238" s="15">
        <f>+'ENCUESTA CONDUCTORES'!AS238</f>
        <v>0</v>
      </c>
      <c r="AL238" s="15" t="str">
        <f>+'ENCUESTA CONDUCTORES'!AT238</f>
        <v>CUMMINS</v>
      </c>
      <c r="AM238" s="1">
        <f>+'ENCUESTA CONDUCTORES'!AU238</f>
        <v>2000</v>
      </c>
      <c r="AN238" s="48">
        <f>+'ENCUESTA CONDUCTORES'!AV238</f>
        <v>0.2</v>
      </c>
      <c r="AO238" s="15">
        <f>+'ENCUESTA CONDUCTORES'!AW238</f>
        <v>3</v>
      </c>
      <c r="AP238" s="15">
        <f>+'ENCUESTA CONDUCTORES'!AX238</f>
        <v>2.2999999999999998</v>
      </c>
      <c r="AQ238" s="15">
        <f>+'ENCUESTA CONDUCTORES'!AY238</f>
        <v>1</v>
      </c>
      <c r="AR238" s="15">
        <f>+'ENCUESTA CONDUCTORES'!AZ238</f>
        <v>380</v>
      </c>
      <c r="AS238" s="15">
        <f>+'ENCUESTA CONDUCTORES'!BA238</f>
        <v>1000</v>
      </c>
      <c r="AT238" s="15">
        <f>IF('ENCUESTA CONDUCTORES'!BB238="X",1,0)</f>
        <v>1</v>
      </c>
      <c r="AU238" s="15">
        <f>IF('ENCUESTA CONDUCTORES'!BC238="X",1,0)</f>
        <v>0</v>
      </c>
      <c r="AV238" s="15">
        <f>IF('ENCUESTA CONDUCTORES'!BD238="X",1,0)</f>
        <v>0</v>
      </c>
      <c r="AW238" s="1">
        <f>+'ENCUESTA CONDUCTORES'!BE238</f>
        <v>17000</v>
      </c>
      <c r="AX238" s="1">
        <f>+'ENCUESTA CONDUCTORES'!BF238</f>
        <v>10000</v>
      </c>
      <c r="AY238" s="1">
        <f>+'ENCUESTA CONDUCTORES'!BG238</f>
        <v>23000</v>
      </c>
      <c r="AZ238" s="1">
        <f>+'ENCUESTA CONDUCTORES'!BH238</f>
        <v>60000</v>
      </c>
      <c r="BA238" s="1">
        <f>+'ENCUESTA CONDUCTORES'!BI238</f>
        <v>23000</v>
      </c>
      <c r="BB238" s="15">
        <f>IF('ENCUESTA CONDUCTORES'!BJ238="X",1,0)</f>
        <v>0</v>
      </c>
      <c r="BC238" s="15">
        <f>IF('ENCUESTA CONDUCTORES'!BK238="X",1,0)</f>
        <v>0</v>
      </c>
      <c r="BD238" s="15">
        <f>IF('ENCUESTA CONDUCTORES'!BL238="X",1,0)</f>
        <v>0</v>
      </c>
      <c r="BE238" s="15">
        <f>IF('ENCUESTA CONDUCTORES'!BM238="X",1,0)</f>
        <v>0</v>
      </c>
      <c r="BF238" s="15">
        <f>IF('ENCUESTA CONDUCTORES'!BN238="X",1,0)</f>
        <v>0</v>
      </c>
      <c r="BG238" s="15">
        <f>IF('ENCUESTA CONDUCTORES'!BO238="X",1,0)</f>
        <v>1</v>
      </c>
      <c r="BH238" s="15">
        <f>IF('ENCUESTA CONDUCTORES'!BP238="X",1,0)</f>
        <v>0</v>
      </c>
      <c r="BI238" s="15">
        <f>IF('ENCUESTA CONDUCTORES'!BQ238="X",1,0)</f>
        <v>0</v>
      </c>
      <c r="BJ238" s="15">
        <f>IF('ENCUESTA CONDUCTORES'!BR238="X",1,0)</f>
        <v>0</v>
      </c>
      <c r="BK238" s="15">
        <f>+'ENCUESTA CONDUCTORES'!BS238</f>
        <v>0</v>
      </c>
      <c r="BL238" s="15">
        <f>IF('ENCUESTA CONDUCTORES'!BT238="X",1,0)</f>
        <v>0</v>
      </c>
      <c r="BM238" s="15">
        <f>IF('ENCUESTA CONDUCTORES'!BU238="X",1,0)</f>
        <v>0</v>
      </c>
      <c r="BN238" s="15">
        <f>IF('ENCUESTA CONDUCTORES'!BV238="X",1,0)</f>
        <v>1</v>
      </c>
      <c r="BO238" s="15">
        <f>IF('ENCUESTA CONDUCTORES'!BW238="X",1,0)</f>
        <v>0</v>
      </c>
      <c r="BP238" s="15">
        <f>+'ENCUESTA CONDUCTORES'!BX238</f>
        <v>1</v>
      </c>
      <c r="BQ238" s="15">
        <f>+'ENCUESTA CONDUCTORES'!BY238</f>
        <v>2</v>
      </c>
      <c r="BR238" s="15">
        <f>+'ENCUESTA CONDUCTORES'!BZ238</f>
        <v>3</v>
      </c>
      <c r="BS238" s="15">
        <f>+'ENCUESTA CONDUCTORES'!CA238</f>
        <v>0</v>
      </c>
      <c r="BT238" s="15">
        <f>IF('ENCUESTA CONDUCTORES'!CB238="X",1,0)</f>
        <v>0</v>
      </c>
      <c r="BU238" s="15">
        <f>IF('ENCUESTA CONDUCTORES'!CC238="X",1,0)</f>
        <v>1</v>
      </c>
      <c r="BV238" s="15">
        <f>IF('ENCUESTA CONDUCTORES'!CD238="X",1,0)</f>
        <v>0</v>
      </c>
      <c r="BW238" s="15">
        <f>IF('ENCUESTA CONDUCTORES'!CE238="X",1,0)</f>
        <v>1</v>
      </c>
      <c r="BX238" s="15">
        <f>IF('ENCUESTA CONDUCTORES'!CF238="X",1,0)</f>
        <v>0</v>
      </c>
      <c r="BY238" s="15">
        <f>IF('ENCUESTA CONDUCTORES'!CG238="X",1,0)</f>
        <v>0</v>
      </c>
      <c r="BZ238" s="15">
        <f>IF('ENCUESTA CONDUCTORES'!CH238="X",1,0)</f>
        <v>1</v>
      </c>
      <c r="CA238" s="15">
        <f>IF('ENCUESTA CONDUCTORES'!CI238="X",1,0)</f>
        <v>0</v>
      </c>
      <c r="CB238" s="15">
        <f>IF('ENCUESTA CONDUCTORES'!CJ238="X",1,0)</f>
        <v>0</v>
      </c>
      <c r="CC238" s="15">
        <f>IF('ENCUESTA CONDUCTORES'!CK238="X",1,0)</f>
        <v>1</v>
      </c>
      <c r="CD238" s="15">
        <f>IF('ENCUESTA CONDUCTORES'!CL238="X",1,0)</f>
        <v>0</v>
      </c>
      <c r="CE238" s="15">
        <f>IF('ENCUESTA CONDUCTORES'!CM238="X",1,0)</f>
        <v>0</v>
      </c>
      <c r="CF238" s="15">
        <f>+'ENCUESTA CONDUCTORES'!CN238</f>
        <v>0</v>
      </c>
      <c r="CG238" s="15">
        <f>IF('ENCUESTA CONDUCTORES'!CO238="X",1,0)</f>
        <v>0</v>
      </c>
      <c r="CH238" s="15" t="str">
        <f>+'ENCUESTA CONDUCTORES'!CP238</f>
        <v>NO SABE</v>
      </c>
      <c r="CI238" s="15" t="str">
        <f>+'ENCUESTA CONDUCTORES'!CQ238</f>
        <v>MAYOR INFORMACION</v>
      </c>
      <c r="CJ238" s="15">
        <f>IF('ENCUESTA CONDUCTORES'!CR238="X",1,0)</f>
        <v>1</v>
      </c>
      <c r="CK238" s="15">
        <f>IF('ENCUESTA CONDUCTORES'!CS238="X",1,0)</f>
        <v>0</v>
      </c>
      <c r="CL238" s="15">
        <f>IF('ENCUESTA CONDUCTORES'!CT238="X",1,0)</f>
        <v>0</v>
      </c>
      <c r="CM238" s="15">
        <f>+'ENCUESTA CONDUCTORES'!CU238</f>
        <v>0</v>
      </c>
      <c r="CN238" s="15">
        <f>IF('ENCUESTA CONDUCTORES'!CV238="X",1,0)</f>
        <v>0</v>
      </c>
      <c r="CO238" s="15">
        <f>+'ENCUESTA CONDUCTORES'!CW238</f>
        <v>0</v>
      </c>
      <c r="CP238" s="15">
        <f>IF('ENCUESTA CONDUCTORES'!CX238="X",1,0)</f>
        <v>0</v>
      </c>
      <c r="CQ238" s="15">
        <f>IF('ENCUESTA CONDUCTORES'!CY238="X",1,0)</f>
        <v>1</v>
      </c>
      <c r="CR238" s="3">
        <f>+'ENCUESTA CONDUCTORES'!CZ238</f>
        <v>0</v>
      </c>
      <c r="CS238" s="49">
        <f>+'ENCUESTA CONDUCTORES'!DA238</f>
        <v>0</v>
      </c>
    </row>
    <row r="239" spans="2:97" x14ac:dyDescent="0.25">
      <c r="B239" s="14" t="str">
        <f>+'ENCUESTA CONDUCTORES'!D239</f>
        <v>C-250</v>
      </c>
      <c r="C239" s="15">
        <f>IF('ENCUESTA CONDUCTORES'!E239="X",1,0)</f>
        <v>0</v>
      </c>
      <c r="D239" s="15">
        <f>IF('ENCUESTA CONDUCTORES'!F239="X",1,0)</f>
        <v>0</v>
      </c>
      <c r="E239" s="15">
        <f>IF('ENCUESTA CONDUCTORES'!G239="X",1,0)</f>
        <v>1</v>
      </c>
      <c r="F239" s="15">
        <f>IF('ENCUESTA CONDUCTORES'!H239="X",1,0)</f>
        <v>0</v>
      </c>
      <c r="G239" s="15">
        <f>+'ENCUESTA CONDUCTORES'!I239</f>
        <v>53</v>
      </c>
      <c r="H239" s="15" t="str">
        <f>+'ENCUESTA CONDUCTORES'!J239</f>
        <v>M</v>
      </c>
      <c r="I239" s="15" t="str">
        <f>+'ENCUESTA CONDUCTORES'!K239</f>
        <v>BACHILLERATO</v>
      </c>
      <c r="J239" s="15" t="str">
        <f>+'ENCUESTA CONDUCTORES'!L239</f>
        <v>TLALNEPANTLA, EDO. MEX.</v>
      </c>
      <c r="K239" s="15" t="str">
        <f>+'ENCUESTA CONDUCTORES'!M239</f>
        <v>TLALNEPANTLA</v>
      </c>
      <c r="L239" s="15" t="str">
        <f>+'ENCUESTA CONDUCTORES'!N239</f>
        <v>EDO. MEX.</v>
      </c>
      <c r="M239" s="15">
        <f>+'ENCUESTA CONDUCTORES'!O239</f>
        <v>25</v>
      </c>
      <c r="N239" s="15">
        <f>IF('ENCUESTA CONDUCTORES'!P239="X",1,0)</f>
        <v>0</v>
      </c>
      <c r="O239" s="15">
        <f>IF('ENCUESTA CONDUCTORES'!Q239="X",1,0)</f>
        <v>0</v>
      </c>
      <c r="P239" s="15">
        <f>IF('ENCUESTA CONDUCTORES'!R239="X",1,0)</f>
        <v>0</v>
      </c>
      <c r="Q239" s="15">
        <f>IF('ENCUESTA CONDUCTORES'!S239="X",1,0)</f>
        <v>1</v>
      </c>
      <c r="R239" s="15">
        <f>IF('ENCUESTA CONDUCTORES'!T239="X",1,0)</f>
        <v>0</v>
      </c>
      <c r="S239" s="15">
        <f>IF('ENCUESTA CONDUCTORES'!U239="X",1,0)</f>
        <v>1</v>
      </c>
      <c r="T239" s="15">
        <f>IF('ENCUESTA CONDUCTORES'!V239="X",1,0)</f>
        <v>0</v>
      </c>
      <c r="U239" s="15">
        <f>IF('ENCUESTA CONDUCTORES'!W239="X",1,0)</f>
        <v>0</v>
      </c>
      <c r="V239" s="15">
        <f>IF('ENCUESTA CONDUCTORES'!X239="X",1,0)</f>
        <v>0</v>
      </c>
      <c r="W239" s="15">
        <f>IF('ENCUESTA CONDUCTORES'!Y239="X",1,0)</f>
        <v>0</v>
      </c>
      <c r="X239" s="15">
        <f>IF('ENCUESTA CONDUCTORES'!Z239="X",1,0)</f>
        <v>0</v>
      </c>
      <c r="Y239" s="15">
        <f>+'ENCUESTA CONDUCTORES'!AG239</f>
        <v>0</v>
      </c>
      <c r="Z239" s="15">
        <f>+'ENCUESTA CONDUCTORES'!AH239</f>
        <v>2007</v>
      </c>
      <c r="AA239" s="1">
        <f>+'ENCUESTA CONDUCTORES'!AI239</f>
        <v>500000</v>
      </c>
      <c r="AB239" s="15">
        <f>IF('ENCUESTA CONDUCTORES'!AJ239="X",1,0)</f>
        <v>0</v>
      </c>
      <c r="AC239" s="15">
        <f>IF('ENCUESTA CONDUCTORES'!AK239="X",1,0)</f>
        <v>0</v>
      </c>
      <c r="AD239" s="15">
        <f>IF('ENCUESTA CONDUCTORES'!AL239="X",1,0)</f>
        <v>1</v>
      </c>
      <c r="AE239" s="15">
        <f>IF('ENCUESTA CONDUCTORES'!AM239="X",1,0)</f>
        <v>0</v>
      </c>
      <c r="AF239" s="15">
        <f>IF('ENCUESTA CONDUCTORES'!AN239="X",1,0)</f>
        <v>0</v>
      </c>
      <c r="AG239" s="15">
        <f>IF('ENCUESTA CONDUCTORES'!AO239="X",1,0)</f>
        <v>0</v>
      </c>
      <c r="AH239" s="15">
        <f>IF('ENCUESTA CONDUCTORES'!AP239="X",1,0)</f>
        <v>1</v>
      </c>
      <c r="AI239" s="15">
        <f>IF('ENCUESTA CONDUCTORES'!AQ239="X",1,0)</f>
        <v>0</v>
      </c>
      <c r="AJ239" s="15">
        <f>IF('ENCUESTA CONDUCTORES'!AR239="X",1,0)</f>
        <v>0</v>
      </c>
      <c r="AK239" s="15">
        <f>+'ENCUESTA CONDUCTORES'!AS239</f>
        <v>0</v>
      </c>
      <c r="AL239" s="15" t="str">
        <f>+'ENCUESTA CONDUCTORES'!AT239</f>
        <v>KENWORTH</v>
      </c>
      <c r="AM239" s="1">
        <f>+'ENCUESTA CONDUCTORES'!AU239</f>
        <v>3500</v>
      </c>
      <c r="AN239" s="48">
        <f>+'ENCUESTA CONDUCTORES'!AV239</f>
        <v>0.5</v>
      </c>
      <c r="AO239" s="15">
        <f>+'ENCUESTA CONDUCTORES'!AW239</f>
        <v>2.6</v>
      </c>
      <c r="AP239" s="15">
        <f>+'ENCUESTA CONDUCTORES'!AX239</f>
        <v>2.2999999999999998</v>
      </c>
      <c r="AQ239" s="15">
        <f>+'ENCUESTA CONDUCTORES'!AY239</f>
        <v>2</v>
      </c>
      <c r="AR239" s="15">
        <f>+'ENCUESTA CONDUCTORES'!AZ239</f>
        <v>800</v>
      </c>
      <c r="AS239" s="15">
        <f>+'ENCUESTA CONDUCTORES'!BA239</f>
        <v>2000</v>
      </c>
      <c r="AT239" s="15">
        <f>IF('ENCUESTA CONDUCTORES'!BB239="X",1,0)</f>
        <v>1</v>
      </c>
      <c r="AU239" s="15">
        <f>IF('ENCUESTA CONDUCTORES'!BC239="X",1,0)</f>
        <v>1</v>
      </c>
      <c r="AV239" s="15">
        <f>IF('ENCUESTA CONDUCTORES'!BD239="X",1,0)</f>
        <v>0</v>
      </c>
      <c r="AW239" s="1">
        <f>+'ENCUESTA CONDUCTORES'!BE239</f>
        <v>7000</v>
      </c>
      <c r="AX239" s="1">
        <f>+'ENCUESTA CONDUCTORES'!BF239</f>
        <v>5000</v>
      </c>
      <c r="AY239" s="1">
        <f>+'ENCUESTA CONDUCTORES'!BG239</f>
        <v>17000</v>
      </c>
      <c r="AZ239" s="1">
        <f>+'ENCUESTA CONDUCTORES'!BH239</f>
        <v>185000</v>
      </c>
      <c r="BA239" s="1">
        <f>+'ENCUESTA CONDUCTORES'!BI239</f>
        <v>17000</v>
      </c>
      <c r="BB239" s="15">
        <f>IF('ENCUESTA CONDUCTORES'!BJ239="X",1,0)</f>
        <v>0</v>
      </c>
      <c r="BC239" s="15">
        <f>IF('ENCUESTA CONDUCTORES'!BK239="X",1,0)</f>
        <v>1</v>
      </c>
      <c r="BD239" s="15">
        <f>IF('ENCUESTA CONDUCTORES'!BL239="X",1,0)</f>
        <v>0</v>
      </c>
      <c r="BE239" s="15">
        <f>IF('ENCUESTA CONDUCTORES'!BM239="X",1,0)</f>
        <v>0</v>
      </c>
      <c r="BF239" s="15">
        <f>IF('ENCUESTA CONDUCTORES'!BN239="X",1,0)</f>
        <v>0</v>
      </c>
      <c r="BG239" s="15">
        <f>IF('ENCUESTA CONDUCTORES'!BO239="X",1,0)</f>
        <v>0</v>
      </c>
      <c r="BH239" s="15">
        <f>IF('ENCUESTA CONDUCTORES'!BP239="X",1,0)</f>
        <v>0</v>
      </c>
      <c r="BI239" s="15">
        <f>IF('ENCUESTA CONDUCTORES'!BQ239="X",1,0)</f>
        <v>0</v>
      </c>
      <c r="BJ239" s="15">
        <f>IF('ENCUESTA CONDUCTORES'!BR239="X",1,0)</f>
        <v>0</v>
      </c>
      <c r="BK239" s="15">
        <f>+'ENCUESTA CONDUCTORES'!BS239</f>
        <v>0</v>
      </c>
      <c r="BL239" s="15">
        <f>IF('ENCUESTA CONDUCTORES'!BT239="X",1,0)</f>
        <v>0</v>
      </c>
      <c r="BM239" s="15">
        <f>IF('ENCUESTA CONDUCTORES'!BU239="X",1,0)</f>
        <v>1</v>
      </c>
      <c r="BN239" s="15">
        <f>IF('ENCUESTA CONDUCTORES'!BV239="X",1,0)</f>
        <v>0</v>
      </c>
      <c r="BO239" s="15">
        <f>IF('ENCUESTA CONDUCTORES'!BW239="X",1,0)</f>
        <v>0</v>
      </c>
      <c r="BP239" s="15">
        <f>+'ENCUESTA CONDUCTORES'!BX239</f>
        <v>1</v>
      </c>
      <c r="BQ239" s="15">
        <f>+'ENCUESTA CONDUCTORES'!BY239</f>
        <v>2</v>
      </c>
      <c r="BR239" s="15">
        <f>+'ENCUESTA CONDUCTORES'!BZ239</f>
        <v>3</v>
      </c>
      <c r="BS239" s="15">
        <f>+'ENCUESTA CONDUCTORES'!CA239</f>
        <v>0</v>
      </c>
      <c r="BT239" s="15">
        <f>IF('ENCUESTA CONDUCTORES'!CB239="X",1,0)</f>
        <v>0</v>
      </c>
      <c r="BU239" s="15">
        <f>IF('ENCUESTA CONDUCTORES'!CC239="X",1,0)</f>
        <v>1</v>
      </c>
      <c r="BV239" s="15">
        <f>IF('ENCUESTA CONDUCTORES'!CD239="X",1,0)</f>
        <v>0</v>
      </c>
      <c r="BW239" s="15">
        <f>IF('ENCUESTA CONDUCTORES'!CE239="X",1,0)</f>
        <v>1</v>
      </c>
      <c r="BX239" s="15">
        <f>IF('ENCUESTA CONDUCTORES'!CF239="X",1,0)</f>
        <v>0</v>
      </c>
      <c r="BY239" s="15">
        <f>IF('ENCUESTA CONDUCTORES'!CG239="X",1,0)</f>
        <v>1</v>
      </c>
      <c r="BZ239" s="15">
        <f>IF('ENCUESTA CONDUCTORES'!CH239="X",1,0)</f>
        <v>0</v>
      </c>
      <c r="CA239" s="15">
        <f>IF('ENCUESTA CONDUCTORES'!CI239="X",1,0)</f>
        <v>1</v>
      </c>
      <c r="CB239" s="15">
        <f>IF('ENCUESTA CONDUCTORES'!CJ239="X",1,0)</f>
        <v>0</v>
      </c>
      <c r="CC239" s="15">
        <f>IF('ENCUESTA CONDUCTORES'!CK239="X",1,0)</f>
        <v>1</v>
      </c>
      <c r="CD239" s="15">
        <f>IF('ENCUESTA CONDUCTORES'!CL239="X",1,0)</f>
        <v>0</v>
      </c>
      <c r="CE239" s="15">
        <f>IF('ENCUESTA CONDUCTORES'!CM239="X",1,0)</f>
        <v>0</v>
      </c>
      <c r="CF239" s="15">
        <f>+'ENCUESTA CONDUCTORES'!CN239</f>
        <v>0</v>
      </c>
      <c r="CG239" s="15">
        <f>IF('ENCUESTA CONDUCTORES'!CO239="X",1,0)</f>
        <v>0</v>
      </c>
      <c r="CH239" s="15" t="str">
        <f>+'ENCUESTA CONDUCTORES'!CP239</f>
        <v>NO SABE</v>
      </c>
      <c r="CI239" s="15" t="str">
        <f>+'ENCUESTA CONDUCTORES'!CQ239</f>
        <v>MAYOR INFORMACION</v>
      </c>
      <c r="CJ239" s="15">
        <f>IF('ENCUESTA CONDUCTORES'!CR239="X",1,0)</f>
        <v>1</v>
      </c>
      <c r="CK239" s="15">
        <f>IF('ENCUESTA CONDUCTORES'!CS239="X",1,0)</f>
        <v>0</v>
      </c>
      <c r="CL239" s="15">
        <f>IF('ENCUESTA CONDUCTORES'!CT239="X",1,0)</f>
        <v>0</v>
      </c>
      <c r="CM239" s="15">
        <f>+'ENCUESTA CONDUCTORES'!CU239</f>
        <v>0</v>
      </c>
      <c r="CN239" s="15">
        <f>IF('ENCUESTA CONDUCTORES'!CV239="X",1,0)</f>
        <v>0</v>
      </c>
      <c r="CO239" s="15">
        <f>+'ENCUESTA CONDUCTORES'!CW239</f>
        <v>0</v>
      </c>
      <c r="CP239" s="15">
        <f>IF('ENCUESTA CONDUCTORES'!CX239="X",1,0)</f>
        <v>0</v>
      </c>
      <c r="CQ239" s="15">
        <f>IF('ENCUESTA CONDUCTORES'!CY239="X",1,0)</f>
        <v>1</v>
      </c>
      <c r="CR239" s="3">
        <f>+'ENCUESTA CONDUCTORES'!CZ239</f>
        <v>0</v>
      </c>
      <c r="CS239" s="49">
        <f>+'ENCUESTA CONDUCTORES'!DA239</f>
        <v>0</v>
      </c>
    </row>
    <row r="240" spans="2:97" x14ac:dyDescent="0.25">
      <c r="B240" s="14" t="str">
        <f>+'ENCUESTA CONDUCTORES'!D240</f>
        <v>C-251</v>
      </c>
      <c r="C240" s="15">
        <f>IF('ENCUESTA CONDUCTORES'!E240="X",1,0)</f>
        <v>0</v>
      </c>
      <c r="D240" s="15">
        <f>IF('ENCUESTA CONDUCTORES'!F240="X",1,0)</f>
        <v>1</v>
      </c>
      <c r="E240" s="15">
        <f>IF('ENCUESTA CONDUCTORES'!G240="X",1,0)</f>
        <v>0</v>
      </c>
      <c r="F240" s="15">
        <f>IF('ENCUESTA CONDUCTORES'!H240="X",1,0)</f>
        <v>0</v>
      </c>
      <c r="G240" s="15">
        <f>+'ENCUESTA CONDUCTORES'!I240</f>
        <v>50</v>
      </c>
      <c r="H240" s="15" t="str">
        <f>+'ENCUESTA CONDUCTORES'!J240</f>
        <v>M</v>
      </c>
      <c r="I240" s="15" t="str">
        <f>+'ENCUESTA CONDUCTORES'!K240</f>
        <v>PREPARATORIA</v>
      </c>
      <c r="J240" s="15" t="str">
        <f>+'ENCUESTA CONDUCTORES'!L240</f>
        <v>CHICOLOAPAN, EDO. MEX.</v>
      </c>
      <c r="K240" s="15" t="str">
        <f>+'ENCUESTA CONDUCTORES'!M240</f>
        <v>CHICOLOAPAN</v>
      </c>
      <c r="L240" s="15" t="str">
        <f>+'ENCUESTA CONDUCTORES'!N240</f>
        <v>EDO. MEX.</v>
      </c>
      <c r="M240" s="15">
        <f>+'ENCUESTA CONDUCTORES'!O240</f>
        <v>20</v>
      </c>
      <c r="N240" s="15">
        <f>IF('ENCUESTA CONDUCTORES'!P240="X",1,0)</f>
        <v>0</v>
      </c>
      <c r="O240" s="15">
        <f>IF('ENCUESTA CONDUCTORES'!Q240="X",1,0)</f>
        <v>0</v>
      </c>
      <c r="P240" s="15">
        <f>IF('ENCUESTA CONDUCTORES'!R240="X",1,0)</f>
        <v>0</v>
      </c>
      <c r="Q240" s="15">
        <f>IF('ENCUESTA CONDUCTORES'!S240="X",1,0)</f>
        <v>1</v>
      </c>
      <c r="R240" s="15">
        <f>IF('ENCUESTA CONDUCTORES'!T240="X",1,0)</f>
        <v>0</v>
      </c>
      <c r="S240" s="15">
        <f>IF('ENCUESTA CONDUCTORES'!U240="X",1,0)</f>
        <v>1</v>
      </c>
      <c r="T240" s="15">
        <f>IF('ENCUESTA CONDUCTORES'!V240="X",1,0)</f>
        <v>0</v>
      </c>
      <c r="U240" s="15">
        <f>IF('ENCUESTA CONDUCTORES'!W240="X",1,0)</f>
        <v>0</v>
      </c>
      <c r="V240" s="15">
        <f>IF('ENCUESTA CONDUCTORES'!X240="X",1,0)</f>
        <v>0</v>
      </c>
      <c r="W240" s="15">
        <f>IF('ENCUESTA CONDUCTORES'!Y240="X",1,0)</f>
        <v>0</v>
      </c>
      <c r="X240" s="15">
        <f>IF('ENCUESTA CONDUCTORES'!Z240="X",1,0)</f>
        <v>0</v>
      </c>
      <c r="Y240" s="15">
        <f>+'ENCUESTA CONDUCTORES'!AG240</f>
        <v>0</v>
      </c>
      <c r="Z240" s="15">
        <f>+'ENCUESTA CONDUCTORES'!AH240</f>
        <v>2007</v>
      </c>
      <c r="AA240" s="1">
        <f>+'ENCUESTA CONDUCTORES'!AI240</f>
        <v>230400</v>
      </c>
      <c r="AB240" s="15">
        <f>IF('ENCUESTA CONDUCTORES'!AJ240="X",1,0)</f>
        <v>0</v>
      </c>
      <c r="AC240" s="15">
        <f>IF('ENCUESTA CONDUCTORES'!AK240="X",1,0)</f>
        <v>0</v>
      </c>
      <c r="AD240" s="15">
        <f>IF('ENCUESTA CONDUCTORES'!AL240="X",1,0)</f>
        <v>1</v>
      </c>
      <c r="AE240" s="15">
        <f>IF('ENCUESTA CONDUCTORES'!AM240="X",1,0)</f>
        <v>0</v>
      </c>
      <c r="AF240" s="15">
        <f>IF('ENCUESTA CONDUCTORES'!AN240="X",1,0)</f>
        <v>0</v>
      </c>
      <c r="AG240" s="15">
        <f>IF('ENCUESTA CONDUCTORES'!AO240="X",1,0)</f>
        <v>0</v>
      </c>
      <c r="AH240" s="15">
        <f>IF('ENCUESTA CONDUCTORES'!AP240="X",1,0)</f>
        <v>1</v>
      </c>
      <c r="AI240" s="15">
        <f>IF('ENCUESTA CONDUCTORES'!AQ240="X",1,0)</f>
        <v>0</v>
      </c>
      <c r="AJ240" s="15">
        <f>IF('ENCUESTA CONDUCTORES'!AR240="X",1,0)</f>
        <v>0</v>
      </c>
      <c r="AK240" s="15">
        <f>+'ENCUESTA CONDUCTORES'!AS240</f>
        <v>0</v>
      </c>
      <c r="AL240" s="15" t="str">
        <f>+'ENCUESTA CONDUCTORES'!AT240</f>
        <v>FREIGHTLINER</v>
      </c>
      <c r="AM240" s="1">
        <f>+'ENCUESTA CONDUCTORES'!AU240</f>
        <v>3200</v>
      </c>
      <c r="AN240" s="48">
        <f>+'ENCUESTA CONDUCTORES'!AV240</f>
        <v>0.2</v>
      </c>
      <c r="AO240" s="15">
        <f>+'ENCUESTA CONDUCTORES'!AW240</f>
        <v>2.8</v>
      </c>
      <c r="AP240" s="15">
        <f>+'ENCUESTA CONDUCTORES'!AX240</f>
        <v>2.2000000000000002</v>
      </c>
      <c r="AQ240" s="15">
        <f>+'ENCUESTA CONDUCTORES'!AY240</f>
        <v>3</v>
      </c>
      <c r="AR240" s="15">
        <f>+'ENCUESTA CONDUCTORES'!AZ240</f>
        <v>800</v>
      </c>
      <c r="AS240" s="15">
        <f>+'ENCUESTA CONDUCTORES'!BA240</f>
        <v>2000</v>
      </c>
      <c r="AT240" s="15">
        <f>IF('ENCUESTA CONDUCTORES'!BB240="X",1,0)</f>
        <v>1</v>
      </c>
      <c r="AU240" s="15">
        <f>IF('ENCUESTA CONDUCTORES'!BC240="X",1,0)</f>
        <v>1</v>
      </c>
      <c r="AV240" s="15">
        <f>IF('ENCUESTA CONDUCTORES'!BD240="X",1,0)</f>
        <v>1</v>
      </c>
      <c r="AW240" s="1">
        <f>+'ENCUESTA CONDUCTORES'!BE240</f>
        <v>8000</v>
      </c>
      <c r="AX240" s="1">
        <f>+'ENCUESTA CONDUCTORES'!BF240</f>
        <v>10000</v>
      </c>
      <c r="AY240" s="1">
        <f>+'ENCUESTA CONDUCTORES'!BG240</f>
        <v>20000</v>
      </c>
      <c r="AZ240" s="1">
        <f>+'ENCUESTA CONDUCTORES'!BH240</f>
        <v>76800</v>
      </c>
      <c r="BA240" s="1">
        <f>+'ENCUESTA CONDUCTORES'!BI240</f>
        <v>20000</v>
      </c>
      <c r="BB240" s="15">
        <f>IF('ENCUESTA CONDUCTORES'!BJ240="X",1,0)</f>
        <v>0</v>
      </c>
      <c r="BC240" s="15">
        <f>IF('ENCUESTA CONDUCTORES'!BK240="X",1,0)</f>
        <v>0</v>
      </c>
      <c r="BD240" s="15">
        <f>IF('ENCUESTA CONDUCTORES'!BL240="X",1,0)</f>
        <v>0</v>
      </c>
      <c r="BE240" s="15">
        <f>IF('ENCUESTA CONDUCTORES'!BM240="X",1,0)</f>
        <v>0</v>
      </c>
      <c r="BF240" s="15">
        <f>IF('ENCUESTA CONDUCTORES'!BN240="X",1,0)</f>
        <v>0</v>
      </c>
      <c r="BG240" s="15">
        <f>IF('ENCUESTA CONDUCTORES'!BO240="X",1,0)</f>
        <v>0</v>
      </c>
      <c r="BH240" s="15">
        <f>IF('ENCUESTA CONDUCTORES'!BP240="X",1,0)</f>
        <v>0</v>
      </c>
      <c r="BI240" s="15">
        <f>IF('ENCUESTA CONDUCTORES'!BQ240="X",1,0)</f>
        <v>0</v>
      </c>
      <c r="BJ240" s="15">
        <f>IF('ENCUESTA CONDUCTORES'!BR240="X",1,0)</f>
        <v>0</v>
      </c>
      <c r="BK240" s="15" t="str">
        <f>+'ENCUESTA CONDUCTORES'!BS240</f>
        <v>GENERAL</v>
      </c>
      <c r="BL240" s="15">
        <f>IF('ENCUESTA CONDUCTORES'!BT240="X",1,0)</f>
        <v>0</v>
      </c>
      <c r="BM240" s="15">
        <f>IF('ENCUESTA CONDUCTORES'!BU240="X",1,0)</f>
        <v>1</v>
      </c>
      <c r="BN240" s="15">
        <f>IF('ENCUESTA CONDUCTORES'!BV240="X",1,0)</f>
        <v>0</v>
      </c>
      <c r="BO240" s="15">
        <f>IF('ENCUESTA CONDUCTORES'!BW240="X",1,0)</f>
        <v>0</v>
      </c>
      <c r="BP240" s="15">
        <f>+'ENCUESTA CONDUCTORES'!BX240</f>
        <v>2</v>
      </c>
      <c r="BQ240" s="15">
        <f>+'ENCUESTA CONDUCTORES'!BY240</f>
        <v>4</v>
      </c>
      <c r="BR240" s="15">
        <f>+'ENCUESTA CONDUCTORES'!BZ240</f>
        <v>3</v>
      </c>
      <c r="BS240" s="15" t="str">
        <f>+'ENCUESTA CONDUCTORES'!CA240</f>
        <v>SEGURIDAD</v>
      </c>
      <c r="BT240" s="15">
        <f>IF('ENCUESTA CONDUCTORES'!CB240="X",1,0)</f>
        <v>0</v>
      </c>
      <c r="BU240" s="15">
        <f>IF('ENCUESTA CONDUCTORES'!CC240="X",1,0)</f>
        <v>1</v>
      </c>
      <c r="BV240" s="15">
        <f>IF('ENCUESTA CONDUCTORES'!CD240="X",1,0)</f>
        <v>0</v>
      </c>
      <c r="BW240" s="15">
        <f>IF('ENCUESTA CONDUCTORES'!CE240="X",1,0)</f>
        <v>1</v>
      </c>
      <c r="BX240" s="15">
        <f>IF('ENCUESTA CONDUCTORES'!CF240="X",1,0)</f>
        <v>0</v>
      </c>
      <c r="BY240" s="15">
        <f>IF('ENCUESTA CONDUCTORES'!CG240="X",1,0)</f>
        <v>1</v>
      </c>
      <c r="BZ240" s="15">
        <f>IF('ENCUESTA CONDUCTORES'!CH240="X",1,0)</f>
        <v>1</v>
      </c>
      <c r="CA240" s="15">
        <f>IF('ENCUESTA CONDUCTORES'!CI240="X",1,0)</f>
        <v>1</v>
      </c>
      <c r="CB240" s="15">
        <f>IF('ENCUESTA CONDUCTORES'!CJ240="X",1,0)</f>
        <v>0</v>
      </c>
      <c r="CC240" s="15">
        <f>IF('ENCUESTA CONDUCTORES'!CK240="X",1,0)</f>
        <v>1</v>
      </c>
      <c r="CD240" s="15">
        <f>IF('ENCUESTA CONDUCTORES'!CL240="X",1,0)</f>
        <v>0</v>
      </c>
      <c r="CE240" s="15">
        <f>IF('ENCUESTA CONDUCTORES'!CM240="X",1,0)</f>
        <v>0</v>
      </c>
      <c r="CF240" s="15">
        <f>+'ENCUESTA CONDUCTORES'!CN240</f>
        <v>0</v>
      </c>
      <c r="CG240" s="15">
        <f>IF('ENCUESTA CONDUCTORES'!CO240="X",1,0)</f>
        <v>0</v>
      </c>
      <c r="CH240" s="15" t="str">
        <f>+'ENCUESTA CONDUCTORES'!CP240</f>
        <v>NO SABE</v>
      </c>
      <c r="CI240" s="15" t="str">
        <f>+'ENCUESTA CONDUCTORES'!CQ240</f>
        <v>MAYOR INFORMACION</v>
      </c>
      <c r="CJ240" s="15">
        <f>IF('ENCUESTA CONDUCTORES'!CR240="X",1,0)</f>
        <v>1</v>
      </c>
      <c r="CK240" s="15">
        <f>IF('ENCUESTA CONDUCTORES'!CS240="X",1,0)</f>
        <v>1</v>
      </c>
      <c r="CL240" s="15">
        <f>IF('ENCUESTA CONDUCTORES'!CT240="X",1,0)</f>
        <v>0</v>
      </c>
      <c r="CM240" s="15">
        <f>+'ENCUESTA CONDUCTORES'!CU240</f>
        <v>0</v>
      </c>
      <c r="CN240" s="15">
        <f>IF('ENCUESTA CONDUCTORES'!CV240="X",1,0)</f>
        <v>1</v>
      </c>
      <c r="CO240" s="15" t="str">
        <f>+'ENCUESTA CONDUCTORES'!CW240</f>
        <v>NO TIENE TIEMPO</v>
      </c>
      <c r="CP240" s="15">
        <f>IF('ENCUESTA CONDUCTORES'!CX240="X",1,0)</f>
        <v>0</v>
      </c>
      <c r="CQ240" s="15">
        <f>IF('ENCUESTA CONDUCTORES'!CY240="X",1,0)</f>
        <v>0</v>
      </c>
      <c r="CR240" s="3">
        <f>+'ENCUESTA CONDUCTORES'!CZ240</f>
        <v>0</v>
      </c>
      <c r="CS240" s="49">
        <f>+'ENCUESTA CONDUCTORES'!DA240</f>
        <v>0</v>
      </c>
    </row>
    <row r="241" spans="2:97" x14ac:dyDescent="0.25">
      <c r="B241" s="14" t="str">
        <f>+'ENCUESTA CONDUCTORES'!D241</f>
        <v>C-252</v>
      </c>
      <c r="C241" s="15">
        <f>IF('ENCUESTA CONDUCTORES'!E241="X",1,0)</f>
        <v>1</v>
      </c>
      <c r="D241" s="15">
        <f>IF('ENCUESTA CONDUCTORES'!F241="X",1,0)</f>
        <v>0</v>
      </c>
      <c r="E241" s="15">
        <f>IF('ENCUESTA CONDUCTORES'!G241="X",1,0)</f>
        <v>0</v>
      </c>
      <c r="F241" s="15">
        <f>IF('ENCUESTA CONDUCTORES'!H241="X",1,0)</f>
        <v>0</v>
      </c>
      <c r="G241" s="15">
        <f>+'ENCUESTA CONDUCTORES'!I241</f>
        <v>41</v>
      </c>
      <c r="H241" s="15" t="str">
        <f>+'ENCUESTA CONDUCTORES'!J241</f>
        <v>M</v>
      </c>
      <c r="I241" s="15" t="str">
        <f>+'ENCUESTA CONDUCTORES'!K241</f>
        <v>BACHILLERATO</v>
      </c>
      <c r="J241" s="15" t="str">
        <f>+'ENCUESTA CONDUCTORES'!L241</f>
        <v>ECATEPEC, EDO. MEX.</v>
      </c>
      <c r="K241" s="15" t="str">
        <f>+'ENCUESTA CONDUCTORES'!M241</f>
        <v>ECATEPEC</v>
      </c>
      <c r="L241" s="15" t="str">
        <f>+'ENCUESTA CONDUCTORES'!N241</f>
        <v>EDO. MEX.</v>
      </c>
      <c r="M241" s="15">
        <f>+'ENCUESTA CONDUCTORES'!O241</f>
        <v>20</v>
      </c>
      <c r="N241" s="15">
        <f>IF('ENCUESTA CONDUCTORES'!P241="X",1,0)</f>
        <v>0</v>
      </c>
      <c r="O241" s="15">
        <f>IF('ENCUESTA CONDUCTORES'!Q241="X",1,0)</f>
        <v>0</v>
      </c>
      <c r="P241" s="15">
        <f>IF('ENCUESTA CONDUCTORES'!R241="X",1,0)</f>
        <v>0</v>
      </c>
      <c r="Q241" s="15">
        <f>IF('ENCUESTA CONDUCTORES'!S241="X",1,0)</f>
        <v>1</v>
      </c>
      <c r="R241" s="15">
        <f>IF('ENCUESTA CONDUCTORES'!T241="X",1,0)</f>
        <v>0</v>
      </c>
      <c r="S241" s="15">
        <f>IF('ENCUESTA CONDUCTORES'!U241="X",1,0)</f>
        <v>1</v>
      </c>
      <c r="T241" s="15">
        <f>IF('ENCUESTA CONDUCTORES'!V241="X",1,0)</f>
        <v>0</v>
      </c>
      <c r="U241" s="15">
        <f>IF('ENCUESTA CONDUCTORES'!W241="X",1,0)</f>
        <v>0</v>
      </c>
      <c r="V241" s="15">
        <f>IF('ENCUESTA CONDUCTORES'!X241="X",1,0)</f>
        <v>0</v>
      </c>
      <c r="W241" s="15">
        <f>IF('ENCUESTA CONDUCTORES'!Y241="X",1,0)</f>
        <v>0</v>
      </c>
      <c r="X241" s="15">
        <f>IF('ENCUESTA CONDUCTORES'!Z241="X",1,0)</f>
        <v>0</v>
      </c>
      <c r="Y241" s="15">
        <f>+'ENCUESTA CONDUCTORES'!AG241</f>
        <v>0</v>
      </c>
      <c r="Z241" s="15">
        <f>+'ENCUESTA CONDUCTORES'!AH241</f>
        <v>1979</v>
      </c>
      <c r="AA241" s="1">
        <f>+'ENCUESTA CONDUCTORES'!AI241</f>
        <v>2052000</v>
      </c>
      <c r="AB241" s="15">
        <f>IF('ENCUESTA CONDUCTORES'!AJ241="X",1,0)</f>
        <v>0</v>
      </c>
      <c r="AC241" s="15">
        <f>IF('ENCUESTA CONDUCTORES'!AK241="X",1,0)</f>
        <v>0</v>
      </c>
      <c r="AD241" s="15">
        <f>IF('ENCUESTA CONDUCTORES'!AL241="X",1,0)</f>
        <v>1</v>
      </c>
      <c r="AE241" s="15">
        <f>IF('ENCUESTA CONDUCTORES'!AM241="X",1,0)</f>
        <v>0</v>
      </c>
      <c r="AF241" s="15">
        <f>IF('ENCUESTA CONDUCTORES'!AN241="X",1,0)</f>
        <v>0</v>
      </c>
      <c r="AG241" s="15">
        <f>IF('ENCUESTA CONDUCTORES'!AO241="X",1,0)</f>
        <v>0</v>
      </c>
      <c r="AH241" s="15">
        <f>IF('ENCUESTA CONDUCTORES'!AP241="X",1,0)</f>
        <v>0</v>
      </c>
      <c r="AI241" s="15">
        <f>IF('ENCUESTA CONDUCTORES'!AQ241="X",1,0)</f>
        <v>1</v>
      </c>
      <c r="AJ241" s="15">
        <f>IF('ENCUESTA CONDUCTORES'!AR241="X",1,0)</f>
        <v>0</v>
      </c>
      <c r="AK241" s="15">
        <f>+'ENCUESTA CONDUCTORES'!AS241</f>
        <v>1998</v>
      </c>
      <c r="AL241" s="15" t="str">
        <f>+'ENCUESTA CONDUCTORES'!AT241</f>
        <v>DETROIT</v>
      </c>
      <c r="AM241" s="1">
        <f>+'ENCUESTA CONDUCTORES'!AU241</f>
        <v>9000</v>
      </c>
      <c r="AN241" s="48">
        <f>+'ENCUESTA CONDUCTORES'!AV241</f>
        <v>0.1</v>
      </c>
      <c r="AO241" s="15">
        <f>+'ENCUESTA CONDUCTORES'!AW241</f>
        <v>3.2</v>
      </c>
      <c r="AP241" s="15">
        <f>+'ENCUESTA CONDUCTORES'!AX241</f>
        <v>2.8</v>
      </c>
      <c r="AQ241" s="15">
        <f>+'ENCUESTA CONDUCTORES'!AY241</f>
        <v>3</v>
      </c>
      <c r="AR241" s="15">
        <f>+'ENCUESTA CONDUCTORES'!AZ241</f>
        <v>1060</v>
      </c>
      <c r="AS241" s="15">
        <f>+'ENCUESTA CONDUCTORES'!BA241</f>
        <v>3200</v>
      </c>
      <c r="AT241" s="15">
        <f>IF('ENCUESTA CONDUCTORES'!BB241="X",1,0)</f>
        <v>0</v>
      </c>
      <c r="AU241" s="15">
        <f>IF('ENCUESTA CONDUCTORES'!BC241="X",1,0)</f>
        <v>0</v>
      </c>
      <c r="AV241" s="15">
        <f>IF('ENCUESTA CONDUCTORES'!BD241="X",1,0)</f>
        <v>0</v>
      </c>
      <c r="AW241" s="1">
        <f>+'ENCUESTA CONDUCTORES'!BE241</f>
        <v>27000</v>
      </c>
      <c r="AX241" s="1">
        <f>+'ENCUESTA CONDUCTORES'!BF241</f>
        <v>27000</v>
      </c>
      <c r="AY241" s="1">
        <f>+'ENCUESTA CONDUCTORES'!BG241</f>
        <v>20000</v>
      </c>
      <c r="AZ241" s="1">
        <f>+'ENCUESTA CONDUCTORES'!BH241</f>
        <v>162000</v>
      </c>
      <c r="BA241" s="1">
        <f>+'ENCUESTA CONDUCTORES'!BI241</f>
        <v>20000</v>
      </c>
      <c r="BB241" s="15">
        <f>IF('ENCUESTA CONDUCTORES'!BJ241="X",1,0)</f>
        <v>0</v>
      </c>
      <c r="BC241" s="15">
        <f>IF('ENCUESTA CONDUCTORES'!BK241="X",1,0)</f>
        <v>0</v>
      </c>
      <c r="BD241" s="15">
        <f>IF('ENCUESTA CONDUCTORES'!BL241="X",1,0)</f>
        <v>0</v>
      </c>
      <c r="BE241" s="15">
        <f>IF('ENCUESTA CONDUCTORES'!BM241="X",1,0)</f>
        <v>0</v>
      </c>
      <c r="BF241" s="15">
        <f>IF('ENCUESTA CONDUCTORES'!BN241="X",1,0)</f>
        <v>0</v>
      </c>
      <c r="BG241" s="15">
        <f>IF('ENCUESTA CONDUCTORES'!BO241="X",1,0)</f>
        <v>0</v>
      </c>
      <c r="BH241" s="15">
        <f>IF('ENCUESTA CONDUCTORES'!BP241="X",1,0)</f>
        <v>0</v>
      </c>
      <c r="BI241" s="15">
        <f>IF('ENCUESTA CONDUCTORES'!BQ241="X",1,0)</f>
        <v>0</v>
      </c>
      <c r="BJ241" s="15">
        <f>IF('ENCUESTA CONDUCTORES'!BR241="X",1,0)</f>
        <v>0</v>
      </c>
      <c r="BK241" s="15" t="str">
        <f>+'ENCUESTA CONDUCTORES'!BS241</f>
        <v>PRODUCTOS DE BELLEZA</v>
      </c>
      <c r="BL241" s="15">
        <f>IF('ENCUESTA CONDUCTORES'!BT241="X",1,0)</f>
        <v>0</v>
      </c>
      <c r="BM241" s="15">
        <f>IF('ENCUESTA CONDUCTORES'!BU241="X",1,0)</f>
        <v>1</v>
      </c>
      <c r="BN241" s="15">
        <f>IF('ENCUESTA CONDUCTORES'!BV241="X",1,0)</f>
        <v>0</v>
      </c>
      <c r="BO241" s="15">
        <f>IF('ENCUESTA CONDUCTORES'!BW241="X",1,0)</f>
        <v>0</v>
      </c>
      <c r="BP241" s="15">
        <f>+'ENCUESTA CONDUCTORES'!BX241</f>
        <v>1</v>
      </c>
      <c r="BQ241" s="15">
        <f>+'ENCUESTA CONDUCTORES'!BY241</f>
        <v>3</v>
      </c>
      <c r="BR241" s="15">
        <f>+'ENCUESTA CONDUCTORES'!BZ241</f>
        <v>2</v>
      </c>
      <c r="BS241" s="15">
        <f>+'ENCUESTA CONDUCTORES'!CA241</f>
        <v>0</v>
      </c>
      <c r="BT241" s="15">
        <f>IF('ENCUESTA CONDUCTORES'!CB241="X",1,0)</f>
        <v>0</v>
      </c>
      <c r="BU241" s="15">
        <f>IF('ENCUESTA CONDUCTORES'!CC241="X",1,0)</f>
        <v>1</v>
      </c>
      <c r="BV241" s="15">
        <f>IF('ENCUESTA CONDUCTORES'!CD241="X",1,0)</f>
        <v>0</v>
      </c>
      <c r="BW241" s="15">
        <f>IF('ENCUESTA CONDUCTORES'!CE241="X",1,0)</f>
        <v>0</v>
      </c>
      <c r="BX241" s="15">
        <f>IF('ENCUESTA CONDUCTORES'!CF241="X",1,0)</f>
        <v>0</v>
      </c>
      <c r="BY241" s="15">
        <f>IF('ENCUESTA CONDUCTORES'!CG241="X",1,0)</f>
        <v>1</v>
      </c>
      <c r="BZ241" s="15">
        <f>IF('ENCUESTA CONDUCTORES'!CH241="X",1,0)</f>
        <v>1</v>
      </c>
      <c r="CA241" s="15">
        <f>IF('ENCUESTA CONDUCTORES'!CI241="X",1,0)</f>
        <v>1</v>
      </c>
      <c r="CB241" s="15">
        <f>IF('ENCUESTA CONDUCTORES'!CJ241="X",1,0)</f>
        <v>0</v>
      </c>
      <c r="CC241" s="15">
        <f>IF('ENCUESTA CONDUCTORES'!CK241="X",1,0)</f>
        <v>1</v>
      </c>
      <c r="CD241" s="15">
        <f>IF('ENCUESTA CONDUCTORES'!CL241="X",1,0)</f>
        <v>0</v>
      </c>
      <c r="CE241" s="15">
        <f>IF('ENCUESTA CONDUCTORES'!CM241="X",1,0)</f>
        <v>0</v>
      </c>
      <c r="CF241" s="15">
        <f>+'ENCUESTA CONDUCTORES'!CN241</f>
        <v>0</v>
      </c>
      <c r="CG241" s="15">
        <f>IF('ENCUESTA CONDUCTORES'!CO241="X",1,0)</f>
        <v>0</v>
      </c>
      <c r="CH241" s="15" t="str">
        <f>+'ENCUESTA CONDUCTORES'!CP241</f>
        <v>NO SABE</v>
      </c>
      <c r="CI241" s="15" t="str">
        <f>+'ENCUESTA CONDUCTORES'!CQ241</f>
        <v>PUBLICIDAD</v>
      </c>
      <c r="CJ241" s="15">
        <f>IF('ENCUESTA CONDUCTORES'!CR241="X",1,0)</f>
        <v>1</v>
      </c>
      <c r="CK241" s="15">
        <f>IF('ENCUESTA CONDUCTORES'!CS241="X",1,0)</f>
        <v>0</v>
      </c>
      <c r="CL241" s="15">
        <f>IF('ENCUESTA CONDUCTORES'!CT241="X",1,0)</f>
        <v>0</v>
      </c>
      <c r="CM241" s="15">
        <f>+'ENCUESTA CONDUCTORES'!CU241</f>
        <v>0</v>
      </c>
      <c r="CN241" s="15">
        <f>IF('ENCUESTA CONDUCTORES'!CV241="X",1,0)</f>
        <v>0</v>
      </c>
      <c r="CO241" s="15">
        <f>+'ENCUESTA CONDUCTORES'!CW241</f>
        <v>0</v>
      </c>
      <c r="CP241" s="15">
        <f>IF('ENCUESTA CONDUCTORES'!CX241="X",1,0)</f>
        <v>0</v>
      </c>
      <c r="CQ241" s="15">
        <f>IF('ENCUESTA CONDUCTORES'!CY241="X",1,0)</f>
        <v>1</v>
      </c>
      <c r="CR241" s="3">
        <f>+'ENCUESTA CONDUCTORES'!CZ241</f>
        <v>0</v>
      </c>
      <c r="CS241" s="49">
        <f>+'ENCUESTA CONDUCTORES'!DA241</f>
        <v>0</v>
      </c>
    </row>
    <row r="242" spans="2:97" x14ac:dyDescent="0.25">
      <c r="B242" s="14" t="str">
        <f>+'ENCUESTA CONDUCTORES'!D242</f>
        <v>C-253</v>
      </c>
      <c r="C242" s="15">
        <f>IF('ENCUESTA CONDUCTORES'!E242="X",1,0)</f>
        <v>0</v>
      </c>
      <c r="D242" s="15">
        <f>IF('ENCUESTA CONDUCTORES'!F242="X",1,0)</f>
        <v>0</v>
      </c>
      <c r="E242" s="15">
        <f>IF('ENCUESTA CONDUCTORES'!G242="X",1,0)</f>
        <v>1</v>
      </c>
      <c r="F242" s="15">
        <f>IF('ENCUESTA CONDUCTORES'!H242="X",1,0)</f>
        <v>0</v>
      </c>
      <c r="G242" s="15">
        <f>+'ENCUESTA CONDUCTORES'!I242</f>
        <v>62</v>
      </c>
      <c r="H242" s="15" t="str">
        <f>+'ENCUESTA CONDUCTORES'!J242</f>
        <v>M</v>
      </c>
      <c r="I242" s="15" t="str">
        <f>+'ENCUESTA CONDUCTORES'!K242</f>
        <v>PRIMARIA</v>
      </c>
      <c r="J242" s="15" t="str">
        <f>+'ENCUESTA CONDUCTORES'!L242</f>
        <v>CUAUHTÉMOC, D.F.</v>
      </c>
      <c r="K242" s="15" t="str">
        <f>+'ENCUESTA CONDUCTORES'!M242</f>
        <v>CUAUHTÉMOC</v>
      </c>
      <c r="L242" s="15" t="str">
        <f>+'ENCUESTA CONDUCTORES'!N242</f>
        <v>D.F.</v>
      </c>
      <c r="M242" s="15">
        <f>+'ENCUESTA CONDUCTORES'!O242</f>
        <v>40</v>
      </c>
      <c r="N242" s="15">
        <f>IF('ENCUESTA CONDUCTORES'!P242="X",1,0)</f>
        <v>1</v>
      </c>
      <c r="O242" s="15">
        <f>IF('ENCUESTA CONDUCTORES'!Q242="X",1,0)</f>
        <v>0</v>
      </c>
      <c r="P242" s="15">
        <f>IF('ENCUESTA CONDUCTORES'!R242="X",1,0)</f>
        <v>0</v>
      </c>
      <c r="Q242" s="15">
        <f>IF('ENCUESTA CONDUCTORES'!S242="X",1,0)</f>
        <v>0</v>
      </c>
      <c r="R242" s="15">
        <f>IF('ENCUESTA CONDUCTORES'!T242="X",1,0)</f>
        <v>0</v>
      </c>
      <c r="S242" s="15">
        <f>IF('ENCUESTA CONDUCTORES'!U242="X",1,0)</f>
        <v>1</v>
      </c>
      <c r="T242" s="15">
        <f>IF('ENCUESTA CONDUCTORES'!V242="X",1,0)</f>
        <v>0</v>
      </c>
      <c r="U242" s="15">
        <f>IF('ENCUESTA CONDUCTORES'!W242="X",1,0)</f>
        <v>0</v>
      </c>
      <c r="V242" s="15">
        <f>IF('ENCUESTA CONDUCTORES'!X242="X",1,0)</f>
        <v>0</v>
      </c>
      <c r="W242" s="15">
        <f>IF('ENCUESTA CONDUCTORES'!Y242="X",1,0)</f>
        <v>0</v>
      </c>
      <c r="X242" s="15">
        <f>IF('ENCUESTA CONDUCTORES'!Z242="X",1,0)</f>
        <v>0</v>
      </c>
      <c r="Y242" s="15">
        <f>+'ENCUESTA CONDUCTORES'!AG242</f>
        <v>0</v>
      </c>
      <c r="Z242" s="15">
        <f>+'ENCUESTA CONDUCTORES'!AH242</f>
        <v>2010</v>
      </c>
      <c r="AA242" s="1">
        <f>+'ENCUESTA CONDUCTORES'!AI242</f>
        <v>100000</v>
      </c>
      <c r="AB242" s="15">
        <f>IF('ENCUESTA CONDUCTORES'!AJ242="X",1,0)</f>
        <v>1</v>
      </c>
      <c r="AC242" s="15">
        <f>IF('ENCUESTA CONDUCTORES'!AK242="X",1,0)</f>
        <v>0</v>
      </c>
      <c r="AD242" s="15">
        <f>IF('ENCUESTA CONDUCTORES'!AL242="X",1,0)</f>
        <v>0</v>
      </c>
      <c r="AE242" s="15">
        <f>IF('ENCUESTA CONDUCTORES'!AM242="X",1,0)</f>
        <v>0</v>
      </c>
      <c r="AF242" s="15">
        <f>IF('ENCUESTA CONDUCTORES'!AN242="X",1,0)</f>
        <v>0</v>
      </c>
      <c r="AG242" s="15">
        <f>IF('ENCUESTA CONDUCTORES'!AO242="X",1,0)</f>
        <v>0</v>
      </c>
      <c r="AH242" s="15">
        <f>IF('ENCUESTA CONDUCTORES'!AP242="X",1,0)</f>
        <v>1</v>
      </c>
      <c r="AI242" s="15">
        <f>IF('ENCUESTA CONDUCTORES'!AQ242="X",1,0)</f>
        <v>0</v>
      </c>
      <c r="AJ242" s="15">
        <f>IF('ENCUESTA CONDUCTORES'!AR242="X",1,0)</f>
        <v>0</v>
      </c>
      <c r="AK242" s="15">
        <f>+'ENCUESTA CONDUCTORES'!AS242</f>
        <v>0</v>
      </c>
      <c r="AL242" s="15" t="str">
        <f>+'ENCUESTA CONDUCTORES'!AT242</f>
        <v>FORD</v>
      </c>
      <c r="AM242" s="1">
        <f>+'ENCUESTA CONDUCTORES'!AU242</f>
        <v>1000</v>
      </c>
      <c r="AN242" s="48">
        <f>+'ENCUESTA CONDUCTORES'!AV242</f>
        <v>0.3</v>
      </c>
      <c r="AO242" s="15">
        <f>+'ENCUESTA CONDUCTORES'!AW242</f>
        <v>7</v>
      </c>
      <c r="AP242" s="15">
        <f>+'ENCUESTA CONDUCTORES'!AX242</f>
        <v>6</v>
      </c>
      <c r="AQ242" s="15">
        <f>+'ENCUESTA CONDUCTORES'!AY242</f>
        <v>1</v>
      </c>
      <c r="AR242" s="15">
        <f>+'ENCUESTA CONDUCTORES'!AZ242</f>
        <v>100</v>
      </c>
      <c r="AS242" s="15">
        <f>+'ENCUESTA CONDUCTORES'!BA242</f>
        <v>700</v>
      </c>
      <c r="AT242" s="15">
        <f>IF('ENCUESTA CONDUCTORES'!BB242="X",1,0)</f>
        <v>0</v>
      </c>
      <c r="AU242" s="15">
        <f>IF('ENCUESTA CONDUCTORES'!BC242="X",1,0)</f>
        <v>1</v>
      </c>
      <c r="AV242" s="15">
        <f>IF('ENCUESTA CONDUCTORES'!BD242="X",1,0)</f>
        <v>0</v>
      </c>
      <c r="AW242" s="1">
        <f>+'ENCUESTA CONDUCTORES'!BE242</f>
        <v>7000</v>
      </c>
      <c r="AX242" s="1">
        <f>+'ENCUESTA CONDUCTORES'!BF242</f>
        <v>7000</v>
      </c>
      <c r="AY242" s="1">
        <f>+'ENCUESTA CONDUCTORES'!BG242</f>
        <v>12000</v>
      </c>
      <c r="AZ242" s="1">
        <f>+'ENCUESTA CONDUCTORES'!BH242</f>
        <v>48000</v>
      </c>
      <c r="BA242" s="1" t="str">
        <f>+'ENCUESTA CONDUCTORES'!BI242</f>
        <v>NO APLICA</v>
      </c>
      <c r="BB242" s="15">
        <f>IF('ENCUESTA CONDUCTORES'!BJ242="X",1,0)</f>
        <v>1</v>
      </c>
      <c r="BC242" s="15">
        <f>IF('ENCUESTA CONDUCTORES'!BK242="X",1,0)</f>
        <v>0</v>
      </c>
      <c r="BD242" s="15">
        <f>IF('ENCUESTA CONDUCTORES'!BL242="X",1,0)</f>
        <v>0</v>
      </c>
      <c r="BE242" s="15">
        <f>IF('ENCUESTA CONDUCTORES'!BM242="X",1,0)</f>
        <v>0</v>
      </c>
      <c r="BF242" s="15">
        <f>IF('ENCUESTA CONDUCTORES'!BN242="X",1,0)</f>
        <v>0</v>
      </c>
      <c r="BG242" s="15">
        <f>IF('ENCUESTA CONDUCTORES'!BO242="X",1,0)</f>
        <v>0</v>
      </c>
      <c r="BH242" s="15">
        <f>IF('ENCUESTA CONDUCTORES'!BP242="X",1,0)</f>
        <v>0</v>
      </c>
      <c r="BI242" s="15">
        <f>IF('ENCUESTA CONDUCTORES'!BQ242="X",1,0)</f>
        <v>0</v>
      </c>
      <c r="BJ242" s="15">
        <f>IF('ENCUESTA CONDUCTORES'!BR242="X",1,0)</f>
        <v>0</v>
      </c>
      <c r="BK242" s="15">
        <f>+'ENCUESTA CONDUCTORES'!BS242</f>
        <v>0</v>
      </c>
      <c r="BL242" s="15">
        <f>IF('ENCUESTA CONDUCTORES'!BT242="X",1,0)</f>
        <v>0</v>
      </c>
      <c r="BM242" s="15">
        <f>IF('ENCUESTA CONDUCTORES'!BU242="X",1,0)</f>
        <v>0</v>
      </c>
      <c r="BN242" s="15">
        <f>IF('ENCUESTA CONDUCTORES'!BV242="X",1,0)</f>
        <v>1</v>
      </c>
      <c r="BO242" s="15">
        <f>IF('ENCUESTA CONDUCTORES'!BW242="X",1,0)</f>
        <v>0</v>
      </c>
      <c r="BP242" s="15">
        <f>+'ENCUESTA CONDUCTORES'!BX242</f>
        <v>1</v>
      </c>
      <c r="BQ242" s="15">
        <f>+'ENCUESTA CONDUCTORES'!BY242</f>
        <v>3</v>
      </c>
      <c r="BR242" s="15">
        <f>+'ENCUESTA CONDUCTORES'!BZ242</f>
        <v>2</v>
      </c>
      <c r="BS242" s="15">
        <f>+'ENCUESTA CONDUCTORES'!CA242</f>
        <v>0</v>
      </c>
      <c r="BT242" s="15">
        <f>IF('ENCUESTA CONDUCTORES'!CB242="X",1,0)</f>
        <v>1</v>
      </c>
      <c r="BU242" s="15">
        <f>IF('ENCUESTA CONDUCTORES'!CC242="X",1,0)</f>
        <v>0</v>
      </c>
      <c r="BV242" s="15">
        <f>IF('ENCUESTA CONDUCTORES'!CD242="X",1,0)</f>
        <v>0</v>
      </c>
      <c r="BW242" s="15">
        <f>IF('ENCUESTA CONDUCTORES'!CE242="X",1,0)</f>
        <v>0</v>
      </c>
      <c r="BX242" s="15">
        <f>IF('ENCUESTA CONDUCTORES'!CF242="X",1,0)</f>
        <v>0</v>
      </c>
      <c r="BY242" s="15">
        <f>IF('ENCUESTA CONDUCTORES'!CG242="X",1,0)</f>
        <v>0</v>
      </c>
      <c r="BZ242" s="15">
        <f>IF('ENCUESTA CONDUCTORES'!CH242="X",1,0)</f>
        <v>0</v>
      </c>
      <c r="CA242" s="15">
        <f>IF('ENCUESTA CONDUCTORES'!CI242="X",1,0)</f>
        <v>0</v>
      </c>
      <c r="CB242" s="15">
        <f>IF('ENCUESTA CONDUCTORES'!CJ242="X",1,0)</f>
        <v>0</v>
      </c>
      <c r="CC242" s="15">
        <f>IF('ENCUESTA CONDUCTORES'!CK242="X",1,0)</f>
        <v>1</v>
      </c>
      <c r="CD242" s="15">
        <f>IF('ENCUESTA CONDUCTORES'!CL242="X",1,0)</f>
        <v>0</v>
      </c>
      <c r="CE242" s="15">
        <f>IF('ENCUESTA CONDUCTORES'!CM242="X",1,0)</f>
        <v>0</v>
      </c>
      <c r="CF242" s="15">
        <f>+'ENCUESTA CONDUCTORES'!CN242</f>
        <v>0</v>
      </c>
      <c r="CG242" s="15">
        <f>IF('ENCUESTA CONDUCTORES'!CO242="X",1,0)</f>
        <v>0</v>
      </c>
      <c r="CH242" s="15" t="str">
        <f>+'ENCUESTA CONDUCTORES'!CP242</f>
        <v>NO SABE</v>
      </c>
      <c r="CI242" s="15" t="str">
        <f>+'ENCUESTA CONDUCTORES'!CQ242</f>
        <v>PUBLICIDAD</v>
      </c>
      <c r="CJ242" s="15">
        <f>IF('ENCUESTA CONDUCTORES'!CR242="X",1,0)</f>
        <v>1</v>
      </c>
      <c r="CK242" s="15">
        <f>IF('ENCUESTA CONDUCTORES'!CS242="X",1,0)</f>
        <v>0</v>
      </c>
      <c r="CL242" s="15">
        <f>IF('ENCUESTA CONDUCTORES'!CT242="X",1,0)</f>
        <v>0</v>
      </c>
      <c r="CM242" s="15">
        <f>+'ENCUESTA CONDUCTORES'!CU242</f>
        <v>0</v>
      </c>
      <c r="CN242" s="15">
        <f>IF('ENCUESTA CONDUCTORES'!CV242="X",1,0)</f>
        <v>0</v>
      </c>
      <c r="CO242" s="15">
        <f>+'ENCUESTA CONDUCTORES'!CW242</f>
        <v>0</v>
      </c>
      <c r="CP242" s="15">
        <f>IF('ENCUESTA CONDUCTORES'!CX242="X",1,0)</f>
        <v>1</v>
      </c>
      <c r="CQ242" s="15">
        <f>IF('ENCUESTA CONDUCTORES'!CY242="X",1,0)</f>
        <v>1</v>
      </c>
      <c r="CR242" s="3">
        <f>+'ENCUESTA CONDUCTORES'!CZ242</f>
        <v>0</v>
      </c>
      <c r="CS242" s="49">
        <f>+'ENCUESTA CONDUCTORES'!DA242</f>
        <v>0</v>
      </c>
    </row>
    <row r="243" spans="2:97" x14ac:dyDescent="0.25">
      <c r="B243" s="14" t="str">
        <f>+'ENCUESTA CONDUCTORES'!D243</f>
        <v>C-254</v>
      </c>
      <c r="C243" s="15">
        <f>IF('ENCUESTA CONDUCTORES'!E243="X",1,0)</f>
        <v>0</v>
      </c>
      <c r="D243" s="15">
        <f>IF('ENCUESTA CONDUCTORES'!F243="X",1,0)</f>
        <v>0</v>
      </c>
      <c r="E243" s="15">
        <f>IF('ENCUESTA CONDUCTORES'!G243="X",1,0)</f>
        <v>0</v>
      </c>
      <c r="F243" s="15">
        <f>IF('ENCUESTA CONDUCTORES'!H243="X",1,0)</f>
        <v>1</v>
      </c>
      <c r="G243" s="15">
        <f>+'ENCUESTA CONDUCTORES'!I243</f>
        <v>42</v>
      </c>
      <c r="H243" s="15" t="str">
        <f>+'ENCUESTA CONDUCTORES'!J243</f>
        <v>M</v>
      </c>
      <c r="I243" s="15" t="str">
        <f>+'ENCUESTA CONDUCTORES'!K243</f>
        <v>SECUNDARIA</v>
      </c>
      <c r="J243" s="15" t="str">
        <f>+'ENCUESTA CONDUCTORES'!L243</f>
        <v>GUSTAVO A. MADERO, D.F.</v>
      </c>
      <c r="K243" s="15" t="str">
        <f>+'ENCUESTA CONDUCTORES'!M243</f>
        <v>GUSTAVO A. MADERO</v>
      </c>
      <c r="L243" s="15" t="str">
        <f>+'ENCUESTA CONDUCTORES'!N243</f>
        <v>D.F.</v>
      </c>
      <c r="M243" s="15">
        <f>+'ENCUESTA CONDUCTORES'!O243</f>
        <v>16</v>
      </c>
      <c r="N243" s="15">
        <f>IF('ENCUESTA CONDUCTORES'!P243="X",1,0)</f>
        <v>1</v>
      </c>
      <c r="O243" s="15">
        <f>IF('ENCUESTA CONDUCTORES'!Q243="X",1,0)</f>
        <v>0</v>
      </c>
      <c r="P243" s="15">
        <f>IF('ENCUESTA CONDUCTORES'!R243="X",1,0)</f>
        <v>0</v>
      </c>
      <c r="Q243" s="15">
        <f>IF('ENCUESTA CONDUCTORES'!S243="X",1,0)</f>
        <v>0</v>
      </c>
      <c r="R243" s="15">
        <f>IF('ENCUESTA CONDUCTORES'!T243="X",1,0)</f>
        <v>0</v>
      </c>
      <c r="S243" s="15">
        <f>IF('ENCUESTA CONDUCTORES'!U243="X",1,0)</f>
        <v>1</v>
      </c>
      <c r="T243" s="15">
        <f>IF('ENCUESTA CONDUCTORES'!V243="X",1,0)</f>
        <v>0</v>
      </c>
      <c r="U243" s="15">
        <f>IF('ENCUESTA CONDUCTORES'!W243="X",1,0)</f>
        <v>0</v>
      </c>
      <c r="V243" s="15">
        <f>IF('ENCUESTA CONDUCTORES'!X243="X",1,0)</f>
        <v>0</v>
      </c>
      <c r="W243" s="15">
        <f>IF('ENCUESTA CONDUCTORES'!Y243="X",1,0)</f>
        <v>0</v>
      </c>
      <c r="X243" s="15">
        <f>IF('ENCUESTA CONDUCTORES'!Z243="X",1,0)</f>
        <v>0</v>
      </c>
      <c r="Y243" s="15">
        <f>+'ENCUESTA CONDUCTORES'!AG243</f>
        <v>0</v>
      </c>
      <c r="Z243" s="15">
        <f>+'ENCUESTA CONDUCTORES'!AH243</f>
        <v>2013</v>
      </c>
      <c r="AA243" s="1">
        <f>+'ENCUESTA CONDUCTORES'!AI243</f>
        <v>10000</v>
      </c>
      <c r="AB243" s="15">
        <f>IF('ENCUESTA CONDUCTORES'!AJ243="X",1,0)</f>
        <v>1</v>
      </c>
      <c r="AC243" s="15">
        <f>IF('ENCUESTA CONDUCTORES'!AK243="X",1,0)</f>
        <v>0</v>
      </c>
      <c r="AD243" s="15">
        <f>IF('ENCUESTA CONDUCTORES'!AL243="X",1,0)</f>
        <v>0</v>
      </c>
      <c r="AE243" s="15">
        <f>IF('ENCUESTA CONDUCTORES'!AM243="X",1,0)</f>
        <v>0</v>
      </c>
      <c r="AF243" s="15">
        <f>IF('ENCUESTA CONDUCTORES'!AN243="X",1,0)</f>
        <v>0</v>
      </c>
      <c r="AG243" s="15">
        <f>IF('ENCUESTA CONDUCTORES'!AO243="X",1,0)</f>
        <v>0</v>
      </c>
      <c r="AH243" s="15">
        <f>IF('ENCUESTA CONDUCTORES'!AP243="X",1,0)</f>
        <v>1</v>
      </c>
      <c r="AI243" s="15">
        <f>IF('ENCUESTA CONDUCTORES'!AQ243="X",1,0)</f>
        <v>0</v>
      </c>
      <c r="AJ243" s="15">
        <f>IF('ENCUESTA CONDUCTORES'!AR243="X",1,0)</f>
        <v>0</v>
      </c>
      <c r="AK243" s="15">
        <f>+'ENCUESTA CONDUCTORES'!AS243</f>
        <v>0</v>
      </c>
      <c r="AL243" s="15" t="str">
        <f>+'ENCUESTA CONDUCTORES'!AT243</f>
        <v>FORD</v>
      </c>
      <c r="AM243" s="1">
        <f>+'ENCUESTA CONDUCTORES'!AU243</f>
        <v>1500</v>
      </c>
      <c r="AN243" s="48">
        <f>+'ENCUESTA CONDUCTORES'!AV243</f>
        <v>0.5</v>
      </c>
      <c r="AO243" s="15">
        <f>+'ENCUESTA CONDUCTORES'!AW243</f>
        <v>6</v>
      </c>
      <c r="AP243" s="15">
        <f>+'ENCUESTA CONDUCTORES'!AX243</f>
        <v>5</v>
      </c>
      <c r="AQ243" s="15">
        <f>+'ENCUESTA CONDUCTORES'!AY243</f>
        <v>2</v>
      </c>
      <c r="AR243" s="15">
        <f>+'ENCUESTA CONDUCTORES'!AZ243</f>
        <v>120</v>
      </c>
      <c r="AS243" s="15">
        <f>+'ENCUESTA CONDUCTORES'!BA243</f>
        <v>600</v>
      </c>
      <c r="AT243" s="15">
        <f>IF('ENCUESTA CONDUCTORES'!BB243="X",1,0)</f>
        <v>0</v>
      </c>
      <c r="AU243" s="15">
        <f>IF('ENCUESTA CONDUCTORES'!BC243="X",1,0)</f>
        <v>0</v>
      </c>
      <c r="AV243" s="15">
        <f>IF('ENCUESTA CONDUCTORES'!BD243="X",1,0)</f>
        <v>0</v>
      </c>
      <c r="AW243" s="1">
        <f>+'ENCUESTA CONDUCTORES'!BE243</f>
        <v>3000</v>
      </c>
      <c r="AX243" s="1" t="str">
        <f>+'ENCUESTA CONDUCTORES'!BF243</f>
        <v>NO SABE</v>
      </c>
      <c r="AY243" s="1">
        <f>+'ENCUESTA CONDUCTORES'!BG243</f>
        <v>5000</v>
      </c>
      <c r="AZ243" s="1" t="str">
        <f>+'ENCUESTA CONDUCTORES'!BH243</f>
        <v>NO SABE</v>
      </c>
      <c r="BA243" s="1" t="str">
        <f>+'ENCUESTA CONDUCTORES'!BI243</f>
        <v>NO APLICA</v>
      </c>
      <c r="BB243" s="15">
        <f>IF('ENCUESTA CONDUCTORES'!BJ243="X",1,0)</f>
        <v>0</v>
      </c>
      <c r="BC243" s="15">
        <f>IF('ENCUESTA CONDUCTORES'!BK243="X",1,0)</f>
        <v>0</v>
      </c>
      <c r="BD243" s="15">
        <f>IF('ENCUESTA CONDUCTORES'!BL243="X",1,0)</f>
        <v>0</v>
      </c>
      <c r="BE243" s="15">
        <f>IF('ENCUESTA CONDUCTORES'!BM243="X",1,0)</f>
        <v>1</v>
      </c>
      <c r="BF243" s="15">
        <f>IF('ENCUESTA CONDUCTORES'!BN243="X",1,0)</f>
        <v>0</v>
      </c>
      <c r="BG243" s="15">
        <f>IF('ENCUESTA CONDUCTORES'!BO243="X",1,0)</f>
        <v>0</v>
      </c>
      <c r="BH243" s="15">
        <f>IF('ENCUESTA CONDUCTORES'!BP243="X",1,0)</f>
        <v>0</v>
      </c>
      <c r="BI243" s="15">
        <f>IF('ENCUESTA CONDUCTORES'!BQ243="X",1,0)</f>
        <v>0</v>
      </c>
      <c r="BJ243" s="15">
        <f>IF('ENCUESTA CONDUCTORES'!BR243="X",1,0)</f>
        <v>0</v>
      </c>
      <c r="BK243" s="15">
        <f>+'ENCUESTA CONDUCTORES'!BS243</f>
        <v>0</v>
      </c>
      <c r="BL243" s="15">
        <f>IF('ENCUESTA CONDUCTORES'!BT243="X",1,0)</f>
        <v>0</v>
      </c>
      <c r="BM243" s="15">
        <f>IF('ENCUESTA CONDUCTORES'!BU243="X",1,0)</f>
        <v>1</v>
      </c>
      <c r="BN243" s="15">
        <f>IF('ENCUESTA CONDUCTORES'!BV243="X",1,0)</f>
        <v>0</v>
      </c>
      <c r="BO243" s="15">
        <f>IF('ENCUESTA CONDUCTORES'!BW243="X",1,0)</f>
        <v>0</v>
      </c>
      <c r="BP243" s="15">
        <f>+'ENCUESTA CONDUCTORES'!BX243</f>
        <v>2</v>
      </c>
      <c r="BQ243" s="15">
        <f>+'ENCUESTA CONDUCTORES'!BY243</f>
        <v>1</v>
      </c>
      <c r="BR243" s="15">
        <f>+'ENCUESTA CONDUCTORES'!BZ243</f>
        <v>3</v>
      </c>
      <c r="BS243" s="15">
        <f>+'ENCUESTA CONDUCTORES'!CA243</f>
        <v>0</v>
      </c>
      <c r="BT243" s="15">
        <f>IF('ENCUESTA CONDUCTORES'!CB243="X",1,0)</f>
        <v>0</v>
      </c>
      <c r="BU243" s="15">
        <f>IF('ENCUESTA CONDUCTORES'!CC243="X",1,0)</f>
        <v>1</v>
      </c>
      <c r="BV243" s="15">
        <f>IF('ENCUESTA CONDUCTORES'!CD243="X",1,0)</f>
        <v>0</v>
      </c>
      <c r="BW243" s="15">
        <f>IF('ENCUESTA CONDUCTORES'!CE243="X",1,0)</f>
        <v>0</v>
      </c>
      <c r="BX243" s="15">
        <f>IF('ENCUESTA CONDUCTORES'!CF243="X",1,0)</f>
        <v>1</v>
      </c>
      <c r="BY243" s="15">
        <f>IF('ENCUESTA CONDUCTORES'!CG243="X",1,0)</f>
        <v>1</v>
      </c>
      <c r="BZ243" s="15">
        <f>IF('ENCUESTA CONDUCTORES'!CH243="X",1,0)</f>
        <v>0</v>
      </c>
      <c r="CA243" s="15">
        <f>IF('ENCUESTA CONDUCTORES'!CI243="X",1,0)</f>
        <v>1</v>
      </c>
      <c r="CB243" s="15">
        <f>IF('ENCUESTA CONDUCTORES'!CJ243="X",1,0)</f>
        <v>0</v>
      </c>
      <c r="CC243" s="15">
        <f>IF('ENCUESTA CONDUCTORES'!CK243="X",1,0)</f>
        <v>1</v>
      </c>
      <c r="CD243" s="15">
        <f>IF('ENCUESTA CONDUCTORES'!CL243="X",1,0)</f>
        <v>0</v>
      </c>
      <c r="CE243" s="15">
        <f>IF('ENCUESTA CONDUCTORES'!CM243="X",1,0)</f>
        <v>0</v>
      </c>
      <c r="CF243" s="15">
        <f>+'ENCUESTA CONDUCTORES'!CN243</f>
        <v>0</v>
      </c>
      <c r="CG243" s="15">
        <f>IF('ENCUESTA CONDUCTORES'!CO243="X",1,0)</f>
        <v>0</v>
      </c>
      <c r="CH243" s="15" t="str">
        <f>+'ENCUESTA CONDUCTORES'!CP243</f>
        <v>NO SABE</v>
      </c>
      <c r="CI243" s="15" t="str">
        <f>+'ENCUESTA CONDUCTORES'!CQ243</f>
        <v>PUBLICIDAD</v>
      </c>
      <c r="CJ243" s="15">
        <f>IF('ENCUESTA CONDUCTORES'!CR243="X",1,0)</f>
        <v>1</v>
      </c>
      <c r="CK243" s="15">
        <f>IF('ENCUESTA CONDUCTORES'!CS243="X",1,0)</f>
        <v>0</v>
      </c>
      <c r="CL243" s="15">
        <f>IF('ENCUESTA CONDUCTORES'!CT243="X",1,0)</f>
        <v>0</v>
      </c>
      <c r="CM243" s="15">
        <f>+'ENCUESTA CONDUCTORES'!CU243</f>
        <v>0</v>
      </c>
      <c r="CN243" s="15">
        <f>IF('ENCUESTA CONDUCTORES'!CV243="X",1,0)</f>
        <v>0</v>
      </c>
      <c r="CO243" s="15">
        <f>+'ENCUESTA CONDUCTORES'!CW243</f>
        <v>0</v>
      </c>
      <c r="CP243" s="15">
        <f>IF('ENCUESTA CONDUCTORES'!CX243="X",1,0)</f>
        <v>1</v>
      </c>
      <c r="CQ243" s="15">
        <f>IF('ENCUESTA CONDUCTORES'!CY243="X",1,0)</f>
        <v>1</v>
      </c>
      <c r="CR243" s="3">
        <f>+'ENCUESTA CONDUCTORES'!CZ243</f>
        <v>0</v>
      </c>
      <c r="CS243" s="49">
        <f>+'ENCUESTA CONDUCTORES'!DA243</f>
        <v>0</v>
      </c>
    </row>
    <row r="244" spans="2:97" x14ac:dyDescent="0.25">
      <c r="B244" s="14" t="str">
        <f>+'ENCUESTA CONDUCTORES'!D244</f>
        <v>C-255</v>
      </c>
      <c r="C244" s="9">
        <f>IF('ENCUESTA CONDUCTORES'!E244="X",1,0)</f>
        <v>0</v>
      </c>
      <c r="D244" s="15">
        <f>IF('ENCUESTA CONDUCTORES'!F244="X",1,0)</f>
        <v>0</v>
      </c>
      <c r="E244" s="15">
        <f>IF('ENCUESTA CONDUCTORES'!G244="X",1,0)</f>
        <v>0</v>
      </c>
      <c r="F244" s="15">
        <f>IF('ENCUESTA CONDUCTORES'!H244="X",1,0)</f>
        <v>1</v>
      </c>
      <c r="G244" s="15">
        <f>+'ENCUESTA CONDUCTORES'!I244</f>
        <v>42</v>
      </c>
      <c r="H244" s="15" t="str">
        <f>+'ENCUESTA CONDUCTORES'!J244</f>
        <v>M</v>
      </c>
      <c r="I244" s="15" t="str">
        <f>+'ENCUESTA CONDUCTORES'!K244</f>
        <v>SECUNDARIA</v>
      </c>
      <c r="J244" s="15" t="str">
        <f>+'ENCUESTA CONDUCTORES'!L244</f>
        <v>TLALNEPANTLA, EDO. MEX.</v>
      </c>
      <c r="K244" s="15" t="str">
        <f>+'ENCUESTA CONDUCTORES'!M244</f>
        <v>TLALNEPANTLA</v>
      </c>
      <c r="L244" s="15" t="str">
        <f>+'ENCUESTA CONDUCTORES'!N244</f>
        <v>EDO. MEX.</v>
      </c>
      <c r="M244" s="15">
        <f>+'ENCUESTA CONDUCTORES'!O244</f>
        <v>15</v>
      </c>
      <c r="N244" s="15">
        <f>IF('ENCUESTA CONDUCTORES'!P244="X",1,0)</f>
        <v>1</v>
      </c>
      <c r="O244" s="15">
        <f>IF('ENCUESTA CONDUCTORES'!Q244="X",1,0)</f>
        <v>0</v>
      </c>
      <c r="P244" s="15">
        <f>IF('ENCUESTA CONDUCTORES'!R244="X",1,0)</f>
        <v>0</v>
      </c>
      <c r="Q244" s="15">
        <f>IF('ENCUESTA CONDUCTORES'!S244="X",1,0)</f>
        <v>0</v>
      </c>
      <c r="R244" s="15">
        <f>IF('ENCUESTA CONDUCTORES'!T244="X",1,0)</f>
        <v>0</v>
      </c>
      <c r="S244" s="15">
        <f>IF('ENCUESTA CONDUCTORES'!U244="X",1,0)</f>
        <v>0</v>
      </c>
      <c r="T244" s="15">
        <f>IF('ENCUESTA CONDUCTORES'!V244="X",1,0)</f>
        <v>0</v>
      </c>
      <c r="U244" s="15">
        <f>IF('ENCUESTA CONDUCTORES'!W244="X",1,0)</f>
        <v>0</v>
      </c>
      <c r="V244" s="15">
        <f>IF('ENCUESTA CONDUCTORES'!X244="X",1,0)</f>
        <v>0</v>
      </c>
      <c r="W244" s="15">
        <f>IF('ENCUESTA CONDUCTORES'!Y244="X",1,0)</f>
        <v>1</v>
      </c>
      <c r="X244" s="15">
        <f>IF('ENCUESTA CONDUCTORES'!Z244="X",1,0)</f>
        <v>0</v>
      </c>
      <c r="Y244" s="15">
        <f>+'ENCUESTA CONDUCTORES'!AG244</f>
        <v>0</v>
      </c>
      <c r="Z244" s="15">
        <f>+'ENCUESTA CONDUCTORES'!AH244</f>
        <v>2009</v>
      </c>
      <c r="AA244" s="1">
        <f>+'ENCUESTA CONDUCTORES'!AI244</f>
        <v>1200000</v>
      </c>
      <c r="AB244" s="15">
        <f>IF('ENCUESTA CONDUCTORES'!AJ244="X",1,0)</f>
        <v>0</v>
      </c>
      <c r="AC244" s="15">
        <f>IF('ENCUESTA CONDUCTORES'!AK244="X",1,0)</f>
        <v>0</v>
      </c>
      <c r="AD244" s="15">
        <f>IF('ENCUESTA CONDUCTORES'!AL244="X",1,0)</f>
        <v>1</v>
      </c>
      <c r="AE244" s="15">
        <f>IF('ENCUESTA CONDUCTORES'!AM244="X",1,0)</f>
        <v>0</v>
      </c>
      <c r="AF244" s="15">
        <f>IF('ENCUESTA CONDUCTORES'!AN244="X",1,0)</f>
        <v>0</v>
      </c>
      <c r="AG244" s="15">
        <f>IF('ENCUESTA CONDUCTORES'!AO244="X",1,0)</f>
        <v>0</v>
      </c>
      <c r="AH244" s="15">
        <f>IF('ENCUESTA CONDUCTORES'!AP244="X",1,0)</f>
        <v>1</v>
      </c>
      <c r="AI244" s="15">
        <f>IF('ENCUESTA CONDUCTORES'!AQ244="X",1,0)</f>
        <v>0</v>
      </c>
      <c r="AJ244" s="15">
        <f>IF('ENCUESTA CONDUCTORES'!AR244="X",1,0)</f>
        <v>0</v>
      </c>
      <c r="AK244" s="15">
        <f>+'ENCUESTA CONDUCTORES'!AS244</f>
        <v>0</v>
      </c>
      <c r="AL244" s="15" t="str">
        <f>+'ENCUESTA CONDUCTORES'!AT244</f>
        <v>INTERNATIONAL</v>
      </c>
      <c r="AM244" s="1">
        <f>+'ENCUESTA CONDUCTORES'!AU244</f>
        <v>25000</v>
      </c>
      <c r="AN244" s="48">
        <f>+'ENCUESTA CONDUCTORES'!AV244</f>
        <v>0.5</v>
      </c>
      <c r="AO244" s="15">
        <f>+'ENCUESTA CONDUCTORES'!AW244</f>
        <v>2.2000000000000002</v>
      </c>
      <c r="AP244" s="15">
        <f>+'ENCUESTA CONDUCTORES'!AX244</f>
        <v>1.9</v>
      </c>
      <c r="AQ244" s="15">
        <f>+'ENCUESTA CONDUCTORES'!AY244</f>
        <v>2</v>
      </c>
      <c r="AR244" s="15">
        <f>+'ENCUESTA CONDUCTORES'!AZ244</f>
        <v>940</v>
      </c>
      <c r="AS244" s="15">
        <f>+'ENCUESTA CONDUCTORES'!BA244</f>
        <v>1980</v>
      </c>
      <c r="AT244" s="15">
        <f>IF('ENCUESTA CONDUCTORES'!BB244="X",1,0)</f>
        <v>1</v>
      </c>
      <c r="AU244" s="15">
        <f>IF('ENCUESTA CONDUCTORES'!BC244="X",1,0)</f>
        <v>1</v>
      </c>
      <c r="AV244" s="15">
        <f>IF('ENCUESTA CONDUCTORES'!BD244="X",1,0)</f>
        <v>1</v>
      </c>
      <c r="AW244" s="1">
        <f>+'ENCUESTA CONDUCTORES'!BE244</f>
        <v>25000</v>
      </c>
      <c r="AX244" s="1">
        <f>+'ENCUESTA CONDUCTORES'!BF244</f>
        <v>25000</v>
      </c>
      <c r="AY244" s="1">
        <f>+'ENCUESTA CONDUCTORES'!BG244</f>
        <v>25000</v>
      </c>
      <c r="AZ244" s="1">
        <f>+'ENCUESTA CONDUCTORES'!BH244</f>
        <v>300000</v>
      </c>
      <c r="BA244" s="1">
        <f>+'ENCUESTA CONDUCTORES'!BI244</f>
        <v>25000</v>
      </c>
      <c r="BB244" s="15">
        <f>IF('ENCUESTA CONDUCTORES'!BJ244="X",1,0)</f>
        <v>0</v>
      </c>
      <c r="BC244" s="15">
        <f>IF('ENCUESTA CONDUCTORES'!BK244="X",1,0)</f>
        <v>0</v>
      </c>
      <c r="BD244" s="15">
        <f>IF('ENCUESTA CONDUCTORES'!BL244="X",1,0)</f>
        <v>0</v>
      </c>
      <c r="BE244" s="15">
        <f>IF('ENCUESTA CONDUCTORES'!BM244="X",1,0)</f>
        <v>0</v>
      </c>
      <c r="BF244" s="15">
        <f>IF('ENCUESTA CONDUCTORES'!BN244="X",1,0)</f>
        <v>0</v>
      </c>
      <c r="BG244" s="15">
        <f>IF('ENCUESTA CONDUCTORES'!BO244="X",1,0)</f>
        <v>0</v>
      </c>
      <c r="BH244" s="15">
        <f>IF('ENCUESTA CONDUCTORES'!BP244="X",1,0)</f>
        <v>0</v>
      </c>
      <c r="BI244" s="15">
        <f>IF('ENCUESTA CONDUCTORES'!BQ244="X",1,0)</f>
        <v>0</v>
      </c>
      <c r="BJ244" s="15">
        <f>IF('ENCUESTA CONDUCTORES'!BR244="X",1,0)</f>
        <v>1</v>
      </c>
      <c r="BK244" s="15">
        <f>+'ENCUESTA CONDUCTORES'!BS244</f>
        <v>0</v>
      </c>
      <c r="BL244" s="15">
        <f>IF('ENCUESTA CONDUCTORES'!BT244="X",1,0)</f>
        <v>0</v>
      </c>
      <c r="BM244" s="15">
        <f>IF('ENCUESTA CONDUCTORES'!BU244="X",1,0)</f>
        <v>1</v>
      </c>
      <c r="BN244" s="15">
        <f>IF('ENCUESTA CONDUCTORES'!BV244="X",1,0)</f>
        <v>0</v>
      </c>
      <c r="BO244" s="15">
        <f>IF('ENCUESTA CONDUCTORES'!BW244="X",1,0)</f>
        <v>0</v>
      </c>
      <c r="BP244" s="15">
        <f>+'ENCUESTA CONDUCTORES'!BX244</f>
        <v>2</v>
      </c>
      <c r="BQ244" s="15">
        <f>+'ENCUESTA CONDUCTORES'!BY244</f>
        <v>4</v>
      </c>
      <c r="BR244" s="15">
        <f>+'ENCUESTA CONDUCTORES'!BZ244</f>
        <v>3</v>
      </c>
      <c r="BS244" s="15" t="str">
        <f>+'ENCUESTA CONDUCTORES'!CA244</f>
        <v>SEGURIDAD</v>
      </c>
      <c r="BT244" s="15">
        <f>IF('ENCUESTA CONDUCTORES'!CB244="X",1,0)</f>
        <v>0</v>
      </c>
      <c r="BU244" s="15">
        <f>IF('ENCUESTA CONDUCTORES'!CC244="X",1,0)</f>
        <v>1</v>
      </c>
      <c r="BV244" s="15">
        <f>IF('ENCUESTA CONDUCTORES'!CD244="X",1,0)</f>
        <v>0</v>
      </c>
      <c r="BW244" s="15">
        <f>IF('ENCUESTA CONDUCTORES'!CE244="X",1,0)</f>
        <v>1</v>
      </c>
      <c r="BX244" s="15">
        <f>IF('ENCUESTA CONDUCTORES'!CF244="X",1,0)</f>
        <v>0</v>
      </c>
      <c r="BY244" s="15">
        <f>IF('ENCUESTA CONDUCTORES'!CG244="X",1,0)</f>
        <v>1</v>
      </c>
      <c r="BZ244" s="15">
        <f>IF('ENCUESTA CONDUCTORES'!CH244="X",1,0)</f>
        <v>1</v>
      </c>
      <c r="CA244" s="15">
        <f>IF('ENCUESTA CONDUCTORES'!CI244="X",1,0)</f>
        <v>1</v>
      </c>
      <c r="CB244" s="15">
        <f>IF('ENCUESTA CONDUCTORES'!CJ244="X",1,0)</f>
        <v>0</v>
      </c>
      <c r="CC244" s="15">
        <f>IF('ENCUESTA CONDUCTORES'!CK244="X",1,0)</f>
        <v>1</v>
      </c>
      <c r="CD244" s="15">
        <f>IF('ENCUESTA CONDUCTORES'!CL244="X",1,0)</f>
        <v>0</v>
      </c>
      <c r="CE244" s="15">
        <f>IF('ENCUESTA CONDUCTORES'!CM244="X",1,0)</f>
        <v>0</v>
      </c>
      <c r="CF244" s="15">
        <f>+'ENCUESTA CONDUCTORES'!CN244</f>
        <v>0</v>
      </c>
      <c r="CG244" s="15">
        <f>IF('ENCUESTA CONDUCTORES'!CO244="X",1,0)</f>
        <v>0</v>
      </c>
      <c r="CH244" s="15" t="str">
        <f>+'ENCUESTA CONDUCTORES'!CP244</f>
        <v>NO SABE</v>
      </c>
      <c r="CI244" s="15" t="str">
        <f>+'ENCUESTA CONDUCTORES'!CQ244</f>
        <v>MAYOR INFORMACION</v>
      </c>
      <c r="CJ244" s="15">
        <f>IF('ENCUESTA CONDUCTORES'!CR244="X",1,0)</f>
        <v>1</v>
      </c>
      <c r="CK244" s="15">
        <f>IF('ENCUESTA CONDUCTORES'!CS244="X",1,0)</f>
        <v>0</v>
      </c>
      <c r="CL244" s="15">
        <f>IF('ENCUESTA CONDUCTORES'!CT244="X",1,0)</f>
        <v>0</v>
      </c>
      <c r="CM244" s="15">
        <f>+'ENCUESTA CONDUCTORES'!CU244</f>
        <v>0</v>
      </c>
      <c r="CN244" s="15">
        <f>IF('ENCUESTA CONDUCTORES'!CV244="X",1,0)</f>
        <v>1</v>
      </c>
      <c r="CO244" s="15" t="str">
        <f>+'ENCUESTA CONDUCTORES'!CW244</f>
        <v>NO TIENE TIEMPO</v>
      </c>
      <c r="CP244" s="15">
        <f>IF('ENCUESTA CONDUCTORES'!CX244="X",1,0)</f>
        <v>0</v>
      </c>
      <c r="CQ244" s="15">
        <f>IF('ENCUESTA CONDUCTORES'!CY244="X",1,0)</f>
        <v>0</v>
      </c>
      <c r="CR244" s="3">
        <f>+'ENCUESTA CONDUCTORES'!CZ244</f>
        <v>0</v>
      </c>
      <c r="CS244" s="49" t="str">
        <f>+'ENCUESTA CONDUCTORES'!DA244</f>
        <v>TRANSPORTA SOSA E HIPOCLORITO / AVISAR A LAS EMPRESAS PARA QUE LOS DEJEN IR A CURSOS</v>
      </c>
    </row>
    <row r="245" spans="2:97" x14ac:dyDescent="0.25">
      <c r="B245" s="14" t="str">
        <f>+'ENCUESTA CONDUCTORES'!D245</f>
        <v>C-256</v>
      </c>
      <c r="C245" s="15">
        <f>IF('ENCUESTA CONDUCTORES'!E245="X",1,0)</f>
        <v>0</v>
      </c>
      <c r="D245" s="15">
        <f>IF('ENCUESTA CONDUCTORES'!F245="X",1,0)</f>
        <v>0</v>
      </c>
      <c r="E245" s="15">
        <f>IF('ENCUESTA CONDUCTORES'!G245="X",1,0)</f>
        <v>0</v>
      </c>
      <c r="F245" s="15">
        <f>IF('ENCUESTA CONDUCTORES'!H245="X",1,0)</f>
        <v>1</v>
      </c>
      <c r="G245" s="15">
        <f>+'ENCUESTA CONDUCTORES'!I245</f>
        <v>34</v>
      </c>
      <c r="H245" s="15" t="str">
        <f>+'ENCUESTA CONDUCTORES'!J245</f>
        <v>M</v>
      </c>
      <c r="I245" s="15" t="str">
        <f>+'ENCUESTA CONDUCTORES'!K245</f>
        <v>SECUNDARIA</v>
      </c>
      <c r="J245" s="15" t="str">
        <f>+'ENCUESTA CONDUCTORES'!L245</f>
        <v>ECATEPEC, EDO. MEX.</v>
      </c>
      <c r="K245" s="15" t="str">
        <f>+'ENCUESTA CONDUCTORES'!M245</f>
        <v>ECATEPEC</v>
      </c>
      <c r="L245" s="15" t="str">
        <f>+'ENCUESTA CONDUCTORES'!N245</f>
        <v>EDO. MEX.</v>
      </c>
      <c r="M245" s="15">
        <f>+'ENCUESTA CONDUCTORES'!O245</f>
        <v>12</v>
      </c>
      <c r="N245" s="15">
        <f>IF('ENCUESTA CONDUCTORES'!P245="X",1,0)</f>
        <v>0</v>
      </c>
      <c r="O245" s="15">
        <f>IF('ENCUESTA CONDUCTORES'!Q245="X",1,0)</f>
        <v>0</v>
      </c>
      <c r="P245" s="15">
        <f>IF('ENCUESTA CONDUCTORES'!R245="X",1,0)</f>
        <v>0</v>
      </c>
      <c r="Q245" s="15">
        <f>IF('ENCUESTA CONDUCTORES'!S245="X",1,0)</f>
        <v>1</v>
      </c>
      <c r="R245" s="15">
        <f>IF('ENCUESTA CONDUCTORES'!T245="X",1,0)</f>
        <v>0</v>
      </c>
      <c r="S245" s="15">
        <f>IF('ENCUESTA CONDUCTORES'!U245="X",1,0)</f>
        <v>0</v>
      </c>
      <c r="T245" s="15">
        <f>IF('ENCUESTA CONDUCTORES'!V245="X",1,0)</f>
        <v>0</v>
      </c>
      <c r="U245" s="15">
        <f>IF('ENCUESTA CONDUCTORES'!W245="X",1,0)</f>
        <v>0</v>
      </c>
      <c r="V245" s="15">
        <f>IF('ENCUESTA CONDUCTORES'!X245="X",1,0)</f>
        <v>0</v>
      </c>
      <c r="W245" s="15">
        <f>IF('ENCUESTA CONDUCTORES'!Y245="X",1,0)</f>
        <v>0</v>
      </c>
      <c r="X245" s="15">
        <f>IF('ENCUESTA CONDUCTORES'!Z245="X",1,0)</f>
        <v>0</v>
      </c>
      <c r="Y245" s="15">
        <f>+'ENCUESTA CONDUCTORES'!AG245</f>
        <v>0</v>
      </c>
      <c r="Z245" s="15">
        <f>+'ENCUESTA CONDUCTORES'!AH245</f>
        <v>2006</v>
      </c>
      <c r="AA245" s="1">
        <f>+'ENCUESTA CONDUCTORES'!AI245</f>
        <v>540000</v>
      </c>
      <c r="AB245" s="15">
        <f>IF('ENCUESTA CONDUCTORES'!AJ245="X",1,0)</f>
        <v>0</v>
      </c>
      <c r="AC245" s="15">
        <f>IF('ENCUESTA CONDUCTORES'!AK245="X",1,0)</f>
        <v>0</v>
      </c>
      <c r="AD245" s="15">
        <f>IF('ENCUESTA CONDUCTORES'!AL245="X",1,0)</f>
        <v>1</v>
      </c>
      <c r="AE245" s="15">
        <f>IF('ENCUESTA CONDUCTORES'!AM245="X",1,0)</f>
        <v>0</v>
      </c>
      <c r="AF245" s="15">
        <f>IF('ENCUESTA CONDUCTORES'!AN245="X",1,0)</f>
        <v>0</v>
      </c>
      <c r="AG245" s="15">
        <f>IF('ENCUESTA CONDUCTORES'!AO245="X",1,0)</f>
        <v>0</v>
      </c>
      <c r="AH245" s="15">
        <f>IF('ENCUESTA CONDUCTORES'!AP245="X",1,0)</f>
        <v>1</v>
      </c>
      <c r="AI245" s="15">
        <f>IF('ENCUESTA CONDUCTORES'!AQ245="X",1,0)</f>
        <v>0</v>
      </c>
      <c r="AJ245" s="15">
        <f>IF('ENCUESTA CONDUCTORES'!AR245="X",1,0)</f>
        <v>0</v>
      </c>
      <c r="AK245" s="15">
        <f>+'ENCUESTA CONDUCTORES'!AS245</f>
        <v>0</v>
      </c>
      <c r="AL245" s="15" t="str">
        <f>+'ENCUESTA CONDUCTORES'!AT245</f>
        <v>KENWORTH</v>
      </c>
      <c r="AM245" s="1">
        <f>+'ENCUESTA CONDUCTORES'!AU245</f>
        <v>2500</v>
      </c>
      <c r="AN245" s="48">
        <f>+'ENCUESTA CONDUCTORES'!AV245</f>
        <v>0.5</v>
      </c>
      <c r="AO245" s="15">
        <f>+'ENCUESTA CONDUCTORES'!AW245</f>
        <v>3</v>
      </c>
      <c r="AP245" s="15">
        <f>+'ENCUESTA CONDUCTORES'!AX245</f>
        <v>2.5</v>
      </c>
      <c r="AQ245" s="15">
        <f>+'ENCUESTA CONDUCTORES'!AY245</f>
        <v>3</v>
      </c>
      <c r="AR245" s="15">
        <f>+'ENCUESTA CONDUCTORES'!AZ245</f>
        <v>1100</v>
      </c>
      <c r="AS245" s="15">
        <f>+'ENCUESTA CONDUCTORES'!BA245</f>
        <v>3000</v>
      </c>
      <c r="AT245" s="15">
        <f>IF('ENCUESTA CONDUCTORES'!BB245="X",1,0)</f>
        <v>1</v>
      </c>
      <c r="AU245" s="15">
        <f>IF('ENCUESTA CONDUCTORES'!BC245="X",1,0)</f>
        <v>0</v>
      </c>
      <c r="AV245" s="15">
        <f>IF('ENCUESTA CONDUCTORES'!BD245="X",1,0)</f>
        <v>1</v>
      </c>
      <c r="AW245" s="1">
        <f>+'ENCUESTA CONDUCTORES'!BE245</f>
        <v>2500</v>
      </c>
      <c r="AX245" s="1">
        <f>+'ENCUESTA CONDUCTORES'!BF245</f>
        <v>2500</v>
      </c>
      <c r="AY245" s="1">
        <f>+'ENCUESTA CONDUCTORES'!BG245</f>
        <v>2500</v>
      </c>
      <c r="AZ245" s="1">
        <f>+'ENCUESTA CONDUCTORES'!BH245</f>
        <v>30000</v>
      </c>
      <c r="BA245" s="1">
        <f>+'ENCUESTA CONDUCTORES'!BI245</f>
        <v>2500</v>
      </c>
      <c r="BB245" s="15">
        <f>IF('ENCUESTA CONDUCTORES'!BJ245="X",1,0)</f>
        <v>0</v>
      </c>
      <c r="BC245" s="15">
        <f>IF('ENCUESTA CONDUCTORES'!BK245="X",1,0)</f>
        <v>0</v>
      </c>
      <c r="BD245" s="15">
        <f>IF('ENCUESTA CONDUCTORES'!BL245="X",1,0)</f>
        <v>0</v>
      </c>
      <c r="BE245" s="15">
        <f>IF('ENCUESTA CONDUCTORES'!BM245="X",1,0)</f>
        <v>0</v>
      </c>
      <c r="BF245" s="15">
        <f>IF('ENCUESTA CONDUCTORES'!BN245="X",1,0)</f>
        <v>0</v>
      </c>
      <c r="BG245" s="15">
        <f>IF('ENCUESTA CONDUCTORES'!BO245="X",1,0)</f>
        <v>0</v>
      </c>
      <c r="BH245" s="15">
        <f>IF('ENCUESTA CONDUCTORES'!BP245="X",1,0)</f>
        <v>0</v>
      </c>
      <c r="BI245" s="15">
        <f>IF('ENCUESTA CONDUCTORES'!BQ245="X",1,0)</f>
        <v>0</v>
      </c>
      <c r="BJ245" s="15">
        <f>IF('ENCUESTA CONDUCTORES'!BR245="X",1,0)</f>
        <v>0</v>
      </c>
      <c r="BK245" s="15" t="str">
        <f>+'ENCUESTA CONDUCTORES'!BS245</f>
        <v>FORRAJE</v>
      </c>
      <c r="BL245" s="15">
        <f>IF('ENCUESTA CONDUCTORES'!BT245="X",1,0)</f>
        <v>0</v>
      </c>
      <c r="BM245" s="15">
        <f>IF('ENCUESTA CONDUCTORES'!BU245="X",1,0)</f>
        <v>1</v>
      </c>
      <c r="BN245" s="15">
        <f>IF('ENCUESTA CONDUCTORES'!BV245="X",1,0)</f>
        <v>0</v>
      </c>
      <c r="BO245" s="15">
        <f>IF('ENCUESTA CONDUCTORES'!BW245="X",1,0)</f>
        <v>0</v>
      </c>
      <c r="BP245" s="15">
        <f>+'ENCUESTA CONDUCTORES'!BX245</f>
        <v>2</v>
      </c>
      <c r="BQ245" s="15">
        <f>+'ENCUESTA CONDUCTORES'!BY245</f>
        <v>3</v>
      </c>
      <c r="BR245" s="15">
        <f>+'ENCUESTA CONDUCTORES'!BZ245</f>
        <v>1</v>
      </c>
      <c r="BS245" s="15">
        <f>+'ENCUESTA CONDUCTORES'!CA245</f>
        <v>0</v>
      </c>
      <c r="BT245" s="15">
        <f>IF('ENCUESTA CONDUCTORES'!CB245="X",1,0)</f>
        <v>0</v>
      </c>
      <c r="BU245" s="15">
        <f>IF('ENCUESTA CONDUCTORES'!CC245="X",1,0)</f>
        <v>1</v>
      </c>
      <c r="BV245" s="15">
        <f>IF('ENCUESTA CONDUCTORES'!CD245="X",1,0)</f>
        <v>0</v>
      </c>
      <c r="BW245" s="15">
        <f>IF('ENCUESTA CONDUCTORES'!CE245="X",1,0)</f>
        <v>1</v>
      </c>
      <c r="BX245" s="15">
        <f>IF('ENCUESTA CONDUCTORES'!CF245="X",1,0)</f>
        <v>0</v>
      </c>
      <c r="BY245" s="15">
        <f>IF('ENCUESTA CONDUCTORES'!CG245="X",1,0)</f>
        <v>0</v>
      </c>
      <c r="BZ245" s="15">
        <f>IF('ENCUESTA CONDUCTORES'!CH245="X",1,0)</f>
        <v>1</v>
      </c>
      <c r="CA245" s="15">
        <f>IF('ENCUESTA CONDUCTORES'!CI245="X",1,0)</f>
        <v>1</v>
      </c>
      <c r="CB245" s="15">
        <f>IF('ENCUESTA CONDUCTORES'!CJ245="X",1,0)</f>
        <v>0</v>
      </c>
      <c r="CC245" s="15">
        <f>IF('ENCUESTA CONDUCTORES'!CK245="X",1,0)</f>
        <v>1</v>
      </c>
      <c r="CD245" s="15">
        <f>IF('ENCUESTA CONDUCTORES'!CL245="X",1,0)</f>
        <v>0</v>
      </c>
      <c r="CE245" s="15">
        <f>IF('ENCUESTA CONDUCTORES'!CM245="X",1,0)</f>
        <v>0</v>
      </c>
      <c r="CF245" s="15">
        <f>+'ENCUESTA CONDUCTORES'!CN245</f>
        <v>0</v>
      </c>
      <c r="CG245" s="15">
        <f>IF('ENCUESTA CONDUCTORES'!CO245="X",1,0)</f>
        <v>0</v>
      </c>
      <c r="CH245" s="15" t="str">
        <f>+'ENCUESTA CONDUCTORES'!CP245</f>
        <v>NO SABE</v>
      </c>
      <c r="CI245" s="15" t="str">
        <f>+'ENCUESTA CONDUCTORES'!CQ245</f>
        <v>MAYOR INFORMACION</v>
      </c>
      <c r="CJ245" s="15">
        <f>IF('ENCUESTA CONDUCTORES'!CR245="X",1,0)</f>
        <v>0</v>
      </c>
      <c r="CK245" s="15">
        <f>IF('ENCUESTA CONDUCTORES'!CS245="X",1,0)</f>
        <v>1</v>
      </c>
      <c r="CL245" s="15">
        <f>IF('ENCUESTA CONDUCTORES'!CT245="X",1,0)</f>
        <v>0</v>
      </c>
      <c r="CM245" s="15">
        <f>+'ENCUESTA CONDUCTORES'!CU245</f>
        <v>0</v>
      </c>
      <c r="CN245" s="15">
        <f>IF('ENCUESTA CONDUCTORES'!CV245="X",1,0)</f>
        <v>0</v>
      </c>
      <c r="CO245" s="15">
        <f>+'ENCUESTA CONDUCTORES'!CW245</f>
        <v>0</v>
      </c>
      <c r="CP245" s="15">
        <f>IF('ENCUESTA CONDUCTORES'!CX245="X",1,0)</f>
        <v>0</v>
      </c>
      <c r="CQ245" s="15">
        <f>IF('ENCUESTA CONDUCTORES'!CY245="X",1,0)</f>
        <v>1</v>
      </c>
      <c r="CR245" s="3">
        <f>+'ENCUESTA CONDUCTORES'!CZ245</f>
        <v>0</v>
      </c>
      <c r="CS245" s="49">
        <f>+'ENCUESTA CONDUCTORES'!DA245</f>
        <v>0</v>
      </c>
    </row>
    <row r="246" spans="2:97" x14ac:dyDescent="0.25">
      <c r="B246" s="14" t="str">
        <f>+'ENCUESTA CONDUCTORES'!D246</f>
        <v>C-257</v>
      </c>
      <c r="C246" s="15">
        <f>IF('ENCUESTA CONDUCTORES'!E246="X",1,0)</f>
        <v>0</v>
      </c>
      <c r="D246" s="15">
        <f>IF('ENCUESTA CONDUCTORES'!F246="X",1,0)</f>
        <v>0</v>
      </c>
      <c r="E246" s="15">
        <f>IF('ENCUESTA CONDUCTORES'!G246="X",1,0)</f>
        <v>1</v>
      </c>
      <c r="F246" s="15">
        <f>IF('ENCUESTA CONDUCTORES'!H246="X",1,0)</f>
        <v>0</v>
      </c>
      <c r="G246" s="15">
        <f>+'ENCUESTA CONDUCTORES'!I246</f>
        <v>31</v>
      </c>
      <c r="H246" s="15" t="str">
        <f>+'ENCUESTA CONDUCTORES'!J246</f>
        <v>M</v>
      </c>
      <c r="I246" s="15" t="str">
        <f>+'ENCUESTA CONDUCTORES'!K246</f>
        <v>PRIMARIA</v>
      </c>
      <c r="J246" s="15" t="str">
        <f>+'ENCUESTA CONDUCTORES'!L246</f>
        <v>MIGUEL HIDALGO, D.F.</v>
      </c>
      <c r="K246" s="15" t="str">
        <f>+'ENCUESTA CONDUCTORES'!M246</f>
        <v>MIGUEL HIDALGO</v>
      </c>
      <c r="L246" s="15" t="str">
        <f>+'ENCUESTA CONDUCTORES'!N246</f>
        <v>D.F.</v>
      </c>
      <c r="M246" s="15">
        <f>+'ENCUESTA CONDUCTORES'!O246</f>
        <v>8</v>
      </c>
      <c r="N246" s="15">
        <f>IF('ENCUESTA CONDUCTORES'!P246="X",1,0)</f>
        <v>0</v>
      </c>
      <c r="O246" s="15">
        <f>IF('ENCUESTA CONDUCTORES'!Q246="X",1,0)</f>
        <v>0</v>
      </c>
      <c r="P246" s="15">
        <f>IF('ENCUESTA CONDUCTORES'!R246="X",1,0)</f>
        <v>0</v>
      </c>
      <c r="Q246" s="15">
        <f>IF('ENCUESTA CONDUCTORES'!S246="X",1,0)</f>
        <v>1</v>
      </c>
      <c r="R246" s="15">
        <f>IF('ENCUESTA CONDUCTORES'!T246="X",1,0)</f>
        <v>0</v>
      </c>
      <c r="S246" s="15">
        <f>IF('ENCUESTA CONDUCTORES'!U246="X",1,0)</f>
        <v>1</v>
      </c>
      <c r="T246" s="15">
        <f>IF('ENCUESTA CONDUCTORES'!V246="X",1,0)</f>
        <v>0</v>
      </c>
      <c r="U246" s="15">
        <f>IF('ENCUESTA CONDUCTORES'!W246="X",1,0)</f>
        <v>0</v>
      </c>
      <c r="V246" s="15">
        <f>IF('ENCUESTA CONDUCTORES'!X246="X",1,0)</f>
        <v>0</v>
      </c>
      <c r="W246" s="15">
        <f>IF('ENCUESTA CONDUCTORES'!Y246="X",1,0)</f>
        <v>0</v>
      </c>
      <c r="X246" s="15">
        <f>IF('ENCUESTA CONDUCTORES'!Z246="X",1,0)</f>
        <v>0</v>
      </c>
      <c r="Y246" s="15">
        <f>+'ENCUESTA CONDUCTORES'!AG246</f>
        <v>0</v>
      </c>
      <c r="Z246" s="15">
        <f>+'ENCUESTA CONDUCTORES'!AH246</f>
        <v>1993</v>
      </c>
      <c r="AA246" s="1">
        <f>+'ENCUESTA CONDUCTORES'!AI246</f>
        <v>1600000</v>
      </c>
      <c r="AB246" s="15">
        <f>IF('ENCUESTA CONDUCTORES'!AJ246="X",1,0)</f>
        <v>0</v>
      </c>
      <c r="AC246" s="15">
        <f>IF('ENCUESTA CONDUCTORES'!AK246="X",1,0)</f>
        <v>0</v>
      </c>
      <c r="AD246" s="15">
        <f>IF('ENCUESTA CONDUCTORES'!AL246="X",1,0)</f>
        <v>1</v>
      </c>
      <c r="AE246" s="15">
        <f>IF('ENCUESTA CONDUCTORES'!AM246="X",1,0)</f>
        <v>0</v>
      </c>
      <c r="AF246" s="15">
        <f>IF('ENCUESTA CONDUCTORES'!AN246="X",1,0)</f>
        <v>0</v>
      </c>
      <c r="AG246" s="15">
        <f>IF('ENCUESTA CONDUCTORES'!AO246="X",1,0)</f>
        <v>0</v>
      </c>
      <c r="AH246" s="15">
        <f>IF('ENCUESTA CONDUCTORES'!AP246="X",1,0)</f>
        <v>1</v>
      </c>
      <c r="AI246" s="15">
        <f>IF('ENCUESTA CONDUCTORES'!AQ246="X",1,0)</f>
        <v>0</v>
      </c>
      <c r="AJ246" s="15">
        <f>IF('ENCUESTA CONDUCTORES'!AR246="X",1,0)</f>
        <v>0</v>
      </c>
      <c r="AK246" s="15">
        <f>+'ENCUESTA CONDUCTORES'!AS246</f>
        <v>0</v>
      </c>
      <c r="AL246" s="15" t="str">
        <f>+'ENCUESTA CONDUCTORES'!AT246</f>
        <v>FREIGHTLINER</v>
      </c>
      <c r="AM246" s="1">
        <f>+'ENCUESTA CONDUCTORES'!AU246</f>
        <v>7000</v>
      </c>
      <c r="AN246" s="48">
        <f>+'ENCUESTA CONDUCTORES'!AV246</f>
        <v>0</v>
      </c>
      <c r="AO246" s="15">
        <f>+'ENCUESTA CONDUCTORES'!AW246</f>
        <v>4</v>
      </c>
      <c r="AP246" s="15">
        <f>+'ENCUESTA CONDUCTORES'!AX246</f>
        <v>3.7</v>
      </c>
      <c r="AQ246" s="15">
        <f>+'ENCUESTA CONDUCTORES'!AY246</f>
        <v>2</v>
      </c>
      <c r="AR246" s="15">
        <f>+'ENCUESTA CONDUCTORES'!AZ246</f>
        <v>380</v>
      </c>
      <c r="AS246" s="15">
        <f>+'ENCUESTA CONDUCTORES'!BA246</f>
        <v>1500</v>
      </c>
      <c r="AT246" s="15">
        <f>IF('ENCUESTA CONDUCTORES'!BB246="X",1,0)</f>
        <v>1</v>
      </c>
      <c r="AU246" s="15">
        <f>IF('ENCUESTA CONDUCTORES'!BC246="X",1,0)</f>
        <v>0</v>
      </c>
      <c r="AV246" s="15">
        <f>IF('ENCUESTA CONDUCTORES'!BD246="X",1,0)</f>
        <v>0</v>
      </c>
      <c r="AW246" s="1">
        <f>+'ENCUESTA CONDUCTORES'!BE246</f>
        <v>15000</v>
      </c>
      <c r="AX246" s="1">
        <f>+'ENCUESTA CONDUCTORES'!BF246</f>
        <v>13000</v>
      </c>
      <c r="AY246" s="1">
        <f>+'ENCUESTA CONDUCTORES'!BG246</f>
        <v>20000</v>
      </c>
      <c r="AZ246" s="1">
        <f>+'ENCUESTA CONDUCTORES'!BH246</f>
        <v>140000</v>
      </c>
      <c r="BA246" s="1">
        <f>+'ENCUESTA CONDUCTORES'!BI246</f>
        <v>20000</v>
      </c>
      <c r="BB246" s="15">
        <f>IF('ENCUESTA CONDUCTORES'!BJ246="X",1,0)</f>
        <v>0</v>
      </c>
      <c r="BC246" s="15">
        <f>IF('ENCUESTA CONDUCTORES'!BK246="X",1,0)</f>
        <v>0</v>
      </c>
      <c r="BD246" s="15">
        <f>IF('ENCUESTA CONDUCTORES'!BL246="X",1,0)</f>
        <v>0</v>
      </c>
      <c r="BE246" s="15">
        <f>IF('ENCUESTA CONDUCTORES'!BM246="X",1,0)</f>
        <v>0</v>
      </c>
      <c r="BF246" s="15">
        <f>IF('ENCUESTA CONDUCTORES'!BN246="X",1,0)</f>
        <v>0</v>
      </c>
      <c r="BG246" s="15">
        <f>IF('ENCUESTA CONDUCTORES'!BO246="X",1,0)</f>
        <v>0</v>
      </c>
      <c r="BH246" s="15">
        <f>IF('ENCUESTA CONDUCTORES'!BP246="X",1,0)</f>
        <v>0</v>
      </c>
      <c r="BI246" s="15">
        <f>IF('ENCUESTA CONDUCTORES'!BQ246="X",1,0)</f>
        <v>0</v>
      </c>
      <c r="BJ246" s="15">
        <f>IF('ENCUESTA CONDUCTORES'!BR246="X",1,0)</f>
        <v>0</v>
      </c>
      <c r="BK246" s="15" t="str">
        <f>+'ENCUESTA CONDUCTORES'!BS246</f>
        <v>ANIMALES</v>
      </c>
      <c r="BL246" s="15">
        <f>IF('ENCUESTA CONDUCTORES'!BT246="X",1,0)</f>
        <v>0</v>
      </c>
      <c r="BM246" s="15">
        <f>IF('ENCUESTA CONDUCTORES'!BU246="X",1,0)</f>
        <v>1</v>
      </c>
      <c r="BN246" s="15">
        <f>IF('ENCUESTA CONDUCTORES'!BV246="X",1,0)</f>
        <v>0</v>
      </c>
      <c r="BO246" s="15">
        <f>IF('ENCUESTA CONDUCTORES'!BW246="X",1,0)</f>
        <v>0</v>
      </c>
      <c r="BP246" s="15">
        <f>+'ENCUESTA CONDUCTORES'!BX246</f>
        <v>3</v>
      </c>
      <c r="BQ246" s="15">
        <f>+'ENCUESTA CONDUCTORES'!BY246</f>
        <v>1</v>
      </c>
      <c r="BR246" s="15">
        <f>+'ENCUESTA CONDUCTORES'!BZ246</f>
        <v>2</v>
      </c>
      <c r="BS246" s="15">
        <f>+'ENCUESTA CONDUCTORES'!CA246</f>
        <v>0</v>
      </c>
      <c r="BT246" s="15">
        <f>IF('ENCUESTA CONDUCTORES'!CB246="X",1,0)</f>
        <v>1</v>
      </c>
      <c r="BU246" s="15">
        <f>IF('ENCUESTA CONDUCTORES'!CC246="X",1,0)</f>
        <v>0</v>
      </c>
      <c r="BV246" s="15">
        <f>IF('ENCUESTA CONDUCTORES'!CD246="X",1,0)</f>
        <v>0</v>
      </c>
      <c r="BW246" s="15">
        <f>IF('ENCUESTA CONDUCTORES'!CE246="X",1,0)</f>
        <v>0</v>
      </c>
      <c r="BX246" s="15">
        <f>IF('ENCUESTA CONDUCTORES'!CF246="X",1,0)</f>
        <v>0</v>
      </c>
      <c r="BY246" s="15">
        <f>IF('ENCUESTA CONDUCTORES'!CG246="X",1,0)</f>
        <v>0</v>
      </c>
      <c r="BZ246" s="15">
        <f>IF('ENCUESTA CONDUCTORES'!CH246="X",1,0)</f>
        <v>0</v>
      </c>
      <c r="CA246" s="15">
        <f>IF('ENCUESTA CONDUCTORES'!CI246="X",1,0)</f>
        <v>0</v>
      </c>
      <c r="CB246" s="15">
        <f>IF('ENCUESTA CONDUCTORES'!CJ246="X",1,0)</f>
        <v>0</v>
      </c>
      <c r="CC246" s="15">
        <f>IF('ENCUESTA CONDUCTORES'!CK246="X",1,0)</f>
        <v>1</v>
      </c>
      <c r="CD246" s="15">
        <f>IF('ENCUESTA CONDUCTORES'!CL246="X",1,0)</f>
        <v>0</v>
      </c>
      <c r="CE246" s="15">
        <f>IF('ENCUESTA CONDUCTORES'!CM246="X",1,0)</f>
        <v>0</v>
      </c>
      <c r="CF246" s="15">
        <f>+'ENCUESTA CONDUCTORES'!CN246</f>
        <v>0</v>
      </c>
      <c r="CG246" s="15">
        <f>IF('ENCUESTA CONDUCTORES'!CO246="X",1,0)</f>
        <v>0</v>
      </c>
      <c r="CH246" s="15" t="str">
        <f>+'ENCUESTA CONDUCTORES'!CP246</f>
        <v>NO SABE</v>
      </c>
      <c r="CI246" s="15" t="str">
        <f>+'ENCUESTA CONDUCTORES'!CQ246</f>
        <v>MAYOR INFORMACION</v>
      </c>
      <c r="CJ246" s="15">
        <f>IF('ENCUESTA CONDUCTORES'!CR246="X",1,0)</f>
        <v>1</v>
      </c>
      <c r="CK246" s="15">
        <f>IF('ENCUESTA CONDUCTORES'!CS246="X",1,0)</f>
        <v>0</v>
      </c>
      <c r="CL246" s="15">
        <f>IF('ENCUESTA CONDUCTORES'!CT246="X",1,0)</f>
        <v>0</v>
      </c>
      <c r="CM246" s="15">
        <f>+'ENCUESTA CONDUCTORES'!CU246</f>
        <v>0</v>
      </c>
      <c r="CN246" s="15">
        <f>IF('ENCUESTA CONDUCTORES'!CV246="X",1,0)</f>
        <v>0</v>
      </c>
      <c r="CO246" s="15">
        <f>+'ENCUESTA CONDUCTORES'!CW246</f>
        <v>0</v>
      </c>
      <c r="CP246" s="15">
        <f>IF('ENCUESTA CONDUCTORES'!CX246="X",1,0)</f>
        <v>1</v>
      </c>
      <c r="CQ246" s="15">
        <f>IF('ENCUESTA CONDUCTORES'!CY246="X",1,0)</f>
        <v>1</v>
      </c>
      <c r="CR246" s="3">
        <f>+'ENCUESTA CONDUCTORES'!CZ246</f>
        <v>0</v>
      </c>
      <c r="CS246" s="49">
        <f>+'ENCUESTA CONDUCTORES'!DA246</f>
        <v>0</v>
      </c>
    </row>
    <row r="247" spans="2:97" x14ac:dyDescent="0.25">
      <c r="B247" s="14" t="str">
        <f>+'ENCUESTA CONDUCTORES'!D247</f>
        <v>C-258</v>
      </c>
      <c r="C247" s="15">
        <f>IF('ENCUESTA CONDUCTORES'!E247="X",1,0)</f>
        <v>0</v>
      </c>
      <c r="D247" s="15">
        <f>IF('ENCUESTA CONDUCTORES'!F247="X",1,0)</f>
        <v>0</v>
      </c>
      <c r="E247" s="15">
        <f>IF('ENCUESTA CONDUCTORES'!G247="X",1,0)</f>
        <v>0</v>
      </c>
      <c r="F247" s="15">
        <f>IF('ENCUESTA CONDUCTORES'!H247="X",1,0)</f>
        <v>1</v>
      </c>
      <c r="G247" s="15">
        <f>+'ENCUESTA CONDUCTORES'!I247</f>
        <v>47</v>
      </c>
      <c r="H247" s="15" t="str">
        <f>+'ENCUESTA CONDUCTORES'!J247</f>
        <v>M</v>
      </c>
      <c r="I247" s="15" t="str">
        <f>+'ENCUESTA CONDUCTORES'!K247</f>
        <v>SECUNDARIA</v>
      </c>
      <c r="J247" s="15" t="str">
        <f>+'ENCUESTA CONDUCTORES'!L247</f>
        <v>COACALCO, EDO. MEX</v>
      </c>
      <c r="K247" s="15" t="str">
        <f>+'ENCUESTA CONDUCTORES'!M247</f>
        <v>COACALCO</v>
      </c>
      <c r="L247" s="15" t="str">
        <f>+'ENCUESTA CONDUCTORES'!N247</f>
        <v>EDO. MEX.</v>
      </c>
      <c r="M247" s="15">
        <f>+'ENCUESTA CONDUCTORES'!O247</f>
        <v>12</v>
      </c>
      <c r="N247" s="15">
        <f>IF('ENCUESTA CONDUCTORES'!P247="X",1,0)</f>
        <v>1</v>
      </c>
      <c r="O247" s="15">
        <f>IF('ENCUESTA CONDUCTORES'!Q247="X",1,0)</f>
        <v>0</v>
      </c>
      <c r="P247" s="15">
        <f>IF('ENCUESTA CONDUCTORES'!R247="X",1,0)</f>
        <v>0</v>
      </c>
      <c r="Q247" s="15">
        <f>IF('ENCUESTA CONDUCTORES'!S247="X",1,0)</f>
        <v>0</v>
      </c>
      <c r="R247" s="15">
        <f>IF('ENCUESTA CONDUCTORES'!T247="X",1,0)</f>
        <v>0</v>
      </c>
      <c r="S247" s="15">
        <f>IF('ENCUESTA CONDUCTORES'!U247="X",1,0)</f>
        <v>1</v>
      </c>
      <c r="T247" s="15">
        <f>IF('ENCUESTA CONDUCTORES'!V247="X",1,0)</f>
        <v>0</v>
      </c>
      <c r="U247" s="15">
        <f>IF('ENCUESTA CONDUCTORES'!W247="X",1,0)</f>
        <v>0</v>
      </c>
      <c r="V247" s="15">
        <f>IF('ENCUESTA CONDUCTORES'!X247="X",1,0)</f>
        <v>0</v>
      </c>
      <c r="W247" s="15">
        <f>IF('ENCUESTA CONDUCTORES'!Y247="X",1,0)</f>
        <v>0</v>
      </c>
      <c r="X247" s="15">
        <f>IF('ENCUESTA CONDUCTORES'!Z247="X",1,0)</f>
        <v>0</v>
      </c>
      <c r="Y247" s="15">
        <f>+'ENCUESTA CONDUCTORES'!AG247</f>
        <v>0</v>
      </c>
      <c r="Z247" s="15">
        <f>+'ENCUESTA CONDUCTORES'!AH247</f>
        <v>2000</v>
      </c>
      <c r="AA247" s="1">
        <f>+'ENCUESTA CONDUCTORES'!AI247</f>
        <v>520000</v>
      </c>
      <c r="AB247" s="15">
        <f>IF('ENCUESTA CONDUCTORES'!AJ247="X",1,0)</f>
        <v>0</v>
      </c>
      <c r="AC247" s="15">
        <f>IF('ENCUESTA CONDUCTORES'!AK247="X",1,0)</f>
        <v>1</v>
      </c>
      <c r="AD247" s="15">
        <f>IF('ENCUESTA CONDUCTORES'!AL247="X",1,0)</f>
        <v>0</v>
      </c>
      <c r="AE247" s="15">
        <f>IF('ENCUESTA CONDUCTORES'!AM247="X",1,0)</f>
        <v>0</v>
      </c>
      <c r="AF247" s="15">
        <f>IF('ENCUESTA CONDUCTORES'!AN247="X",1,0)</f>
        <v>0</v>
      </c>
      <c r="AG247" s="15">
        <f>IF('ENCUESTA CONDUCTORES'!AO247="X",1,0)</f>
        <v>0</v>
      </c>
      <c r="AH247" s="15">
        <f>IF('ENCUESTA CONDUCTORES'!AP247="X",1,0)</f>
        <v>1</v>
      </c>
      <c r="AI247" s="15">
        <f>IF('ENCUESTA CONDUCTORES'!AQ247="X",1,0)</f>
        <v>0</v>
      </c>
      <c r="AJ247" s="15">
        <f>IF('ENCUESTA CONDUCTORES'!AR247="X",1,0)</f>
        <v>0</v>
      </c>
      <c r="AK247" s="15">
        <f>+'ENCUESTA CONDUCTORES'!AS247</f>
        <v>0</v>
      </c>
      <c r="AL247" s="15" t="str">
        <f>+'ENCUESTA CONDUCTORES'!AT247</f>
        <v>FORD</v>
      </c>
      <c r="AM247" s="1">
        <f>+'ENCUESTA CONDUCTORES'!AU247</f>
        <v>2000</v>
      </c>
      <c r="AN247" s="48">
        <f>+'ENCUESTA CONDUCTORES'!AV247</f>
        <v>0.1</v>
      </c>
      <c r="AO247" s="15">
        <f>+'ENCUESTA CONDUCTORES'!AW247</f>
        <v>2.8</v>
      </c>
      <c r="AP247" s="15">
        <f>+'ENCUESTA CONDUCTORES'!AX247</f>
        <v>2.2000000000000002</v>
      </c>
      <c r="AQ247" s="15">
        <f>+'ENCUESTA CONDUCTORES'!AY247</f>
        <v>1</v>
      </c>
      <c r="AR247" s="15">
        <f>+'ENCUESTA CONDUCTORES'!AZ247</f>
        <v>200</v>
      </c>
      <c r="AS247" s="15">
        <f>+'ENCUESTA CONDUCTORES'!BA247</f>
        <v>500</v>
      </c>
      <c r="AT247" s="15">
        <f>IF('ENCUESTA CONDUCTORES'!BB247="X",1,0)</f>
        <v>1</v>
      </c>
      <c r="AU247" s="15">
        <f>IF('ENCUESTA CONDUCTORES'!BC247="X",1,0)</f>
        <v>1</v>
      </c>
      <c r="AV247" s="15">
        <f>IF('ENCUESTA CONDUCTORES'!BD247="X",1,0)</f>
        <v>1</v>
      </c>
      <c r="AW247" s="1">
        <f>+'ENCUESTA CONDUCTORES'!BE247</f>
        <v>6000</v>
      </c>
      <c r="AX247" s="1">
        <f>+'ENCUESTA CONDUCTORES'!BF247</f>
        <v>6000</v>
      </c>
      <c r="AY247" s="1">
        <f>+'ENCUESTA CONDUCTORES'!BG247</f>
        <v>6000</v>
      </c>
      <c r="AZ247" s="1">
        <f>+'ENCUESTA CONDUCTORES'!BH247</f>
        <v>24000</v>
      </c>
      <c r="BA247" s="1" t="str">
        <f>+'ENCUESTA CONDUCTORES'!BI247</f>
        <v>NO APLICA</v>
      </c>
      <c r="BB247" s="15">
        <f>IF('ENCUESTA CONDUCTORES'!BJ247="X",1,0)</f>
        <v>0</v>
      </c>
      <c r="BC247" s="15">
        <f>IF('ENCUESTA CONDUCTORES'!BK247="X",1,0)</f>
        <v>0</v>
      </c>
      <c r="BD247" s="15">
        <f>IF('ENCUESTA CONDUCTORES'!BL247="X",1,0)</f>
        <v>0</v>
      </c>
      <c r="BE247" s="15">
        <f>IF('ENCUESTA CONDUCTORES'!BM247="X",1,0)</f>
        <v>0</v>
      </c>
      <c r="BF247" s="15">
        <f>IF('ENCUESTA CONDUCTORES'!BN247="X",1,0)</f>
        <v>0</v>
      </c>
      <c r="BG247" s="15">
        <f>IF('ENCUESTA CONDUCTORES'!BO247="X",1,0)</f>
        <v>0</v>
      </c>
      <c r="BH247" s="15">
        <f>IF('ENCUESTA CONDUCTORES'!BP247="X",1,0)</f>
        <v>0</v>
      </c>
      <c r="BI247" s="15">
        <f>IF('ENCUESTA CONDUCTORES'!BQ247="X",1,0)</f>
        <v>0</v>
      </c>
      <c r="BJ247" s="15">
        <f>IF('ENCUESTA CONDUCTORES'!BR247="X",1,0)</f>
        <v>0</v>
      </c>
      <c r="BK247" s="15" t="str">
        <f>+'ENCUESTA CONDUCTORES'!BS247</f>
        <v>VALORES</v>
      </c>
      <c r="BL247" s="15">
        <f>IF('ENCUESTA CONDUCTORES'!BT247="X",1,0)</f>
        <v>0</v>
      </c>
      <c r="BM247" s="15">
        <f>IF('ENCUESTA CONDUCTORES'!BU247="X",1,0)</f>
        <v>1</v>
      </c>
      <c r="BN247" s="15">
        <f>IF('ENCUESTA CONDUCTORES'!BV247="X",1,0)</f>
        <v>0</v>
      </c>
      <c r="BO247" s="15">
        <f>IF('ENCUESTA CONDUCTORES'!BW247="X",1,0)</f>
        <v>0</v>
      </c>
      <c r="BP247" s="15">
        <f>+'ENCUESTA CONDUCTORES'!BX247</f>
        <v>2</v>
      </c>
      <c r="BQ247" s="15">
        <f>+'ENCUESTA CONDUCTORES'!BY247</f>
        <v>4</v>
      </c>
      <c r="BR247" s="15">
        <f>+'ENCUESTA CONDUCTORES'!BZ247</f>
        <v>3</v>
      </c>
      <c r="BS247" s="15" t="str">
        <f>+'ENCUESTA CONDUCTORES'!CA247</f>
        <v>SEGURIDAD</v>
      </c>
      <c r="BT247" s="15">
        <f>IF('ENCUESTA CONDUCTORES'!CB247="X",1,0)</f>
        <v>0</v>
      </c>
      <c r="BU247" s="15">
        <f>IF('ENCUESTA CONDUCTORES'!CC247="X",1,0)</f>
        <v>1</v>
      </c>
      <c r="BV247" s="15">
        <f>IF('ENCUESTA CONDUCTORES'!CD247="X",1,0)</f>
        <v>0</v>
      </c>
      <c r="BW247" s="15">
        <f>IF('ENCUESTA CONDUCTORES'!CE247="X",1,0)</f>
        <v>1</v>
      </c>
      <c r="BX247" s="15">
        <f>IF('ENCUESTA CONDUCTORES'!CF247="X",1,0)</f>
        <v>0</v>
      </c>
      <c r="BY247" s="15">
        <f>IF('ENCUESTA CONDUCTORES'!CG247="X",1,0)</f>
        <v>1</v>
      </c>
      <c r="BZ247" s="15">
        <f>IF('ENCUESTA CONDUCTORES'!CH247="X",1,0)</f>
        <v>1</v>
      </c>
      <c r="CA247" s="15">
        <f>IF('ENCUESTA CONDUCTORES'!CI247="X",1,0)</f>
        <v>1</v>
      </c>
      <c r="CB247" s="15">
        <f>IF('ENCUESTA CONDUCTORES'!CJ247="X",1,0)</f>
        <v>0</v>
      </c>
      <c r="CC247" s="15">
        <f>IF('ENCUESTA CONDUCTORES'!CK247="X",1,0)</f>
        <v>0</v>
      </c>
      <c r="CD247" s="15">
        <f>IF('ENCUESTA CONDUCTORES'!CL247="X",1,0)</f>
        <v>1</v>
      </c>
      <c r="CE247" s="15">
        <f>IF('ENCUESTA CONDUCTORES'!CM247="X",1,0)</f>
        <v>1</v>
      </c>
      <c r="CF247" s="15" t="str">
        <f>+'ENCUESTA CONDUCTORES'!CN247</f>
        <v>LA UNIDAD NO CONTAMINA</v>
      </c>
      <c r="CG247" s="15">
        <f>IF('ENCUESTA CONDUCTORES'!CO247="X",1,0)</f>
        <v>0</v>
      </c>
      <c r="CH247" s="15" t="str">
        <f>+'ENCUESTA CONDUCTORES'!CP247</f>
        <v>ES BUENO PARA EL AMBINTE</v>
      </c>
      <c r="CI247" s="15" t="str">
        <f>+'ENCUESTA CONDUCTORES'!CQ247</f>
        <v>MAS INTERES DEL GOBIERNO</v>
      </c>
      <c r="CJ247" s="15">
        <f>IF('ENCUESTA CONDUCTORES'!CR247="X",1,0)</f>
        <v>0</v>
      </c>
      <c r="CK247" s="15">
        <f>IF('ENCUESTA CONDUCTORES'!CS247="X",1,0)</f>
        <v>1</v>
      </c>
      <c r="CL247" s="15">
        <f>IF('ENCUESTA CONDUCTORES'!CT247="X",1,0)</f>
        <v>0</v>
      </c>
      <c r="CM247" s="15">
        <f>+'ENCUESTA CONDUCTORES'!CU247</f>
        <v>0</v>
      </c>
      <c r="CN247" s="15">
        <f>IF('ENCUESTA CONDUCTORES'!CV247="X",1,0)</f>
        <v>1</v>
      </c>
      <c r="CO247" s="15" t="str">
        <f>+'ENCUESTA CONDUCTORES'!CW247</f>
        <v>NO TIENE TIEMPO</v>
      </c>
      <c r="CP247" s="15">
        <f>IF('ENCUESTA CONDUCTORES'!CX247="X",1,0)</f>
        <v>0</v>
      </c>
      <c r="CQ247" s="15">
        <f>IF('ENCUESTA CONDUCTORES'!CY247="X",1,0)</f>
        <v>0</v>
      </c>
      <c r="CR247" s="3">
        <f>+'ENCUESTA CONDUCTORES'!CZ247</f>
        <v>0</v>
      </c>
      <c r="CS247" s="49">
        <f>+'ENCUESTA CONDUCTORES'!DA247</f>
        <v>0</v>
      </c>
    </row>
    <row r="248" spans="2:97" x14ac:dyDescent="0.25">
      <c r="B248" s="14" t="str">
        <f>+'ENCUESTA CONDUCTORES'!D248</f>
        <v>C-259</v>
      </c>
      <c r="C248" s="15">
        <f>IF('ENCUESTA CONDUCTORES'!E248="X",1,0)</f>
        <v>0</v>
      </c>
      <c r="D248" s="15">
        <f>IF('ENCUESTA CONDUCTORES'!F248="X",1,0)</f>
        <v>1</v>
      </c>
      <c r="E248" s="15">
        <f>IF('ENCUESTA CONDUCTORES'!G248="X",1,0)</f>
        <v>0</v>
      </c>
      <c r="F248" s="15">
        <f>IF('ENCUESTA CONDUCTORES'!H248="X",1,0)</f>
        <v>0</v>
      </c>
      <c r="G248" s="15">
        <f>+'ENCUESTA CONDUCTORES'!I248</f>
        <v>42</v>
      </c>
      <c r="H248" s="15" t="str">
        <f>+'ENCUESTA CONDUCTORES'!J248</f>
        <v>M</v>
      </c>
      <c r="I248" s="15" t="str">
        <f>+'ENCUESTA CONDUCTORES'!K248</f>
        <v>SECUNDARIA</v>
      </c>
      <c r="J248" s="15" t="str">
        <f>+'ENCUESTA CONDUCTORES'!L248</f>
        <v>TAMPICO, TAMPS.</v>
      </c>
      <c r="K248" s="15" t="str">
        <f>+'ENCUESTA CONDUCTORES'!M248</f>
        <v>TAMPICO</v>
      </c>
      <c r="L248" s="15" t="str">
        <f>+'ENCUESTA CONDUCTORES'!N248</f>
        <v>TAMAULIPAS</v>
      </c>
      <c r="M248" s="15">
        <f>+'ENCUESTA CONDUCTORES'!O248</f>
        <v>22</v>
      </c>
      <c r="N248" s="15">
        <f>IF('ENCUESTA CONDUCTORES'!P248="X",1,0)</f>
        <v>0</v>
      </c>
      <c r="O248" s="15">
        <f>IF('ENCUESTA CONDUCTORES'!Q248="X",1,0)</f>
        <v>0</v>
      </c>
      <c r="P248" s="15">
        <f>IF('ENCUESTA CONDUCTORES'!R248="X",1,0)</f>
        <v>0</v>
      </c>
      <c r="Q248" s="15">
        <f>IF('ENCUESTA CONDUCTORES'!S248="X",1,0)</f>
        <v>1</v>
      </c>
      <c r="R248" s="15">
        <f>IF('ENCUESTA CONDUCTORES'!T248="X",1,0)</f>
        <v>0</v>
      </c>
      <c r="S248" s="15">
        <f>IF('ENCUESTA CONDUCTORES'!U248="X",1,0)</f>
        <v>0</v>
      </c>
      <c r="T248" s="15">
        <f>IF('ENCUESTA CONDUCTORES'!V248="X",1,0)</f>
        <v>0</v>
      </c>
      <c r="U248" s="15">
        <f>IF('ENCUESTA CONDUCTORES'!W248="X",1,0)</f>
        <v>0</v>
      </c>
      <c r="V248" s="15">
        <f>IF('ENCUESTA CONDUCTORES'!X248="X",1,0)</f>
        <v>0</v>
      </c>
      <c r="W248" s="15">
        <f>IF('ENCUESTA CONDUCTORES'!Y248="X",1,0)</f>
        <v>0</v>
      </c>
      <c r="X248" s="15">
        <f>IF('ENCUESTA CONDUCTORES'!Z248="X",1,0)</f>
        <v>0</v>
      </c>
      <c r="Y248" s="15" t="str">
        <f>+'ENCUESTA CONDUCTORES'!AG248</f>
        <v>FULL</v>
      </c>
      <c r="Z248" s="15">
        <f>+'ENCUESTA CONDUCTORES'!AH248</f>
        <v>2012</v>
      </c>
      <c r="AA248" s="1">
        <f>+'ENCUESTA CONDUCTORES'!AI248</f>
        <v>292000</v>
      </c>
      <c r="AB248" s="15">
        <f>IF('ENCUESTA CONDUCTORES'!AJ248="X",1,0)</f>
        <v>0</v>
      </c>
      <c r="AC248" s="15">
        <f>IF('ENCUESTA CONDUCTORES'!AK248="X",1,0)</f>
        <v>0</v>
      </c>
      <c r="AD248" s="15">
        <f>IF('ENCUESTA CONDUCTORES'!AL248="X",1,0)</f>
        <v>1</v>
      </c>
      <c r="AE248" s="15">
        <f>IF('ENCUESTA CONDUCTORES'!AM248="X",1,0)</f>
        <v>0</v>
      </c>
      <c r="AF248" s="15">
        <f>IF('ENCUESTA CONDUCTORES'!AN248="X",1,0)</f>
        <v>0</v>
      </c>
      <c r="AG248" s="15">
        <f>IF('ENCUESTA CONDUCTORES'!AO248="X",1,0)</f>
        <v>0</v>
      </c>
      <c r="AH248" s="15">
        <f>IF('ENCUESTA CONDUCTORES'!AP248="X",1,0)</f>
        <v>1</v>
      </c>
      <c r="AI248" s="15">
        <f>IF('ENCUESTA CONDUCTORES'!AQ248="X",1,0)</f>
        <v>0</v>
      </c>
      <c r="AJ248" s="15">
        <f>IF('ENCUESTA CONDUCTORES'!AR248="X",1,0)</f>
        <v>0</v>
      </c>
      <c r="AK248" s="15">
        <f>+'ENCUESTA CONDUCTORES'!AS248</f>
        <v>0</v>
      </c>
      <c r="AL248" s="15" t="str">
        <f>+'ENCUESTA CONDUCTORES'!AT248</f>
        <v>KENWORTH</v>
      </c>
      <c r="AM248" s="1">
        <f>+'ENCUESTA CONDUCTORES'!AU248</f>
        <v>25000</v>
      </c>
      <c r="AN248" s="48">
        <f>+'ENCUESTA CONDUCTORES'!AV248</f>
        <v>0.5</v>
      </c>
      <c r="AO248" s="15">
        <f>+'ENCUESTA CONDUCTORES'!AW248</f>
        <v>1.7</v>
      </c>
      <c r="AP248" s="15">
        <f>+'ENCUESTA CONDUCTORES'!AX248</f>
        <v>1.5</v>
      </c>
      <c r="AQ248" s="15">
        <f>+'ENCUESTA CONDUCTORES'!AY248</f>
        <v>3</v>
      </c>
      <c r="AR248" s="15">
        <f>+'ENCUESTA CONDUCTORES'!AZ248</f>
        <v>1750</v>
      </c>
      <c r="AS248" s="15">
        <f>+'ENCUESTA CONDUCTORES'!BA248</f>
        <v>2800</v>
      </c>
      <c r="AT248" s="15">
        <f>IF('ENCUESTA CONDUCTORES'!BB248="X",1,0)</f>
        <v>1</v>
      </c>
      <c r="AU248" s="15">
        <f>IF('ENCUESTA CONDUCTORES'!BC248="X",1,0)</f>
        <v>1</v>
      </c>
      <c r="AV248" s="15">
        <f>IF('ENCUESTA CONDUCTORES'!BD248="X",1,0)</f>
        <v>1</v>
      </c>
      <c r="AW248" s="1">
        <f>+'ENCUESTA CONDUCTORES'!BE248</f>
        <v>25000</v>
      </c>
      <c r="AX248" s="1">
        <f>+'ENCUESTA CONDUCTORES'!BF248</f>
        <v>10000</v>
      </c>
      <c r="AY248" s="1">
        <f>+'ENCUESTA CONDUCTORES'!BG248</f>
        <v>30000</v>
      </c>
      <c r="AZ248" s="1">
        <f>+'ENCUESTA CONDUCTORES'!BH248</f>
        <v>200000</v>
      </c>
      <c r="BA248" s="1">
        <f>+'ENCUESTA CONDUCTORES'!BI248</f>
        <v>30000</v>
      </c>
      <c r="BB248" s="15">
        <f>IF('ENCUESTA CONDUCTORES'!BJ248="X",1,0)</f>
        <v>0</v>
      </c>
      <c r="BC248" s="15">
        <f>IF('ENCUESTA CONDUCTORES'!BK248="X",1,0)</f>
        <v>0</v>
      </c>
      <c r="BD248" s="15">
        <f>IF('ENCUESTA CONDUCTORES'!BL248="X",1,0)</f>
        <v>0</v>
      </c>
      <c r="BE248" s="15">
        <f>IF('ENCUESTA CONDUCTORES'!BM248="X",1,0)</f>
        <v>0</v>
      </c>
      <c r="BF248" s="15">
        <f>IF('ENCUESTA CONDUCTORES'!BN248="X",1,0)</f>
        <v>0</v>
      </c>
      <c r="BG248" s="15">
        <f>IF('ENCUESTA CONDUCTORES'!BO248="X",1,0)</f>
        <v>0</v>
      </c>
      <c r="BH248" s="15">
        <f>IF('ENCUESTA CONDUCTORES'!BP248="X",1,0)</f>
        <v>0</v>
      </c>
      <c r="BI248" s="15">
        <f>IF('ENCUESTA CONDUCTORES'!BQ248="X",1,0)</f>
        <v>0</v>
      </c>
      <c r="BJ248" s="15">
        <f>IF('ENCUESTA CONDUCTORES'!BR248="X",1,0)</f>
        <v>1</v>
      </c>
      <c r="BK248" s="15">
        <f>+'ENCUESTA CONDUCTORES'!BS248</f>
        <v>0</v>
      </c>
      <c r="BL248" s="15">
        <f>IF('ENCUESTA CONDUCTORES'!BT248="X",1,0)</f>
        <v>0</v>
      </c>
      <c r="BM248" s="15">
        <f>IF('ENCUESTA CONDUCTORES'!BU248="X",1,0)</f>
        <v>0</v>
      </c>
      <c r="BN248" s="15">
        <f>IF('ENCUESTA CONDUCTORES'!BV248="X",1,0)</f>
        <v>0</v>
      </c>
      <c r="BO248" s="15">
        <f>IF('ENCUESTA CONDUCTORES'!BW248="X",1,0)</f>
        <v>1</v>
      </c>
      <c r="BP248" s="15">
        <f>+'ENCUESTA CONDUCTORES'!BX248</f>
        <v>1</v>
      </c>
      <c r="BQ248" s="15">
        <f>+'ENCUESTA CONDUCTORES'!BY248</f>
        <v>3</v>
      </c>
      <c r="BR248" s="15">
        <f>+'ENCUESTA CONDUCTORES'!BZ248</f>
        <v>2</v>
      </c>
      <c r="BS248" s="15">
        <f>+'ENCUESTA CONDUCTORES'!CA248</f>
        <v>0</v>
      </c>
      <c r="BT248" s="15">
        <f>IF('ENCUESTA CONDUCTORES'!CB248="X",1,0)</f>
        <v>0</v>
      </c>
      <c r="BU248" s="15">
        <f>IF('ENCUESTA CONDUCTORES'!CC248="X",1,0)</f>
        <v>1</v>
      </c>
      <c r="BV248" s="15">
        <f>IF('ENCUESTA CONDUCTORES'!CD248="X",1,0)</f>
        <v>0</v>
      </c>
      <c r="BW248" s="15">
        <f>IF('ENCUESTA CONDUCTORES'!CE248="X",1,0)</f>
        <v>0</v>
      </c>
      <c r="BX248" s="15">
        <f>IF('ENCUESTA CONDUCTORES'!CF248="X",1,0)</f>
        <v>0</v>
      </c>
      <c r="BY248" s="15">
        <f>IF('ENCUESTA CONDUCTORES'!CG248="X",1,0)</f>
        <v>1</v>
      </c>
      <c r="BZ248" s="15">
        <f>IF('ENCUESTA CONDUCTORES'!CH248="X",1,0)</f>
        <v>1</v>
      </c>
      <c r="CA248" s="15">
        <f>IF('ENCUESTA CONDUCTORES'!CI248="X",1,0)</f>
        <v>1</v>
      </c>
      <c r="CB248" s="15">
        <f>IF('ENCUESTA CONDUCTORES'!CJ248="X",1,0)</f>
        <v>0</v>
      </c>
      <c r="CC248" s="15">
        <f>IF('ENCUESTA CONDUCTORES'!CK248="X",1,0)</f>
        <v>1</v>
      </c>
      <c r="CD248" s="15">
        <f>IF('ENCUESTA CONDUCTORES'!CL248="X",1,0)</f>
        <v>0</v>
      </c>
      <c r="CE248" s="15">
        <f>IF('ENCUESTA CONDUCTORES'!CM248="X",1,0)</f>
        <v>0</v>
      </c>
      <c r="CF248" s="15">
        <f>+'ENCUESTA CONDUCTORES'!CN248</f>
        <v>0</v>
      </c>
      <c r="CG248" s="15">
        <f>IF('ENCUESTA CONDUCTORES'!CO248="X",1,0)</f>
        <v>0</v>
      </c>
      <c r="CH248" s="15" t="str">
        <f>+'ENCUESTA CONDUCTORES'!CP248</f>
        <v>NO SABE</v>
      </c>
      <c r="CI248" s="15" t="str">
        <f>+'ENCUESTA CONDUCTORES'!CQ248</f>
        <v>DARLO A CONOCER</v>
      </c>
      <c r="CJ248" s="15">
        <f>IF('ENCUESTA CONDUCTORES'!CR248="X",1,0)</f>
        <v>0</v>
      </c>
      <c r="CK248" s="15">
        <f>IF('ENCUESTA CONDUCTORES'!CS248="X",1,0)</f>
        <v>0</v>
      </c>
      <c r="CL248" s="15">
        <f>IF('ENCUESTA CONDUCTORES'!CT248="X",1,0)</f>
        <v>0</v>
      </c>
      <c r="CM248" s="15" t="str">
        <f>+'ENCUESTA CONDUCTORES'!CU248</f>
        <v>MANEJO DE MATERIAL PELIGROSO</v>
      </c>
      <c r="CN248" s="15">
        <f>IF('ENCUESTA CONDUCTORES'!CV248="X",1,0)</f>
        <v>0</v>
      </c>
      <c r="CO248" s="15">
        <f>+'ENCUESTA CONDUCTORES'!CW248</f>
        <v>0</v>
      </c>
      <c r="CP248" s="15">
        <f>IF('ENCUESTA CONDUCTORES'!CX248="X",1,0)</f>
        <v>1</v>
      </c>
      <c r="CQ248" s="15">
        <f>IF('ENCUESTA CONDUCTORES'!CY248="X",1,0)</f>
        <v>1</v>
      </c>
      <c r="CR248" s="3">
        <f>+'ENCUESTA CONDUCTORES'!CZ248</f>
        <v>0</v>
      </c>
      <c r="CS248" s="49">
        <f>+'ENCUESTA CONDUCTORES'!DA248</f>
        <v>0</v>
      </c>
    </row>
    <row r="249" spans="2:97" x14ac:dyDescent="0.25">
      <c r="B249" s="14" t="str">
        <f>+'ENCUESTA CONDUCTORES'!D249</f>
        <v>C-260</v>
      </c>
      <c r="C249" s="15">
        <f>IF('ENCUESTA CONDUCTORES'!E249="X",1,0)</f>
        <v>0</v>
      </c>
      <c r="D249" s="15">
        <f>IF('ENCUESTA CONDUCTORES'!F249="X",1,0)</f>
        <v>0</v>
      </c>
      <c r="E249" s="15">
        <f>IF('ENCUESTA CONDUCTORES'!G249="X",1,0)</f>
        <v>0</v>
      </c>
      <c r="F249" s="15">
        <f>IF('ENCUESTA CONDUCTORES'!H249="X",1,0)</f>
        <v>1</v>
      </c>
      <c r="G249" s="15">
        <f>+'ENCUESTA CONDUCTORES'!I249</f>
        <v>42</v>
      </c>
      <c r="H249" s="15" t="str">
        <f>+'ENCUESTA CONDUCTORES'!J249</f>
        <v>M</v>
      </c>
      <c r="I249" s="15" t="str">
        <f>+'ENCUESTA CONDUCTORES'!K249</f>
        <v>SECUNDARIA</v>
      </c>
      <c r="J249" s="15" t="str">
        <f>+'ENCUESTA CONDUCTORES'!L249</f>
        <v>ACAPULCO, GRO.</v>
      </c>
      <c r="K249" s="15" t="str">
        <f>+'ENCUESTA CONDUCTORES'!M249</f>
        <v>ACAPULCO</v>
      </c>
      <c r="L249" s="15" t="str">
        <f>+'ENCUESTA CONDUCTORES'!N249</f>
        <v>GUERRERO</v>
      </c>
      <c r="M249" s="15">
        <f>+'ENCUESTA CONDUCTORES'!O249</f>
        <v>20</v>
      </c>
      <c r="N249" s="15">
        <f>IF('ENCUESTA CONDUCTORES'!P249="X",1,0)</f>
        <v>0</v>
      </c>
      <c r="O249" s="15">
        <f>IF('ENCUESTA CONDUCTORES'!Q249="X",1,0)</f>
        <v>1</v>
      </c>
      <c r="P249" s="15">
        <f>IF('ENCUESTA CONDUCTORES'!R249="X",1,0)</f>
        <v>0</v>
      </c>
      <c r="Q249" s="15">
        <f>IF('ENCUESTA CONDUCTORES'!S249="X",1,0)</f>
        <v>0</v>
      </c>
      <c r="R249" s="15">
        <f>IF('ENCUESTA CONDUCTORES'!T249="X",1,0)</f>
        <v>0</v>
      </c>
      <c r="S249" s="15">
        <f>IF('ENCUESTA CONDUCTORES'!U249="X",1,0)</f>
        <v>0</v>
      </c>
      <c r="T249" s="15">
        <f>IF('ENCUESTA CONDUCTORES'!V249="X",1,0)</f>
        <v>0</v>
      </c>
      <c r="U249" s="15">
        <f>IF('ENCUESTA CONDUCTORES'!W249="X",1,0)</f>
        <v>0</v>
      </c>
      <c r="V249" s="15">
        <f>IF('ENCUESTA CONDUCTORES'!X249="X",1,0)</f>
        <v>0</v>
      </c>
      <c r="W249" s="15">
        <f>IF('ENCUESTA CONDUCTORES'!Y249="X",1,0)</f>
        <v>0</v>
      </c>
      <c r="X249" s="15">
        <f>IF('ENCUESTA CONDUCTORES'!Z249="X",1,0)</f>
        <v>0</v>
      </c>
      <c r="Y249" s="15">
        <f>+'ENCUESTA CONDUCTORES'!AG249</f>
        <v>0</v>
      </c>
      <c r="Z249" s="15">
        <f>+'ENCUESTA CONDUCTORES'!AH249</f>
        <v>2006</v>
      </c>
      <c r="AA249" s="1">
        <f>+'ENCUESTA CONDUCTORES'!AI249</f>
        <v>403200</v>
      </c>
      <c r="AB249" s="15">
        <f>IF('ENCUESTA CONDUCTORES'!AJ249="X",1,0)</f>
        <v>0</v>
      </c>
      <c r="AC249" s="15">
        <f>IF('ENCUESTA CONDUCTORES'!AK249="X",1,0)</f>
        <v>0</v>
      </c>
      <c r="AD249" s="15">
        <f>IF('ENCUESTA CONDUCTORES'!AL249="X",1,0)</f>
        <v>1</v>
      </c>
      <c r="AE249" s="15">
        <f>IF('ENCUESTA CONDUCTORES'!AM249="X",1,0)</f>
        <v>0</v>
      </c>
      <c r="AF249" s="15">
        <f>IF('ENCUESTA CONDUCTORES'!AN249="X",1,0)</f>
        <v>0</v>
      </c>
      <c r="AG249" s="15">
        <f>IF('ENCUESTA CONDUCTORES'!AO249="X",1,0)</f>
        <v>0</v>
      </c>
      <c r="AH249" s="15">
        <f>IF('ENCUESTA CONDUCTORES'!AP249="X",1,0)</f>
        <v>1</v>
      </c>
      <c r="AI249" s="15">
        <f>IF('ENCUESTA CONDUCTORES'!AQ249="X",1,0)</f>
        <v>0</v>
      </c>
      <c r="AJ249" s="15">
        <f>IF('ENCUESTA CONDUCTORES'!AR249="X",1,0)</f>
        <v>0</v>
      </c>
      <c r="AK249" s="15">
        <f>+'ENCUESTA CONDUCTORES'!AS249</f>
        <v>0</v>
      </c>
      <c r="AL249" s="15" t="str">
        <f>+'ENCUESTA CONDUCTORES'!AT249</f>
        <v>NAVISTAR</v>
      </c>
      <c r="AM249" s="1">
        <f>+'ENCUESTA CONDUCTORES'!AU249</f>
        <v>4000</v>
      </c>
      <c r="AN249" s="48">
        <f>+'ENCUESTA CONDUCTORES'!AV249</f>
        <v>0.1</v>
      </c>
      <c r="AO249" s="15">
        <f>+'ENCUESTA CONDUCTORES'!AW249</f>
        <v>2.5</v>
      </c>
      <c r="AP249" s="15">
        <f>+'ENCUESTA CONDUCTORES'!AX249</f>
        <v>2.1</v>
      </c>
      <c r="AQ249" s="15">
        <f>+'ENCUESTA CONDUCTORES'!AY249</f>
        <v>2</v>
      </c>
      <c r="AR249" s="15">
        <f>+'ENCUESTA CONDUCTORES'!AZ249</f>
        <v>415</v>
      </c>
      <c r="AS249" s="15">
        <f>+'ENCUESTA CONDUCTORES'!BA249</f>
        <v>1000</v>
      </c>
      <c r="AT249" s="15">
        <f>IF('ENCUESTA CONDUCTORES'!BB249="X",1,0)</f>
        <v>1</v>
      </c>
      <c r="AU249" s="15">
        <f>IF('ENCUESTA CONDUCTORES'!BC249="X",1,0)</f>
        <v>0</v>
      </c>
      <c r="AV249" s="15">
        <f>IF('ENCUESTA CONDUCTORES'!BD249="X",1,0)</f>
        <v>0</v>
      </c>
      <c r="AW249" s="1">
        <f>+'ENCUESTA CONDUCTORES'!BE249</f>
        <v>14000</v>
      </c>
      <c r="AX249" s="1">
        <f>+'ENCUESTA CONDUCTORES'!BF249</f>
        <v>14000</v>
      </c>
      <c r="AY249" s="1">
        <f>+'ENCUESTA CONDUCTORES'!BG249</f>
        <v>14000</v>
      </c>
      <c r="AZ249" s="1">
        <f>+'ENCUESTA CONDUCTORES'!BH249</f>
        <v>230000</v>
      </c>
      <c r="BA249" s="1">
        <f>+'ENCUESTA CONDUCTORES'!BI249</f>
        <v>14000</v>
      </c>
      <c r="BB249" s="15">
        <f>IF('ENCUESTA CONDUCTORES'!BJ249="X",1,0)</f>
        <v>0</v>
      </c>
      <c r="BC249" s="15">
        <f>IF('ENCUESTA CONDUCTORES'!BK249="X",1,0)</f>
        <v>0</v>
      </c>
      <c r="BD249" s="15">
        <f>IF('ENCUESTA CONDUCTORES'!BL249="X",1,0)</f>
        <v>0</v>
      </c>
      <c r="BE249" s="15">
        <f>IF('ENCUESTA CONDUCTORES'!BM249="X",1,0)</f>
        <v>0</v>
      </c>
      <c r="BF249" s="15">
        <f>IF('ENCUESTA CONDUCTORES'!BN249="X",1,0)</f>
        <v>0</v>
      </c>
      <c r="BG249" s="15">
        <f>IF('ENCUESTA CONDUCTORES'!BO249="X",1,0)</f>
        <v>0</v>
      </c>
      <c r="BH249" s="15">
        <f>IF('ENCUESTA CONDUCTORES'!BP249="X",1,0)</f>
        <v>0</v>
      </c>
      <c r="BI249" s="15">
        <f>IF('ENCUESTA CONDUCTORES'!BQ249="X",1,0)</f>
        <v>0</v>
      </c>
      <c r="BJ249" s="15">
        <f>IF('ENCUESTA CONDUCTORES'!BR249="X",1,0)</f>
        <v>0</v>
      </c>
      <c r="BK249" s="15" t="str">
        <f>+'ENCUESTA CONDUCTORES'!BS249</f>
        <v>PAQUETERIA</v>
      </c>
      <c r="BL249" s="15">
        <f>IF('ENCUESTA CONDUCTORES'!BT249="X",1,0)</f>
        <v>0</v>
      </c>
      <c r="BM249" s="15">
        <f>IF('ENCUESTA CONDUCTORES'!BU249="X",1,0)</f>
        <v>1</v>
      </c>
      <c r="BN249" s="15">
        <f>IF('ENCUESTA CONDUCTORES'!BV249="X",1,0)</f>
        <v>0</v>
      </c>
      <c r="BO249" s="15">
        <f>IF('ENCUESTA CONDUCTORES'!BW249="X",1,0)</f>
        <v>0</v>
      </c>
      <c r="BP249" s="15">
        <f>+'ENCUESTA CONDUCTORES'!BX249</f>
        <v>3</v>
      </c>
      <c r="BQ249" s="15">
        <f>+'ENCUESTA CONDUCTORES'!BY249</f>
        <v>2</v>
      </c>
      <c r="BR249" s="15">
        <f>+'ENCUESTA CONDUCTORES'!BZ249</f>
        <v>4</v>
      </c>
      <c r="BS249" s="15" t="str">
        <f>+'ENCUESTA CONDUCTORES'!CA249</f>
        <v>SEGURIDAD</v>
      </c>
      <c r="BT249" s="15">
        <f>IF('ENCUESTA CONDUCTORES'!CB249="X",1,0)</f>
        <v>0</v>
      </c>
      <c r="BU249" s="15">
        <f>IF('ENCUESTA CONDUCTORES'!CC249="X",1,0)</f>
        <v>1</v>
      </c>
      <c r="BV249" s="15">
        <f>IF('ENCUESTA CONDUCTORES'!CD249="X",1,0)</f>
        <v>0</v>
      </c>
      <c r="BW249" s="15">
        <f>IF('ENCUESTA CONDUCTORES'!CE249="X",1,0)</f>
        <v>0</v>
      </c>
      <c r="BX249" s="15">
        <f>IF('ENCUESTA CONDUCTORES'!CF249="X",1,0)</f>
        <v>0</v>
      </c>
      <c r="BY249" s="15">
        <f>IF('ENCUESTA CONDUCTORES'!CG249="X",1,0)</f>
        <v>1</v>
      </c>
      <c r="BZ249" s="15">
        <f>IF('ENCUESTA CONDUCTORES'!CH249="X",1,0)</f>
        <v>1</v>
      </c>
      <c r="CA249" s="15">
        <f>IF('ENCUESTA CONDUCTORES'!CI249="X",1,0)</f>
        <v>1</v>
      </c>
      <c r="CB249" s="15">
        <f>IF('ENCUESTA CONDUCTORES'!CJ249="X",1,0)</f>
        <v>0</v>
      </c>
      <c r="CC249" s="15">
        <f>IF('ENCUESTA CONDUCTORES'!CK249="X",1,0)</f>
        <v>1</v>
      </c>
      <c r="CD249" s="15">
        <f>IF('ENCUESTA CONDUCTORES'!CL249="X",1,0)</f>
        <v>0</v>
      </c>
      <c r="CE249" s="15">
        <f>IF('ENCUESTA CONDUCTORES'!CM249="X",1,0)</f>
        <v>0</v>
      </c>
      <c r="CF249" s="15">
        <f>+'ENCUESTA CONDUCTORES'!CN249</f>
        <v>0</v>
      </c>
      <c r="CG249" s="15">
        <f>IF('ENCUESTA CONDUCTORES'!CO249="X",1,0)</f>
        <v>0</v>
      </c>
      <c r="CH249" s="15" t="str">
        <f>+'ENCUESTA CONDUCTORES'!CP249</f>
        <v>NO SABE</v>
      </c>
      <c r="CI249" s="15" t="str">
        <f>+'ENCUESTA CONDUCTORES'!CQ249</f>
        <v>MAYOR INFORMACION</v>
      </c>
      <c r="CJ249" s="15">
        <f>IF('ENCUESTA CONDUCTORES'!CR249="X",1,0)</f>
        <v>0</v>
      </c>
      <c r="CK249" s="15">
        <f>IF('ENCUESTA CONDUCTORES'!CS249="X",1,0)</f>
        <v>1</v>
      </c>
      <c r="CL249" s="15">
        <f>IF('ENCUESTA CONDUCTORES'!CT249="X",1,0)</f>
        <v>1</v>
      </c>
      <c r="CM249" s="15">
        <f>+'ENCUESTA CONDUCTORES'!CU249</f>
        <v>0</v>
      </c>
      <c r="CN249" s="15">
        <f>IF('ENCUESTA CONDUCTORES'!CV249="X",1,0)</f>
        <v>1</v>
      </c>
      <c r="CO249" s="15" t="str">
        <f>+'ENCUESTA CONDUCTORES'!CW249</f>
        <v>NO TIENE TIEMPO</v>
      </c>
      <c r="CP249" s="15">
        <f>IF('ENCUESTA CONDUCTORES'!CX249="X",1,0)</f>
        <v>0</v>
      </c>
      <c r="CQ249" s="15">
        <f>IF('ENCUESTA CONDUCTORES'!CY249="X",1,0)</f>
        <v>0</v>
      </c>
      <c r="CR249" s="3">
        <f>+'ENCUESTA CONDUCTORES'!CZ249</f>
        <v>0</v>
      </c>
      <c r="CS249" s="49">
        <f>+'ENCUESTA CONDUCTORES'!DA249</f>
        <v>0</v>
      </c>
    </row>
    <row r="250" spans="2:97" x14ac:dyDescent="0.25">
      <c r="B250" s="14" t="str">
        <f>+'ENCUESTA CONDUCTORES'!D250</f>
        <v>C-261</v>
      </c>
      <c r="C250" s="15">
        <f>IF('ENCUESTA CONDUCTORES'!E250="X",1,0)</f>
        <v>1</v>
      </c>
      <c r="D250" s="15">
        <f>IF('ENCUESTA CONDUCTORES'!F250="X",1,0)</f>
        <v>0</v>
      </c>
      <c r="E250" s="15">
        <f>IF('ENCUESTA CONDUCTORES'!G250="X",1,0)</f>
        <v>0</v>
      </c>
      <c r="F250" s="15">
        <f>IF('ENCUESTA CONDUCTORES'!H250="X",1,0)</f>
        <v>0</v>
      </c>
      <c r="G250" s="15">
        <f>+'ENCUESTA CONDUCTORES'!I250</f>
        <v>20</v>
      </c>
      <c r="H250" s="15" t="str">
        <f>+'ENCUESTA CONDUCTORES'!J250</f>
        <v>M</v>
      </c>
      <c r="I250" s="15" t="str">
        <f>+'ENCUESTA CONDUCTORES'!K250</f>
        <v>SECUNDARIA</v>
      </c>
      <c r="J250" s="15" t="str">
        <f>+'ENCUESTA CONDUCTORES'!L250</f>
        <v>SAN PEDRO, EDO. MEX.</v>
      </c>
      <c r="K250" s="15" t="str">
        <f>+'ENCUESTA CONDUCTORES'!M250</f>
        <v>SAN PEDRO</v>
      </c>
      <c r="L250" s="15" t="str">
        <f>+'ENCUESTA CONDUCTORES'!N250</f>
        <v>EDO. MEX.</v>
      </c>
      <c r="M250" s="15">
        <f>+'ENCUESTA CONDUCTORES'!O250</f>
        <v>1</v>
      </c>
      <c r="N250" s="15">
        <f>IF('ENCUESTA CONDUCTORES'!P250="X",1,0)</f>
        <v>0</v>
      </c>
      <c r="O250" s="15">
        <f>IF('ENCUESTA CONDUCTORES'!Q250="X",1,0)</f>
        <v>1</v>
      </c>
      <c r="P250" s="15">
        <f>IF('ENCUESTA CONDUCTORES'!R250="X",1,0)</f>
        <v>0</v>
      </c>
      <c r="Q250" s="15">
        <f>IF('ENCUESTA CONDUCTORES'!S250="X",1,0)</f>
        <v>0</v>
      </c>
      <c r="R250" s="15">
        <f>IF('ENCUESTA CONDUCTORES'!T250="X",1,0)</f>
        <v>0</v>
      </c>
      <c r="S250" s="15">
        <f>IF('ENCUESTA CONDUCTORES'!U250="X",1,0)</f>
        <v>1</v>
      </c>
      <c r="T250" s="15">
        <f>IF('ENCUESTA CONDUCTORES'!V250="X",1,0)</f>
        <v>0</v>
      </c>
      <c r="U250" s="15">
        <f>IF('ENCUESTA CONDUCTORES'!W250="X",1,0)</f>
        <v>0</v>
      </c>
      <c r="V250" s="15">
        <f>IF('ENCUESTA CONDUCTORES'!X250="X",1,0)</f>
        <v>0</v>
      </c>
      <c r="W250" s="15">
        <f>IF('ENCUESTA CONDUCTORES'!Y250="X",1,0)</f>
        <v>0</v>
      </c>
      <c r="X250" s="15">
        <f>IF('ENCUESTA CONDUCTORES'!Z250="X",1,0)</f>
        <v>0</v>
      </c>
      <c r="Y250" s="15">
        <f>+'ENCUESTA CONDUCTORES'!AG250</f>
        <v>0</v>
      </c>
      <c r="Z250" s="15">
        <f>+'ENCUESTA CONDUCTORES'!AH250</f>
        <v>1994</v>
      </c>
      <c r="AA250" s="1" t="str">
        <f>+'ENCUESTA CONDUCTORES'!AI250</f>
        <v>NO SABE</v>
      </c>
      <c r="AB250" s="15">
        <f>IF('ENCUESTA CONDUCTORES'!AJ250="X",1,0)</f>
        <v>0</v>
      </c>
      <c r="AC250" s="15">
        <f>IF('ENCUESTA CONDUCTORES'!AK250="X",1,0)</f>
        <v>0</v>
      </c>
      <c r="AD250" s="15">
        <f>IF('ENCUESTA CONDUCTORES'!AL250="X",1,0)</f>
        <v>1</v>
      </c>
      <c r="AE250" s="15">
        <f>IF('ENCUESTA CONDUCTORES'!AM250="X",1,0)</f>
        <v>0</v>
      </c>
      <c r="AF250" s="15">
        <f>IF('ENCUESTA CONDUCTORES'!AN250="X",1,0)</f>
        <v>0</v>
      </c>
      <c r="AG250" s="15">
        <f>IF('ENCUESTA CONDUCTORES'!AO250="X",1,0)</f>
        <v>0</v>
      </c>
      <c r="AH250" s="15">
        <f>IF('ENCUESTA CONDUCTORES'!AP250="X",1,0)</f>
        <v>1</v>
      </c>
      <c r="AI250" s="15">
        <f>IF('ENCUESTA CONDUCTORES'!AQ250="X",1,0)</f>
        <v>0</v>
      </c>
      <c r="AJ250" s="15">
        <f>IF('ENCUESTA CONDUCTORES'!AR250="X",1,0)</f>
        <v>0</v>
      </c>
      <c r="AK250" s="15">
        <f>+'ENCUESTA CONDUCTORES'!AS250</f>
        <v>0</v>
      </c>
      <c r="AL250" s="15" t="str">
        <f>+'ENCUESTA CONDUCTORES'!AT250</f>
        <v>MERCEDES BENZ</v>
      </c>
      <c r="AM250" s="1">
        <f>+'ENCUESTA CONDUCTORES'!AU250</f>
        <v>500</v>
      </c>
      <c r="AN250" s="48">
        <f>+'ENCUESTA CONDUCTORES'!AV250</f>
        <v>0.5</v>
      </c>
      <c r="AO250" s="15">
        <f>+'ENCUESTA CONDUCTORES'!AW250</f>
        <v>2.5</v>
      </c>
      <c r="AP250" s="15">
        <f>+'ENCUESTA CONDUCTORES'!AX250</f>
        <v>2.2000000000000002</v>
      </c>
      <c r="AQ250" s="15">
        <f>+'ENCUESTA CONDUCTORES'!AY250</f>
        <v>1</v>
      </c>
      <c r="AR250" s="15">
        <f>+'ENCUESTA CONDUCTORES'!AZ250</f>
        <v>300</v>
      </c>
      <c r="AS250" s="15">
        <f>+'ENCUESTA CONDUCTORES'!BA250</f>
        <v>1000</v>
      </c>
      <c r="AT250" s="15">
        <f>IF('ENCUESTA CONDUCTORES'!BB250="X",1,0)</f>
        <v>0</v>
      </c>
      <c r="AU250" s="15">
        <f>IF('ENCUESTA CONDUCTORES'!BC250="X",1,0)</f>
        <v>0</v>
      </c>
      <c r="AV250" s="15">
        <f>IF('ENCUESTA CONDUCTORES'!BD250="X",1,0)</f>
        <v>0</v>
      </c>
      <c r="AW250" s="1">
        <f>+'ENCUESTA CONDUCTORES'!BE250</f>
        <v>2000</v>
      </c>
      <c r="AX250" s="1">
        <f>+'ENCUESTA CONDUCTORES'!BF250</f>
        <v>5000</v>
      </c>
      <c r="AY250" s="1">
        <f>+'ENCUESTA CONDUCTORES'!BG250</f>
        <v>3000</v>
      </c>
      <c r="AZ250" s="1" t="str">
        <f>+'ENCUESTA CONDUCTORES'!BH250</f>
        <v>NO SABE</v>
      </c>
      <c r="BA250" s="1">
        <f>+'ENCUESTA CONDUCTORES'!BI250</f>
        <v>3000</v>
      </c>
      <c r="BB250" s="15">
        <f>IF('ENCUESTA CONDUCTORES'!BJ250="X",1,0)</f>
        <v>0</v>
      </c>
      <c r="BC250" s="15">
        <f>IF('ENCUESTA CONDUCTORES'!BK250="X",1,0)</f>
        <v>0</v>
      </c>
      <c r="BD250" s="15">
        <f>IF('ENCUESTA CONDUCTORES'!BL250="X",1,0)</f>
        <v>0</v>
      </c>
      <c r="BE250" s="15">
        <f>IF('ENCUESTA CONDUCTORES'!BM250="X",1,0)</f>
        <v>0</v>
      </c>
      <c r="BF250" s="15">
        <f>IF('ENCUESTA CONDUCTORES'!BN250="X",1,0)</f>
        <v>0</v>
      </c>
      <c r="BG250" s="15">
        <f>IF('ENCUESTA CONDUCTORES'!BO250="X",1,0)</f>
        <v>0</v>
      </c>
      <c r="BH250" s="15">
        <f>IF('ENCUESTA CONDUCTORES'!BP250="X",1,0)</f>
        <v>0</v>
      </c>
      <c r="BI250" s="15">
        <f>IF('ENCUESTA CONDUCTORES'!BQ250="X",1,0)</f>
        <v>0</v>
      </c>
      <c r="BJ250" s="15">
        <f>IF('ENCUESTA CONDUCTORES'!BR250="X",1,0)</f>
        <v>0</v>
      </c>
      <c r="BK250" s="15" t="str">
        <f>+'ENCUESTA CONDUCTORES'!BS250</f>
        <v>GENERAL</v>
      </c>
      <c r="BL250" s="15">
        <f>IF('ENCUESTA CONDUCTORES'!BT250="X",1,0)</f>
        <v>0</v>
      </c>
      <c r="BM250" s="15">
        <f>IF('ENCUESTA CONDUCTORES'!BU250="X",1,0)</f>
        <v>0</v>
      </c>
      <c r="BN250" s="15">
        <f>IF('ENCUESTA CONDUCTORES'!BV250="X",1,0)</f>
        <v>1</v>
      </c>
      <c r="BO250" s="15">
        <f>IF('ENCUESTA CONDUCTORES'!BW250="X",1,0)</f>
        <v>0</v>
      </c>
      <c r="BP250" s="15">
        <f>+'ENCUESTA CONDUCTORES'!BX250</f>
        <v>1</v>
      </c>
      <c r="BQ250" s="15">
        <f>+'ENCUESTA CONDUCTORES'!BY250</f>
        <v>3</v>
      </c>
      <c r="BR250" s="15">
        <f>+'ENCUESTA CONDUCTORES'!BZ250</f>
        <v>2</v>
      </c>
      <c r="BS250" s="15">
        <f>+'ENCUESTA CONDUCTORES'!CA250</f>
        <v>0</v>
      </c>
      <c r="BT250" s="15">
        <f>IF('ENCUESTA CONDUCTORES'!CB250="X",1,0)</f>
        <v>1</v>
      </c>
      <c r="BU250" s="15">
        <f>IF('ENCUESTA CONDUCTORES'!CC250="X",1,0)</f>
        <v>0</v>
      </c>
      <c r="BV250" s="15">
        <f>IF('ENCUESTA CONDUCTORES'!CD250="X",1,0)</f>
        <v>0</v>
      </c>
      <c r="BW250" s="15">
        <f>IF('ENCUESTA CONDUCTORES'!CE250="X",1,0)</f>
        <v>0</v>
      </c>
      <c r="BX250" s="15">
        <f>IF('ENCUESTA CONDUCTORES'!CF250="X",1,0)</f>
        <v>0</v>
      </c>
      <c r="BY250" s="15">
        <f>IF('ENCUESTA CONDUCTORES'!CG250="X",1,0)</f>
        <v>0</v>
      </c>
      <c r="BZ250" s="15">
        <f>IF('ENCUESTA CONDUCTORES'!CH250="X",1,0)</f>
        <v>0</v>
      </c>
      <c r="CA250" s="15">
        <f>IF('ENCUESTA CONDUCTORES'!CI250="X",1,0)</f>
        <v>0</v>
      </c>
      <c r="CB250" s="15">
        <f>IF('ENCUESTA CONDUCTORES'!CJ250="X",1,0)</f>
        <v>0</v>
      </c>
      <c r="CC250" s="15">
        <f>IF('ENCUESTA CONDUCTORES'!CK250="X",1,0)</f>
        <v>1</v>
      </c>
      <c r="CD250" s="15">
        <f>IF('ENCUESTA CONDUCTORES'!CL250="X",1,0)</f>
        <v>0</v>
      </c>
      <c r="CE250" s="15">
        <f>IF('ENCUESTA CONDUCTORES'!CM250="X",1,0)</f>
        <v>0</v>
      </c>
      <c r="CF250" s="15">
        <f>+'ENCUESTA CONDUCTORES'!CN250</f>
        <v>0</v>
      </c>
      <c r="CG250" s="15">
        <f>IF('ENCUESTA CONDUCTORES'!CO250="X",1,0)</f>
        <v>0</v>
      </c>
      <c r="CH250" s="15" t="str">
        <f>+'ENCUESTA CONDUCTORES'!CP250</f>
        <v>NO SABE</v>
      </c>
      <c r="CI250" s="15" t="str">
        <f>+'ENCUESTA CONDUCTORES'!CQ250</f>
        <v>MAYOR INFORMACION</v>
      </c>
      <c r="CJ250" s="15">
        <f>IF('ENCUESTA CONDUCTORES'!CR250="X",1,0)</f>
        <v>1</v>
      </c>
      <c r="CK250" s="15">
        <f>IF('ENCUESTA CONDUCTORES'!CS250="X",1,0)</f>
        <v>0</v>
      </c>
      <c r="CL250" s="15">
        <f>IF('ENCUESTA CONDUCTORES'!CT250="X",1,0)</f>
        <v>0</v>
      </c>
      <c r="CM250" s="15">
        <f>+'ENCUESTA CONDUCTORES'!CU250</f>
        <v>0</v>
      </c>
      <c r="CN250" s="15">
        <f>IF('ENCUESTA CONDUCTORES'!CV250="X",1,0)</f>
        <v>0</v>
      </c>
      <c r="CO250" s="15">
        <f>+'ENCUESTA CONDUCTORES'!CW250</f>
        <v>0</v>
      </c>
      <c r="CP250" s="15">
        <f>IF('ENCUESTA CONDUCTORES'!CX250="X",1,0)</f>
        <v>1</v>
      </c>
      <c r="CQ250" s="15">
        <f>IF('ENCUESTA CONDUCTORES'!CY250="X",1,0)</f>
        <v>1</v>
      </c>
      <c r="CR250" s="3">
        <f>+'ENCUESTA CONDUCTORES'!CZ250</f>
        <v>0</v>
      </c>
      <c r="CS250" s="49">
        <f>+'ENCUESTA CONDUCTORES'!DA250</f>
        <v>0</v>
      </c>
    </row>
    <row r="251" spans="2:97" x14ac:dyDescent="0.25">
      <c r="B251" s="14" t="str">
        <f>+'ENCUESTA CONDUCTORES'!D251</f>
        <v>C-262</v>
      </c>
      <c r="C251" s="15">
        <f>IF('ENCUESTA CONDUCTORES'!E251="X",1,0)</f>
        <v>0</v>
      </c>
      <c r="D251" s="15">
        <f>IF('ENCUESTA CONDUCTORES'!F251="X",1,0)</f>
        <v>0</v>
      </c>
      <c r="E251" s="15">
        <f>IF('ENCUESTA CONDUCTORES'!G251="X",1,0)</f>
        <v>1</v>
      </c>
      <c r="F251" s="15">
        <f>IF('ENCUESTA CONDUCTORES'!H251="X",1,0)</f>
        <v>0</v>
      </c>
      <c r="G251" s="15">
        <f>+'ENCUESTA CONDUCTORES'!I251</f>
        <v>45</v>
      </c>
      <c r="H251" s="15" t="str">
        <f>+'ENCUESTA CONDUCTORES'!J251</f>
        <v>M</v>
      </c>
      <c r="I251" s="15" t="str">
        <f>+'ENCUESTA CONDUCTORES'!K251</f>
        <v>SECUNDARIA</v>
      </c>
      <c r="J251" s="15" t="str">
        <f>+'ENCUESTA CONDUCTORES'!L251</f>
        <v>RANCHERIA, EDO. MEX.</v>
      </c>
      <c r="K251" s="15" t="str">
        <f>+'ENCUESTA CONDUCTORES'!M251</f>
        <v>RANCHERIA</v>
      </c>
      <c r="L251" s="15" t="str">
        <f>+'ENCUESTA CONDUCTORES'!N251</f>
        <v>EDO. MEX.</v>
      </c>
      <c r="M251" s="15">
        <f>+'ENCUESTA CONDUCTORES'!O251</f>
        <v>2</v>
      </c>
      <c r="N251" s="15">
        <f>IF('ENCUESTA CONDUCTORES'!P251="X",1,0)</f>
        <v>1</v>
      </c>
      <c r="O251" s="15">
        <f>IF('ENCUESTA CONDUCTORES'!Q251="X",1,0)</f>
        <v>0</v>
      </c>
      <c r="P251" s="15">
        <f>IF('ENCUESTA CONDUCTORES'!R251="X",1,0)</f>
        <v>0</v>
      </c>
      <c r="Q251" s="15">
        <f>IF('ENCUESTA CONDUCTORES'!S251="X",1,0)</f>
        <v>0</v>
      </c>
      <c r="R251" s="15">
        <f>IF('ENCUESTA CONDUCTORES'!T251="X",1,0)</f>
        <v>0</v>
      </c>
      <c r="S251" s="15">
        <f>IF('ENCUESTA CONDUCTORES'!U251="X",1,0)</f>
        <v>1</v>
      </c>
      <c r="T251" s="15">
        <f>IF('ENCUESTA CONDUCTORES'!V251="X",1,0)</f>
        <v>0</v>
      </c>
      <c r="U251" s="15">
        <f>IF('ENCUESTA CONDUCTORES'!W251="X",1,0)</f>
        <v>0</v>
      </c>
      <c r="V251" s="15">
        <f>IF('ENCUESTA CONDUCTORES'!X251="X",1,0)</f>
        <v>0</v>
      </c>
      <c r="W251" s="15">
        <f>IF('ENCUESTA CONDUCTORES'!Y251="X",1,0)</f>
        <v>0</v>
      </c>
      <c r="X251" s="15">
        <f>IF('ENCUESTA CONDUCTORES'!Z251="X",1,0)</f>
        <v>0</v>
      </c>
      <c r="Y251" s="15">
        <f>+'ENCUESTA CONDUCTORES'!AG251</f>
        <v>0</v>
      </c>
      <c r="Z251" s="15">
        <f>+'ENCUESTA CONDUCTORES'!AH251</f>
        <v>2012</v>
      </c>
      <c r="AA251" s="1">
        <f>+'ENCUESTA CONDUCTORES'!AI251</f>
        <v>5000</v>
      </c>
      <c r="AB251" s="15">
        <f>IF('ENCUESTA CONDUCTORES'!AJ251="X",1,0)</f>
        <v>0</v>
      </c>
      <c r="AC251" s="15">
        <f>IF('ENCUESTA CONDUCTORES'!AK251="X",1,0)</f>
        <v>0</v>
      </c>
      <c r="AD251" s="15">
        <f>IF('ENCUESTA CONDUCTORES'!AL251="X",1,0)</f>
        <v>1</v>
      </c>
      <c r="AE251" s="15">
        <f>IF('ENCUESTA CONDUCTORES'!AM251="X",1,0)</f>
        <v>0</v>
      </c>
      <c r="AF251" s="15">
        <f>IF('ENCUESTA CONDUCTORES'!AN251="X",1,0)</f>
        <v>0</v>
      </c>
      <c r="AG251" s="15">
        <f>IF('ENCUESTA CONDUCTORES'!AO251="X",1,0)</f>
        <v>0</v>
      </c>
      <c r="AH251" s="15">
        <f>IF('ENCUESTA CONDUCTORES'!AP251="X",1,0)</f>
        <v>1</v>
      </c>
      <c r="AI251" s="15">
        <f>IF('ENCUESTA CONDUCTORES'!AQ251="X",1,0)</f>
        <v>0</v>
      </c>
      <c r="AJ251" s="15">
        <f>IF('ENCUESTA CONDUCTORES'!AR251="X",1,0)</f>
        <v>0</v>
      </c>
      <c r="AK251" s="15">
        <f>+'ENCUESTA CONDUCTORES'!AS251</f>
        <v>0</v>
      </c>
      <c r="AL251" s="15" t="str">
        <f>+'ENCUESTA CONDUCTORES'!AT251</f>
        <v>NO SABE</v>
      </c>
      <c r="AM251" s="1">
        <f>+'ENCUESTA CONDUCTORES'!AU251</f>
        <v>250</v>
      </c>
      <c r="AN251" s="48">
        <f>+'ENCUESTA CONDUCTORES'!AV251</f>
        <v>0.5</v>
      </c>
      <c r="AO251" s="15">
        <f>+'ENCUESTA CONDUCTORES'!AW251</f>
        <v>5.5</v>
      </c>
      <c r="AP251" s="15">
        <f>+'ENCUESTA CONDUCTORES'!AX251</f>
        <v>5</v>
      </c>
      <c r="AQ251" s="15">
        <f>+'ENCUESTA CONDUCTORES'!AY251</f>
        <v>1</v>
      </c>
      <c r="AR251" s="15">
        <f>+'ENCUESTA CONDUCTORES'!AZ251</f>
        <v>260</v>
      </c>
      <c r="AS251" s="15">
        <f>+'ENCUESTA CONDUCTORES'!BA251</f>
        <v>700</v>
      </c>
      <c r="AT251" s="15">
        <f>IF('ENCUESTA CONDUCTORES'!BB251="X",1,0)</f>
        <v>0</v>
      </c>
      <c r="AU251" s="15">
        <f>IF('ENCUESTA CONDUCTORES'!BC251="X",1,0)</f>
        <v>0</v>
      </c>
      <c r="AV251" s="15">
        <f>IF('ENCUESTA CONDUCTORES'!BD251="X",1,0)</f>
        <v>0</v>
      </c>
      <c r="AW251" s="1" t="str">
        <f>+'ENCUESTA CONDUCTORES'!BE251</f>
        <v>NO SABE</v>
      </c>
      <c r="AX251" s="1" t="str">
        <f>+'ENCUESTA CONDUCTORES'!BF251</f>
        <v>NO SABE</v>
      </c>
      <c r="AY251" s="1" t="str">
        <f>+'ENCUESTA CONDUCTORES'!BG251</f>
        <v>NO SABE</v>
      </c>
      <c r="AZ251" s="1" t="str">
        <f>+'ENCUESTA CONDUCTORES'!BH251</f>
        <v>NO SABE</v>
      </c>
      <c r="BA251" s="1" t="str">
        <f>+'ENCUESTA CONDUCTORES'!BI251</f>
        <v>NO SABE</v>
      </c>
      <c r="BB251" s="15">
        <f>IF('ENCUESTA CONDUCTORES'!BJ251="X",1,0)</f>
        <v>0</v>
      </c>
      <c r="BC251" s="15">
        <f>IF('ENCUESTA CONDUCTORES'!BK251="X",1,0)</f>
        <v>0</v>
      </c>
      <c r="BD251" s="15">
        <f>IF('ENCUESTA CONDUCTORES'!BL251="X",1,0)</f>
        <v>0</v>
      </c>
      <c r="BE251" s="15">
        <f>IF('ENCUESTA CONDUCTORES'!BM251="X",1,0)</f>
        <v>0</v>
      </c>
      <c r="BF251" s="15">
        <f>IF('ENCUESTA CONDUCTORES'!BN251="X",1,0)</f>
        <v>0</v>
      </c>
      <c r="BG251" s="15">
        <f>IF('ENCUESTA CONDUCTORES'!BO251="X",1,0)</f>
        <v>0</v>
      </c>
      <c r="BH251" s="15">
        <f>IF('ENCUESTA CONDUCTORES'!BP251="X",1,0)</f>
        <v>0</v>
      </c>
      <c r="BI251" s="15">
        <f>IF('ENCUESTA CONDUCTORES'!BQ251="X",1,0)</f>
        <v>0</v>
      </c>
      <c r="BJ251" s="15">
        <f>IF('ENCUESTA CONDUCTORES'!BR251="X",1,0)</f>
        <v>0</v>
      </c>
      <c r="BK251" s="15" t="str">
        <f>+'ENCUESTA CONDUCTORES'!BS251</f>
        <v>GENERAL</v>
      </c>
      <c r="BL251" s="15">
        <f>IF('ENCUESTA CONDUCTORES'!BT251="X",1,0)</f>
        <v>0</v>
      </c>
      <c r="BM251" s="15">
        <f>IF('ENCUESTA CONDUCTORES'!BU251="X",1,0)</f>
        <v>1</v>
      </c>
      <c r="BN251" s="15">
        <f>IF('ENCUESTA CONDUCTORES'!BV251="X",1,0)</f>
        <v>0</v>
      </c>
      <c r="BO251" s="15">
        <f>IF('ENCUESTA CONDUCTORES'!BW251="X",1,0)</f>
        <v>0</v>
      </c>
      <c r="BP251" s="15">
        <f>+'ENCUESTA CONDUCTORES'!BX251</f>
        <v>1</v>
      </c>
      <c r="BQ251" s="15">
        <f>+'ENCUESTA CONDUCTORES'!BY251</f>
        <v>3</v>
      </c>
      <c r="BR251" s="15">
        <f>+'ENCUESTA CONDUCTORES'!BZ251</f>
        <v>2</v>
      </c>
      <c r="BS251" s="15">
        <f>+'ENCUESTA CONDUCTORES'!CA251</f>
        <v>0</v>
      </c>
      <c r="BT251" s="15">
        <f>IF('ENCUESTA CONDUCTORES'!CB251="X",1,0)</f>
        <v>0</v>
      </c>
      <c r="BU251" s="15">
        <f>IF('ENCUESTA CONDUCTORES'!CC251="X",1,0)</f>
        <v>1</v>
      </c>
      <c r="BV251" s="15">
        <f>IF('ENCUESTA CONDUCTORES'!CD251="X",1,0)</f>
        <v>0</v>
      </c>
      <c r="BW251" s="15">
        <f>IF('ENCUESTA CONDUCTORES'!CE251="X",1,0)</f>
        <v>0</v>
      </c>
      <c r="BX251" s="15">
        <f>IF('ENCUESTA CONDUCTORES'!CF251="X",1,0)</f>
        <v>0</v>
      </c>
      <c r="BY251" s="15">
        <f>IF('ENCUESTA CONDUCTORES'!CG251="X",1,0)</f>
        <v>0</v>
      </c>
      <c r="BZ251" s="15">
        <f>IF('ENCUESTA CONDUCTORES'!CH251="X",1,0)</f>
        <v>0</v>
      </c>
      <c r="CA251" s="15">
        <f>IF('ENCUESTA CONDUCTORES'!CI251="X",1,0)</f>
        <v>1</v>
      </c>
      <c r="CB251" s="15">
        <f>IF('ENCUESTA CONDUCTORES'!CJ251="X",1,0)</f>
        <v>0</v>
      </c>
      <c r="CC251" s="15">
        <f>IF('ENCUESTA CONDUCTORES'!CK251="X",1,0)</f>
        <v>1</v>
      </c>
      <c r="CD251" s="15">
        <f>IF('ENCUESTA CONDUCTORES'!CL251="X",1,0)</f>
        <v>0</v>
      </c>
      <c r="CE251" s="15">
        <f>IF('ENCUESTA CONDUCTORES'!CM251="X",1,0)</f>
        <v>0</v>
      </c>
      <c r="CF251" s="15">
        <f>+'ENCUESTA CONDUCTORES'!CN251</f>
        <v>0</v>
      </c>
      <c r="CG251" s="15">
        <f>IF('ENCUESTA CONDUCTORES'!CO251="X",1,0)</f>
        <v>0</v>
      </c>
      <c r="CH251" s="15" t="str">
        <f>+'ENCUESTA CONDUCTORES'!CP251</f>
        <v>NO SABE</v>
      </c>
      <c r="CI251" s="15" t="str">
        <f>+'ENCUESTA CONDUCTORES'!CQ251</f>
        <v>MAYOR INFORMACION</v>
      </c>
      <c r="CJ251" s="15">
        <f>IF('ENCUESTA CONDUCTORES'!CR251="X",1,0)</f>
        <v>1</v>
      </c>
      <c r="CK251" s="15">
        <f>IF('ENCUESTA CONDUCTORES'!CS251="X",1,0)</f>
        <v>0</v>
      </c>
      <c r="CL251" s="15">
        <f>IF('ENCUESTA CONDUCTORES'!CT251="X",1,0)</f>
        <v>0</v>
      </c>
      <c r="CM251" s="15">
        <f>+'ENCUESTA CONDUCTORES'!CU251</f>
        <v>0</v>
      </c>
      <c r="CN251" s="15">
        <f>IF('ENCUESTA CONDUCTORES'!CV251="X",1,0)</f>
        <v>0</v>
      </c>
      <c r="CO251" s="15">
        <f>+'ENCUESTA CONDUCTORES'!CW251</f>
        <v>0</v>
      </c>
      <c r="CP251" s="15">
        <f>IF('ENCUESTA CONDUCTORES'!CX251="X",1,0)</f>
        <v>1</v>
      </c>
      <c r="CQ251" s="15">
        <f>IF('ENCUESTA CONDUCTORES'!CY251="X",1,0)</f>
        <v>1</v>
      </c>
      <c r="CR251" s="3">
        <f>+'ENCUESTA CONDUCTORES'!CZ251</f>
        <v>0</v>
      </c>
      <c r="CS251" s="49">
        <f>+'ENCUESTA CONDUCTORES'!DA251</f>
        <v>0</v>
      </c>
    </row>
    <row r="252" spans="2:97" x14ac:dyDescent="0.25">
      <c r="B252" s="14" t="str">
        <f>+'ENCUESTA CONDUCTORES'!D252</f>
        <v>C-263</v>
      </c>
      <c r="C252" s="15">
        <f>IF('ENCUESTA CONDUCTORES'!E252="X",1,0)</f>
        <v>0</v>
      </c>
      <c r="D252" s="15">
        <f>IF('ENCUESTA CONDUCTORES'!F252="X",1,0)</f>
        <v>1</v>
      </c>
      <c r="E252" s="15">
        <f>IF('ENCUESTA CONDUCTORES'!G252="X",1,0)</f>
        <v>0</v>
      </c>
      <c r="F252" s="15">
        <f>IF('ENCUESTA CONDUCTORES'!H252="X",1,0)</f>
        <v>0</v>
      </c>
      <c r="G252" s="15">
        <f>+'ENCUESTA CONDUCTORES'!I252</f>
        <v>35</v>
      </c>
      <c r="H252" s="15" t="str">
        <f>+'ENCUESTA CONDUCTORES'!J252</f>
        <v>M</v>
      </c>
      <c r="I252" s="15" t="str">
        <f>+'ENCUESTA CONDUCTORES'!K252</f>
        <v>SECUNDARIA</v>
      </c>
      <c r="J252" s="15" t="str">
        <f>+'ENCUESTA CONDUCTORES'!L252</f>
        <v>SAN MARTIN, EDO. MEX.</v>
      </c>
      <c r="K252" s="15" t="str">
        <f>+'ENCUESTA CONDUCTORES'!M252</f>
        <v>SAN MARTIN</v>
      </c>
      <c r="L252" s="15" t="str">
        <f>+'ENCUESTA CONDUCTORES'!N252</f>
        <v>EDO. MEX.</v>
      </c>
      <c r="M252" s="15">
        <f>+'ENCUESTA CONDUCTORES'!O252</f>
        <v>18</v>
      </c>
      <c r="N252" s="15">
        <f>IF('ENCUESTA CONDUCTORES'!P252="X",1,0)</f>
        <v>1</v>
      </c>
      <c r="O252" s="15">
        <f>IF('ENCUESTA CONDUCTORES'!Q252="X",1,0)</f>
        <v>0</v>
      </c>
      <c r="P252" s="15">
        <f>IF('ENCUESTA CONDUCTORES'!R252="X",1,0)</f>
        <v>0</v>
      </c>
      <c r="Q252" s="15">
        <f>IF('ENCUESTA CONDUCTORES'!S252="X",1,0)</f>
        <v>0</v>
      </c>
      <c r="R252" s="15">
        <f>IF('ENCUESTA CONDUCTORES'!T252="X",1,0)</f>
        <v>0</v>
      </c>
      <c r="S252" s="15">
        <f>IF('ENCUESTA CONDUCTORES'!U252="X",1,0)</f>
        <v>0</v>
      </c>
      <c r="T252" s="15">
        <f>IF('ENCUESTA CONDUCTORES'!V252="X",1,0)</f>
        <v>0</v>
      </c>
      <c r="U252" s="15">
        <f>IF('ENCUESTA CONDUCTORES'!W252="X",1,0)</f>
        <v>0</v>
      </c>
      <c r="V252" s="15">
        <f>IF('ENCUESTA CONDUCTORES'!X252="X",1,0)</f>
        <v>1</v>
      </c>
      <c r="W252" s="15">
        <f>IF('ENCUESTA CONDUCTORES'!Y252="X",1,0)</f>
        <v>0</v>
      </c>
      <c r="X252" s="15">
        <f>IF('ENCUESTA CONDUCTORES'!Z252="X",1,0)</f>
        <v>0</v>
      </c>
      <c r="Y252" s="15">
        <f>+'ENCUESTA CONDUCTORES'!AG252</f>
        <v>0</v>
      </c>
      <c r="Z252" s="15">
        <f>+'ENCUESTA CONDUCTORES'!AH252</f>
        <v>2009</v>
      </c>
      <c r="AA252" s="1">
        <f>+'ENCUESTA CONDUCTORES'!AI252</f>
        <v>750000</v>
      </c>
      <c r="AB252" s="15">
        <f>IF('ENCUESTA CONDUCTORES'!AJ252="X",1,0)</f>
        <v>0</v>
      </c>
      <c r="AC252" s="15">
        <f>IF('ENCUESTA CONDUCTORES'!AK252="X",1,0)</f>
        <v>0</v>
      </c>
      <c r="AD252" s="15">
        <f>IF('ENCUESTA CONDUCTORES'!AL252="X",1,0)</f>
        <v>1</v>
      </c>
      <c r="AE252" s="15">
        <f>IF('ENCUESTA CONDUCTORES'!AM252="X",1,0)</f>
        <v>0</v>
      </c>
      <c r="AF252" s="15">
        <f>IF('ENCUESTA CONDUCTORES'!AN252="X",1,0)</f>
        <v>0</v>
      </c>
      <c r="AG252" s="15">
        <f>IF('ENCUESTA CONDUCTORES'!AO252="X",1,0)</f>
        <v>0</v>
      </c>
      <c r="AH252" s="15">
        <f>IF('ENCUESTA CONDUCTORES'!AP252="X",1,0)</f>
        <v>1</v>
      </c>
      <c r="AI252" s="15">
        <f>IF('ENCUESTA CONDUCTORES'!AQ252="X",1,0)</f>
        <v>0</v>
      </c>
      <c r="AJ252" s="15">
        <f>IF('ENCUESTA CONDUCTORES'!AR252="X",1,0)</f>
        <v>0</v>
      </c>
      <c r="AK252" s="15">
        <f>+'ENCUESTA CONDUCTORES'!AS252</f>
        <v>0</v>
      </c>
      <c r="AL252" s="15" t="str">
        <f>+'ENCUESTA CONDUCTORES'!AT252</f>
        <v>CUMMINS</v>
      </c>
      <c r="AM252" s="1">
        <f>+'ENCUESTA CONDUCTORES'!AU252</f>
        <v>4000</v>
      </c>
      <c r="AN252" s="48">
        <f>+'ENCUESTA CONDUCTORES'!AV252</f>
        <v>0.5</v>
      </c>
      <c r="AO252" s="15">
        <f>+'ENCUESTA CONDUCTORES'!AW252</f>
        <v>3.2</v>
      </c>
      <c r="AP252" s="15">
        <f>+'ENCUESTA CONDUCTORES'!AX252</f>
        <v>2.8</v>
      </c>
      <c r="AQ252" s="15">
        <f>+'ENCUESTA CONDUCTORES'!AY252</f>
        <v>2</v>
      </c>
      <c r="AR252" s="15">
        <f>+'ENCUESTA CONDUCTORES'!AZ252</f>
        <v>400</v>
      </c>
      <c r="AS252" s="15">
        <f>+'ENCUESTA CONDUCTORES'!BA252</f>
        <v>1200</v>
      </c>
      <c r="AT252" s="15">
        <f>IF('ENCUESTA CONDUCTORES'!BB252="X",1,0)</f>
        <v>0</v>
      </c>
      <c r="AU252" s="15">
        <f>IF('ENCUESTA CONDUCTORES'!BC252="X",1,0)</f>
        <v>1</v>
      </c>
      <c r="AV252" s="15">
        <f>IF('ENCUESTA CONDUCTORES'!BD252="X",1,0)</f>
        <v>0</v>
      </c>
      <c r="AW252" s="1">
        <f>+'ENCUESTA CONDUCTORES'!BE252</f>
        <v>10000</v>
      </c>
      <c r="AX252" s="1">
        <f>+'ENCUESTA CONDUCTORES'!BF252</f>
        <v>12000</v>
      </c>
      <c r="AY252" s="1">
        <f>+'ENCUESTA CONDUCTORES'!BG252</f>
        <v>20000</v>
      </c>
      <c r="AZ252" s="1">
        <f>+'ENCUESTA CONDUCTORES'!BH252</f>
        <v>130000</v>
      </c>
      <c r="BA252" s="1">
        <f>+'ENCUESTA CONDUCTORES'!BI252</f>
        <v>20000</v>
      </c>
      <c r="BB252" s="15">
        <f>IF('ENCUESTA CONDUCTORES'!BJ252="X",1,0)</f>
        <v>0</v>
      </c>
      <c r="BC252" s="15">
        <f>IF('ENCUESTA CONDUCTORES'!BK252="X",1,0)</f>
        <v>0</v>
      </c>
      <c r="BD252" s="15">
        <f>IF('ENCUESTA CONDUCTORES'!BL252="X",1,0)</f>
        <v>0</v>
      </c>
      <c r="BE252" s="15">
        <f>IF('ENCUESTA CONDUCTORES'!BM252="X",1,0)</f>
        <v>0</v>
      </c>
      <c r="BF252" s="15">
        <f>IF('ENCUESTA CONDUCTORES'!BN252="X",1,0)</f>
        <v>0</v>
      </c>
      <c r="BG252" s="15">
        <f>IF('ENCUESTA CONDUCTORES'!BO252="X",1,0)</f>
        <v>0</v>
      </c>
      <c r="BH252" s="15">
        <f>IF('ENCUESTA CONDUCTORES'!BP252="X",1,0)</f>
        <v>0</v>
      </c>
      <c r="BI252" s="15">
        <f>IF('ENCUESTA CONDUCTORES'!BQ252="X",1,0)</f>
        <v>1</v>
      </c>
      <c r="BJ252" s="15">
        <f>IF('ENCUESTA CONDUCTORES'!BR252="X",1,0)</f>
        <v>0</v>
      </c>
      <c r="BK252" s="15">
        <f>+'ENCUESTA CONDUCTORES'!BS252</f>
        <v>0</v>
      </c>
      <c r="BL252" s="15">
        <f>IF('ENCUESTA CONDUCTORES'!BT252="X",1,0)</f>
        <v>0</v>
      </c>
      <c r="BM252" s="15">
        <f>IF('ENCUESTA CONDUCTORES'!BU252="X",1,0)</f>
        <v>0</v>
      </c>
      <c r="BN252" s="15">
        <f>IF('ENCUESTA CONDUCTORES'!BV252="X",1,0)</f>
        <v>1</v>
      </c>
      <c r="BO252" s="15">
        <f>IF('ENCUESTA CONDUCTORES'!BW252="X",1,0)</f>
        <v>0</v>
      </c>
      <c r="BP252" s="15">
        <f>+'ENCUESTA CONDUCTORES'!BX252</f>
        <v>2</v>
      </c>
      <c r="BQ252" s="15">
        <f>+'ENCUESTA CONDUCTORES'!BY252</f>
        <v>3</v>
      </c>
      <c r="BR252" s="15">
        <f>+'ENCUESTA CONDUCTORES'!BZ252</f>
        <v>1</v>
      </c>
      <c r="BS252" s="15">
        <f>+'ENCUESTA CONDUCTORES'!CA252</f>
        <v>0</v>
      </c>
      <c r="BT252" s="15">
        <f>IF('ENCUESTA CONDUCTORES'!CB252="X",1,0)</f>
        <v>1</v>
      </c>
      <c r="BU252" s="15">
        <f>IF('ENCUESTA CONDUCTORES'!CC252="X",1,0)</f>
        <v>0</v>
      </c>
      <c r="BV252" s="15">
        <f>IF('ENCUESTA CONDUCTORES'!CD252="X",1,0)</f>
        <v>0</v>
      </c>
      <c r="BW252" s="15">
        <f>IF('ENCUESTA CONDUCTORES'!CE252="X",1,0)</f>
        <v>0</v>
      </c>
      <c r="BX252" s="15">
        <f>IF('ENCUESTA CONDUCTORES'!CF252="X",1,0)</f>
        <v>0</v>
      </c>
      <c r="BY252" s="15">
        <f>IF('ENCUESTA CONDUCTORES'!CG252="X",1,0)</f>
        <v>0</v>
      </c>
      <c r="BZ252" s="15">
        <f>IF('ENCUESTA CONDUCTORES'!CH252="X",1,0)</f>
        <v>0</v>
      </c>
      <c r="CA252" s="15">
        <f>IF('ENCUESTA CONDUCTORES'!CI252="X",1,0)</f>
        <v>0</v>
      </c>
      <c r="CB252" s="15">
        <f>IF('ENCUESTA CONDUCTORES'!CJ252="X",1,0)</f>
        <v>0</v>
      </c>
      <c r="CC252" s="15">
        <f>IF('ENCUESTA CONDUCTORES'!CK252="X",1,0)</f>
        <v>1</v>
      </c>
      <c r="CD252" s="15">
        <f>IF('ENCUESTA CONDUCTORES'!CL252="X",1,0)</f>
        <v>0</v>
      </c>
      <c r="CE252" s="15">
        <f>IF('ENCUESTA CONDUCTORES'!CM252="X",1,0)</f>
        <v>0</v>
      </c>
      <c r="CF252" s="15">
        <f>+'ENCUESTA CONDUCTORES'!CN252</f>
        <v>0</v>
      </c>
      <c r="CG252" s="15">
        <f>IF('ENCUESTA CONDUCTORES'!CO252="X",1,0)</f>
        <v>0</v>
      </c>
      <c r="CH252" s="15" t="str">
        <f>+'ENCUESTA CONDUCTORES'!CP252</f>
        <v>NO SABE</v>
      </c>
      <c r="CI252" s="15" t="str">
        <f>+'ENCUESTA CONDUCTORES'!CQ252</f>
        <v>PUBLICIDAD</v>
      </c>
      <c r="CJ252" s="15">
        <f>IF('ENCUESTA CONDUCTORES'!CR252="X",1,0)</f>
        <v>1</v>
      </c>
      <c r="CK252" s="15">
        <f>IF('ENCUESTA CONDUCTORES'!CS252="X",1,0)</f>
        <v>0</v>
      </c>
      <c r="CL252" s="15">
        <f>IF('ENCUESTA CONDUCTORES'!CT252="X",1,0)</f>
        <v>0</v>
      </c>
      <c r="CM252" s="15">
        <f>+'ENCUESTA CONDUCTORES'!CU252</f>
        <v>0</v>
      </c>
      <c r="CN252" s="15">
        <f>IF('ENCUESTA CONDUCTORES'!CV252="X",1,0)</f>
        <v>1</v>
      </c>
      <c r="CO252" s="15" t="str">
        <f>+'ENCUESTA CONDUCTORES'!CW252</f>
        <v>NO TIENE TIEMPO</v>
      </c>
      <c r="CP252" s="15">
        <f>IF('ENCUESTA CONDUCTORES'!CX252="X",1,0)</f>
        <v>0</v>
      </c>
      <c r="CQ252" s="15">
        <f>IF('ENCUESTA CONDUCTORES'!CY252="X",1,0)</f>
        <v>0</v>
      </c>
      <c r="CR252" s="3">
        <f>+'ENCUESTA CONDUCTORES'!CZ252</f>
        <v>0</v>
      </c>
      <c r="CS252" s="49">
        <f>+'ENCUESTA CONDUCTORES'!DA252</f>
        <v>0</v>
      </c>
    </row>
    <row r="253" spans="2:97" x14ac:dyDescent="0.25">
      <c r="B253" s="14" t="str">
        <f>+'ENCUESTA CONDUCTORES'!D253</f>
        <v>C-264</v>
      </c>
      <c r="C253" s="15">
        <f>IF('ENCUESTA CONDUCTORES'!E253="X",1,0)</f>
        <v>0</v>
      </c>
      <c r="D253" s="15">
        <f>IF('ENCUESTA CONDUCTORES'!F253="X",1,0)</f>
        <v>0</v>
      </c>
      <c r="E253" s="15">
        <f>IF('ENCUESTA CONDUCTORES'!G253="X",1,0)</f>
        <v>0</v>
      </c>
      <c r="F253" s="15">
        <f>IF('ENCUESTA CONDUCTORES'!H253="X",1,0)</f>
        <v>1</v>
      </c>
      <c r="G253" s="15">
        <f>+'ENCUESTA CONDUCTORES'!I253</f>
        <v>41</v>
      </c>
      <c r="H253" s="15" t="str">
        <f>+'ENCUESTA CONDUCTORES'!J253</f>
        <v>M</v>
      </c>
      <c r="I253" s="15" t="str">
        <f>+'ENCUESTA CONDUCTORES'!K253</f>
        <v>SECUNDARIA</v>
      </c>
      <c r="J253" s="15" t="str">
        <f>+'ENCUESTA CONDUCTORES'!L253</f>
        <v>SAN JUAN DEL RÍO, QRO.</v>
      </c>
      <c r="K253" s="15" t="str">
        <f>+'ENCUESTA CONDUCTORES'!M253</f>
        <v>SAN JUAN DEL RÍO</v>
      </c>
      <c r="L253" s="15" t="str">
        <f>+'ENCUESTA CONDUCTORES'!N253</f>
        <v>QUERÉTARO</v>
      </c>
      <c r="M253" s="15">
        <f>+'ENCUESTA CONDUCTORES'!O253</f>
        <v>20</v>
      </c>
      <c r="N253" s="15">
        <f>IF('ENCUESTA CONDUCTORES'!P253="X",1,0)</f>
        <v>0</v>
      </c>
      <c r="O253" s="15">
        <f>IF('ENCUESTA CONDUCTORES'!Q253="X",1,0)</f>
        <v>0</v>
      </c>
      <c r="P253" s="15">
        <f>IF('ENCUESTA CONDUCTORES'!R253="X",1,0)</f>
        <v>0</v>
      </c>
      <c r="Q253" s="15">
        <f>IF('ENCUESTA CONDUCTORES'!S253="X",1,0)</f>
        <v>1</v>
      </c>
      <c r="R253" s="15">
        <f>IF('ENCUESTA CONDUCTORES'!T253="X",1,0)</f>
        <v>0</v>
      </c>
      <c r="S253" s="15">
        <f>IF('ENCUESTA CONDUCTORES'!U253="X",1,0)</f>
        <v>0</v>
      </c>
      <c r="T253" s="15">
        <f>IF('ENCUESTA CONDUCTORES'!V253="X",1,0)</f>
        <v>0</v>
      </c>
      <c r="U253" s="15">
        <f>IF('ENCUESTA CONDUCTORES'!W253="X",1,0)</f>
        <v>0</v>
      </c>
      <c r="V253" s="15">
        <f>IF('ENCUESTA CONDUCTORES'!X253="X",1,0)</f>
        <v>1</v>
      </c>
      <c r="W253" s="15">
        <f>IF('ENCUESTA CONDUCTORES'!Y253="X",1,0)</f>
        <v>0</v>
      </c>
      <c r="X253" s="15">
        <f>IF('ENCUESTA CONDUCTORES'!Z253="X",1,0)</f>
        <v>0</v>
      </c>
      <c r="Y253" s="15">
        <f>+'ENCUESTA CONDUCTORES'!AG253</f>
        <v>0</v>
      </c>
      <c r="Z253" s="15">
        <f>+'ENCUESTA CONDUCTORES'!AH253</f>
        <v>2012</v>
      </c>
      <c r="AA253" s="1">
        <f>+'ENCUESTA CONDUCTORES'!AI253</f>
        <v>500000</v>
      </c>
      <c r="AB253" s="15">
        <f>IF('ENCUESTA CONDUCTORES'!AJ253="X",1,0)</f>
        <v>0</v>
      </c>
      <c r="AC253" s="15">
        <f>IF('ENCUESTA CONDUCTORES'!AK253="X",1,0)</f>
        <v>0</v>
      </c>
      <c r="AD253" s="15">
        <f>IF('ENCUESTA CONDUCTORES'!AL253="X",1,0)</f>
        <v>1</v>
      </c>
      <c r="AE253" s="15">
        <f>IF('ENCUESTA CONDUCTORES'!AM253="X",1,0)</f>
        <v>0</v>
      </c>
      <c r="AF253" s="15">
        <f>IF('ENCUESTA CONDUCTORES'!AN253="X",1,0)</f>
        <v>0</v>
      </c>
      <c r="AG253" s="15">
        <f>IF('ENCUESTA CONDUCTORES'!AO253="X",1,0)</f>
        <v>0</v>
      </c>
      <c r="AH253" s="15">
        <f>IF('ENCUESTA CONDUCTORES'!AP253="X",1,0)</f>
        <v>1</v>
      </c>
      <c r="AI253" s="15">
        <f>IF('ENCUESTA CONDUCTORES'!AQ253="X",1,0)</f>
        <v>0</v>
      </c>
      <c r="AJ253" s="15">
        <f>IF('ENCUESTA CONDUCTORES'!AR253="X",1,0)</f>
        <v>0</v>
      </c>
      <c r="AK253" s="15">
        <f>+'ENCUESTA CONDUCTORES'!AS253</f>
        <v>0</v>
      </c>
      <c r="AL253" s="15" t="str">
        <f>+'ENCUESTA CONDUCTORES'!AT253</f>
        <v>KENWORTH</v>
      </c>
      <c r="AM253" s="1">
        <f>+'ENCUESTA CONDUCTORES'!AU253</f>
        <v>7000</v>
      </c>
      <c r="AN253" s="48">
        <f>+'ENCUESTA CONDUCTORES'!AV253</f>
        <v>0.5</v>
      </c>
      <c r="AO253" s="15">
        <f>+'ENCUESTA CONDUCTORES'!AW253</f>
        <v>3.2</v>
      </c>
      <c r="AP253" s="15">
        <f>+'ENCUESTA CONDUCTORES'!AX253</f>
        <v>2.8</v>
      </c>
      <c r="AQ253" s="15">
        <f>+'ENCUESTA CONDUCTORES'!AY253</f>
        <v>2</v>
      </c>
      <c r="AR253" s="15">
        <f>+'ENCUESTA CONDUCTORES'!AZ253</f>
        <v>670</v>
      </c>
      <c r="AS253" s="15">
        <f>+'ENCUESTA CONDUCTORES'!BA253</f>
        <v>2000</v>
      </c>
      <c r="AT253" s="15">
        <f>IF('ENCUESTA CONDUCTORES'!BB253="X",1,0)</f>
        <v>1</v>
      </c>
      <c r="AU253" s="15">
        <f>IF('ENCUESTA CONDUCTORES'!BC253="X",1,0)</f>
        <v>1</v>
      </c>
      <c r="AV253" s="15">
        <f>IF('ENCUESTA CONDUCTORES'!BD253="X",1,0)</f>
        <v>0</v>
      </c>
      <c r="AW253" s="1">
        <f>+'ENCUESTA CONDUCTORES'!BE253</f>
        <v>15000</v>
      </c>
      <c r="AX253" s="1">
        <f>+'ENCUESTA CONDUCTORES'!BF253</f>
        <v>14000</v>
      </c>
      <c r="AY253" s="1">
        <f>+'ENCUESTA CONDUCTORES'!BG253</f>
        <v>30000</v>
      </c>
      <c r="AZ253" s="1">
        <f>+'ENCUESTA CONDUCTORES'!BH253</f>
        <v>180000</v>
      </c>
      <c r="BA253" s="1">
        <f>+'ENCUESTA CONDUCTORES'!BI253</f>
        <v>30000</v>
      </c>
      <c r="BB253" s="15">
        <f>IF('ENCUESTA CONDUCTORES'!BJ253="X",1,0)</f>
        <v>0</v>
      </c>
      <c r="BC253" s="15">
        <f>IF('ENCUESTA CONDUCTORES'!BK253="X",1,0)</f>
        <v>0</v>
      </c>
      <c r="BD253" s="15">
        <f>IF('ENCUESTA CONDUCTORES'!BL253="X",1,0)</f>
        <v>0</v>
      </c>
      <c r="BE253" s="15">
        <f>IF('ENCUESTA CONDUCTORES'!BM253="X",1,0)</f>
        <v>0</v>
      </c>
      <c r="BF253" s="15">
        <f>IF('ENCUESTA CONDUCTORES'!BN253="X",1,0)</f>
        <v>0</v>
      </c>
      <c r="BG253" s="15">
        <f>IF('ENCUESTA CONDUCTORES'!BO253="X",1,0)</f>
        <v>0</v>
      </c>
      <c r="BH253" s="15">
        <f>IF('ENCUESTA CONDUCTORES'!BP253="X",1,0)</f>
        <v>0</v>
      </c>
      <c r="BI253" s="15">
        <f>IF('ENCUESTA CONDUCTORES'!BQ253="X",1,0)</f>
        <v>1</v>
      </c>
      <c r="BJ253" s="15">
        <f>IF('ENCUESTA CONDUCTORES'!BR253="X",1,0)</f>
        <v>0</v>
      </c>
      <c r="BK253" s="15">
        <f>+'ENCUESTA CONDUCTORES'!BS253</f>
        <v>0</v>
      </c>
      <c r="BL253" s="15">
        <f>IF('ENCUESTA CONDUCTORES'!BT253="X",1,0)</f>
        <v>0</v>
      </c>
      <c r="BM253" s="15">
        <f>IF('ENCUESTA CONDUCTORES'!BU253="X",1,0)</f>
        <v>1</v>
      </c>
      <c r="BN253" s="15">
        <f>IF('ENCUESTA CONDUCTORES'!BV253="X",1,0)</f>
        <v>0</v>
      </c>
      <c r="BO253" s="15">
        <f>IF('ENCUESTA CONDUCTORES'!BW253="X",1,0)</f>
        <v>0</v>
      </c>
      <c r="BP253" s="15">
        <f>+'ENCUESTA CONDUCTORES'!BX253</f>
        <v>1</v>
      </c>
      <c r="BQ253" s="15">
        <f>+'ENCUESTA CONDUCTORES'!BY253</f>
        <v>3</v>
      </c>
      <c r="BR253" s="15">
        <f>+'ENCUESTA CONDUCTORES'!BZ253</f>
        <v>2</v>
      </c>
      <c r="BS253" s="15">
        <f>+'ENCUESTA CONDUCTORES'!CA253</f>
        <v>0</v>
      </c>
      <c r="BT253" s="15">
        <f>IF('ENCUESTA CONDUCTORES'!CB253="X",1,0)</f>
        <v>0</v>
      </c>
      <c r="BU253" s="15">
        <f>IF('ENCUESTA CONDUCTORES'!CC253="X",1,0)</f>
        <v>1</v>
      </c>
      <c r="BV253" s="15">
        <f>IF('ENCUESTA CONDUCTORES'!CD253="X",1,0)</f>
        <v>0</v>
      </c>
      <c r="BW253" s="15">
        <f>IF('ENCUESTA CONDUCTORES'!CE253="X",1,0)</f>
        <v>1</v>
      </c>
      <c r="BX253" s="15">
        <f>IF('ENCUESTA CONDUCTORES'!CF253="X",1,0)</f>
        <v>0</v>
      </c>
      <c r="BY253" s="15">
        <f>IF('ENCUESTA CONDUCTORES'!CG253="X",1,0)</f>
        <v>0</v>
      </c>
      <c r="BZ253" s="15">
        <f>IF('ENCUESTA CONDUCTORES'!CH253="X",1,0)</f>
        <v>1</v>
      </c>
      <c r="CA253" s="15">
        <f>IF('ENCUESTA CONDUCTORES'!CI253="X",1,0)</f>
        <v>1</v>
      </c>
      <c r="CB253" s="15">
        <f>IF('ENCUESTA CONDUCTORES'!CJ253="X",1,0)</f>
        <v>0</v>
      </c>
      <c r="CC253" s="15">
        <f>IF('ENCUESTA CONDUCTORES'!CK253="X",1,0)</f>
        <v>0</v>
      </c>
      <c r="CD253" s="15">
        <f>IF('ENCUESTA CONDUCTORES'!CL253="X",1,0)</f>
        <v>1</v>
      </c>
      <c r="CE253" s="15">
        <f>IF('ENCUESTA CONDUCTORES'!CM253="X",1,0)</f>
        <v>1</v>
      </c>
      <c r="CF253" s="15" t="str">
        <f>+'ENCUESTA CONDUCTORES'!CN253</f>
        <v>EL PATRON NO DICE NADA</v>
      </c>
      <c r="CG253" s="15">
        <f>IF('ENCUESTA CONDUCTORES'!CO253="X",1,0)</f>
        <v>0</v>
      </c>
      <c r="CH253" s="15" t="str">
        <f>+'ENCUESTA CONDUCTORES'!CP253</f>
        <v>ES BUENO PARA EL AMBIENTE</v>
      </c>
      <c r="CI253" s="15" t="str">
        <f>+'ENCUESTA CONDUCTORES'!CQ253</f>
        <v>QUE LO EXIJAN</v>
      </c>
      <c r="CJ253" s="15">
        <f>IF('ENCUESTA CONDUCTORES'!CR253="X",1,0)</f>
        <v>0</v>
      </c>
      <c r="CK253" s="15">
        <f>IF('ENCUESTA CONDUCTORES'!CS253="X",1,0)</f>
        <v>0</v>
      </c>
      <c r="CL253" s="15">
        <f>IF('ENCUESTA CONDUCTORES'!CT253="X",1,0)</f>
        <v>0</v>
      </c>
      <c r="CM253" s="15" t="str">
        <f>+'ENCUESTA CONDUCTORES'!CU253</f>
        <v>MANEJO A LA DEFENSIVA</v>
      </c>
      <c r="CN253" s="15">
        <f>IF('ENCUESTA CONDUCTORES'!CV253="X",1,0)</f>
        <v>0</v>
      </c>
      <c r="CO253" s="15">
        <f>+'ENCUESTA CONDUCTORES'!CW253</f>
        <v>0</v>
      </c>
      <c r="CP253" s="15">
        <f>IF('ENCUESTA CONDUCTORES'!CX253="X",1,0)</f>
        <v>1</v>
      </c>
      <c r="CQ253" s="15">
        <f>IF('ENCUESTA CONDUCTORES'!CY253="X",1,0)</f>
        <v>1</v>
      </c>
      <c r="CR253" s="3">
        <f>+'ENCUESTA CONDUCTORES'!CZ253</f>
        <v>0</v>
      </c>
      <c r="CS253" s="49">
        <f>+'ENCUESTA CONDUCTORES'!DA253</f>
        <v>0</v>
      </c>
    </row>
    <row r="254" spans="2:97" x14ac:dyDescent="0.25">
      <c r="B254" s="14" t="str">
        <f>+'ENCUESTA CONDUCTORES'!D254</f>
        <v>C-265</v>
      </c>
      <c r="C254" s="15">
        <f>IF('ENCUESTA CONDUCTORES'!E254="X",1,0)</f>
        <v>0</v>
      </c>
      <c r="D254" s="15">
        <f>IF('ENCUESTA CONDUCTORES'!F254="X",1,0)</f>
        <v>0</v>
      </c>
      <c r="E254" s="15">
        <f>IF('ENCUESTA CONDUCTORES'!G254="X",1,0)</f>
        <v>0</v>
      </c>
      <c r="F254" s="15">
        <f>IF('ENCUESTA CONDUCTORES'!H254="X",1,0)</f>
        <v>1</v>
      </c>
      <c r="G254" s="15">
        <f>+'ENCUESTA CONDUCTORES'!I254</f>
        <v>55</v>
      </c>
      <c r="H254" s="15" t="str">
        <f>+'ENCUESTA CONDUCTORES'!J254</f>
        <v>M</v>
      </c>
      <c r="I254" s="15" t="str">
        <f>+'ENCUESTA CONDUCTORES'!K254</f>
        <v>PRIMARIA</v>
      </c>
      <c r="J254" s="15" t="str">
        <f>+'ENCUESTA CONDUCTORES'!L254</f>
        <v>CUAUHTÉMOC, D.F.</v>
      </c>
      <c r="K254" s="15" t="str">
        <f>+'ENCUESTA CONDUCTORES'!M254</f>
        <v>CUAUHTÉMOC</v>
      </c>
      <c r="L254" s="15" t="str">
        <f>+'ENCUESTA CONDUCTORES'!N254</f>
        <v>D.F.</v>
      </c>
      <c r="M254" s="15">
        <f>+'ENCUESTA CONDUCTORES'!O254</f>
        <v>25</v>
      </c>
      <c r="N254" s="15">
        <f>IF('ENCUESTA CONDUCTORES'!P254="X",1,0)</f>
        <v>0</v>
      </c>
      <c r="O254" s="15">
        <f>IF('ENCUESTA CONDUCTORES'!Q254="X",1,0)</f>
        <v>0</v>
      </c>
      <c r="P254" s="15">
        <f>IF('ENCUESTA CONDUCTORES'!R254="X",1,0)</f>
        <v>0</v>
      </c>
      <c r="Q254" s="15">
        <f>IF('ENCUESTA CONDUCTORES'!S254="X",1,0)</f>
        <v>1</v>
      </c>
      <c r="R254" s="15">
        <f>IF('ENCUESTA CONDUCTORES'!T254="X",1,0)</f>
        <v>0</v>
      </c>
      <c r="S254" s="15">
        <f>IF('ENCUESTA CONDUCTORES'!U254="X",1,0)</f>
        <v>1</v>
      </c>
      <c r="T254" s="15">
        <f>IF('ENCUESTA CONDUCTORES'!V254="X",1,0)</f>
        <v>0</v>
      </c>
      <c r="U254" s="15">
        <f>IF('ENCUESTA CONDUCTORES'!W254="X",1,0)</f>
        <v>0</v>
      </c>
      <c r="V254" s="15">
        <f>IF('ENCUESTA CONDUCTORES'!X254="X",1,0)</f>
        <v>0</v>
      </c>
      <c r="W254" s="15">
        <f>IF('ENCUESTA CONDUCTORES'!Y254="X",1,0)</f>
        <v>0</v>
      </c>
      <c r="X254" s="15">
        <f>IF('ENCUESTA CONDUCTORES'!Z254="X",1,0)</f>
        <v>0</v>
      </c>
      <c r="Y254" s="15">
        <f>+'ENCUESTA CONDUCTORES'!AG254</f>
        <v>0</v>
      </c>
      <c r="Z254" s="15">
        <f>+'ENCUESTA CONDUCTORES'!AH254</f>
        <v>2005</v>
      </c>
      <c r="AA254" s="1">
        <f>+'ENCUESTA CONDUCTORES'!AI254</f>
        <v>700000</v>
      </c>
      <c r="AB254" s="15">
        <f>IF('ENCUESTA CONDUCTORES'!AJ254="X",1,0)</f>
        <v>0</v>
      </c>
      <c r="AC254" s="15">
        <f>IF('ENCUESTA CONDUCTORES'!AK254="X",1,0)</f>
        <v>0</v>
      </c>
      <c r="AD254" s="15">
        <f>IF('ENCUESTA CONDUCTORES'!AL254="X",1,0)</f>
        <v>1</v>
      </c>
      <c r="AE254" s="15">
        <f>IF('ENCUESTA CONDUCTORES'!AM254="X",1,0)</f>
        <v>0</v>
      </c>
      <c r="AF254" s="15">
        <f>IF('ENCUESTA CONDUCTORES'!AN254="X",1,0)</f>
        <v>0</v>
      </c>
      <c r="AG254" s="15">
        <f>IF('ENCUESTA CONDUCTORES'!AO254="X",1,0)</f>
        <v>0</v>
      </c>
      <c r="AH254" s="15">
        <f>IF('ENCUESTA CONDUCTORES'!AP254="X",1,0)</f>
        <v>1</v>
      </c>
      <c r="AI254" s="15">
        <f>IF('ENCUESTA CONDUCTORES'!AQ254="X",1,0)</f>
        <v>0</v>
      </c>
      <c r="AJ254" s="15">
        <f>IF('ENCUESTA CONDUCTORES'!AR254="X",1,0)</f>
        <v>0</v>
      </c>
      <c r="AK254" s="15">
        <f>+'ENCUESTA CONDUCTORES'!AS254</f>
        <v>0</v>
      </c>
      <c r="AL254" s="15" t="str">
        <f>+'ENCUESTA CONDUCTORES'!AT254</f>
        <v>KENWORTH</v>
      </c>
      <c r="AM254" s="1">
        <f>+'ENCUESTA CONDUCTORES'!AU254</f>
        <v>4000</v>
      </c>
      <c r="AN254" s="48">
        <f>+'ENCUESTA CONDUCTORES'!AV254</f>
        <v>0.5</v>
      </c>
      <c r="AO254" s="15">
        <f>+'ENCUESTA CONDUCTORES'!AW254</f>
        <v>2.8</v>
      </c>
      <c r="AP254" s="15">
        <f>+'ENCUESTA CONDUCTORES'!AX254</f>
        <v>2.5</v>
      </c>
      <c r="AQ254" s="15">
        <f>+'ENCUESTA CONDUCTORES'!AY254</f>
        <v>2</v>
      </c>
      <c r="AR254" s="15">
        <f>+'ENCUESTA CONDUCTORES'!AZ254</f>
        <v>580</v>
      </c>
      <c r="AS254" s="15">
        <f>+'ENCUESTA CONDUCTORES'!BA254</f>
        <v>1500</v>
      </c>
      <c r="AT254" s="15">
        <f>IF('ENCUESTA CONDUCTORES'!BB254="X",1,0)</f>
        <v>1</v>
      </c>
      <c r="AU254" s="15">
        <f>IF('ENCUESTA CONDUCTORES'!BC254="X",1,0)</f>
        <v>1</v>
      </c>
      <c r="AV254" s="15">
        <f>IF('ENCUESTA CONDUCTORES'!BD254="X",1,0)</f>
        <v>0</v>
      </c>
      <c r="AW254" s="1">
        <f>+'ENCUESTA CONDUCTORES'!BE254</f>
        <v>7000</v>
      </c>
      <c r="AX254" s="1">
        <f>+'ENCUESTA CONDUCTORES'!BF254</f>
        <v>15000</v>
      </c>
      <c r="AY254" s="1">
        <f>+'ENCUESTA CONDUCTORES'!BG254</f>
        <v>25000</v>
      </c>
      <c r="AZ254" s="1">
        <f>+'ENCUESTA CONDUCTORES'!BH254</f>
        <v>135000</v>
      </c>
      <c r="BA254" s="1">
        <f>+'ENCUESTA CONDUCTORES'!BI254</f>
        <v>25000</v>
      </c>
      <c r="BB254" s="15">
        <f>IF('ENCUESTA CONDUCTORES'!BJ254="X",1,0)</f>
        <v>0</v>
      </c>
      <c r="BC254" s="15">
        <f>IF('ENCUESTA CONDUCTORES'!BK254="X",1,0)</f>
        <v>0</v>
      </c>
      <c r="BD254" s="15">
        <f>IF('ENCUESTA CONDUCTORES'!BL254="X",1,0)</f>
        <v>0</v>
      </c>
      <c r="BE254" s="15">
        <f>IF('ENCUESTA CONDUCTORES'!BM254="X",1,0)</f>
        <v>0</v>
      </c>
      <c r="BF254" s="15">
        <f>IF('ENCUESTA CONDUCTORES'!BN254="X",1,0)</f>
        <v>0</v>
      </c>
      <c r="BG254" s="15">
        <f>IF('ENCUESTA CONDUCTORES'!BO254="X",1,0)</f>
        <v>0</v>
      </c>
      <c r="BH254" s="15">
        <f>IF('ENCUESTA CONDUCTORES'!BP254="X",1,0)</f>
        <v>0</v>
      </c>
      <c r="BI254" s="15">
        <f>IF('ENCUESTA CONDUCTORES'!BQ254="X",1,0)</f>
        <v>0</v>
      </c>
      <c r="BJ254" s="15">
        <f>IF('ENCUESTA CONDUCTORES'!BR254="X",1,0)</f>
        <v>0</v>
      </c>
      <c r="BK254" s="15" t="str">
        <f>+'ENCUESTA CONDUCTORES'!BS254</f>
        <v>GENERAL</v>
      </c>
      <c r="BL254" s="15">
        <f>IF('ENCUESTA CONDUCTORES'!BT254="X",1,0)</f>
        <v>0</v>
      </c>
      <c r="BM254" s="15">
        <f>IF('ENCUESTA CONDUCTORES'!BU254="X",1,0)</f>
        <v>0</v>
      </c>
      <c r="BN254" s="15">
        <f>IF('ENCUESTA CONDUCTORES'!BV254="X",1,0)</f>
        <v>1</v>
      </c>
      <c r="BO254" s="15">
        <f>IF('ENCUESTA CONDUCTORES'!BW254="X",1,0)</f>
        <v>0</v>
      </c>
      <c r="BP254" s="15">
        <f>+'ENCUESTA CONDUCTORES'!BX254</f>
        <v>1</v>
      </c>
      <c r="BQ254" s="15">
        <f>+'ENCUESTA CONDUCTORES'!BY254</f>
        <v>2</v>
      </c>
      <c r="BR254" s="15">
        <f>+'ENCUESTA CONDUCTORES'!BZ254</f>
        <v>3</v>
      </c>
      <c r="BS254" s="15">
        <f>+'ENCUESTA CONDUCTORES'!CA254</f>
        <v>0</v>
      </c>
      <c r="BT254" s="15">
        <f>IF('ENCUESTA CONDUCTORES'!CB254="X",1,0)</f>
        <v>0</v>
      </c>
      <c r="BU254" s="15">
        <f>IF('ENCUESTA CONDUCTORES'!CC254="X",1,0)</f>
        <v>1</v>
      </c>
      <c r="BV254" s="15">
        <f>IF('ENCUESTA CONDUCTORES'!CD254="X",1,0)</f>
        <v>0</v>
      </c>
      <c r="BW254" s="15">
        <f>IF('ENCUESTA CONDUCTORES'!CE254="X",1,0)</f>
        <v>1</v>
      </c>
      <c r="BX254" s="15">
        <f>IF('ENCUESTA CONDUCTORES'!CF254="X",1,0)</f>
        <v>0</v>
      </c>
      <c r="BY254" s="15">
        <f>IF('ENCUESTA CONDUCTORES'!CG254="X",1,0)</f>
        <v>0</v>
      </c>
      <c r="BZ254" s="15">
        <f>IF('ENCUESTA CONDUCTORES'!CH254="X",1,0)</f>
        <v>1</v>
      </c>
      <c r="CA254" s="15">
        <f>IF('ENCUESTA CONDUCTORES'!CI254="X",1,0)</f>
        <v>1</v>
      </c>
      <c r="CB254" s="15">
        <f>IF('ENCUESTA CONDUCTORES'!CJ254="X",1,0)</f>
        <v>0</v>
      </c>
      <c r="CC254" s="15">
        <f>IF('ENCUESTA CONDUCTORES'!CK254="X",1,0)</f>
        <v>0</v>
      </c>
      <c r="CD254" s="15">
        <f>IF('ENCUESTA CONDUCTORES'!CL254="X",1,0)</f>
        <v>1</v>
      </c>
      <c r="CE254" s="15">
        <f>IF('ENCUESTA CONDUCTORES'!CM254="X",1,0)</f>
        <v>1</v>
      </c>
      <c r="CF254" s="15" t="str">
        <f>+'ENCUESTA CONDUCTORES'!CN254</f>
        <v>NO HAY TIEMPO</v>
      </c>
      <c r="CG254" s="15">
        <f>IF('ENCUESTA CONDUCTORES'!CO254="X",1,0)</f>
        <v>0</v>
      </c>
      <c r="CH254" s="15" t="str">
        <f>+'ENCUESTA CONDUCTORES'!CP254</f>
        <v>ES BUENA LA INTENSION</v>
      </c>
      <c r="CI254" s="15" t="str">
        <f>+'ENCUESTA CONDUCTORES'!CQ254</f>
        <v>QUE LO EXIJAN</v>
      </c>
      <c r="CJ254" s="15">
        <f>IF('ENCUESTA CONDUCTORES'!CR254="X",1,0)</f>
        <v>0</v>
      </c>
      <c r="CK254" s="15">
        <f>IF('ENCUESTA CONDUCTORES'!CS254="X",1,0)</f>
        <v>0</v>
      </c>
      <c r="CL254" s="15">
        <f>IF('ENCUESTA CONDUCTORES'!CT254="X",1,0)</f>
        <v>0</v>
      </c>
      <c r="CM254" s="15" t="str">
        <f>+'ENCUESTA CONDUCTORES'!CU254</f>
        <v>MANEJO A LA DEFENSIVA</v>
      </c>
      <c r="CN254" s="15">
        <f>IF('ENCUESTA CONDUCTORES'!CV254="X",1,0)</f>
        <v>0</v>
      </c>
      <c r="CO254" s="15">
        <f>+'ENCUESTA CONDUCTORES'!CW254</f>
        <v>0</v>
      </c>
      <c r="CP254" s="15">
        <f>IF('ENCUESTA CONDUCTORES'!CX254="X",1,0)</f>
        <v>1</v>
      </c>
      <c r="CQ254" s="15">
        <f>IF('ENCUESTA CONDUCTORES'!CY254="X",1,0)</f>
        <v>1</v>
      </c>
      <c r="CR254" s="3">
        <f>+'ENCUESTA CONDUCTORES'!CZ254</f>
        <v>0</v>
      </c>
      <c r="CS254" s="49">
        <f>+'ENCUESTA CONDUCTORES'!DA254</f>
        <v>0</v>
      </c>
    </row>
    <row r="255" spans="2:97" x14ac:dyDescent="0.25">
      <c r="B255" s="14" t="str">
        <f>+'ENCUESTA CONDUCTORES'!D255</f>
        <v>C-266</v>
      </c>
      <c r="C255" s="15">
        <f>IF('ENCUESTA CONDUCTORES'!E255="X",1,0)</f>
        <v>0</v>
      </c>
      <c r="D255" s="15">
        <f>IF('ENCUESTA CONDUCTORES'!F255="X",1,0)</f>
        <v>0</v>
      </c>
      <c r="E255" s="15">
        <f>IF('ENCUESTA CONDUCTORES'!G255="X",1,0)</f>
        <v>0</v>
      </c>
      <c r="F255" s="15">
        <f>IF('ENCUESTA CONDUCTORES'!H255="X",1,0)</f>
        <v>1</v>
      </c>
      <c r="G255" s="15">
        <f>+'ENCUESTA CONDUCTORES'!I255</f>
        <v>52</v>
      </c>
      <c r="H255" s="15" t="str">
        <f>+'ENCUESTA CONDUCTORES'!J255</f>
        <v>M</v>
      </c>
      <c r="I255" s="15" t="str">
        <f>+'ENCUESTA CONDUCTORES'!K255</f>
        <v>PRIMARIA</v>
      </c>
      <c r="J255" s="15" t="str">
        <f>+'ENCUESTA CONDUCTORES'!L255</f>
        <v>TEXMELUCAN, PUE.</v>
      </c>
      <c r="K255" s="15" t="str">
        <f>+'ENCUESTA CONDUCTORES'!M255</f>
        <v>TEXMELUCAN</v>
      </c>
      <c r="L255" s="15" t="str">
        <f>+'ENCUESTA CONDUCTORES'!N255</f>
        <v>PUEBLA</v>
      </c>
      <c r="M255" s="15">
        <f>+'ENCUESTA CONDUCTORES'!O255</f>
        <v>17</v>
      </c>
      <c r="N255" s="15">
        <f>IF('ENCUESTA CONDUCTORES'!P255="X",1,0)</f>
        <v>0</v>
      </c>
      <c r="O255" s="15">
        <f>IF('ENCUESTA CONDUCTORES'!Q255="X",1,0)</f>
        <v>0</v>
      </c>
      <c r="P255" s="15">
        <f>IF('ENCUESTA CONDUCTORES'!R255="X",1,0)</f>
        <v>0</v>
      </c>
      <c r="Q255" s="15">
        <f>IF('ENCUESTA CONDUCTORES'!S255="X",1,0)</f>
        <v>1</v>
      </c>
      <c r="R255" s="15">
        <f>IF('ENCUESTA CONDUCTORES'!T255="X",1,0)</f>
        <v>0</v>
      </c>
      <c r="S255" s="15">
        <f>IF('ENCUESTA CONDUCTORES'!U255="X",1,0)</f>
        <v>0</v>
      </c>
      <c r="T255" s="15">
        <f>IF('ENCUESTA CONDUCTORES'!V255="X",1,0)</f>
        <v>0</v>
      </c>
      <c r="U255" s="15">
        <f>IF('ENCUESTA CONDUCTORES'!W255="X",1,0)</f>
        <v>0</v>
      </c>
      <c r="V255" s="15">
        <f>IF('ENCUESTA CONDUCTORES'!X255="X",1,0)</f>
        <v>0</v>
      </c>
      <c r="W255" s="15">
        <f>IF('ENCUESTA CONDUCTORES'!Y255="X",1,0)</f>
        <v>0</v>
      </c>
      <c r="X255" s="15">
        <f>IF('ENCUESTA CONDUCTORES'!Z255="X",1,0)</f>
        <v>0</v>
      </c>
      <c r="Y255" s="15">
        <f>+'ENCUESTA CONDUCTORES'!AG255</f>
        <v>0</v>
      </c>
      <c r="Z255" s="15">
        <f>+'ENCUESTA CONDUCTORES'!AH255</f>
        <v>2012</v>
      </c>
      <c r="AA255" s="1">
        <f>+'ENCUESTA CONDUCTORES'!AI255</f>
        <v>115200</v>
      </c>
      <c r="AB255" s="15">
        <f>IF('ENCUESTA CONDUCTORES'!AJ255="X",1,0)</f>
        <v>0</v>
      </c>
      <c r="AC255" s="15">
        <f>IF('ENCUESTA CONDUCTORES'!AK255="X",1,0)</f>
        <v>0</v>
      </c>
      <c r="AD255" s="15">
        <f>IF('ENCUESTA CONDUCTORES'!AL255="X",1,0)</f>
        <v>1</v>
      </c>
      <c r="AE255" s="15">
        <f>IF('ENCUESTA CONDUCTORES'!AM255="X",1,0)</f>
        <v>0</v>
      </c>
      <c r="AF255" s="15">
        <f>IF('ENCUESTA CONDUCTORES'!AN255="X",1,0)</f>
        <v>0</v>
      </c>
      <c r="AG255" s="15">
        <f>IF('ENCUESTA CONDUCTORES'!AO255="X",1,0)</f>
        <v>0</v>
      </c>
      <c r="AH255" s="15">
        <f>IF('ENCUESTA CONDUCTORES'!AP255="X",1,0)</f>
        <v>1</v>
      </c>
      <c r="AI255" s="15">
        <f>IF('ENCUESTA CONDUCTORES'!AQ255="X",1,0)</f>
        <v>0</v>
      </c>
      <c r="AJ255" s="15">
        <f>IF('ENCUESTA CONDUCTORES'!AR255="X",1,0)</f>
        <v>0</v>
      </c>
      <c r="AK255" s="15">
        <f>+'ENCUESTA CONDUCTORES'!AS255</f>
        <v>0</v>
      </c>
      <c r="AL255" s="15" t="str">
        <f>+'ENCUESTA CONDUCTORES'!AT255</f>
        <v>CATERPILLAR</v>
      </c>
      <c r="AM255" s="1">
        <f>+'ENCUESTA CONDUCTORES'!AU255</f>
        <v>4800</v>
      </c>
      <c r="AN255" s="48">
        <f>+'ENCUESTA CONDUCTORES'!AV255</f>
        <v>0.2</v>
      </c>
      <c r="AO255" s="15">
        <f>+'ENCUESTA CONDUCTORES'!AW255</f>
        <v>2.8</v>
      </c>
      <c r="AP255" s="15">
        <f>+'ENCUESTA CONDUCTORES'!AX255</f>
        <v>2.2999999999999998</v>
      </c>
      <c r="AQ255" s="15">
        <f>+'ENCUESTA CONDUCTORES'!AY255</f>
        <v>3</v>
      </c>
      <c r="AR255" s="15">
        <f>+'ENCUESTA CONDUCTORES'!AZ255</f>
        <v>1900</v>
      </c>
      <c r="AS255" s="15">
        <f>+'ENCUESTA CONDUCTORES'!BA255</f>
        <v>3795</v>
      </c>
      <c r="AT255" s="15">
        <f>IF('ENCUESTA CONDUCTORES'!BB255="X",1,0)</f>
        <v>1</v>
      </c>
      <c r="AU255" s="15">
        <f>IF('ENCUESTA CONDUCTORES'!BC255="X",1,0)</f>
        <v>1</v>
      </c>
      <c r="AV255" s="15">
        <f>IF('ENCUESTA CONDUCTORES'!BD255="X",1,0)</f>
        <v>1</v>
      </c>
      <c r="AW255" s="1">
        <f>+'ENCUESTA CONDUCTORES'!BE255</f>
        <v>13000</v>
      </c>
      <c r="AX255" s="1">
        <f>+'ENCUESTA CONDUCTORES'!BF255</f>
        <v>30000</v>
      </c>
      <c r="AY255" s="1">
        <f>+'ENCUESTA CONDUCTORES'!BG255</f>
        <v>20000</v>
      </c>
      <c r="AZ255" s="1">
        <f>+'ENCUESTA CONDUCTORES'!BH255</f>
        <v>57600</v>
      </c>
      <c r="BA255" s="1">
        <f>+'ENCUESTA CONDUCTORES'!BI255</f>
        <v>13000</v>
      </c>
      <c r="BB255" s="15">
        <f>IF('ENCUESTA CONDUCTORES'!BJ255="X",1,0)</f>
        <v>0</v>
      </c>
      <c r="BC255" s="15">
        <f>IF('ENCUESTA CONDUCTORES'!BK255="X",1,0)</f>
        <v>0</v>
      </c>
      <c r="BD255" s="15">
        <f>IF('ENCUESTA CONDUCTORES'!BL255="X",1,0)</f>
        <v>0</v>
      </c>
      <c r="BE255" s="15">
        <f>IF('ENCUESTA CONDUCTORES'!BM255="X",1,0)</f>
        <v>1</v>
      </c>
      <c r="BF255" s="15">
        <f>IF('ENCUESTA CONDUCTORES'!BN255="X",1,0)</f>
        <v>0</v>
      </c>
      <c r="BG255" s="15">
        <f>IF('ENCUESTA CONDUCTORES'!BO255="X",1,0)</f>
        <v>0</v>
      </c>
      <c r="BH255" s="15">
        <f>IF('ENCUESTA CONDUCTORES'!BP255="X",1,0)</f>
        <v>0</v>
      </c>
      <c r="BI255" s="15">
        <f>IF('ENCUESTA CONDUCTORES'!BQ255="X",1,0)</f>
        <v>0</v>
      </c>
      <c r="BJ255" s="15">
        <f>IF('ENCUESTA CONDUCTORES'!BR255="X",1,0)</f>
        <v>0</v>
      </c>
      <c r="BK255" s="15">
        <f>+'ENCUESTA CONDUCTORES'!BS255</f>
        <v>0</v>
      </c>
      <c r="BL255" s="15">
        <f>IF('ENCUESTA CONDUCTORES'!BT255="X",1,0)</f>
        <v>0</v>
      </c>
      <c r="BM255" s="15">
        <f>IF('ENCUESTA CONDUCTORES'!BU255="X",1,0)</f>
        <v>1</v>
      </c>
      <c r="BN255" s="15">
        <f>IF('ENCUESTA CONDUCTORES'!BV255="X",1,0)</f>
        <v>0</v>
      </c>
      <c r="BO255" s="15">
        <f>IF('ENCUESTA CONDUCTORES'!BW255="X",1,0)</f>
        <v>0</v>
      </c>
      <c r="BP255" s="15">
        <f>+'ENCUESTA CONDUCTORES'!BX255</f>
        <v>2</v>
      </c>
      <c r="BQ255" s="15">
        <f>+'ENCUESTA CONDUCTORES'!BY255</f>
        <v>4</v>
      </c>
      <c r="BR255" s="15">
        <f>+'ENCUESTA CONDUCTORES'!BZ255</f>
        <v>3</v>
      </c>
      <c r="BS255" s="15" t="str">
        <f>+'ENCUESTA CONDUCTORES'!CA255</f>
        <v>SEGURIDAD</v>
      </c>
      <c r="BT255" s="15">
        <f>IF('ENCUESTA CONDUCTORES'!CB255="X",1,0)</f>
        <v>0</v>
      </c>
      <c r="BU255" s="15">
        <f>IF('ENCUESTA CONDUCTORES'!CC255="X",1,0)</f>
        <v>1</v>
      </c>
      <c r="BV255" s="15">
        <f>IF('ENCUESTA CONDUCTORES'!CD255="X",1,0)</f>
        <v>0</v>
      </c>
      <c r="BW255" s="15">
        <f>IF('ENCUESTA CONDUCTORES'!CE255="X",1,0)</f>
        <v>1</v>
      </c>
      <c r="BX255" s="15">
        <f>IF('ENCUESTA CONDUCTORES'!CF255="X",1,0)</f>
        <v>0</v>
      </c>
      <c r="BY255" s="15">
        <f>IF('ENCUESTA CONDUCTORES'!CG255="X",1,0)</f>
        <v>1</v>
      </c>
      <c r="BZ255" s="15">
        <f>IF('ENCUESTA CONDUCTORES'!CH255="X",1,0)</f>
        <v>1</v>
      </c>
      <c r="CA255" s="15">
        <f>IF('ENCUESTA CONDUCTORES'!CI255="X",1,0)</f>
        <v>1</v>
      </c>
      <c r="CB255" s="15">
        <f>IF('ENCUESTA CONDUCTORES'!CJ255="X",1,0)</f>
        <v>0</v>
      </c>
      <c r="CC255" s="15">
        <f>IF('ENCUESTA CONDUCTORES'!CK255="X",1,0)</f>
        <v>0</v>
      </c>
      <c r="CD255" s="15">
        <f>IF('ENCUESTA CONDUCTORES'!CL255="X",1,0)</f>
        <v>1</v>
      </c>
      <c r="CE255" s="15">
        <f>IF('ENCUESTA CONDUCTORES'!CM255="X",1,0)</f>
        <v>1</v>
      </c>
      <c r="CF255" s="15" t="str">
        <f>+'ENCUESTA CONDUCTORES'!CN255</f>
        <v>NO LO NECESITA</v>
      </c>
      <c r="CG255" s="15">
        <f>IF('ENCUESTA CONDUCTORES'!CO255="X",1,0)</f>
        <v>0</v>
      </c>
      <c r="CH255" s="15" t="str">
        <f>+'ENCUESTA CONDUCTORES'!CP255</f>
        <v>ES MUY BUENO</v>
      </c>
      <c r="CI255" s="15" t="str">
        <f>+'ENCUESTA CONDUCTORES'!CQ255</f>
        <v>QUE SEA OBLIGATIRIO</v>
      </c>
      <c r="CJ255" s="15">
        <f>IF('ENCUESTA CONDUCTORES'!CR255="X",1,0)</f>
        <v>0</v>
      </c>
      <c r="CK255" s="15">
        <f>IF('ENCUESTA CONDUCTORES'!CS255="X",1,0)</f>
        <v>1</v>
      </c>
      <c r="CL255" s="15">
        <f>IF('ENCUESTA CONDUCTORES'!CT255="X",1,0)</f>
        <v>1</v>
      </c>
      <c r="CM255" s="15">
        <f>+'ENCUESTA CONDUCTORES'!CU255</f>
        <v>0</v>
      </c>
      <c r="CN255" s="15">
        <f>IF('ENCUESTA CONDUCTORES'!CV255="X",1,0)</f>
        <v>1</v>
      </c>
      <c r="CO255" s="15" t="str">
        <f>+'ENCUESTA CONDUCTORES'!CW255</f>
        <v>NO TIENE TIEMPO</v>
      </c>
      <c r="CP255" s="15">
        <f>IF('ENCUESTA CONDUCTORES'!CX255="X",1,0)</f>
        <v>0</v>
      </c>
      <c r="CQ255" s="15">
        <f>IF('ENCUESTA CONDUCTORES'!CY255="X",1,0)</f>
        <v>0</v>
      </c>
      <c r="CR255" s="3">
        <f>+'ENCUESTA CONDUCTORES'!CZ255</f>
        <v>0</v>
      </c>
      <c r="CS255" s="49">
        <f>+'ENCUESTA CONDUCTORES'!DA255</f>
        <v>0</v>
      </c>
    </row>
    <row r="256" spans="2:97" x14ac:dyDescent="0.25">
      <c r="B256" s="14" t="str">
        <f>+'ENCUESTA CONDUCTORES'!D256</f>
        <v>C-267</v>
      </c>
      <c r="C256" s="15">
        <f>IF('ENCUESTA CONDUCTORES'!E256="X",1,0)</f>
        <v>0</v>
      </c>
      <c r="D256" s="15">
        <f>IF('ENCUESTA CONDUCTORES'!F256="X",1,0)</f>
        <v>0</v>
      </c>
      <c r="E256" s="15">
        <f>IF('ENCUESTA CONDUCTORES'!G256="X",1,0)</f>
        <v>1</v>
      </c>
      <c r="F256" s="15">
        <f>IF('ENCUESTA CONDUCTORES'!H256="X",1,0)</f>
        <v>0</v>
      </c>
      <c r="G256" s="15">
        <f>+'ENCUESTA CONDUCTORES'!I256</f>
        <v>28</v>
      </c>
      <c r="H256" s="15" t="str">
        <f>+'ENCUESTA CONDUCTORES'!J256</f>
        <v>M</v>
      </c>
      <c r="I256" s="15" t="str">
        <f>+'ENCUESTA CONDUCTORES'!K256</f>
        <v>BACHILLERATO</v>
      </c>
      <c r="J256" s="15" t="str">
        <f>+'ENCUESTA CONDUCTORES'!L256</f>
        <v>TEXCOCO, EDO. MEX</v>
      </c>
      <c r="K256" s="15" t="str">
        <f>+'ENCUESTA CONDUCTORES'!M256</f>
        <v>TEXCOCO</v>
      </c>
      <c r="L256" s="15" t="str">
        <f>+'ENCUESTA CONDUCTORES'!N256</f>
        <v>EDO. MEX.</v>
      </c>
      <c r="M256" s="15">
        <f>+'ENCUESTA CONDUCTORES'!O256</f>
        <v>11</v>
      </c>
      <c r="N256" s="15">
        <f>IF('ENCUESTA CONDUCTORES'!P256="X",1,0)</f>
        <v>0</v>
      </c>
      <c r="O256" s="15">
        <f>IF('ENCUESTA CONDUCTORES'!Q256="X",1,0)</f>
        <v>0</v>
      </c>
      <c r="P256" s="15">
        <f>IF('ENCUESTA CONDUCTORES'!R256="X",1,0)</f>
        <v>0</v>
      </c>
      <c r="Q256" s="15">
        <f>IF('ENCUESTA CONDUCTORES'!S256="X",1,0)</f>
        <v>1</v>
      </c>
      <c r="R256" s="15">
        <f>IF('ENCUESTA CONDUCTORES'!T256="X",1,0)</f>
        <v>0</v>
      </c>
      <c r="S256" s="15">
        <f>IF('ENCUESTA CONDUCTORES'!U256="X",1,0)</f>
        <v>1</v>
      </c>
      <c r="T256" s="15">
        <f>IF('ENCUESTA CONDUCTORES'!V256="X",1,0)</f>
        <v>0</v>
      </c>
      <c r="U256" s="15">
        <f>IF('ENCUESTA CONDUCTORES'!W256="X",1,0)</f>
        <v>0</v>
      </c>
      <c r="V256" s="15">
        <f>IF('ENCUESTA CONDUCTORES'!X256="X",1,0)</f>
        <v>0</v>
      </c>
      <c r="W256" s="15">
        <f>IF('ENCUESTA CONDUCTORES'!Y256="X",1,0)</f>
        <v>0</v>
      </c>
      <c r="X256" s="15">
        <f>IF('ENCUESTA CONDUCTORES'!Z256="X",1,0)</f>
        <v>0</v>
      </c>
      <c r="Y256" s="15">
        <f>+'ENCUESTA CONDUCTORES'!AG256</f>
        <v>0</v>
      </c>
      <c r="Z256" s="15">
        <f>+'ENCUESTA CONDUCTORES'!AH256</f>
        <v>2011</v>
      </c>
      <c r="AA256" s="1">
        <f>+'ENCUESTA CONDUCTORES'!AI256</f>
        <v>550000</v>
      </c>
      <c r="AB256" s="15">
        <f>IF('ENCUESTA CONDUCTORES'!AJ256="X",1,0)</f>
        <v>0</v>
      </c>
      <c r="AC256" s="15">
        <f>IF('ENCUESTA CONDUCTORES'!AK256="X",1,0)</f>
        <v>0</v>
      </c>
      <c r="AD256" s="15">
        <f>IF('ENCUESTA CONDUCTORES'!AL256="X",1,0)</f>
        <v>1</v>
      </c>
      <c r="AE256" s="15">
        <f>IF('ENCUESTA CONDUCTORES'!AM256="X",1,0)</f>
        <v>0</v>
      </c>
      <c r="AF256" s="15">
        <f>IF('ENCUESTA CONDUCTORES'!AN256="X",1,0)</f>
        <v>0</v>
      </c>
      <c r="AG256" s="15">
        <f>IF('ENCUESTA CONDUCTORES'!AO256="X",1,0)</f>
        <v>0</v>
      </c>
      <c r="AH256" s="15">
        <f>IF('ENCUESTA CONDUCTORES'!AP256="X",1,0)</f>
        <v>1</v>
      </c>
      <c r="AI256" s="15">
        <f>IF('ENCUESTA CONDUCTORES'!AQ256="X",1,0)</f>
        <v>0</v>
      </c>
      <c r="AJ256" s="15">
        <f>IF('ENCUESTA CONDUCTORES'!AR256="X",1,0)</f>
        <v>0</v>
      </c>
      <c r="AK256" s="15">
        <f>+'ENCUESTA CONDUCTORES'!AS256</f>
        <v>0</v>
      </c>
      <c r="AL256" s="15" t="str">
        <f>+'ENCUESTA CONDUCTORES'!AT256</f>
        <v>KENWORTH</v>
      </c>
      <c r="AM256" s="1">
        <f>+'ENCUESTA CONDUCTORES'!AU256</f>
        <v>6000</v>
      </c>
      <c r="AN256" s="48">
        <f>+'ENCUESTA CONDUCTORES'!AV256</f>
        <v>0.3</v>
      </c>
      <c r="AO256" s="15">
        <f>+'ENCUESTA CONDUCTORES'!AW256</f>
        <v>3</v>
      </c>
      <c r="AP256" s="15">
        <f>+'ENCUESTA CONDUCTORES'!AX256</f>
        <v>2.8</v>
      </c>
      <c r="AQ256" s="15">
        <f>+'ENCUESTA CONDUCTORES'!AY256</f>
        <v>2</v>
      </c>
      <c r="AR256" s="15">
        <f>+'ENCUESTA CONDUCTORES'!AZ256</f>
        <v>690</v>
      </c>
      <c r="AS256" s="15">
        <f>+'ENCUESTA CONDUCTORES'!BA256</f>
        <v>2000</v>
      </c>
      <c r="AT256" s="15">
        <f>IF('ENCUESTA CONDUCTORES'!BB256="X",1,0)</f>
        <v>1</v>
      </c>
      <c r="AU256" s="15">
        <f>IF('ENCUESTA CONDUCTORES'!BC256="X",1,0)</f>
        <v>1</v>
      </c>
      <c r="AV256" s="15">
        <f>IF('ENCUESTA CONDUCTORES'!BD256="X",1,0)</f>
        <v>1</v>
      </c>
      <c r="AW256" s="1">
        <f>+'ENCUESTA CONDUCTORES'!BE256</f>
        <v>7000</v>
      </c>
      <c r="AX256" s="1">
        <f>+'ENCUESTA CONDUCTORES'!BF256</f>
        <v>8000</v>
      </c>
      <c r="AY256" s="1">
        <f>+'ENCUESTA CONDUCTORES'!BG256</f>
        <v>18000</v>
      </c>
      <c r="AZ256" s="1">
        <f>+'ENCUESTA CONDUCTORES'!BH256</f>
        <v>22000</v>
      </c>
      <c r="BA256" s="1">
        <f>+'ENCUESTA CONDUCTORES'!BI256</f>
        <v>18000</v>
      </c>
      <c r="BB256" s="15">
        <f>IF('ENCUESTA CONDUCTORES'!BJ256="X",1,0)</f>
        <v>0</v>
      </c>
      <c r="BC256" s="15">
        <f>IF('ENCUESTA CONDUCTORES'!BK256="X",1,0)</f>
        <v>0</v>
      </c>
      <c r="BD256" s="15">
        <f>IF('ENCUESTA CONDUCTORES'!BL256="X",1,0)</f>
        <v>0</v>
      </c>
      <c r="BE256" s="15">
        <f>IF('ENCUESTA CONDUCTORES'!BM256="X",1,0)</f>
        <v>0</v>
      </c>
      <c r="BF256" s="15">
        <f>IF('ENCUESTA CONDUCTORES'!BN256="X",1,0)</f>
        <v>0</v>
      </c>
      <c r="BG256" s="15">
        <f>IF('ENCUESTA CONDUCTORES'!BO256="X",1,0)</f>
        <v>0</v>
      </c>
      <c r="BH256" s="15">
        <f>IF('ENCUESTA CONDUCTORES'!BP256="X",1,0)</f>
        <v>0</v>
      </c>
      <c r="BI256" s="15">
        <f>IF('ENCUESTA CONDUCTORES'!BQ256="X",1,0)</f>
        <v>0</v>
      </c>
      <c r="BJ256" s="15">
        <f>IF('ENCUESTA CONDUCTORES'!BR256="X",1,0)</f>
        <v>0</v>
      </c>
      <c r="BK256" s="15" t="str">
        <f>+'ENCUESTA CONDUCTORES'!BS256</f>
        <v>GENERAL</v>
      </c>
      <c r="BL256" s="15">
        <f>IF('ENCUESTA CONDUCTORES'!BT256="X",1,0)</f>
        <v>0</v>
      </c>
      <c r="BM256" s="15">
        <f>IF('ENCUESTA CONDUCTORES'!BU256="X",1,0)</f>
        <v>0</v>
      </c>
      <c r="BN256" s="15">
        <f>IF('ENCUESTA CONDUCTORES'!BV256="X",1,0)</f>
        <v>1</v>
      </c>
      <c r="BO256" s="15">
        <f>IF('ENCUESTA CONDUCTORES'!BW256="X",1,0)</f>
        <v>0</v>
      </c>
      <c r="BP256" s="15">
        <f>+'ENCUESTA CONDUCTORES'!BX256</f>
        <v>1</v>
      </c>
      <c r="BQ256" s="15">
        <f>+'ENCUESTA CONDUCTORES'!BY256</f>
        <v>3</v>
      </c>
      <c r="BR256" s="15">
        <f>+'ENCUESTA CONDUCTORES'!BZ256</f>
        <v>2</v>
      </c>
      <c r="BS256" s="15">
        <f>+'ENCUESTA CONDUCTORES'!CA256</f>
        <v>0</v>
      </c>
      <c r="BT256" s="15">
        <f>IF('ENCUESTA CONDUCTORES'!CB256="X",1,0)</f>
        <v>0</v>
      </c>
      <c r="BU256" s="15">
        <f>IF('ENCUESTA CONDUCTORES'!CC256="X",1,0)</f>
        <v>1</v>
      </c>
      <c r="BV256" s="15">
        <f>IF('ENCUESTA CONDUCTORES'!CD256="X",1,0)</f>
        <v>0</v>
      </c>
      <c r="BW256" s="15">
        <f>IF('ENCUESTA CONDUCTORES'!CE256="X",1,0)</f>
        <v>0</v>
      </c>
      <c r="BX256" s="15">
        <f>IF('ENCUESTA CONDUCTORES'!CF256="X",1,0)</f>
        <v>0</v>
      </c>
      <c r="BY256" s="15">
        <f>IF('ENCUESTA CONDUCTORES'!CG256="X",1,0)</f>
        <v>1</v>
      </c>
      <c r="BZ256" s="15">
        <f>IF('ENCUESTA CONDUCTORES'!CH256="X",1,0)</f>
        <v>1</v>
      </c>
      <c r="CA256" s="15">
        <f>IF('ENCUESTA CONDUCTORES'!CI256="X",1,0)</f>
        <v>1</v>
      </c>
      <c r="CB256" s="15">
        <f>IF('ENCUESTA CONDUCTORES'!CJ256="X",1,0)</f>
        <v>0</v>
      </c>
      <c r="CC256" s="15">
        <f>IF('ENCUESTA CONDUCTORES'!CK256="X",1,0)</f>
        <v>0</v>
      </c>
      <c r="CD256" s="15">
        <f>IF('ENCUESTA CONDUCTORES'!CL256="X",1,0)</f>
        <v>1</v>
      </c>
      <c r="CE256" s="15">
        <f>IF('ENCUESTA CONDUCTORES'!CM256="X",1,0)</f>
        <v>1</v>
      </c>
      <c r="CF256" s="15" t="str">
        <f>+'ENCUESTA CONDUCTORES'!CN256</f>
        <v>NADIE LO HACE</v>
      </c>
      <c r="CG256" s="15">
        <f>IF('ENCUESTA CONDUCTORES'!CO256="X",1,0)</f>
        <v>0</v>
      </c>
      <c r="CH256" s="15" t="str">
        <f>+'ENCUESTA CONDUCTORES'!CP256</f>
        <v>ES BUENA IDEA</v>
      </c>
      <c r="CI256" s="15" t="str">
        <f>+'ENCUESTA CONDUCTORES'!CQ256</f>
        <v>QUE EL PATRON LO HAGA EN LA EMPRESA</v>
      </c>
      <c r="CJ256" s="15">
        <f>IF('ENCUESTA CONDUCTORES'!CR256="X",1,0)</f>
        <v>0</v>
      </c>
      <c r="CK256" s="15">
        <f>IF('ENCUESTA CONDUCTORES'!CS256="X",1,0)</f>
        <v>0</v>
      </c>
      <c r="CL256" s="15">
        <f>IF('ENCUESTA CONDUCTORES'!CT256="X",1,0)</f>
        <v>0</v>
      </c>
      <c r="CM256" s="15" t="str">
        <f>+'ENCUESTA CONDUCTORES'!CU256</f>
        <v>MANEJO A LA DEFENSIVA</v>
      </c>
      <c r="CN256" s="15">
        <f>IF('ENCUESTA CONDUCTORES'!CV256="X",1,0)</f>
        <v>0</v>
      </c>
      <c r="CO256" s="15">
        <f>+'ENCUESTA CONDUCTORES'!CW256</f>
        <v>0</v>
      </c>
      <c r="CP256" s="15">
        <f>IF('ENCUESTA CONDUCTORES'!CX256="X",1,0)</f>
        <v>0</v>
      </c>
      <c r="CQ256" s="15">
        <f>IF('ENCUESTA CONDUCTORES'!CY256="X",1,0)</f>
        <v>1</v>
      </c>
      <c r="CR256" s="3">
        <f>+'ENCUESTA CONDUCTORES'!CZ256</f>
        <v>0</v>
      </c>
      <c r="CS256" s="49">
        <f>+'ENCUESTA CONDUCTORES'!DA256</f>
        <v>0</v>
      </c>
    </row>
    <row r="257" spans="2:97" x14ac:dyDescent="0.25">
      <c r="B257" s="14" t="str">
        <f>+'ENCUESTA CONDUCTORES'!D257</f>
        <v>C-268</v>
      </c>
      <c r="C257" s="15">
        <f>IF('ENCUESTA CONDUCTORES'!E257="X",1,0)</f>
        <v>0</v>
      </c>
      <c r="D257" s="15">
        <f>IF('ENCUESTA CONDUCTORES'!F257="X",1,0)</f>
        <v>0</v>
      </c>
      <c r="E257" s="15">
        <f>IF('ENCUESTA CONDUCTORES'!G257="X",1,0)</f>
        <v>1</v>
      </c>
      <c r="F257" s="15">
        <f>IF('ENCUESTA CONDUCTORES'!H257="X",1,0)</f>
        <v>0</v>
      </c>
      <c r="G257" s="15">
        <f>+'ENCUESTA CONDUCTORES'!I257</f>
        <v>37</v>
      </c>
      <c r="H257" s="15" t="str">
        <f>+'ENCUESTA CONDUCTORES'!J257</f>
        <v>M</v>
      </c>
      <c r="I257" s="15" t="str">
        <f>+'ENCUESTA CONDUCTORES'!K257</f>
        <v>PREPARATORIA</v>
      </c>
      <c r="J257" s="15" t="str">
        <f>+'ENCUESTA CONDUCTORES'!L257</f>
        <v>CHICOLOAPAN, EDO. MEX.</v>
      </c>
      <c r="K257" s="15" t="str">
        <f>+'ENCUESTA CONDUCTORES'!M257</f>
        <v>CHICOLOAPAN</v>
      </c>
      <c r="L257" s="15" t="str">
        <f>+'ENCUESTA CONDUCTORES'!N257</f>
        <v>EDO. MEX.</v>
      </c>
      <c r="M257" s="15">
        <f>+'ENCUESTA CONDUCTORES'!O257</f>
        <v>10</v>
      </c>
      <c r="N257" s="15">
        <f>IF('ENCUESTA CONDUCTORES'!P257="X",1,0)</f>
        <v>0</v>
      </c>
      <c r="O257" s="15">
        <f>IF('ENCUESTA CONDUCTORES'!Q257="X",1,0)</f>
        <v>1</v>
      </c>
      <c r="P257" s="15">
        <f>IF('ENCUESTA CONDUCTORES'!R257="X",1,0)</f>
        <v>0</v>
      </c>
      <c r="Q257" s="15">
        <f>IF('ENCUESTA CONDUCTORES'!S257="X",1,0)</f>
        <v>0</v>
      </c>
      <c r="R257" s="15">
        <f>IF('ENCUESTA CONDUCTORES'!T257="X",1,0)</f>
        <v>0</v>
      </c>
      <c r="S257" s="15">
        <f>IF('ENCUESTA CONDUCTORES'!U257="X",1,0)</f>
        <v>0</v>
      </c>
      <c r="T257" s="15">
        <f>IF('ENCUESTA CONDUCTORES'!V257="X",1,0)</f>
        <v>0</v>
      </c>
      <c r="U257" s="15">
        <f>IF('ENCUESTA CONDUCTORES'!W257="X",1,0)</f>
        <v>0</v>
      </c>
      <c r="V257" s="15">
        <f>IF('ENCUESTA CONDUCTORES'!X257="X",1,0)</f>
        <v>0</v>
      </c>
      <c r="W257" s="15">
        <f>IF('ENCUESTA CONDUCTORES'!Y257="X",1,0)</f>
        <v>0</v>
      </c>
      <c r="X257" s="15">
        <f>IF('ENCUESTA CONDUCTORES'!Z257="X",1,0)</f>
        <v>0</v>
      </c>
      <c r="Y257" s="15">
        <f>+'ENCUESTA CONDUCTORES'!AG257</f>
        <v>0</v>
      </c>
      <c r="Z257" s="15">
        <f>+'ENCUESTA CONDUCTORES'!AH257</f>
        <v>1998</v>
      </c>
      <c r="AA257" s="1">
        <f>+'ENCUESTA CONDUCTORES'!AI257</f>
        <v>504000</v>
      </c>
      <c r="AB257" s="15">
        <f>IF('ENCUESTA CONDUCTORES'!AJ257="X",1,0)</f>
        <v>0</v>
      </c>
      <c r="AC257" s="15">
        <f>IF('ENCUESTA CONDUCTORES'!AK257="X",1,0)</f>
        <v>0</v>
      </c>
      <c r="AD257" s="15">
        <f>IF('ENCUESTA CONDUCTORES'!AL257="X",1,0)</f>
        <v>1</v>
      </c>
      <c r="AE257" s="15">
        <f>IF('ENCUESTA CONDUCTORES'!AM257="X",1,0)</f>
        <v>0</v>
      </c>
      <c r="AF257" s="15">
        <f>IF('ENCUESTA CONDUCTORES'!AN257="X",1,0)</f>
        <v>0</v>
      </c>
      <c r="AG257" s="15">
        <f>IF('ENCUESTA CONDUCTORES'!AO257="X",1,0)</f>
        <v>0</v>
      </c>
      <c r="AH257" s="15">
        <f>IF('ENCUESTA CONDUCTORES'!AP257="X",1,0)</f>
        <v>1</v>
      </c>
      <c r="AI257" s="15">
        <f>IF('ENCUESTA CONDUCTORES'!AQ257="X",1,0)</f>
        <v>0</v>
      </c>
      <c r="AJ257" s="15">
        <f>IF('ENCUESTA CONDUCTORES'!AR257="X",1,0)</f>
        <v>0</v>
      </c>
      <c r="AK257" s="15">
        <f>+'ENCUESTA CONDUCTORES'!AS257</f>
        <v>0</v>
      </c>
      <c r="AL257" s="15" t="str">
        <f>+'ENCUESTA CONDUCTORES'!AT257</f>
        <v>CUMMINS</v>
      </c>
      <c r="AM257" s="1">
        <f>+'ENCUESTA CONDUCTORES'!AU257</f>
        <v>2800</v>
      </c>
      <c r="AN257" s="48">
        <f>+'ENCUESTA CONDUCTORES'!AV257</f>
        <v>0.5</v>
      </c>
      <c r="AO257" s="15">
        <f>+'ENCUESTA CONDUCTORES'!AW257</f>
        <v>3.5</v>
      </c>
      <c r="AP257" s="15">
        <f>+'ENCUESTA CONDUCTORES'!AX257</f>
        <v>2.8</v>
      </c>
      <c r="AQ257" s="15">
        <f>+'ENCUESTA CONDUCTORES'!AY257</f>
        <v>2</v>
      </c>
      <c r="AR257" s="15">
        <f>+'ENCUESTA CONDUCTORES'!AZ257</f>
        <v>680</v>
      </c>
      <c r="AS257" s="15">
        <f>+'ENCUESTA CONDUCTORES'!BA257</f>
        <v>2240</v>
      </c>
      <c r="AT257" s="15">
        <f>IF('ENCUESTA CONDUCTORES'!BB257="X",1,0)</f>
        <v>0</v>
      </c>
      <c r="AU257" s="15">
        <f>IF('ENCUESTA CONDUCTORES'!BC257="X",1,0)</f>
        <v>0</v>
      </c>
      <c r="AV257" s="15">
        <f>IF('ENCUESTA CONDUCTORES'!BD257="X",1,0)</f>
        <v>0</v>
      </c>
      <c r="AW257" s="1">
        <f>+'ENCUESTA CONDUCTORES'!BE257</f>
        <v>14000</v>
      </c>
      <c r="AX257" s="1">
        <f>+'ENCUESTA CONDUCTORES'!BF257</f>
        <v>18000</v>
      </c>
      <c r="AY257" s="1">
        <f>+'ENCUESTA CONDUCTORES'!BG257</f>
        <v>10000</v>
      </c>
      <c r="AZ257" s="1">
        <f>+'ENCUESTA CONDUCTORES'!BH257</f>
        <v>67200</v>
      </c>
      <c r="BA257" s="1">
        <f>+'ENCUESTA CONDUCTORES'!BI257</f>
        <v>14000</v>
      </c>
      <c r="BB257" s="15">
        <f>IF('ENCUESTA CONDUCTORES'!BJ257="X",1,0)</f>
        <v>0</v>
      </c>
      <c r="BC257" s="15">
        <f>IF('ENCUESTA CONDUCTORES'!BK257="X",1,0)</f>
        <v>0</v>
      </c>
      <c r="BD257" s="15">
        <f>IF('ENCUESTA CONDUCTORES'!BL257="X",1,0)</f>
        <v>0</v>
      </c>
      <c r="BE257" s="15">
        <f>IF('ENCUESTA CONDUCTORES'!BM257="X",1,0)</f>
        <v>0</v>
      </c>
      <c r="BF257" s="15">
        <f>IF('ENCUESTA CONDUCTORES'!BN257="X",1,0)</f>
        <v>0</v>
      </c>
      <c r="BG257" s="15">
        <f>IF('ENCUESTA CONDUCTORES'!BO257="X",1,0)</f>
        <v>0</v>
      </c>
      <c r="BH257" s="15">
        <f>IF('ENCUESTA CONDUCTORES'!BP257="X",1,0)</f>
        <v>0</v>
      </c>
      <c r="BI257" s="15">
        <f>IF('ENCUESTA CONDUCTORES'!BQ257="X",1,0)</f>
        <v>0</v>
      </c>
      <c r="BJ257" s="15">
        <f>IF('ENCUESTA CONDUCTORES'!BR257="X",1,0)</f>
        <v>0</v>
      </c>
      <c r="BK257" s="15" t="str">
        <f>+'ENCUESTA CONDUCTORES'!BS257</f>
        <v>ANIMALES</v>
      </c>
      <c r="BL257" s="15">
        <f>IF('ENCUESTA CONDUCTORES'!BT257="X",1,0)</f>
        <v>0</v>
      </c>
      <c r="BM257" s="15">
        <f>IF('ENCUESTA CONDUCTORES'!BU257="X",1,0)</f>
        <v>1</v>
      </c>
      <c r="BN257" s="15">
        <f>IF('ENCUESTA CONDUCTORES'!BV257="X",1,0)</f>
        <v>0</v>
      </c>
      <c r="BO257" s="15">
        <f>IF('ENCUESTA CONDUCTORES'!BW257="X",1,0)</f>
        <v>0</v>
      </c>
      <c r="BP257" s="15">
        <f>+'ENCUESTA CONDUCTORES'!BX257</f>
        <v>1</v>
      </c>
      <c r="BQ257" s="15">
        <f>+'ENCUESTA CONDUCTORES'!BY257</f>
        <v>3</v>
      </c>
      <c r="BR257" s="15">
        <f>+'ENCUESTA CONDUCTORES'!BZ257</f>
        <v>2</v>
      </c>
      <c r="BS257" s="15">
        <f>+'ENCUESTA CONDUCTORES'!CA257</f>
        <v>0</v>
      </c>
      <c r="BT257" s="15">
        <f>IF('ENCUESTA CONDUCTORES'!CB257="X",1,0)</f>
        <v>0</v>
      </c>
      <c r="BU257" s="15">
        <f>IF('ENCUESTA CONDUCTORES'!CC257="X",1,0)</f>
        <v>0</v>
      </c>
      <c r="BV257" s="15">
        <f>IF('ENCUESTA CONDUCTORES'!CD257="X",1,0)</f>
        <v>0</v>
      </c>
      <c r="BW257" s="15">
        <f>IF('ENCUESTA CONDUCTORES'!CE257="X",1,0)</f>
        <v>1</v>
      </c>
      <c r="BX257" s="15">
        <f>IF('ENCUESTA CONDUCTORES'!CF257="X",1,0)</f>
        <v>0</v>
      </c>
      <c r="BY257" s="15">
        <f>IF('ENCUESTA CONDUCTORES'!CG257="X",1,0)</f>
        <v>0</v>
      </c>
      <c r="BZ257" s="15">
        <f>IF('ENCUESTA CONDUCTORES'!CH257="X",1,0)</f>
        <v>1</v>
      </c>
      <c r="CA257" s="15">
        <f>IF('ENCUESTA CONDUCTORES'!CI257="X",1,0)</f>
        <v>1</v>
      </c>
      <c r="CB257" s="15">
        <f>IF('ENCUESTA CONDUCTORES'!CJ257="X",1,0)</f>
        <v>0</v>
      </c>
      <c r="CC257" s="15">
        <f>IF('ENCUESTA CONDUCTORES'!CK257="X",1,0)</f>
        <v>1</v>
      </c>
      <c r="CD257" s="15">
        <f>IF('ENCUESTA CONDUCTORES'!CL257="X",1,0)</f>
        <v>0</v>
      </c>
      <c r="CE257" s="15">
        <f>IF('ENCUESTA CONDUCTORES'!CM257="X",1,0)</f>
        <v>0</v>
      </c>
      <c r="CF257" s="15">
        <f>+'ENCUESTA CONDUCTORES'!CN257</f>
        <v>0</v>
      </c>
      <c r="CG257" s="15">
        <f>IF('ENCUESTA CONDUCTORES'!CO257="X",1,0)</f>
        <v>0</v>
      </c>
      <c r="CH257" s="15" t="str">
        <f>+'ENCUESTA CONDUCTORES'!CP257</f>
        <v>NO SABE</v>
      </c>
      <c r="CI257" s="15" t="str">
        <f>+'ENCUESTA CONDUCTORES'!CQ257</f>
        <v>PUBLICIDAD</v>
      </c>
      <c r="CJ257" s="15">
        <f>IF('ENCUESTA CONDUCTORES'!CR257="X",1,0)</f>
        <v>0</v>
      </c>
      <c r="CK257" s="15">
        <f>IF('ENCUESTA CONDUCTORES'!CS257="X",1,0)</f>
        <v>1</v>
      </c>
      <c r="CL257" s="15">
        <f>IF('ENCUESTA CONDUCTORES'!CT257="X",1,0)</f>
        <v>1</v>
      </c>
      <c r="CM257" s="15">
        <f>+'ENCUESTA CONDUCTORES'!CU257</f>
        <v>0</v>
      </c>
      <c r="CN257" s="15">
        <f>IF('ENCUESTA CONDUCTORES'!CV257="X",1,0)</f>
        <v>1</v>
      </c>
      <c r="CO257" s="15" t="str">
        <f>+'ENCUESTA CONDUCTORES'!CW257</f>
        <v>NO HAY TIEMPO</v>
      </c>
      <c r="CP257" s="15">
        <f>IF('ENCUESTA CONDUCTORES'!CX257="X",1,0)</f>
        <v>0</v>
      </c>
      <c r="CQ257" s="15">
        <f>IF('ENCUESTA CONDUCTORES'!CY257="X",1,0)</f>
        <v>0</v>
      </c>
      <c r="CR257" s="3">
        <f>+'ENCUESTA CONDUCTORES'!CZ257</f>
        <v>0</v>
      </c>
      <c r="CS257" s="49">
        <f>+'ENCUESTA CONDUCTORES'!DA257</f>
        <v>0</v>
      </c>
    </row>
    <row r="258" spans="2:97" x14ac:dyDescent="0.25">
      <c r="B258" s="14" t="str">
        <f>+'ENCUESTA CONDUCTORES'!D258</f>
        <v>C-269</v>
      </c>
      <c r="C258" s="15">
        <f>IF('ENCUESTA CONDUCTORES'!E258="X",1,0)</f>
        <v>0</v>
      </c>
      <c r="D258" s="15">
        <f>IF('ENCUESTA CONDUCTORES'!F258="X",1,0)</f>
        <v>1</v>
      </c>
      <c r="E258" s="15">
        <f>IF('ENCUESTA CONDUCTORES'!G258="X",1,0)</f>
        <v>0</v>
      </c>
      <c r="F258" s="15">
        <f>IF('ENCUESTA CONDUCTORES'!H258="X",1,0)</f>
        <v>0</v>
      </c>
      <c r="G258" s="15">
        <f>+'ENCUESTA CONDUCTORES'!I258</f>
        <v>29</v>
      </c>
      <c r="H258" s="15" t="str">
        <f>+'ENCUESTA CONDUCTORES'!J258</f>
        <v>M</v>
      </c>
      <c r="I258" s="15" t="str">
        <f>+'ENCUESTA CONDUCTORES'!K258</f>
        <v>SECUNDARIA</v>
      </c>
      <c r="J258" s="15" t="str">
        <f>+'ENCUESTA CONDUCTORES'!L258</f>
        <v>COYOACÁN, D.F.</v>
      </c>
      <c r="K258" s="15" t="str">
        <f>+'ENCUESTA CONDUCTORES'!M258</f>
        <v>COYOACÁN</v>
      </c>
      <c r="L258" s="15" t="str">
        <f>+'ENCUESTA CONDUCTORES'!N258</f>
        <v>D.F.</v>
      </c>
      <c r="M258" s="15">
        <f>+'ENCUESTA CONDUCTORES'!O258</f>
        <v>12</v>
      </c>
      <c r="N258" s="15">
        <f>IF('ENCUESTA CONDUCTORES'!P258="X",1,0)</f>
        <v>0</v>
      </c>
      <c r="O258" s="15">
        <f>IF('ENCUESTA CONDUCTORES'!Q258="X",1,0)</f>
        <v>0</v>
      </c>
      <c r="P258" s="15">
        <f>IF('ENCUESTA CONDUCTORES'!R258="X",1,0)</f>
        <v>0</v>
      </c>
      <c r="Q258" s="15">
        <f>IF('ENCUESTA CONDUCTORES'!S258="X",1,0)</f>
        <v>1</v>
      </c>
      <c r="R258" s="15">
        <f>IF('ENCUESTA CONDUCTORES'!T258="X",1,0)</f>
        <v>0</v>
      </c>
      <c r="S258" s="15">
        <f>IF('ENCUESTA CONDUCTORES'!U258="X",1,0)</f>
        <v>0</v>
      </c>
      <c r="T258" s="15">
        <f>IF('ENCUESTA CONDUCTORES'!V258="X",1,0)</f>
        <v>0</v>
      </c>
      <c r="U258" s="15">
        <f>IF('ENCUESTA CONDUCTORES'!W258="X",1,0)</f>
        <v>0</v>
      </c>
      <c r="V258" s="15">
        <f>IF('ENCUESTA CONDUCTORES'!X258="X",1,0)</f>
        <v>0</v>
      </c>
      <c r="W258" s="15">
        <f>IF('ENCUESTA CONDUCTORES'!Y258="X",1,0)</f>
        <v>0</v>
      </c>
      <c r="X258" s="15">
        <f>IF('ENCUESTA CONDUCTORES'!Z258="X",1,0)</f>
        <v>0</v>
      </c>
      <c r="Y258" s="15">
        <f>+'ENCUESTA CONDUCTORES'!AG258</f>
        <v>0</v>
      </c>
      <c r="Z258" s="15">
        <f>+'ENCUESTA CONDUCTORES'!AH258</f>
        <v>2012</v>
      </c>
      <c r="AA258" s="1">
        <f>+'ENCUESTA CONDUCTORES'!AI258</f>
        <v>450000</v>
      </c>
      <c r="AB258" s="15">
        <f>IF('ENCUESTA CONDUCTORES'!AJ258="X",1,0)</f>
        <v>0</v>
      </c>
      <c r="AC258" s="15">
        <f>IF('ENCUESTA CONDUCTORES'!AK258="X",1,0)</f>
        <v>0</v>
      </c>
      <c r="AD258" s="15">
        <f>IF('ENCUESTA CONDUCTORES'!AL258="X",1,0)</f>
        <v>1</v>
      </c>
      <c r="AE258" s="15">
        <f>IF('ENCUESTA CONDUCTORES'!AM258="X",1,0)</f>
        <v>0</v>
      </c>
      <c r="AF258" s="15">
        <f>IF('ENCUESTA CONDUCTORES'!AN258="X",1,0)</f>
        <v>0</v>
      </c>
      <c r="AG258" s="15">
        <f>IF('ENCUESTA CONDUCTORES'!AO258="X",1,0)</f>
        <v>0</v>
      </c>
      <c r="AH258" s="15">
        <f>IF('ENCUESTA CONDUCTORES'!AP258="X",1,0)</f>
        <v>1</v>
      </c>
      <c r="AI258" s="15">
        <f>IF('ENCUESTA CONDUCTORES'!AQ258="X",1,0)</f>
        <v>0</v>
      </c>
      <c r="AJ258" s="15">
        <f>IF('ENCUESTA CONDUCTORES'!AR258="X",1,0)</f>
        <v>0</v>
      </c>
      <c r="AK258" s="15">
        <f>+'ENCUESTA CONDUCTORES'!AS258</f>
        <v>0</v>
      </c>
      <c r="AL258" s="15" t="str">
        <f>+'ENCUESTA CONDUCTORES'!AT258</f>
        <v>KENWORTH</v>
      </c>
      <c r="AM258" s="1">
        <f>+'ENCUESTA CONDUCTORES'!AU258</f>
        <v>7000</v>
      </c>
      <c r="AN258" s="48">
        <f>+'ENCUESTA CONDUCTORES'!AV258</f>
        <v>0.5</v>
      </c>
      <c r="AO258" s="15">
        <f>+'ENCUESTA CONDUCTORES'!AW258</f>
        <v>2.2999999999999998</v>
      </c>
      <c r="AP258" s="15">
        <f>+'ENCUESTA CONDUCTORES'!AX258</f>
        <v>2</v>
      </c>
      <c r="AQ258" s="15">
        <f>+'ENCUESTA CONDUCTORES'!AY258</f>
        <v>2</v>
      </c>
      <c r="AR258" s="15">
        <f>+'ENCUESTA CONDUCTORES'!AZ258</f>
        <v>910</v>
      </c>
      <c r="AS258" s="15">
        <f>+'ENCUESTA CONDUCTORES'!BA258</f>
        <v>2000</v>
      </c>
      <c r="AT258" s="15">
        <f>IF('ENCUESTA CONDUCTORES'!BB258="X",1,0)</f>
        <v>1</v>
      </c>
      <c r="AU258" s="15">
        <f>IF('ENCUESTA CONDUCTORES'!BC258="X",1,0)</f>
        <v>1</v>
      </c>
      <c r="AV258" s="15">
        <f>IF('ENCUESTA CONDUCTORES'!BD258="X",1,0)</f>
        <v>1</v>
      </c>
      <c r="AW258" s="1">
        <f>+'ENCUESTA CONDUCTORES'!BE258</f>
        <v>10000</v>
      </c>
      <c r="AX258" s="1">
        <f>+'ENCUESTA CONDUCTORES'!BF258</f>
        <v>13000</v>
      </c>
      <c r="AY258" s="1">
        <f>+'ENCUESTA CONDUCTORES'!BG258</f>
        <v>22000</v>
      </c>
      <c r="AZ258" s="1">
        <f>+'ENCUESTA CONDUCTORES'!BH258</f>
        <v>200000</v>
      </c>
      <c r="BA258" s="1">
        <f>+'ENCUESTA CONDUCTORES'!BI258</f>
        <v>22000</v>
      </c>
      <c r="BB258" s="15">
        <f>IF('ENCUESTA CONDUCTORES'!BJ258="X",1,0)</f>
        <v>0</v>
      </c>
      <c r="BC258" s="15">
        <f>IF('ENCUESTA CONDUCTORES'!BK258="X",1,0)</f>
        <v>0</v>
      </c>
      <c r="BD258" s="15">
        <f>IF('ENCUESTA CONDUCTORES'!BL258="X",1,0)</f>
        <v>0</v>
      </c>
      <c r="BE258" s="15">
        <f>IF('ENCUESTA CONDUCTORES'!BM258="X",1,0)</f>
        <v>0</v>
      </c>
      <c r="BF258" s="15">
        <f>IF('ENCUESTA CONDUCTORES'!BN258="X",1,0)</f>
        <v>0</v>
      </c>
      <c r="BG258" s="15">
        <f>IF('ENCUESTA CONDUCTORES'!BO258="X",1,0)</f>
        <v>0</v>
      </c>
      <c r="BH258" s="15">
        <f>IF('ENCUESTA CONDUCTORES'!BP258="X",1,0)</f>
        <v>0</v>
      </c>
      <c r="BI258" s="15">
        <f>IF('ENCUESTA CONDUCTORES'!BQ258="X",1,0)</f>
        <v>0</v>
      </c>
      <c r="BJ258" s="15">
        <f>IF('ENCUESTA CONDUCTORES'!BR258="X",1,0)</f>
        <v>0</v>
      </c>
      <c r="BK258" s="15" t="str">
        <f>+'ENCUESTA CONDUCTORES'!BS258</f>
        <v>MAQUINARIA</v>
      </c>
      <c r="BL258" s="15">
        <f>IF('ENCUESTA CONDUCTORES'!BT258="X",1,0)</f>
        <v>0</v>
      </c>
      <c r="BM258" s="15">
        <f>IF('ENCUESTA CONDUCTORES'!BU258="X",1,0)</f>
        <v>1</v>
      </c>
      <c r="BN258" s="15">
        <f>IF('ENCUESTA CONDUCTORES'!BV258="X",1,0)</f>
        <v>0</v>
      </c>
      <c r="BO258" s="15">
        <f>IF('ENCUESTA CONDUCTORES'!BW258="X",1,0)</f>
        <v>0</v>
      </c>
      <c r="BP258" s="15">
        <f>+'ENCUESTA CONDUCTORES'!BX258</f>
        <v>1</v>
      </c>
      <c r="BQ258" s="15">
        <f>+'ENCUESTA CONDUCTORES'!BY258</f>
        <v>2</v>
      </c>
      <c r="BR258" s="15">
        <f>+'ENCUESTA CONDUCTORES'!BZ258</f>
        <v>3</v>
      </c>
      <c r="BS258" s="15">
        <f>+'ENCUESTA CONDUCTORES'!CA258</f>
        <v>0</v>
      </c>
      <c r="BT258" s="15">
        <f>IF('ENCUESTA CONDUCTORES'!CB258="X",1,0)</f>
        <v>0</v>
      </c>
      <c r="BU258" s="15">
        <f>IF('ENCUESTA CONDUCTORES'!CC258="X",1,0)</f>
        <v>1</v>
      </c>
      <c r="BV258" s="15">
        <f>IF('ENCUESTA CONDUCTORES'!CD258="X",1,0)</f>
        <v>0</v>
      </c>
      <c r="BW258" s="15">
        <f>IF('ENCUESTA CONDUCTORES'!CE258="X",1,0)</f>
        <v>0</v>
      </c>
      <c r="BX258" s="15">
        <f>IF('ENCUESTA CONDUCTORES'!CF258="X",1,0)</f>
        <v>0</v>
      </c>
      <c r="BY258" s="15">
        <f>IF('ENCUESTA CONDUCTORES'!CG258="X",1,0)</f>
        <v>1</v>
      </c>
      <c r="BZ258" s="15">
        <f>IF('ENCUESTA CONDUCTORES'!CH258="X",1,0)</f>
        <v>1</v>
      </c>
      <c r="CA258" s="15">
        <f>IF('ENCUESTA CONDUCTORES'!CI258="X",1,0)</f>
        <v>1</v>
      </c>
      <c r="CB258" s="15">
        <f>IF('ENCUESTA CONDUCTORES'!CJ258="X",1,0)</f>
        <v>0</v>
      </c>
      <c r="CC258" s="15">
        <f>IF('ENCUESTA CONDUCTORES'!CK258="X",1,0)</f>
        <v>1</v>
      </c>
      <c r="CD258" s="15">
        <f>IF('ENCUESTA CONDUCTORES'!CL258="X",1,0)</f>
        <v>0</v>
      </c>
      <c r="CE258" s="15">
        <f>IF('ENCUESTA CONDUCTORES'!CM258="X",1,0)</f>
        <v>0</v>
      </c>
      <c r="CF258" s="15">
        <f>+'ENCUESTA CONDUCTORES'!CN258</f>
        <v>0</v>
      </c>
      <c r="CG258" s="15">
        <f>IF('ENCUESTA CONDUCTORES'!CO258="X",1,0)</f>
        <v>0</v>
      </c>
      <c r="CH258" s="15" t="str">
        <f>+'ENCUESTA CONDUCTORES'!CP258</f>
        <v>NO SABE</v>
      </c>
      <c r="CI258" s="15" t="str">
        <f>+'ENCUESTA CONDUCTORES'!CQ258</f>
        <v>MAYOR INFORMACION</v>
      </c>
      <c r="CJ258" s="15">
        <f>IF('ENCUESTA CONDUCTORES'!CR258="X",1,0)</f>
        <v>0</v>
      </c>
      <c r="CK258" s="15">
        <f>IF('ENCUESTA CONDUCTORES'!CS258="X",1,0)</f>
        <v>0</v>
      </c>
      <c r="CL258" s="15">
        <f>IF('ENCUESTA CONDUCTORES'!CT258="X",1,0)</f>
        <v>0</v>
      </c>
      <c r="CM258" s="15" t="str">
        <f>+'ENCUESTA CONDUCTORES'!CU258</f>
        <v>MANEJO A LA DEFENSIVA</v>
      </c>
      <c r="CN258" s="15">
        <f>IF('ENCUESTA CONDUCTORES'!CV258="X",1,0)</f>
        <v>0</v>
      </c>
      <c r="CO258" s="15">
        <f>+'ENCUESTA CONDUCTORES'!CW258</f>
        <v>0</v>
      </c>
      <c r="CP258" s="15">
        <f>IF('ENCUESTA CONDUCTORES'!CX258="X",1,0)</f>
        <v>1</v>
      </c>
      <c r="CQ258" s="15">
        <f>IF('ENCUESTA CONDUCTORES'!CY258="X",1,0)</f>
        <v>1</v>
      </c>
      <c r="CR258" s="3">
        <f>+'ENCUESTA CONDUCTORES'!CZ258</f>
        <v>0</v>
      </c>
      <c r="CS258" s="49">
        <f>+'ENCUESTA CONDUCTORES'!DA258</f>
        <v>0</v>
      </c>
    </row>
    <row r="259" spans="2:97" x14ac:dyDescent="0.25">
      <c r="B259" s="14" t="str">
        <f>+'ENCUESTA CONDUCTORES'!D259</f>
        <v>C-270</v>
      </c>
      <c r="C259" s="15">
        <f>IF('ENCUESTA CONDUCTORES'!E259="X",1,0)</f>
        <v>0</v>
      </c>
      <c r="D259" s="15">
        <f>IF('ENCUESTA CONDUCTORES'!F259="X",1,0)</f>
        <v>1</v>
      </c>
      <c r="E259" s="15">
        <f>IF('ENCUESTA CONDUCTORES'!G259="X",1,0)</f>
        <v>0</v>
      </c>
      <c r="F259" s="15">
        <f>IF('ENCUESTA CONDUCTORES'!H259="X",1,0)</f>
        <v>0</v>
      </c>
      <c r="G259" s="15">
        <f>+'ENCUESTA CONDUCTORES'!I259</f>
        <v>52</v>
      </c>
      <c r="H259" s="15" t="str">
        <f>+'ENCUESTA CONDUCTORES'!J259</f>
        <v>M</v>
      </c>
      <c r="I259" s="15" t="str">
        <f>+'ENCUESTA CONDUCTORES'!K259</f>
        <v>PRIMARIA</v>
      </c>
      <c r="J259" s="15" t="str">
        <f>+'ENCUESTA CONDUCTORES'!L259</f>
        <v>IZTAPALAPA, D.F.</v>
      </c>
      <c r="K259" s="15" t="str">
        <f>+'ENCUESTA CONDUCTORES'!M259</f>
        <v>IZTAPALAPA</v>
      </c>
      <c r="L259" s="15" t="str">
        <f>+'ENCUESTA CONDUCTORES'!N259</f>
        <v>D.F.</v>
      </c>
      <c r="M259" s="15">
        <f>+'ENCUESTA CONDUCTORES'!O259</f>
        <v>30</v>
      </c>
      <c r="N259" s="15">
        <f>IF('ENCUESTA CONDUCTORES'!P259="X",1,0)</f>
        <v>0</v>
      </c>
      <c r="O259" s="15">
        <f>IF('ENCUESTA CONDUCTORES'!Q259="X",1,0)</f>
        <v>1</v>
      </c>
      <c r="P259" s="15">
        <f>IF('ENCUESTA CONDUCTORES'!R259="X",1,0)</f>
        <v>0</v>
      </c>
      <c r="Q259" s="15">
        <f>IF('ENCUESTA CONDUCTORES'!S259="X",1,0)</f>
        <v>0</v>
      </c>
      <c r="R259" s="15">
        <f>IF('ENCUESTA CONDUCTORES'!T259="X",1,0)</f>
        <v>0</v>
      </c>
      <c r="S259" s="15">
        <f>IF('ENCUESTA CONDUCTORES'!U259="X",1,0)</f>
        <v>0</v>
      </c>
      <c r="T259" s="15">
        <f>IF('ENCUESTA CONDUCTORES'!V259="X",1,0)</f>
        <v>0</v>
      </c>
      <c r="U259" s="15">
        <f>IF('ENCUESTA CONDUCTORES'!W259="X",1,0)</f>
        <v>0</v>
      </c>
      <c r="V259" s="15">
        <f>IF('ENCUESTA CONDUCTORES'!X259="X",1,0)</f>
        <v>0</v>
      </c>
      <c r="W259" s="15">
        <f>IF('ENCUESTA CONDUCTORES'!Y259="X",1,0)</f>
        <v>1</v>
      </c>
      <c r="X259" s="15">
        <f>IF('ENCUESTA CONDUCTORES'!Z259="X",1,0)</f>
        <v>0</v>
      </c>
      <c r="Y259" s="15">
        <f>+'ENCUESTA CONDUCTORES'!AG259</f>
        <v>0</v>
      </c>
      <c r="Z259" s="15">
        <f>+'ENCUESTA CONDUCTORES'!AH259</f>
        <v>2011</v>
      </c>
      <c r="AA259" s="1">
        <f>+'ENCUESTA CONDUCTORES'!AI259</f>
        <v>200000</v>
      </c>
      <c r="AB259" s="15">
        <f>IF('ENCUESTA CONDUCTORES'!AJ259="X",1,0)</f>
        <v>0</v>
      </c>
      <c r="AC259" s="15">
        <f>IF('ENCUESTA CONDUCTORES'!AK259="X",1,0)</f>
        <v>0</v>
      </c>
      <c r="AD259" s="15">
        <f>IF('ENCUESTA CONDUCTORES'!AL259="X",1,0)</f>
        <v>1</v>
      </c>
      <c r="AE259" s="15">
        <f>IF('ENCUESTA CONDUCTORES'!AM259="X",1,0)</f>
        <v>0</v>
      </c>
      <c r="AF259" s="15">
        <f>IF('ENCUESTA CONDUCTORES'!AN259="X",1,0)</f>
        <v>0</v>
      </c>
      <c r="AG259" s="15">
        <f>IF('ENCUESTA CONDUCTORES'!AO259="X",1,0)</f>
        <v>0</v>
      </c>
      <c r="AH259" s="15">
        <f>IF('ENCUESTA CONDUCTORES'!AP259="X",1,0)</f>
        <v>1</v>
      </c>
      <c r="AI259" s="15">
        <f>IF('ENCUESTA CONDUCTORES'!AQ259="X",1,0)</f>
        <v>0</v>
      </c>
      <c r="AJ259" s="15">
        <f>IF('ENCUESTA CONDUCTORES'!AR259="X",1,0)</f>
        <v>0</v>
      </c>
      <c r="AK259" s="15">
        <f>+'ENCUESTA CONDUCTORES'!AS259</f>
        <v>0</v>
      </c>
      <c r="AL259" s="15" t="str">
        <f>+'ENCUESTA CONDUCTORES'!AT259</f>
        <v>MERCEDES BENZ</v>
      </c>
      <c r="AM259" s="1">
        <f>+'ENCUESTA CONDUCTORES'!AU259</f>
        <v>1000</v>
      </c>
      <c r="AN259" s="48">
        <f>+'ENCUESTA CONDUCTORES'!AV259</f>
        <v>0.3</v>
      </c>
      <c r="AO259" s="15">
        <f>+'ENCUESTA CONDUCTORES'!AW259</f>
        <v>3</v>
      </c>
      <c r="AP259" s="15">
        <f>+'ENCUESTA CONDUCTORES'!AX259</f>
        <v>2.7</v>
      </c>
      <c r="AQ259" s="15">
        <f>+'ENCUESTA CONDUCTORES'!AY259</f>
        <v>1</v>
      </c>
      <c r="AR259" s="15">
        <f>+'ENCUESTA CONDUCTORES'!AZ259</f>
        <v>500</v>
      </c>
      <c r="AS259" s="15">
        <f>+'ENCUESTA CONDUCTORES'!BA259</f>
        <v>1300</v>
      </c>
      <c r="AT259" s="15">
        <f>IF('ENCUESTA CONDUCTORES'!BB259="X",1,0)</f>
        <v>0</v>
      </c>
      <c r="AU259" s="15">
        <f>IF('ENCUESTA CONDUCTORES'!BC259="X",1,0)</f>
        <v>0</v>
      </c>
      <c r="AV259" s="15">
        <f>IF('ENCUESTA CONDUCTORES'!BD259="X",1,0)</f>
        <v>0</v>
      </c>
      <c r="AW259" s="1">
        <f>+'ENCUESTA CONDUCTORES'!BE259</f>
        <v>20000</v>
      </c>
      <c r="AX259" s="1">
        <f>+'ENCUESTA CONDUCTORES'!BF259</f>
        <v>17000</v>
      </c>
      <c r="AY259" s="1">
        <f>+'ENCUESTA CONDUCTORES'!BG259</f>
        <v>40000</v>
      </c>
      <c r="AZ259" s="1">
        <f>+'ENCUESTA CONDUCTORES'!BH259</f>
        <v>24000</v>
      </c>
      <c r="BA259" s="1">
        <f>+'ENCUESTA CONDUCTORES'!BI259</f>
        <v>40000</v>
      </c>
      <c r="BB259" s="15">
        <f>IF('ENCUESTA CONDUCTORES'!BJ259="X",1,0)</f>
        <v>0</v>
      </c>
      <c r="BC259" s="15">
        <f>IF('ENCUESTA CONDUCTORES'!BK259="X",1,0)</f>
        <v>0</v>
      </c>
      <c r="BD259" s="15">
        <f>IF('ENCUESTA CONDUCTORES'!BL259="X",1,0)</f>
        <v>0</v>
      </c>
      <c r="BE259" s="15">
        <f>IF('ENCUESTA CONDUCTORES'!BM259="X",1,0)</f>
        <v>0</v>
      </c>
      <c r="BF259" s="15">
        <f>IF('ENCUESTA CONDUCTORES'!BN259="X",1,0)</f>
        <v>0</v>
      </c>
      <c r="BG259" s="15">
        <f>IF('ENCUESTA CONDUCTORES'!BO259="X",1,0)</f>
        <v>0</v>
      </c>
      <c r="BH259" s="15">
        <f>IF('ENCUESTA CONDUCTORES'!BP259="X",1,0)</f>
        <v>0</v>
      </c>
      <c r="BI259" s="15">
        <f>IF('ENCUESTA CONDUCTORES'!BQ259="X",1,0)</f>
        <v>0</v>
      </c>
      <c r="BJ259" s="15">
        <f>IF('ENCUESTA CONDUCTORES'!BR259="X",1,0)</f>
        <v>0</v>
      </c>
      <c r="BK259" s="15" t="str">
        <f>+'ENCUESTA CONDUCTORES'!BS259</f>
        <v>AGUA</v>
      </c>
      <c r="BL259" s="15">
        <f>IF('ENCUESTA CONDUCTORES'!BT259="X",1,0)</f>
        <v>0</v>
      </c>
      <c r="BM259" s="15">
        <f>IF('ENCUESTA CONDUCTORES'!BU259="X",1,0)</f>
        <v>0</v>
      </c>
      <c r="BN259" s="15">
        <f>IF('ENCUESTA CONDUCTORES'!BV259="X",1,0)</f>
        <v>1</v>
      </c>
      <c r="BO259" s="15">
        <f>IF('ENCUESTA CONDUCTORES'!BW259="X",1,0)</f>
        <v>0</v>
      </c>
      <c r="BP259" s="15">
        <f>+'ENCUESTA CONDUCTORES'!BX259</f>
        <v>1</v>
      </c>
      <c r="BQ259" s="15">
        <f>+'ENCUESTA CONDUCTORES'!BY259</f>
        <v>2</v>
      </c>
      <c r="BR259" s="15">
        <f>+'ENCUESTA CONDUCTORES'!BZ259</f>
        <v>3</v>
      </c>
      <c r="BS259" s="15">
        <f>+'ENCUESTA CONDUCTORES'!CA259</f>
        <v>0</v>
      </c>
      <c r="BT259" s="15">
        <f>IF('ENCUESTA CONDUCTORES'!CB259="X",1,0)</f>
        <v>1</v>
      </c>
      <c r="BU259" s="15">
        <f>IF('ENCUESTA CONDUCTORES'!CC259="X",1,0)</f>
        <v>0</v>
      </c>
      <c r="BV259" s="15">
        <f>IF('ENCUESTA CONDUCTORES'!CD259="X",1,0)</f>
        <v>0</v>
      </c>
      <c r="BW259" s="15">
        <f>IF('ENCUESTA CONDUCTORES'!CE259="X",1,0)</f>
        <v>0</v>
      </c>
      <c r="BX259" s="15">
        <f>IF('ENCUESTA CONDUCTORES'!CF259="X",1,0)</f>
        <v>0</v>
      </c>
      <c r="BY259" s="15">
        <f>IF('ENCUESTA CONDUCTORES'!CG259="X",1,0)</f>
        <v>0</v>
      </c>
      <c r="BZ259" s="15">
        <f>IF('ENCUESTA CONDUCTORES'!CH259="X",1,0)</f>
        <v>0</v>
      </c>
      <c r="CA259" s="15">
        <f>IF('ENCUESTA CONDUCTORES'!CI259="X",1,0)</f>
        <v>0</v>
      </c>
      <c r="CB259" s="15">
        <f>IF('ENCUESTA CONDUCTORES'!CJ259="X",1,0)</f>
        <v>0</v>
      </c>
      <c r="CC259" s="15">
        <f>IF('ENCUESTA CONDUCTORES'!CK259="X",1,0)</f>
        <v>1</v>
      </c>
      <c r="CD259" s="15">
        <f>IF('ENCUESTA CONDUCTORES'!CL259="X",1,0)</f>
        <v>0</v>
      </c>
      <c r="CE259" s="15">
        <f>IF('ENCUESTA CONDUCTORES'!CM259="X",1,0)</f>
        <v>0</v>
      </c>
      <c r="CF259" s="15">
        <f>+'ENCUESTA CONDUCTORES'!CN259</f>
        <v>0</v>
      </c>
      <c r="CG259" s="15">
        <f>IF('ENCUESTA CONDUCTORES'!CO259="X",1,0)</f>
        <v>0</v>
      </c>
      <c r="CH259" s="15" t="str">
        <f>+'ENCUESTA CONDUCTORES'!CP259</f>
        <v>NO SABE</v>
      </c>
      <c r="CI259" s="15" t="str">
        <f>+'ENCUESTA CONDUCTORES'!CQ259</f>
        <v>MAYOR INFORMACION</v>
      </c>
      <c r="CJ259" s="15">
        <f>IF('ENCUESTA CONDUCTORES'!CR259="X",1,0)</f>
        <v>1</v>
      </c>
      <c r="CK259" s="15">
        <f>IF('ENCUESTA CONDUCTORES'!CS259="X",1,0)</f>
        <v>0</v>
      </c>
      <c r="CL259" s="15">
        <f>IF('ENCUESTA CONDUCTORES'!CT259="X",1,0)</f>
        <v>0</v>
      </c>
      <c r="CM259" s="15">
        <f>+'ENCUESTA CONDUCTORES'!CU259</f>
        <v>0</v>
      </c>
      <c r="CN259" s="15">
        <f>IF('ENCUESTA CONDUCTORES'!CV259="X",1,0)</f>
        <v>1</v>
      </c>
      <c r="CO259" s="15" t="str">
        <f>+'ENCUESTA CONDUCTORES'!CW259</f>
        <v>NO TIENE TIEMPO</v>
      </c>
      <c r="CP259" s="15">
        <f>IF('ENCUESTA CONDUCTORES'!CX259="X",1,0)</f>
        <v>0</v>
      </c>
      <c r="CQ259" s="15">
        <f>IF('ENCUESTA CONDUCTORES'!CY259="X",1,0)</f>
        <v>0</v>
      </c>
      <c r="CR259" s="3">
        <f>+'ENCUESTA CONDUCTORES'!CZ259</f>
        <v>0</v>
      </c>
      <c r="CS259" s="49">
        <f>+'ENCUESTA CONDUCTORES'!DA259</f>
        <v>0</v>
      </c>
    </row>
    <row r="260" spans="2:97" x14ac:dyDescent="0.25">
      <c r="B260" s="14" t="str">
        <f>+'ENCUESTA CONDUCTORES'!D260</f>
        <v>C-271</v>
      </c>
      <c r="C260" s="15">
        <f>IF('ENCUESTA CONDUCTORES'!E260="X",1,0)</f>
        <v>0</v>
      </c>
      <c r="D260" s="15">
        <f>IF('ENCUESTA CONDUCTORES'!F260="X",1,0)</f>
        <v>0</v>
      </c>
      <c r="E260" s="15">
        <f>IF('ENCUESTA CONDUCTORES'!G260="X",1,0)</f>
        <v>0</v>
      </c>
      <c r="F260" s="15">
        <f>IF('ENCUESTA CONDUCTORES'!H260="X",1,0)</f>
        <v>1</v>
      </c>
      <c r="G260" s="15">
        <f>+'ENCUESTA CONDUCTORES'!I260</f>
        <v>37</v>
      </c>
      <c r="H260" s="15" t="str">
        <f>+'ENCUESTA CONDUCTORES'!J260</f>
        <v>M</v>
      </c>
      <c r="I260" s="15" t="str">
        <f>+'ENCUESTA CONDUCTORES'!K260</f>
        <v>OTROS</v>
      </c>
      <c r="J260" s="15" t="str">
        <f>+'ENCUESTA CONDUCTORES'!L260</f>
        <v>CUAUTITLÁN, EDO. MEX.</v>
      </c>
      <c r="K260" s="15" t="str">
        <f>+'ENCUESTA CONDUCTORES'!M260</f>
        <v>CUAUTITLÁN</v>
      </c>
      <c r="L260" s="15" t="str">
        <f>+'ENCUESTA CONDUCTORES'!N260</f>
        <v>EDO. MEX.</v>
      </c>
      <c r="M260" s="15">
        <f>+'ENCUESTA CONDUCTORES'!O260</f>
        <v>15</v>
      </c>
      <c r="N260" s="15">
        <f>IF('ENCUESTA CONDUCTORES'!P260="X",1,0)</f>
        <v>0</v>
      </c>
      <c r="O260" s="15">
        <f>IF('ENCUESTA CONDUCTORES'!Q260="X",1,0)</f>
        <v>1</v>
      </c>
      <c r="P260" s="15">
        <f>IF('ENCUESTA CONDUCTORES'!R260="X",1,0)</f>
        <v>0</v>
      </c>
      <c r="Q260" s="15">
        <f>IF('ENCUESTA CONDUCTORES'!S260="X",1,0)</f>
        <v>0</v>
      </c>
      <c r="R260" s="15">
        <f>IF('ENCUESTA CONDUCTORES'!T260="X",1,0)</f>
        <v>0</v>
      </c>
      <c r="S260" s="15">
        <f>IF('ENCUESTA CONDUCTORES'!U260="X",1,0)</f>
        <v>0</v>
      </c>
      <c r="T260" s="15">
        <f>IF('ENCUESTA CONDUCTORES'!V260="X",1,0)</f>
        <v>0</v>
      </c>
      <c r="U260" s="15">
        <f>IF('ENCUESTA CONDUCTORES'!W260="X",1,0)</f>
        <v>0</v>
      </c>
      <c r="V260" s="15">
        <f>IF('ENCUESTA CONDUCTORES'!X260="X",1,0)</f>
        <v>0</v>
      </c>
      <c r="W260" s="15">
        <f>IF('ENCUESTA CONDUCTORES'!Y260="X",1,0)</f>
        <v>1</v>
      </c>
      <c r="X260" s="15">
        <f>IF('ENCUESTA CONDUCTORES'!Z260="X",1,0)</f>
        <v>0</v>
      </c>
      <c r="Y260" s="15">
        <f>+'ENCUESTA CONDUCTORES'!AG260</f>
        <v>0</v>
      </c>
      <c r="Z260" s="15">
        <f>+'ENCUESTA CONDUCTORES'!AH260</f>
        <v>2007</v>
      </c>
      <c r="AA260" s="1">
        <f>+'ENCUESTA CONDUCTORES'!AI260</f>
        <v>144000</v>
      </c>
      <c r="AB260" s="15">
        <f>IF('ENCUESTA CONDUCTORES'!AJ260="X",1,0)</f>
        <v>0</v>
      </c>
      <c r="AC260" s="15">
        <f>IF('ENCUESTA CONDUCTORES'!AK260="X",1,0)</f>
        <v>0</v>
      </c>
      <c r="AD260" s="15">
        <f>IF('ENCUESTA CONDUCTORES'!AL260="X",1,0)</f>
        <v>1</v>
      </c>
      <c r="AE260" s="15">
        <f>IF('ENCUESTA CONDUCTORES'!AM260="X",1,0)</f>
        <v>0</v>
      </c>
      <c r="AF260" s="15">
        <f>IF('ENCUESTA CONDUCTORES'!AN260="X",1,0)</f>
        <v>0</v>
      </c>
      <c r="AG260" s="15">
        <f>IF('ENCUESTA CONDUCTORES'!AO260="X",1,0)</f>
        <v>0</v>
      </c>
      <c r="AH260" s="15">
        <f>IF('ENCUESTA CONDUCTORES'!AP260="X",1,0)</f>
        <v>1</v>
      </c>
      <c r="AI260" s="15">
        <f>IF('ENCUESTA CONDUCTORES'!AQ260="X",1,0)</f>
        <v>0</v>
      </c>
      <c r="AJ260" s="15">
        <f>IF('ENCUESTA CONDUCTORES'!AR260="X",1,0)</f>
        <v>0</v>
      </c>
      <c r="AK260" s="15">
        <f>+'ENCUESTA CONDUCTORES'!AS260</f>
        <v>0</v>
      </c>
      <c r="AL260" s="15" t="str">
        <f>+'ENCUESTA CONDUCTORES'!AT260</f>
        <v>INTERNATIONAL</v>
      </c>
      <c r="AM260" s="1">
        <f>+'ENCUESTA CONDUCTORES'!AU260</f>
        <v>2000</v>
      </c>
      <c r="AN260" s="48">
        <f>+'ENCUESTA CONDUCTORES'!AV260</f>
        <v>0.1</v>
      </c>
      <c r="AO260" s="15">
        <f>+'ENCUESTA CONDUCTORES'!AW260</f>
        <v>3</v>
      </c>
      <c r="AP260" s="15">
        <f>+'ENCUESTA CONDUCTORES'!AX260</f>
        <v>2.7</v>
      </c>
      <c r="AQ260" s="15">
        <f>+'ENCUESTA CONDUCTORES'!AY260</f>
        <v>2</v>
      </c>
      <c r="AR260" s="15">
        <f>+'ENCUESTA CONDUCTORES'!AZ260</f>
        <v>1030</v>
      </c>
      <c r="AS260" s="15">
        <f>+'ENCUESTA CONDUCTORES'!BA260</f>
        <v>3000</v>
      </c>
      <c r="AT260" s="15">
        <f>IF('ENCUESTA CONDUCTORES'!BB260="X",1,0)</f>
        <v>1</v>
      </c>
      <c r="AU260" s="15">
        <f>IF('ENCUESTA CONDUCTORES'!BC260="X",1,0)</f>
        <v>1</v>
      </c>
      <c r="AV260" s="15">
        <f>IF('ENCUESTA CONDUCTORES'!BD260="X",1,0)</f>
        <v>1</v>
      </c>
      <c r="AW260" s="1">
        <f>+'ENCUESTA CONDUCTORES'!BE260</f>
        <v>8000</v>
      </c>
      <c r="AX260" s="1">
        <f>+'ENCUESTA CONDUCTORES'!BF260</f>
        <v>8000</v>
      </c>
      <c r="AY260" s="1">
        <f>+'ENCUESTA CONDUCTORES'!BG260</f>
        <v>8000</v>
      </c>
      <c r="AZ260" s="1">
        <f>+'ENCUESTA CONDUCTORES'!BH260</f>
        <v>24000</v>
      </c>
      <c r="BA260" s="1">
        <f>+'ENCUESTA CONDUCTORES'!BI260</f>
        <v>8000</v>
      </c>
      <c r="BB260" s="15">
        <f>IF('ENCUESTA CONDUCTORES'!BJ260="X",1,0)</f>
        <v>0</v>
      </c>
      <c r="BC260" s="15">
        <f>IF('ENCUESTA CONDUCTORES'!BK260="X",1,0)</f>
        <v>0</v>
      </c>
      <c r="BD260" s="15">
        <f>IF('ENCUESTA CONDUCTORES'!BL260="X",1,0)</f>
        <v>0</v>
      </c>
      <c r="BE260" s="15">
        <f>IF('ENCUESTA CONDUCTORES'!BM260="X",1,0)</f>
        <v>0</v>
      </c>
      <c r="BF260" s="15">
        <f>IF('ENCUESTA CONDUCTORES'!BN260="X",1,0)</f>
        <v>0</v>
      </c>
      <c r="BG260" s="15">
        <f>IF('ENCUESTA CONDUCTORES'!BO260="X",1,0)</f>
        <v>0</v>
      </c>
      <c r="BH260" s="15">
        <f>IF('ENCUESTA CONDUCTORES'!BP260="X",1,0)</f>
        <v>0</v>
      </c>
      <c r="BI260" s="15">
        <f>IF('ENCUESTA CONDUCTORES'!BQ260="X",1,0)</f>
        <v>0</v>
      </c>
      <c r="BJ260" s="15">
        <f>IF('ENCUESTA CONDUCTORES'!BR260="X",1,0)</f>
        <v>1</v>
      </c>
      <c r="BK260" s="15">
        <f>+'ENCUESTA CONDUCTORES'!BS260</f>
        <v>0</v>
      </c>
      <c r="BL260" s="15">
        <f>IF('ENCUESTA CONDUCTORES'!BT260="X",1,0)</f>
        <v>0</v>
      </c>
      <c r="BM260" s="15">
        <f>IF('ENCUESTA CONDUCTORES'!BU260="X",1,0)</f>
        <v>0</v>
      </c>
      <c r="BN260" s="15">
        <f>IF('ENCUESTA CONDUCTORES'!BV260="X",1,0)</f>
        <v>1</v>
      </c>
      <c r="BO260" s="15">
        <f>IF('ENCUESTA CONDUCTORES'!BW260="X",1,0)</f>
        <v>0</v>
      </c>
      <c r="BP260" s="15">
        <f>+'ENCUESTA CONDUCTORES'!BX260</f>
        <v>2</v>
      </c>
      <c r="BQ260" s="15">
        <f>+'ENCUESTA CONDUCTORES'!BY260</f>
        <v>3</v>
      </c>
      <c r="BR260" s="15">
        <f>+'ENCUESTA CONDUCTORES'!BZ260</f>
        <v>4</v>
      </c>
      <c r="BS260" s="15" t="str">
        <f>+'ENCUESTA CONDUCTORES'!CA260</f>
        <v>SEGURIDAD</v>
      </c>
      <c r="BT260" s="15">
        <f>IF('ENCUESTA CONDUCTORES'!CB260="X",1,0)</f>
        <v>0</v>
      </c>
      <c r="BU260" s="15">
        <f>IF('ENCUESTA CONDUCTORES'!CC260="X",1,0)</f>
        <v>1</v>
      </c>
      <c r="BV260" s="15">
        <f>IF('ENCUESTA CONDUCTORES'!CD260="X",1,0)</f>
        <v>0</v>
      </c>
      <c r="BW260" s="15">
        <f>IF('ENCUESTA CONDUCTORES'!CE260="X",1,0)</f>
        <v>1</v>
      </c>
      <c r="BX260" s="15">
        <f>IF('ENCUESTA CONDUCTORES'!CF260="X",1,0)</f>
        <v>0</v>
      </c>
      <c r="BY260" s="15">
        <f>IF('ENCUESTA CONDUCTORES'!CG260="X",1,0)</f>
        <v>1</v>
      </c>
      <c r="BZ260" s="15">
        <f>IF('ENCUESTA CONDUCTORES'!CH260="X",1,0)</f>
        <v>1</v>
      </c>
      <c r="CA260" s="15">
        <f>IF('ENCUESTA CONDUCTORES'!CI260="X",1,0)</f>
        <v>1</v>
      </c>
      <c r="CB260" s="15">
        <f>IF('ENCUESTA CONDUCTORES'!CJ260="X",1,0)</f>
        <v>0</v>
      </c>
      <c r="CC260" s="15">
        <f>IF('ENCUESTA CONDUCTORES'!CK260="X",1,0)</f>
        <v>1</v>
      </c>
      <c r="CD260" s="15">
        <f>IF('ENCUESTA CONDUCTORES'!CL260="X",1,0)</f>
        <v>0</v>
      </c>
      <c r="CE260" s="15">
        <f>IF('ENCUESTA CONDUCTORES'!CM260="X",1,0)</f>
        <v>0</v>
      </c>
      <c r="CF260" s="15">
        <f>+'ENCUESTA CONDUCTORES'!CN260</f>
        <v>0</v>
      </c>
      <c r="CG260" s="15">
        <f>IF('ENCUESTA CONDUCTORES'!CO260="X",1,0)</f>
        <v>0</v>
      </c>
      <c r="CH260" s="15" t="str">
        <f>+'ENCUESTA CONDUCTORES'!CP260</f>
        <v>NO SABE</v>
      </c>
      <c r="CI260" s="15" t="str">
        <f>+'ENCUESTA CONDUCTORES'!CQ260</f>
        <v>MAYOR INFORMACION</v>
      </c>
      <c r="CJ260" s="15">
        <f>IF('ENCUESTA CONDUCTORES'!CR260="X",1,0)</f>
        <v>0</v>
      </c>
      <c r="CK260" s="15">
        <f>IF('ENCUESTA CONDUCTORES'!CS260="X",1,0)</f>
        <v>1</v>
      </c>
      <c r="CL260" s="15">
        <f>IF('ENCUESTA CONDUCTORES'!CT260="X",1,0)</f>
        <v>0</v>
      </c>
      <c r="CM260" s="15">
        <f>+'ENCUESTA CONDUCTORES'!CU260</f>
        <v>0</v>
      </c>
      <c r="CN260" s="15">
        <f>IF('ENCUESTA CONDUCTORES'!CV260="X",1,0)</f>
        <v>0</v>
      </c>
      <c r="CO260" s="15">
        <f>+'ENCUESTA CONDUCTORES'!CW260</f>
        <v>0</v>
      </c>
      <c r="CP260" s="15">
        <f>IF('ENCUESTA CONDUCTORES'!CX260="X",1,0)</f>
        <v>0</v>
      </c>
      <c r="CQ260" s="15">
        <f>IF('ENCUESTA CONDUCTORES'!CY260="X",1,0)</f>
        <v>0</v>
      </c>
      <c r="CR260" s="3" t="str">
        <f>+'ENCUESTA CONDUCTORES'!CZ260</f>
        <v>MANEJO A LA DEFENSIVA</v>
      </c>
      <c r="CS260" s="49">
        <f>+'ENCUESTA CONDUCTORES'!DA260</f>
        <v>0</v>
      </c>
    </row>
    <row r="261" spans="2:97" x14ac:dyDescent="0.25">
      <c r="B261" s="14" t="str">
        <f>+'ENCUESTA CONDUCTORES'!D261</f>
        <v>C-272</v>
      </c>
      <c r="C261" s="15">
        <f>IF('ENCUESTA CONDUCTORES'!E261="X",1,0)</f>
        <v>0</v>
      </c>
      <c r="D261" s="15">
        <f>IF('ENCUESTA CONDUCTORES'!F261="X",1,0)</f>
        <v>0</v>
      </c>
      <c r="E261" s="15">
        <f>IF('ENCUESTA CONDUCTORES'!G261="X",1,0)</f>
        <v>1</v>
      </c>
      <c r="F261" s="15">
        <f>IF('ENCUESTA CONDUCTORES'!H261="X",1,0)</f>
        <v>0</v>
      </c>
      <c r="G261" s="15">
        <f>+'ENCUESTA CONDUCTORES'!I261</f>
        <v>32</v>
      </c>
      <c r="H261" s="15" t="str">
        <f>+'ENCUESTA CONDUCTORES'!J261</f>
        <v>M</v>
      </c>
      <c r="I261" s="15" t="str">
        <f>+'ENCUESTA CONDUCTORES'!K261</f>
        <v>SECUNDARIA</v>
      </c>
      <c r="J261" s="15" t="str">
        <f>+'ENCUESTA CONDUCTORES'!L261</f>
        <v>TLALNEPANTLA, EDO. MEX.</v>
      </c>
      <c r="K261" s="15" t="str">
        <f>+'ENCUESTA CONDUCTORES'!M261</f>
        <v>TLALNEPANTLA</v>
      </c>
      <c r="L261" s="15" t="str">
        <f>+'ENCUESTA CONDUCTORES'!N261</f>
        <v>EDO. MEX.</v>
      </c>
      <c r="M261" s="15">
        <f>+'ENCUESTA CONDUCTORES'!O261</f>
        <v>10</v>
      </c>
      <c r="N261" s="15">
        <f>IF('ENCUESTA CONDUCTORES'!P261="X",1,0)</f>
        <v>0</v>
      </c>
      <c r="O261" s="15">
        <f>IF('ENCUESTA CONDUCTORES'!Q261="X",1,0)</f>
        <v>0</v>
      </c>
      <c r="P261" s="15">
        <f>IF('ENCUESTA CONDUCTORES'!R261="X",1,0)</f>
        <v>0</v>
      </c>
      <c r="Q261" s="15">
        <f>IF('ENCUESTA CONDUCTORES'!S261="X",1,0)</f>
        <v>1</v>
      </c>
      <c r="R261" s="15">
        <f>IF('ENCUESTA CONDUCTORES'!T261="X",1,0)</f>
        <v>0</v>
      </c>
      <c r="S261" s="15">
        <f>IF('ENCUESTA CONDUCTORES'!U261="X",1,0)</f>
        <v>1</v>
      </c>
      <c r="T261" s="15">
        <f>IF('ENCUESTA CONDUCTORES'!V261="X",1,0)</f>
        <v>0</v>
      </c>
      <c r="U261" s="15">
        <f>IF('ENCUESTA CONDUCTORES'!W261="X",1,0)</f>
        <v>0</v>
      </c>
      <c r="V261" s="15">
        <f>IF('ENCUESTA CONDUCTORES'!X261="X",1,0)</f>
        <v>0</v>
      </c>
      <c r="W261" s="15">
        <f>IF('ENCUESTA CONDUCTORES'!Y261="X",1,0)</f>
        <v>0</v>
      </c>
      <c r="X261" s="15">
        <f>IF('ENCUESTA CONDUCTORES'!Z261="X",1,0)</f>
        <v>0</v>
      </c>
      <c r="Y261" s="15">
        <f>+'ENCUESTA CONDUCTORES'!AG261</f>
        <v>0</v>
      </c>
      <c r="Z261" s="15">
        <f>+'ENCUESTA CONDUCTORES'!AH261</f>
        <v>2010</v>
      </c>
      <c r="AA261" s="1">
        <f>+'ENCUESTA CONDUCTORES'!AI261</f>
        <v>600000</v>
      </c>
      <c r="AB261" s="15">
        <f>IF('ENCUESTA CONDUCTORES'!AJ261="X",1,0)</f>
        <v>0</v>
      </c>
      <c r="AC261" s="15">
        <f>IF('ENCUESTA CONDUCTORES'!AK261="X",1,0)</f>
        <v>0</v>
      </c>
      <c r="AD261" s="15">
        <f>IF('ENCUESTA CONDUCTORES'!AL261="X",1,0)</f>
        <v>1</v>
      </c>
      <c r="AE261" s="15">
        <f>IF('ENCUESTA CONDUCTORES'!AM261="X",1,0)</f>
        <v>0</v>
      </c>
      <c r="AF261" s="15">
        <f>IF('ENCUESTA CONDUCTORES'!AN261="X",1,0)</f>
        <v>0</v>
      </c>
      <c r="AG261" s="15">
        <f>IF('ENCUESTA CONDUCTORES'!AO261="X",1,0)</f>
        <v>0</v>
      </c>
      <c r="AH261" s="15">
        <f>IF('ENCUESTA CONDUCTORES'!AP261="X",1,0)</f>
        <v>1</v>
      </c>
      <c r="AI261" s="15">
        <f>IF('ENCUESTA CONDUCTORES'!AQ261="X",1,0)</f>
        <v>0</v>
      </c>
      <c r="AJ261" s="15">
        <f>IF('ENCUESTA CONDUCTORES'!AR261="X",1,0)</f>
        <v>0</v>
      </c>
      <c r="AK261" s="15">
        <f>+'ENCUESTA CONDUCTORES'!AS261</f>
        <v>0</v>
      </c>
      <c r="AL261" s="15" t="str">
        <f>+'ENCUESTA CONDUCTORES'!AT261</f>
        <v>KENWORTH</v>
      </c>
      <c r="AM261" s="1">
        <f>+'ENCUESTA CONDUCTORES'!AU261</f>
        <v>7000</v>
      </c>
      <c r="AN261" s="48">
        <f>+'ENCUESTA CONDUCTORES'!AV261</f>
        <v>0.5</v>
      </c>
      <c r="AO261" s="15">
        <f>+'ENCUESTA CONDUCTORES'!AW261</f>
        <v>2.9</v>
      </c>
      <c r="AP261" s="15">
        <f>+'ENCUESTA CONDUCTORES'!AX261</f>
        <v>2.2999999999999998</v>
      </c>
      <c r="AQ261" s="15">
        <f>+'ENCUESTA CONDUCTORES'!AY261</f>
        <v>2</v>
      </c>
      <c r="AR261" s="15">
        <f>+'ENCUESTA CONDUCTORES'!AZ261</f>
        <v>480</v>
      </c>
      <c r="AS261" s="15">
        <f>+'ENCUESTA CONDUCTORES'!BA261</f>
        <v>1200</v>
      </c>
      <c r="AT261" s="15">
        <f>IF('ENCUESTA CONDUCTORES'!BB261="X",1,0)</f>
        <v>1</v>
      </c>
      <c r="AU261" s="15">
        <f>IF('ENCUESTA CONDUCTORES'!BC261="X",1,0)</f>
        <v>1</v>
      </c>
      <c r="AV261" s="15">
        <f>IF('ENCUESTA CONDUCTORES'!BD261="X",1,0)</f>
        <v>0</v>
      </c>
      <c r="AW261" s="1">
        <f>+'ENCUESTA CONDUCTORES'!BE261</f>
        <v>15000</v>
      </c>
      <c r="AX261" s="1">
        <f>+'ENCUESTA CONDUCTORES'!BF261</f>
        <v>12000</v>
      </c>
      <c r="AY261" s="1">
        <f>+'ENCUESTA CONDUCTORES'!BG261</f>
        <v>25000</v>
      </c>
      <c r="AZ261" s="1">
        <f>+'ENCUESTA CONDUCTORES'!BH261</f>
        <v>160000</v>
      </c>
      <c r="BA261" s="1">
        <f>+'ENCUESTA CONDUCTORES'!BI261</f>
        <v>25000</v>
      </c>
      <c r="BB261" s="15">
        <f>IF('ENCUESTA CONDUCTORES'!BJ261="X",1,0)</f>
        <v>0</v>
      </c>
      <c r="BC261" s="15">
        <f>IF('ENCUESTA CONDUCTORES'!BK261="X",1,0)</f>
        <v>0</v>
      </c>
      <c r="BD261" s="15">
        <f>IF('ENCUESTA CONDUCTORES'!BL261="X",1,0)</f>
        <v>0</v>
      </c>
      <c r="BE261" s="15">
        <f>IF('ENCUESTA CONDUCTORES'!BM261="X",1,0)</f>
        <v>0</v>
      </c>
      <c r="BF261" s="15">
        <f>IF('ENCUESTA CONDUCTORES'!BN261="X",1,0)</f>
        <v>0</v>
      </c>
      <c r="BG261" s="15">
        <f>IF('ENCUESTA CONDUCTORES'!BO261="X",1,0)</f>
        <v>0</v>
      </c>
      <c r="BH261" s="15">
        <f>IF('ENCUESTA CONDUCTORES'!BP261="X",1,0)</f>
        <v>0</v>
      </c>
      <c r="BI261" s="15">
        <f>IF('ENCUESTA CONDUCTORES'!BQ261="X",1,0)</f>
        <v>0</v>
      </c>
      <c r="BJ261" s="15">
        <f>IF('ENCUESTA CONDUCTORES'!BR261="X",1,0)</f>
        <v>0</v>
      </c>
      <c r="BK261" s="15" t="str">
        <f>+'ENCUESTA CONDUCTORES'!BS261</f>
        <v>GENERAL</v>
      </c>
      <c r="BL261" s="15">
        <f>IF('ENCUESTA CONDUCTORES'!BT261="X",1,0)</f>
        <v>0</v>
      </c>
      <c r="BM261" s="15">
        <f>IF('ENCUESTA CONDUCTORES'!BU261="X",1,0)</f>
        <v>0</v>
      </c>
      <c r="BN261" s="15">
        <f>IF('ENCUESTA CONDUCTORES'!BV261="X",1,0)</f>
        <v>1</v>
      </c>
      <c r="BO261" s="15">
        <f>IF('ENCUESTA CONDUCTORES'!BW261="X",1,0)</f>
        <v>0</v>
      </c>
      <c r="BP261" s="15">
        <f>+'ENCUESTA CONDUCTORES'!BX261</f>
        <v>1</v>
      </c>
      <c r="BQ261" s="15">
        <f>+'ENCUESTA CONDUCTORES'!BY261</f>
        <v>3</v>
      </c>
      <c r="BR261" s="15">
        <f>+'ENCUESTA CONDUCTORES'!BZ261</f>
        <v>2</v>
      </c>
      <c r="BS261" s="15">
        <f>+'ENCUESTA CONDUCTORES'!CA261</f>
        <v>0</v>
      </c>
      <c r="BT261" s="15">
        <f>IF('ENCUESTA CONDUCTORES'!CB261="X",1,0)</f>
        <v>1</v>
      </c>
      <c r="BU261" s="15">
        <f>IF('ENCUESTA CONDUCTORES'!CC261="X",1,0)</f>
        <v>0</v>
      </c>
      <c r="BV261" s="15">
        <f>IF('ENCUESTA CONDUCTORES'!CD261="X",1,0)</f>
        <v>0</v>
      </c>
      <c r="BW261" s="15">
        <f>IF('ENCUESTA CONDUCTORES'!CE261="X",1,0)</f>
        <v>0</v>
      </c>
      <c r="BX261" s="15">
        <f>IF('ENCUESTA CONDUCTORES'!CF261="X",1,0)</f>
        <v>0</v>
      </c>
      <c r="BY261" s="15">
        <f>IF('ENCUESTA CONDUCTORES'!CG261="X",1,0)</f>
        <v>0</v>
      </c>
      <c r="BZ261" s="15">
        <f>IF('ENCUESTA CONDUCTORES'!CH261="X",1,0)</f>
        <v>0</v>
      </c>
      <c r="CA261" s="15">
        <f>IF('ENCUESTA CONDUCTORES'!CI261="X",1,0)</f>
        <v>0</v>
      </c>
      <c r="CB261" s="15">
        <f>IF('ENCUESTA CONDUCTORES'!CJ261="X",1,0)</f>
        <v>0</v>
      </c>
      <c r="CC261" s="15">
        <f>IF('ENCUESTA CONDUCTORES'!CK261="X",1,0)</f>
        <v>1</v>
      </c>
      <c r="CD261" s="15">
        <f>IF('ENCUESTA CONDUCTORES'!CL261="X",1,0)</f>
        <v>0</v>
      </c>
      <c r="CE261" s="15">
        <f>IF('ENCUESTA CONDUCTORES'!CM261="X",1,0)</f>
        <v>0</v>
      </c>
      <c r="CF261" s="15">
        <f>+'ENCUESTA CONDUCTORES'!CN261</f>
        <v>0</v>
      </c>
      <c r="CG261" s="15">
        <f>IF('ENCUESTA CONDUCTORES'!CO261="X",1,0)</f>
        <v>0</v>
      </c>
      <c r="CH261" s="15" t="str">
        <f>+'ENCUESTA CONDUCTORES'!CP261</f>
        <v>NO SABE</v>
      </c>
      <c r="CI261" s="15" t="str">
        <f>+'ENCUESTA CONDUCTORES'!CQ261</f>
        <v>MAYOR INFORMACION</v>
      </c>
      <c r="CJ261" s="15">
        <f>IF('ENCUESTA CONDUCTORES'!CR261="X",1,0)</f>
        <v>0</v>
      </c>
      <c r="CK261" s="15">
        <f>IF('ENCUESTA CONDUCTORES'!CS261="X",1,0)</f>
        <v>0</v>
      </c>
      <c r="CL261" s="15">
        <f>IF('ENCUESTA CONDUCTORES'!CT261="X",1,0)</f>
        <v>0</v>
      </c>
      <c r="CM261" s="15" t="str">
        <f>+'ENCUESTA CONDUCTORES'!CU261</f>
        <v>MANEJO A LA DEFENSIVA</v>
      </c>
      <c r="CN261" s="15">
        <f>IF('ENCUESTA CONDUCTORES'!CV261="X",1,0)</f>
        <v>0</v>
      </c>
      <c r="CO261" s="15">
        <f>+'ENCUESTA CONDUCTORES'!CW261</f>
        <v>0</v>
      </c>
      <c r="CP261" s="15">
        <f>IF('ENCUESTA CONDUCTORES'!CX261="X",1,0)</f>
        <v>1</v>
      </c>
      <c r="CQ261" s="15">
        <f>IF('ENCUESTA CONDUCTORES'!CY261="X",1,0)</f>
        <v>1</v>
      </c>
      <c r="CR261" s="3">
        <f>+'ENCUESTA CONDUCTORES'!CZ261</f>
        <v>0</v>
      </c>
      <c r="CS261" s="49">
        <f>+'ENCUESTA CONDUCTORES'!DA261</f>
        <v>0</v>
      </c>
    </row>
    <row r="262" spans="2:97" x14ac:dyDescent="0.25">
      <c r="B262" s="14" t="str">
        <f>+'ENCUESTA CONDUCTORES'!D262</f>
        <v>C-273</v>
      </c>
      <c r="C262" s="15">
        <f>IF('ENCUESTA CONDUCTORES'!E262="X",1,0)</f>
        <v>1</v>
      </c>
      <c r="D262" s="15">
        <f>IF('ENCUESTA CONDUCTORES'!F262="X",1,0)</f>
        <v>0</v>
      </c>
      <c r="E262" s="15">
        <f>IF('ENCUESTA CONDUCTORES'!G262="X",1,0)</f>
        <v>0</v>
      </c>
      <c r="F262" s="15">
        <f>IF('ENCUESTA CONDUCTORES'!H262="X",1,0)</f>
        <v>0</v>
      </c>
      <c r="G262" s="15">
        <f>+'ENCUESTA CONDUCTORES'!I262</f>
        <v>52</v>
      </c>
      <c r="H262" s="15" t="str">
        <f>+'ENCUESTA CONDUCTORES'!J262</f>
        <v>M</v>
      </c>
      <c r="I262" s="15" t="str">
        <f>+'ENCUESTA CONDUCTORES'!K262</f>
        <v>SECUNDARIA</v>
      </c>
      <c r="J262" s="15" t="str">
        <f>+'ENCUESTA CONDUCTORES'!L262</f>
        <v>MILPA ALTA, D.F.</v>
      </c>
      <c r="K262" s="15" t="str">
        <f>+'ENCUESTA CONDUCTORES'!M262</f>
        <v>MILPA ALTA</v>
      </c>
      <c r="L262" s="15" t="str">
        <f>+'ENCUESTA CONDUCTORES'!N262</f>
        <v>D.F.</v>
      </c>
      <c r="M262" s="15">
        <f>+'ENCUESTA CONDUCTORES'!O262</f>
        <v>35</v>
      </c>
      <c r="N262" s="15">
        <f>IF('ENCUESTA CONDUCTORES'!P262="X",1,0)</f>
        <v>0</v>
      </c>
      <c r="O262" s="15">
        <f>IF('ENCUESTA CONDUCTORES'!Q262="X",1,0)</f>
        <v>0</v>
      </c>
      <c r="P262" s="15">
        <f>IF('ENCUESTA CONDUCTORES'!R262="X",1,0)</f>
        <v>1</v>
      </c>
      <c r="Q262" s="15">
        <f>IF('ENCUESTA CONDUCTORES'!S262="X",1,0)</f>
        <v>0</v>
      </c>
      <c r="R262" s="15">
        <f>IF('ENCUESTA CONDUCTORES'!T262="X",1,0)</f>
        <v>0</v>
      </c>
      <c r="S262" s="15">
        <f>IF('ENCUESTA CONDUCTORES'!U262="X",1,0)</f>
        <v>0</v>
      </c>
      <c r="T262" s="15">
        <f>IF('ENCUESTA CONDUCTORES'!V262="X",1,0)</f>
        <v>0</v>
      </c>
      <c r="U262" s="15">
        <f>IF('ENCUESTA CONDUCTORES'!W262="X",1,0)</f>
        <v>1</v>
      </c>
      <c r="V262" s="15">
        <f>IF('ENCUESTA CONDUCTORES'!X262="X",1,0)</f>
        <v>0</v>
      </c>
      <c r="W262" s="15">
        <f>IF('ENCUESTA CONDUCTORES'!Y262="X",1,0)</f>
        <v>0</v>
      </c>
      <c r="X262" s="15">
        <f>IF('ENCUESTA CONDUCTORES'!Z262="X",1,0)</f>
        <v>0</v>
      </c>
      <c r="Y262" s="15">
        <f>+'ENCUESTA CONDUCTORES'!AG262</f>
        <v>0</v>
      </c>
      <c r="Z262" s="15">
        <f>+'ENCUESTA CONDUCTORES'!AH262</f>
        <v>2010</v>
      </c>
      <c r="AA262" s="1">
        <f>+'ENCUESTA CONDUCTORES'!AI262</f>
        <v>133200</v>
      </c>
      <c r="AB262" s="15">
        <f>IF('ENCUESTA CONDUCTORES'!AJ262="X",1,0)</f>
        <v>0</v>
      </c>
      <c r="AC262" s="15">
        <f>IF('ENCUESTA CONDUCTORES'!AK262="X",1,0)</f>
        <v>0</v>
      </c>
      <c r="AD262" s="15">
        <f>IF('ENCUESTA CONDUCTORES'!AL262="X",1,0)</f>
        <v>1</v>
      </c>
      <c r="AE262" s="15">
        <f>IF('ENCUESTA CONDUCTORES'!AM262="X",1,0)</f>
        <v>0</v>
      </c>
      <c r="AF262" s="15">
        <f>IF('ENCUESTA CONDUCTORES'!AN262="X",1,0)</f>
        <v>0</v>
      </c>
      <c r="AG262" s="15">
        <f>IF('ENCUESTA CONDUCTORES'!AO262="X",1,0)</f>
        <v>0</v>
      </c>
      <c r="AH262" s="15">
        <f>IF('ENCUESTA CONDUCTORES'!AP262="X",1,0)</f>
        <v>1</v>
      </c>
      <c r="AI262" s="15">
        <f>IF('ENCUESTA CONDUCTORES'!AQ262="X",1,0)</f>
        <v>0</v>
      </c>
      <c r="AJ262" s="15">
        <f>IF('ENCUESTA CONDUCTORES'!AR262="X",1,0)</f>
        <v>0</v>
      </c>
      <c r="AK262" s="15">
        <f>+'ENCUESTA CONDUCTORES'!AS262</f>
        <v>0</v>
      </c>
      <c r="AL262" s="15" t="str">
        <f>+'ENCUESTA CONDUCTORES'!AT262</f>
        <v>FREIGHTLINER</v>
      </c>
      <c r="AM262" s="1">
        <f>+'ENCUESTA CONDUCTORES'!AU262</f>
        <v>3700</v>
      </c>
      <c r="AN262" s="48">
        <f>+'ENCUESTA CONDUCTORES'!AV262</f>
        <v>0.5</v>
      </c>
      <c r="AO262" s="15">
        <f>+'ENCUESTA CONDUCTORES'!AW262</f>
        <v>2.5</v>
      </c>
      <c r="AP262" s="15">
        <f>+'ENCUESTA CONDUCTORES'!AX262</f>
        <v>2.1</v>
      </c>
      <c r="AQ262" s="15">
        <f>+'ENCUESTA CONDUCTORES'!AY262</f>
        <v>3</v>
      </c>
      <c r="AR262" s="15">
        <f>+'ENCUESTA CONDUCTORES'!AZ262</f>
        <v>1500</v>
      </c>
      <c r="AS262" s="15">
        <f>+'ENCUESTA CONDUCTORES'!BA262</f>
        <v>3465</v>
      </c>
      <c r="AT262" s="15">
        <f>IF('ENCUESTA CONDUCTORES'!BB262="X",1,0)</f>
        <v>1</v>
      </c>
      <c r="AU262" s="15">
        <f>IF('ENCUESTA CONDUCTORES'!BC262="X",1,0)</f>
        <v>1</v>
      </c>
      <c r="AV262" s="15">
        <f>IF('ENCUESTA CONDUCTORES'!BD262="X",1,0)</f>
        <v>1</v>
      </c>
      <c r="AW262" s="1">
        <f>+'ENCUESTA CONDUCTORES'!BE262</f>
        <v>12000</v>
      </c>
      <c r="AX262" s="1">
        <f>+'ENCUESTA CONDUCTORES'!BF262</f>
        <v>20000</v>
      </c>
      <c r="AY262" s="1">
        <f>+'ENCUESTA CONDUCTORES'!BG262</f>
        <v>20000</v>
      </c>
      <c r="AZ262" s="1">
        <f>+'ENCUESTA CONDUCTORES'!BH262</f>
        <v>88000</v>
      </c>
      <c r="BA262" s="1">
        <f>+'ENCUESTA CONDUCTORES'!BI262</f>
        <v>12000</v>
      </c>
      <c r="BB262" s="15">
        <f>IF('ENCUESTA CONDUCTORES'!BJ262="X",1,0)</f>
        <v>0</v>
      </c>
      <c r="BC262" s="15">
        <f>IF('ENCUESTA CONDUCTORES'!BK262="X",1,0)</f>
        <v>0</v>
      </c>
      <c r="BD262" s="15">
        <f>IF('ENCUESTA CONDUCTORES'!BL262="X",1,0)</f>
        <v>0</v>
      </c>
      <c r="BE262" s="15">
        <f>IF('ENCUESTA CONDUCTORES'!BM262="X",1,0)</f>
        <v>0</v>
      </c>
      <c r="BF262" s="15">
        <f>IF('ENCUESTA CONDUCTORES'!BN262="X",1,0)</f>
        <v>0</v>
      </c>
      <c r="BG262" s="15">
        <f>IF('ENCUESTA CONDUCTORES'!BO262="X",1,0)</f>
        <v>0</v>
      </c>
      <c r="BH262" s="15">
        <f>IF('ENCUESTA CONDUCTORES'!BP262="X",1,0)</f>
        <v>0</v>
      </c>
      <c r="BI262" s="15">
        <f>IF('ENCUESTA CONDUCTORES'!BQ262="X",1,0)</f>
        <v>0</v>
      </c>
      <c r="BJ262" s="15">
        <f>IF('ENCUESTA CONDUCTORES'!BR262="X",1,0)</f>
        <v>0</v>
      </c>
      <c r="BK262" s="15" t="str">
        <f>+'ENCUESTA CONDUCTORES'!BS262</f>
        <v>PAPELERIA</v>
      </c>
      <c r="BL262" s="15">
        <f>IF('ENCUESTA CONDUCTORES'!BT262="X",1,0)</f>
        <v>0</v>
      </c>
      <c r="BM262" s="15">
        <f>IF('ENCUESTA CONDUCTORES'!BU262="X",1,0)</f>
        <v>0</v>
      </c>
      <c r="BN262" s="15">
        <f>IF('ENCUESTA CONDUCTORES'!BV262="X",1,0)</f>
        <v>1</v>
      </c>
      <c r="BO262" s="15">
        <f>IF('ENCUESTA CONDUCTORES'!BW262="X",1,0)</f>
        <v>0</v>
      </c>
      <c r="BP262" s="15">
        <f>+'ENCUESTA CONDUCTORES'!BX262</f>
        <v>1</v>
      </c>
      <c r="BQ262" s="15">
        <f>+'ENCUESTA CONDUCTORES'!BY262</f>
        <v>3</v>
      </c>
      <c r="BR262" s="15">
        <f>+'ENCUESTA CONDUCTORES'!BZ262</f>
        <v>2</v>
      </c>
      <c r="BS262" s="15">
        <f>+'ENCUESTA CONDUCTORES'!CA262</f>
        <v>0</v>
      </c>
      <c r="BT262" s="15">
        <f>IF('ENCUESTA CONDUCTORES'!CB262="X",1,0)</f>
        <v>0</v>
      </c>
      <c r="BU262" s="15">
        <f>IF('ENCUESTA CONDUCTORES'!CC262="X",1,0)</f>
        <v>1</v>
      </c>
      <c r="BV262" s="15">
        <f>IF('ENCUESTA CONDUCTORES'!CD262="X",1,0)</f>
        <v>0</v>
      </c>
      <c r="BW262" s="15">
        <f>IF('ENCUESTA CONDUCTORES'!CE262="X",1,0)</f>
        <v>1</v>
      </c>
      <c r="BX262" s="15">
        <f>IF('ENCUESTA CONDUCTORES'!CF262="X",1,0)</f>
        <v>1</v>
      </c>
      <c r="BY262" s="15">
        <f>IF('ENCUESTA CONDUCTORES'!CG262="X",1,0)</f>
        <v>1</v>
      </c>
      <c r="BZ262" s="15">
        <f>IF('ENCUESTA CONDUCTORES'!CH262="X",1,0)</f>
        <v>1</v>
      </c>
      <c r="CA262" s="15">
        <f>IF('ENCUESTA CONDUCTORES'!CI262="X",1,0)</f>
        <v>1</v>
      </c>
      <c r="CB262" s="15">
        <f>IF('ENCUESTA CONDUCTORES'!CJ262="X",1,0)</f>
        <v>0</v>
      </c>
      <c r="CC262" s="15">
        <f>IF('ENCUESTA CONDUCTORES'!CK262="X",1,0)</f>
        <v>0</v>
      </c>
      <c r="CD262" s="15">
        <f>IF('ENCUESTA CONDUCTORES'!CL262="X",1,0)</f>
        <v>1</v>
      </c>
      <c r="CE262" s="15">
        <f>IF('ENCUESTA CONDUCTORES'!CM262="X",1,0)</f>
        <v>1</v>
      </c>
      <c r="CF262" s="15" t="str">
        <f>+'ENCUESTA CONDUCTORES'!CN262</f>
        <v>NO LO NECESITA</v>
      </c>
      <c r="CG262" s="15">
        <f>IF('ENCUESTA CONDUCTORES'!CO262="X",1,0)</f>
        <v>0</v>
      </c>
      <c r="CH262" s="15" t="str">
        <f>+'ENCUESTA CONDUCTORES'!CP262</f>
        <v>ES MUY BUENO</v>
      </c>
      <c r="CI262" s="15" t="str">
        <f>+'ENCUESTA CONDUCTORES'!CQ262</f>
        <v>UNA UNIDAD VIEJA</v>
      </c>
      <c r="CJ262" s="15">
        <f>IF('ENCUESTA CONDUCTORES'!CR262="X",1,0)</f>
        <v>0</v>
      </c>
      <c r="CK262" s="15">
        <f>IF('ENCUESTA CONDUCTORES'!CS262="X",1,0)</f>
        <v>0</v>
      </c>
      <c r="CL262" s="15">
        <f>IF('ENCUESTA CONDUCTORES'!CT262="X",1,0)</f>
        <v>0</v>
      </c>
      <c r="CM262" s="15" t="str">
        <f>+'ENCUESTA CONDUCTORES'!CU262</f>
        <v>MANEJO A LA DEFENSIVA</v>
      </c>
      <c r="CN262" s="15">
        <f>IF('ENCUESTA CONDUCTORES'!CV262="X",1,0)</f>
        <v>0</v>
      </c>
      <c r="CO262" s="15">
        <f>+'ENCUESTA CONDUCTORES'!CW262</f>
        <v>0</v>
      </c>
      <c r="CP262" s="15">
        <f>IF('ENCUESTA CONDUCTORES'!CX262="X",1,0)</f>
        <v>0</v>
      </c>
      <c r="CQ262" s="15">
        <f>IF('ENCUESTA CONDUCTORES'!CY262="X",1,0)</f>
        <v>0</v>
      </c>
      <c r="CR262" s="3" t="str">
        <f>+'ENCUESTA CONDUCTORES'!CZ262</f>
        <v>PROTECCION CIVIL</v>
      </c>
      <c r="CS262" s="49">
        <f>+'ENCUESTA CONDUCTORES'!DA262</f>
        <v>0</v>
      </c>
    </row>
    <row r="263" spans="2:97" x14ac:dyDescent="0.25">
      <c r="B263" s="14" t="str">
        <f>+'ENCUESTA CONDUCTORES'!D263</f>
        <v>C-274</v>
      </c>
      <c r="C263" s="15">
        <f>IF('ENCUESTA CONDUCTORES'!E263="X",1,0)</f>
        <v>0</v>
      </c>
      <c r="D263" s="15">
        <f>IF('ENCUESTA CONDUCTORES'!F263="X",1,0)</f>
        <v>0</v>
      </c>
      <c r="E263" s="15">
        <f>IF('ENCUESTA CONDUCTORES'!G263="X",1,0)</f>
        <v>0</v>
      </c>
      <c r="F263" s="15">
        <f>IF('ENCUESTA CONDUCTORES'!H263="X",1,0)</f>
        <v>1</v>
      </c>
      <c r="G263" s="15">
        <f>+'ENCUESTA CONDUCTORES'!I263</f>
        <v>41</v>
      </c>
      <c r="H263" s="15" t="str">
        <f>+'ENCUESTA CONDUCTORES'!J263</f>
        <v>M</v>
      </c>
      <c r="I263" s="15" t="str">
        <f>+'ENCUESTA CONDUCTORES'!K263</f>
        <v>SECUNDARIA</v>
      </c>
      <c r="J263" s="15" t="str">
        <f>+'ENCUESTA CONDUCTORES'!L263</f>
        <v>GUANAJUATO, GTO.</v>
      </c>
      <c r="K263" s="15" t="str">
        <f>+'ENCUESTA CONDUCTORES'!M263</f>
        <v>GUANAJUATO</v>
      </c>
      <c r="L263" s="15" t="str">
        <f>+'ENCUESTA CONDUCTORES'!N263</f>
        <v>GUANAJUATO</v>
      </c>
      <c r="M263" s="15">
        <f>+'ENCUESTA CONDUCTORES'!O263</f>
        <v>20</v>
      </c>
      <c r="N263" s="15">
        <f>IF('ENCUESTA CONDUCTORES'!P263="X",1,0)</f>
        <v>0</v>
      </c>
      <c r="O263" s="15">
        <f>IF('ENCUESTA CONDUCTORES'!Q263="X",1,0)</f>
        <v>0</v>
      </c>
      <c r="P263" s="15">
        <f>IF('ENCUESTA CONDUCTORES'!R263="X",1,0)</f>
        <v>0</v>
      </c>
      <c r="Q263" s="15">
        <f>IF('ENCUESTA CONDUCTORES'!S263="X",1,0)</f>
        <v>1</v>
      </c>
      <c r="R263" s="15">
        <f>IF('ENCUESTA CONDUCTORES'!T263="X",1,0)</f>
        <v>0</v>
      </c>
      <c r="S263" s="15">
        <f>IF('ENCUESTA CONDUCTORES'!U263="X",1,0)</f>
        <v>1</v>
      </c>
      <c r="T263" s="15">
        <f>IF('ENCUESTA CONDUCTORES'!V263="X",1,0)</f>
        <v>0</v>
      </c>
      <c r="U263" s="15">
        <f>IF('ENCUESTA CONDUCTORES'!W263="X",1,0)</f>
        <v>0</v>
      </c>
      <c r="V263" s="15">
        <f>IF('ENCUESTA CONDUCTORES'!X263="X",1,0)</f>
        <v>0</v>
      </c>
      <c r="W263" s="15">
        <f>IF('ENCUESTA CONDUCTORES'!Y263="X",1,0)</f>
        <v>0</v>
      </c>
      <c r="X263" s="15">
        <f>IF('ENCUESTA CONDUCTORES'!Z263="X",1,0)</f>
        <v>0</v>
      </c>
      <c r="Y263" s="15">
        <f>+'ENCUESTA CONDUCTORES'!AG263</f>
        <v>0</v>
      </c>
      <c r="Z263" s="15">
        <f>+'ENCUESTA CONDUCTORES'!AH263</f>
        <v>2014</v>
      </c>
      <c r="AA263" s="1">
        <f>+'ENCUESTA CONDUCTORES'!AI263</f>
        <v>30000</v>
      </c>
      <c r="AB263" s="15">
        <f>IF('ENCUESTA CONDUCTORES'!AJ263="X",1,0)</f>
        <v>0</v>
      </c>
      <c r="AC263" s="15">
        <f>IF('ENCUESTA CONDUCTORES'!AK263="X",1,0)</f>
        <v>0</v>
      </c>
      <c r="AD263" s="15">
        <f>IF('ENCUESTA CONDUCTORES'!AL263="X",1,0)</f>
        <v>1</v>
      </c>
      <c r="AE263" s="15">
        <f>IF('ENCUESTA CONDUCTORES'!AM263="X",1,0)</f>
        <v>0</v>
      </c>
      <c r="AF263" s="15">
        <f>IF('ENCUESTA CONDUCTORES'!AN263="X",1,0)</f>
        <v>0</v>
      </c>
      <c r="AG263" s="15">
        <f>IF('ENCUESTA CONDUCTORES'!AO263="X",1,0)</f>
        <v>0</v>
      </c>
      <c r="AH263" s="15">
        <f>IF('ENCUESTA CONDUCTORES'!AP263="X",1,0)</f>
        <v>1</v>
      </c>
      <c r="AI263" s="15">
        <f>IF('ENCUESTA CONDUCTORES'!AQ263="X",1,0)</f>
        <v>0</v>
      </c>
      <c r="AJ263" s="15">
        <f>IF('ENCUESTA CONDUCTORES'!AR263="X",1,0)</f>
        <v>0</v>
      </c>
      <c r="AK263" s="15">
        <f>+'ENCUESTA CONDUCTORES'!AS263</f>
        <v>0</v>
      </c>
      <c r="AL263" s="15" t="str">
        <f>+'ENCUESTA CONDUCTORES'!AT263</f>
        <v>VOLVO</v>
      </c>
      <c r="AM263" s="1">
        <f>+'ENCUESTA CONDUCTORES'!AU263</f>
        <v>10000</v>
      </c>
      <c r="AN263" s="48">
        <f>+'ENCUESTA CONDUCTORES'!AV263</f>
        <v>0.3</v>
      </c>
      <c r="AO263" s="15">
        <f>+'ENCUESTA CONDUCTORES'!AW263</f>
        <v>2.9</v>
      </c>
      <c r="AP263" s="15">
        <f>+'ENCUESTA CONDUCTORES'!AX263</f>
        <v>2.2999999999999998</v>
      </c>
      <c r="AQ263" s="15">
        <f>+'ENCUESTA CONDUCTORES'!AY263</f>
        <v>2</v>
      </c>
      <c r="AR263" s="15">
        <f>+'ENCUESTA CONDUCTORES'!AZ263</f>
        <v>920</v>
      </c>
      <c r="AS263" s="15">
        <f>+'ENCUESTA CONDUCTORES'!BA263</f>
        <v>2300</v>
      </c>
      <c r="AT263" s="15">
        <f>IF('ENCUESTA CONDUCTORES'!BB263="X",1,0)</f>
        <v>1</v>
      </c>
      <c r="AU263" s="15">
        <f>IF('ENCUESTA CONDUCTORES'!BC263="X",1,0)</f>
        <v>1</v>
      </c>
      <c r="AV263" s="15">
        <f>IF('ENCUESTA CONDUCTORES'!BD263="X",1,0)</f>
        <v>0</v>
      </c>
      <c r="AW263" s="1">
        <f>+'ENCUESTA CONDUCTORES'!BE263</f>
        <v>25000</v>
      </c>
      <c r="AX263" s="1">
        <f>+'ENCUESTA CONDUCTORES'!BF263</f>
        <v>10000</v>
      </c>
      <c r="AY263" s="1">
        <f>+'ENCUESTA CONDUCTORES'!BG263</f>
        <v>18000</v>
      </c>
      <c r="AZ263" s="1">
        <f>+'ENCUESTA CONDUCTORES'!BH263</f>
        <v>120000</v>
      </c>
      <c r="BA263" s="1">
        <f>+'ENCUESTA CONDUCTORES'!BI263</f>
        <v>18000</v>
      </c>
      <c r="BB263" s="15">
        <f>IF('ENCUESTA CONDUCTORES'!BJ263="X",1,0)</f>
        <v>0</v>
      </c>
      <c r="BC263" s="15">
        <f>IF('ENCUESTA CONDUCTORES'!BK263="X",1,0)</f>
        <v>0</v>
      </c>
      <c r="BD263" s="15">
        <f>IF('ENCUESTA CONDUCTORES'!BL263="X",1,0)</f>
        <v>0</v>
      </c>
      <c r="BE263" s="15">
        <f>IF('ENCUESTA CONDUCTORES'!BM263="X",1,0)</f>
        <v>0</v>
      </c>
      <c r="BF263" s="15">
        <f>IF('ENCUESTA CONDUCTORES'!BN263="X",1,0)</f>
        <v>0</v>
      </c>
      <c r="BG263" s="15">
        <f>IF('ENCUESTA CONDUCTORES'!BO263="X",1,0)</f>
        <v>0</v>
      </c>
      <c r="BH263" s="15">
        <f>IF('ENCUESTA CONDUCTORES'!BP263="X",1,0)</f>
        <v>0</v>
      </c>
      <c r="BI263" s="15">
        <f>IF('ENCUESTA CONDUCTORES'!BQ263="X",1,0)</f>
        <v>0</v>
      </c>
      <c r="BJ263" s="15">
        <f>IF('ENCUESTA CONDUCTORES'!BR263="X",1,0)</f>
        <v>0</v>
      </c>
      <c r="BK263" s="15" t="str">
        <f>+'ENCUESTA CONDUCTORES'!BS263</f>
        <v>SECOS</v>
      </c>
      <c r="BL263" s="15">
        <f>IF('ENCUESTA CONDUCTORES'!BT263="X",1,0)</f>
        <v>0</v>
      </c>
      <c r="BM263" s="15">
        <f>IF('ENCUESTA CONDUCTORES'!BU263="X",1,0)</f>
        <v>0</v>
      </c>
      <c r="BN263" s="15">
        <f>IF('ENCUESTA CONDUCTORES'!BV263="X",1,0)</f>
        <v>0</v>
      </c>
      <c r="BO263" s="15">
        <f>IF('ENCUESTA CONDUCTORES'!BW263="X",1,0)</f>
        <v>1</v>
      </c>
      <c r="BP263" s="15">
        <f>+'ENCUESTA CONDUCTORES'!BX263</f>
        <v>1</v>
      </c>
      <c r="BQ263" s="15">
        <f>+'ENCUESTA CONDUCTORES'!BY263</f>
        <v>3</v>
      </c>
      <c r="BR263" s="15">
        <f>+'ENCUESTA CONDUCTORES'!BZ263</f>
        <v>2</v>
      </c>
      <c r="BS263" s="15">
        <f>+'ENCUESTA CONDUCTORES'!CA263</f>
        <v>0</v>
      </c>
      <c r="BT263" s="15">
        <f>IF('ENCUESTA CONDUCTORES'!CB263="X",1,0)</f>
        <v>0</v>
      </c>
      <c r="BU263" s="15">
        <f>IF('ENCUESTA CONDUCTORES'!CC263="X",1,0)</f>
        <v>1</v>
      </c>
      <c r="BV263" s="15">
        <f>IF('ENCUESTA CONDUCTORES'!CD263="X",1,0)</f>
        <v>1</v>
      </c>
      <c r="BW263" s="15">
        <f>IF('ENCUESTA CONDUCTORES'!CE263="X",1,0)</f>
        <v>1</v>
      </c>
      <c r="BX263" s="15">
        <f>IF('ENCUESTA CONDUCTORES'!CF263="X",1,0)</f>
        <v>0</v>
      </c>
      <c r="BY263" s="15">
        <f>IF('ENCUESTA CONDUCTORES'!CG263="X",1,0)</f>
        <v>1</v>
      </c>
      <c r="BZ263" s="15">
        <f>IF('ENCUESTA CONDUCTORES'!CH263="X",1,0)</f>
        <v>1</v>
      </c>
      <c r="CA263" s="15">
        <f>IF('ENCUESTA CONDUCTORES'!CI263="X",1,0)</f>
        <v>1</v>
      </c>
      <c r="CB263" s="15">
        <f>IF('ENCUESTA CONDUCTORES'!CJ263="X",1,0)</f>
        <v>0</v>
      </c>
      <c r="CC263" s="15">
        <f>IF('ENCUESTA CONDUCTORES'!CK263="X",1,0)</f>
        <v>1</v>
      </c>
      <c r="CD263" s="15">
        <f>IF('ENCUESTA CONDUCTORES'!CL263="X",1,0)</f>
        <v>0</v>
      </c>
      <c r="CE263" s="15">
        <f>IF('ENCUESTA CONDUCTORES'!CM263="X",1,0)</f>
        <v>0</v>
      </c>
      <c r="CF263" s="15">
        <f>+'ENCUESTA CONDUCTORES'!CN263</f>
        <v>0</v>
      </c>
      <c r="CG263" s="15">
        <f>IF('ENCUESTA CONDUCTORES'!CO263="X",1,0)</f>
        <v>0</v>
      </c>
      <c r="CH263" s="15" t="str">
        <f>+'ENCUESTA CONDUCTORES'!CP263</f>
        <v>NO SABE</v>
      </c>
      <c r="CI263" s="15" t="str">
        <f>+'ENCUESTA CONDUCTORES'!CQ263</f>
        <v>PUBLICIDAD</v>
      </c>
      <c r="CJ263" s="15">
        <f>IF('ENCUESTA CONDUCTORES'!CR263="X",1,0)</f>
        <v>0</v>
      </c>
      <c r="CK263" s="15">
        <f>IF('ENCUESTA CONDUCTORES'!CS263="X",1,0)</f>
        <v>0</v>
      </c>
      <c r="CL263" s="15">
        <f>IF('ENCUESTA CONDUCTORES'!CT263="X",1,0)</f>
        <v>0</v>
      </c>
      <c r="CM263" s="15" t="str">
        <f>+'ENCUESTA CONDUCTORES'!CU263</f>
        <v>MANEJO A LA DEFENSIVA</v>
      </c>
      <c r="CN263" s="15">
        <f>IF('ENCUESTA CONDUCTORES'!CV263="X",1,0)</f>
        <v>0</v>
      </c>
      <c r="CO263" s="15">
        <f>+'ENCUESTA CONDUCTORES'!CW263</f>
        <v>0</v>
      </c>
      <c r="CP263" s="15">
        <f>IF('ENCUESTA CONDUCTORES'!CX263="X",1,0)</f>
        <v>1</v>
      </c>
      <c r="CQ263" s="15">
        <f>IF('ENCUESTA CONDUCTORES'!CY263="X",1,0)</f>
        <v>1</v>
      </c>
      <c r="CR263" s="3">
        <f>+'ENCUESTA CONDUCTORES'!CZ263</f>
        <v>0</v>
      </c>
      <c r="CS263" s="49">
        <f>+'ENCUESTA CONDUCTORES'!DA263</f>
        <v>0</v>
      </c>
    </row>
    <row r="264" spans="2:97" x14ac:dyDescent="0.25">
      <c r="B264" s="14" t="str">
        <f>+'ENCUESTA CONDUCTORES'!D264</f>
        <v>C-275</v>
      </c>
      <c r="C264" s="15">
        <f>IF('ENCUESTA CONDUCTORES'!E264="X",1,0)</f>
        <v>0</v>
      </c>
      <c r="D264" s="15">
        <f>IF('ENCUESTA CONDUCTORES'!F264="X",1,0)</f>
        <v>0</v>
      </c>
      <c r="E264" s="15">
        <f>IF('ENCUESTA CONDUCTORES'!G264="X",1,0)</f>
        <v>0</v>
      </c>
      <c r="F264" s="15">
        <f>IF('ENCUESTA CONDUCTORES'!H264="X",1,0)</f>
        <v>1</v>
      </c>
      <c r="G264" s="15">
        <f>+'ENCUESTA CONDUCTORES'!I264</f>
        <v>34</v>
      </c>
      <c r="H264" s="15" t="str">
        <f>+'ENCUESTA CONDUCTORES'!J264</f>
        <v>M</v>
      </c>
      <c r="I264" s="15" t="str">
        <f>+'ENCUESTA CONDUCTORES'!K264</f>
        <v>PREPARATORIA</v>
      </c>
      <c r="J264" s="15" t="str">
        <f>+'ENCUESTA CONDUCTORES'!L264</f>
        <v>V. CARRANZA, D.F.</v>
      </c>
      <c r="K264" s="15" t="str">
        <f>+'ENCUESTA CONDUCTORES'!M264</f>
        <v>V. CARRANZA</v>
      </c>
      <c r="L264" s="15" t="str">
        <f>+'ENCUESTA CONDUCTORES'!N264</f>
        <v>D.F.</v>
      </c>
      <c r="M264" s="15">
        <f>+'ENCUESTA CONDUCTORES'!O264</f>
        <v>18</v>
      </c>
      <c r="N264" s="15">
        <f>IF('ENCUESTA CONDUCTORES'!P264="X",1,0)</f>
        <v>1</v>
      </c>
      <c r="O264" s="15">
        <f>IF('ENCUESTA CONDUCTORES'!Q264="X",1,0)</f>
        <v>0</v>
      </c>
      <c r="P264" s="15">
        <f>IF('ENCUESTA CONDUCTORES'!R264="X",1,0)</f>
        <v>0</v>
      </c>
      <c r="Q264" s="15">
        <f>IF('ENCUESTA CONDUCTORES'!S264="X",1,0)</f>
        <v>0</v>
      </c>
      <c r="R264" s="15">
        <f>IF('ENCUESTA CONDUCTORES'!T264="X",1,0)</f>
        <v>0</v>
      </c>
      <c r="S264" s="15">
        <f>IF('ENCUESTA CONDUCTORES'!U264="X",1,0)</f>
        <v>1</v>
      </c>
      <c r="T264" s="15">
        <f>IF('ENCUESTA CONDUCTORES'!V264="X",1,0)</f>
        <v>0</v>
      </c>
      <c r="U264" s="15">
        <f>IF('ENCUESTA CONDUCTORES'!W264="X",1,0)</f>
        <v>0</v>
      </c>
      <c r="V264" s="15">
        <f>IF('ENCUESTA CONDUCTORES'!X264="X",1,0)</f>
        <v>0</v>
      </c>
      <c r="W264" s="15">
        <f>IF('ENCUESTA CONDUCTORES'!Y264="X",1,0)</f>
        <v>0</v>
      </c>
      <c r="X264" s="15">
        <f>IF('ENCUESTA CONDUCTORES'!Z264="X",1,0)</f>
        <v>0</v>
      </c>
      <c r="Y264" s="15">
        <f>+'ENCUESTA CONDUCTORES'!AG264</f>
        <v>0</v>
      </c>
      <c r="Z264" s="15">
        <f>+'ENCUESTA CONDUCTORES'!AH264</f>
        <v>2002</v>
      </c>
      <c r="AA264" s="1" t="str">
        <f>+'ENCUESTA CONDUCTORES'!AI264</f>
        <v>DAÑADO</v>
      </c>
      <c r="AB264" s="15">
        <f>IF('ENCUESTA CONDUCTORES'!AJ264="X",1,0)</f>
        <v>0</v>
      </c>
      <c r="AC264" s="15">
        <f>IF('ENCUESTA CONDUCTORES'!AK264="X",1,0)</f>
        <v>0</v>
      </c>
      <c r="AD264" s="15">
        <f>IF('ENCUESTA CONDUCTORES'!AL264="X",1,0)</f>
        <v>1</v>
      </c>
      <c r="AE264" s="15">
        <f>IF('ENCUESTA CONDUCTORES'!AM264="X",1,0)</f>
        <v>0</v>
      </c>
      <c r="AF264" s="15">
        <f>IF('ENCUESTA CONDUCTORES'!AN264="X",1,0)</f>
        <v>0</v>
      </c>
      <c r="AG264" s="15">
        <f>IF('ENCUESTA CONDUCTORES'!AO264="X",1,0)</f>
        <v>0</v>
      </c>
      <c r="AH264" s="15">
        <f>IF('ENCUESTA CONDUCTORES'!AP264="X",1,0)</f>
        <v>1</v>
      </c>
      <c r="AI264" s="15">
        <f>IF('ENCUESTA CONDUCTORES'!AQ264="X",1,0)</f>
        <v>0</v>
      </c>
      <c r="AJ264" s="15">
        <f>IF('ENCUESTA CONDUCTORES'!AR264="X",1,0)</f>
        <v>0</v>
      </c>
      <c r="AK264" s="15">
        <f>+'ENCUESTA CONDUCTORES'!AS264</f>
        <v>0</v>
      </c>
      <c r="AL264" s="15" t="str">
        <f>+'ENCUESTA CONDUCTORES'!AT264</f>
        <v>MERCEDES BENZ</v>
      </c>
      <c r="AM264" s="1">
        <f>+'ENCUESTA CONDUCTORES'!AU264</f>
        <v>4000</v>
      </c>
      <c r="AN264" s="48">
        <f>+'ENCUESTA CONDUCTORES'!AV264</f>
        <v>0.5</v>
      </c>
      <c r="AO264" s="15">
        <f>+'ENCUESTA CONDUCTORES'!AW264</f>
        <v>2.8</v>
      </c>
      <c r="AP264" s="15">
        <f>+'ENCUESTA CONDUCTORES'!AX264</f>
        <v>2.6</v>
      </c>
      <c r="AQ264" s="15">
        <f>+'ENCUESTA CONDUCTORES'!AY264</f>
        <v>2</v>
      </c>
      <c r="AR264" s="15">
        <f>+'ENCUESTA CONDUCTORES'!AZ264</f>
        <v>560</v>
      </c>
      <c r="AS264" s="15">
        <f>+'ENCUESTA CONDUCTORES'!BA264</f>
        <v>1500</v>
      </c>
      <c r="AT264" s="15">
        <f>IF('ENCUESTA CONDUCTORES'!BB264="X",1,0)</f>
        <v>0</v>
      </c>
      <c r="AU264" s="15">
        <f>IF('ENCUESTA CONDUCTORES'!BC264="X",1,0)</f>
        <v>1</v>
      </c>
      <c r="AV264" s="15">
        <f>IF('ENCUESTA CONDUCTORES'!BD264="X",1,0)</f>
        <v>0</v>
      </c>
      <c r="AW264" s="1">
        <f>+'ENCUESTA CONDUCTORES'!BE264</f>
        <v>17000</v>
      </c>
      <c r="AX264" s="1">
        <f>+'ENCUESTA CONDUCTORES'!BF264</f>
        <v>12000</v>
      </c>
      <c r="AY264" s="1">
        <f>+'ENCUESTA CONDUCTORES'!BG264</f>
        <v>22000</v>
      </c>
      <c r="AZ264" s="1">
        <f>+'ENCUESTA CONDUCTORES'!BH264</f>
        <v>200000</v>
      </c>
      <c r="BA264" s="1">
        <f>+'ENCUESTA CONDUCTORES'!BI264</f>
        <v>22000</v>
      </c>
      <c r="BB264" s="15">
        <f>IF('ENCUESTA CONDUCTORES'!BJ264="X",1,0)</f>
        <v>0</v>
      </c>
      <c r="BC264" s="15">
        <f>IF('ENCUESTA CONDUCTORES'!BK264="X",1,0)</f>
        <v>0</v>
      </c>
      <c r="BD264" s="15">
        <f>IF('ENCUESTA CONDUCTORES'!BL264="X",1,0)</f>
        <v>0</v>
      </c>
      <c r="BE264" s="15">
        <f>IF('ENCUESTA CONDUCTORES'!BM264="X",1,0)</f>
        <v>1</v>
      </c>
      <c r="BF264" s="15">
        <f>IF('ENCUESTA CONDUCTORES'!BN264="X",1,0)</f>
        <v>0</v>
      </c>
      <c r="BG264" s="15">
        <f>IF('ENCUESTA CONDUCTORES'!BO264="X",1,0)</f>
        <v>0</v>
      </c>
      <c r="BH264" s="15">
        <f>IF('ENCUESTA CONDUCTORES'!BP264="X",1,0)</f>
        <v>0</v>
      </c>
      <c r="BI264" s="15">
        <f>IF('ENCUESTA CONDUCTORES'!BQ264="X",1,0)</f>
        <v>0</v>
      </c>
      <c r="BJ264" s="15">
        <f>IF('ENCUESTA CONDUCTORES'!BR264="X",1,0)</f>
        <v>0</v>
      </c>
      <c r="BK264" s="15">
        <f>+'ENCUESTA CONDUCTORES'!BS264</f>
        <v>0</v>
      </c>
      <c r="BL264" s="15">
        <f>IF('ENCUESTA CONDUCTORES'!BT264="X",1,0)</f>
        <v>0</v>
      </c>
      <c r="BM264" s="15">
        <f>IF('ENCUESTA CONDUCTORES'!BU264="X",1,0)</f>
        <v>0</v>
      </c>
      <c r="BN264" s="15">
        <f>IF('ENCUESTA CONDUCTORES'!BV264="X",1,0)</f>
        <v>1</v>
      </c>
      <c r="BO264" s="15">
        <f>IF('ENCUESTA CONDUCTORES'!BW264="X",1,0)</f>
        <v>0</v>
      </c>
      <c r="BP264" s="15">
        <f>+'ENCUESTA CONDUCTORES'!BX264</f>
        <v>2</v>
      </c>
      <c r="BQ264" s="15">
        <f>+'ENCUESTA CONDUCTORES'!BY264</f>
        <v>1</v>
      </c>
      <c r="BR264" s="15">
        <f>+'ENCUESTA CONDUCTORES'!BZ264</f>
        <v>3</v>
      </c>
      <c r="BS264" s="15">
        <f>+'ENCUESTA CONDUCTORES'!CA264</f>
        <v>0</v>
      </c>
      <c r="BT264" s="15">
        <f>IF('ENCUESTA CONDUCTORES'!CB264="X",1,0)</f>
        <v>1</v>
      </c>
      <c r="BU264" s="15">
        <f>IF('ENCUESTA CONDUCTORES'!CC264="X",1,0)</f>
        <v>0</v>
      </c>
      <c r="BV264" s="15">
        <f>IF('ENCUESTA CONDUCTORES'!CD264="X",1,0)</f>
        <v>0</v>
      </c>
      <c r="BW264" s="15">
        <f>IF('ENCUESTA CONDUCTORES'!CE264="X",1,0)</f>
        <v>0</v>
      </c>
      <c r="BX264" s="15">
        <f>IF('ENCUESTA CONDUCTORES'!CF264="X",1,0)</f>
        <v>0</v>
      </c>
      <c r="BY264" s="15">
        <f>IF('ENCUESTA CONDUCTORES'!CG264="X",1,0)</f>
        <v>0</v>
      </c>
      <c r="BZ264" s="15">
        <f>IF('ENCUESTA CONDUCTORES'!CH264="X",1,0)</f>
        <v>0</v>
      </c>
      <c r="CA264" s="15">
        <f>IF('ENCUESTA CONDUCTORES'!CI264="X",1,0)</f>
        <v>0</v>
      </c>
      <c r="CB264" s="15">
        <f>IF('ENCUESTA CONDUCTORES'!CJ264="X",1,0)</f>
        <v>0</v>
      </c>
      <c r="CC264" s="15">
        <f>IF('ENCUESTA CONDUCTORES'!CK264="X",1,0)</f>
        <v>1</v>
      </c>
      <c r="CD264" s="15">
        <f>IF('ENCUESTA CONDUCTORES'!CL264="X",1,0)</f>
        <v>0</v>
      </c>
      <c r="CE264" s="15">
        <f>IF('ENCUESTA CONDUCTORES'!CM264="X",1,0)</f>
        <v>0</v>
      </c>
      <c r="CF264" s="15">
        <f>+'ENCUESTA CONDUCTORES'!CN264</f>
        <v>0</v>
      </c>
      <c r="CG264" s="15">
        <f>IF('ENCUESTA CONDUCTORES'!CO264="X",1,0)</f>
        <v>0</v>
      </c>
      <c r="CH264" s="15" t="str">
        <f>+'ENCUESTA CONDUCTORES'!CP264</f>
        <v>NO SABE</v>
      </c>
      <c r="CI264" s="15" t="str">
        <f>+'ENCUESTA CONDUCTORES'!CQ264</f>
        <v>MAYOR INFORMACION</v>
      </c>
      <c r="CJ264" s="15">
        <f>IF('ENCUESTA CONDUCTORES'!CR264="X",1,0)</f>
        <v>1</v>
      </c>
      <c r="CK264" s="15">
        <f>IF('ENCUESTA CONDUCTORES'!CS264="X",1,0)</f>
        <v>0</v>
      </c>
      <c r="CL264" s="15">
        <f>IF('ENCUESTA CONDUCTORES'!CT264="X",1,0)</f>
        <v>0</v>
      </c>
      <c r="CM264" s="15">
        <f>+'ENCUESTA CONDUCTORES'!CU264</f>
        <v>0</v>
      </c>
      <c r="CN264" s="15">
        <f>IF('ENCUESTA CONDUCTORES'!CV264="X",1,0)</f>
        <v>0</v>
      </c>
      <c r="CO264" s="15">
        <f>+'ENCUESTA CONDUCTORES'!CW264</f>
        <v>0</v>
      </c>
      <c r="CP264" s="15">
        <f>IF('ENCUESTA CONDUCTORES'!CX264="X",1,0)</f>
        <v>0</v>
      </c>
      <c r="CQ264" s="15">
        <f>IF('ENCUESTA CONDUCTORES'!CY264="X",1,0)</f>
        <v>1</v>
      </c>
      <c r="CR264" s="3">
        <f>+'ENCUESTA CONDUCTORES'!CZ264</f>
        <v>0</v>
      </c>
      <c r="CS264" s="49">
        <f>+'ENCUESTA CONDUCTORES'!DA264</f>
        <v>0</v>
      </c>
    </row>
    <row r="265" spans="2:97" x14ac:dyDescent="0.25">
      <c r="B265" s="14" t="str">
        <f>+'ENCUESTA CONDUCTORES'!D265</f>
        <v>C-276</v>
      </c>
      <c r="C265" s="15">
        <f>IF('ENCUESTA CONDUCTORES'!E265="X",1,0)</f>
        <v>0</v>
      </c>
      <c r="D265" s="15">
        <f>IF('ENCUESTA CONDUCTORES'!F265="X",1,0)</f>
        <v>0</v>
      </c>
      <c r="E265" s="15">
        <f>IF('ENCUESTA CONDUCTORES'!G265="X",1,0)</f>
        <v>1</v>
      </c>
      <c r="F265" s="15">
        <f>IF('ENCUESTA CONDUCTORES'!H265="X",1,0)</f>
        <v>0</v>
      </c>
      <c r="G265" s="15">
        <f>+'ENCUESTA CONDUCTORES'!I265</f>
        <v>47</v>
      </c>
      <c r="H265" s="15" t="str">
        <f>+'ENCUESTA CONDUCTORES'!J265</f>
        <v>M</v>
      </c>
      <c r="I265" s="15" t="str">
        <f>+'ENCUESTA CONDUCTORES'!K265</f>
        <v>PREPARATORIA</v>
      </c>
      <c r="J265" s="15" t="str">
        <f>+'ENCUESTA CONDUCTORES'!L265</f>
        <v>ECATEPEC, EDO. MEX.</v>
      </c>
      <c r="K265" s="15" t="str">
        <f>+'ENCUESTA CONDUCTORES'!M265</f>
        <v>ECATEPEC</v>
      </c>
      <c r="L265" s="15" t="str">
        <f>+'ENCUESTA CONDUCTORES'!N265</f>
        <v>EDO. MEX.</v>
      </c>
      <c r="M265" s="15">
        <f>+'ENCUESTA CONDUCTORES'!O265</f>
        <v>20</v>
      </c>
      <c r="N265" s="15">
        <f>IF('ENCUESTA CONDUCTORES'!P265="X",1,0)</f>
        <v>1</v>
      </c>
      <c r="O265" s="15">
        <f>IF('ENCUESTA CONDUCTORES'!Q265="X",1,0)</f>
        <v>0</v>
      </c>
      <c r="P265" s="15">
        <f>IF('ENCUESTA CONDUCTORES'!R265="X",1,0)</f>
        <v>0</v>
      </c>
      <c r="Q265" s="15">
        <f>IF('ENCUESTA CONDUCTORES'!S265="X",1,0)</f>
        <v>0</v>
      </c>
      <c r="R265" s="15">
        <f>IF('ENCUESTA CONDUCTORES'!T265="X",1,0)</f>
        <v>0</v>
      </c>
      <c r="S265" s="15">
        <f>IF('ENCUESTA CONDUCTORES'!U265="X",1,0)</f>
        <v>1</v>
      </c>
      <c r="T265" s="15">
        <f>IF('ENCUESTA CONDUCTORES'!V265="X",1,0)</f>
        <v>0</v>
      </c>
      <c r="U265" s="15">
        <f>IF('ENCUESTA CONDUCTORES'!W265="X",1,0)</f>
        <v>0</v>
      </c>
      <c r="V265" s="15">
        <f>IF('ENCUESTA CONDUCTORES'!X265="X",1,0)</f>
        <v>0</v>
      </c>
      <c r="W265" s="15">
        <f>IF('ENCUESTA CONDUCTORES'!Y265="X",1,0)</f>
        <v>0</v>
      </c>
      <c r="X265" s="15">
        <f>IF('ENCUESTA CONDUCTORES'!Z265="X",1,0)</f>
        <v>0</v>
      </c>
      <c r="Y265" s="15">
        <f>+'ENCUESTA CONDUCTORES'!AG265</f>
        <v>0</v>
      </c>
      <c r="Z265" s="15">
        <f>+'ENCUESTA CONDUCTORES'!AH265</f>
        <v>2000</v>
      </c>
      <c r="AA265" s="1">
        <f>+'ENCUESTA CONDUCTORES'!AI265</f>
        <v>546000</v>
      </c>
      <c r="AB265" s="15">
        <f>IF('ENCUESTA CONDUCTORES'!AJ265="X",1,0)</f>
        <v>0</v>
      </c>
      <c r="AC265" s="15">
        <f>IF('ENCUESTA CONDUCTORES'!AK265="X",1,0)</f>
        <v>0</v>
      </c>
      <c r="AD265" s="15">
        <f>IF('ENCUESTA CONDUCTORES'!AL265="X",1,0)</f>
        <v>1</v>
      </c>
      <c r="AE265" s="15">
        <f>IF('ENCUESTA CONDUCTORES'!AM265="X",1,0)</f>
        <v>0</v>
      </c>
      <c r="AF265" s="15">
        <f>IF('ENCUESTA CONDUCTORES'!AN265="X",1,0)</f>
        <v>0</v>
      </c>
      <c r="AG265" s="15">
        <f>IF('ENCUESTA CONDUCTORES'!AO265="X",1,0)</f>
        <v>0</v>
      </c>
      <c r="AH265" s="15">
        <f>IF('ENCUESTA CONDUCTORES'!AP265="X",1,0)</f>
        <v>1</v>
      </c>
      <c r="AI265" s="15">
        <f>IF('ENCUESTA CONDUCTORES'!AQ265="X",1,0)</f>
        <v>0</v>
      </c>
      <c r="AJ265" s="15">
        <f>IF('ENCUESTA CONDUCTORES'!AR265="X",1,0)</f>
        <v>0</v>
      </c>
      <c r="AK265" s="15">
        <f>+'ENCUESTA CONDUCTORES'!AS265</f>
        <v>0</v>
      </c>
      <c r="AL265" s="15" t="str">
        <f>+'ENCUESTA CONDUCTORES'!AT265</f>
        <v>CUMMINS</v>
      </c>
      <c r="AM265" s="1">
        <f>+'ENCUESTA CONDUCTORES'!AU265</f>
        <v>3500</v>
      </c>
      <c r="AN265" s="48">
        <f>+'ENCUESTA CONDUCTORES'!AV265</f>
        <v>0.5</v>
      </c>
      <c r="AO265" s="15">
        <f>+'ENCUESTA CONDUCTORES'!AW265</f>
        <v>3</v>
      </c>
      <c r="AP265" s="15">
        <f>+'ENCUESTA CONDUCTORES'!AX265</f>
        <v>2.8</v>
      </c>
      <c r="AQ265" s="15">
        <f>+'ENCUESTA CONDUCTORES'!AY265</f>
        <v>2</v>
      </c>
      <c r="AR265" s="15">
        <f>+'ENCUESTA CONDUCTORES'!AZ265</f>
        <v>870</v>
      </c>
      <c r="AS265" s="15">
        <f>+'ENCUESTA CONDUCTORES'!BA265</f>
        <v>2520</v>
      </c>
      <c r="AT265" s="15">
        <f>IF('ENCUESTA CONDUCTORES'!BB265="X",1,0)</f>
        <v>0</v>
      </c>
      <c r="AU265" s="15">
        <f>IF('ENCUESTA CONDUCTORES'!BC265="X",1,0)</f>
        <v>1</v>
      </c>
      <c r="AV265" s="15">
        <f>IF('ENCUESTA CONDUCTORES'!BD265="X",1,0)</f>
        <v>0</v>
      </c>
      <c r="AW265" s="1">
        <f>+'ENCUESTA CONDUCTORES'!BE265</f>
        <v>12000</v>
      </c>
      <c r="AX265" s="1">
        <f>+'ENCUESTA CONDUCTORES'!BF265</f>
        <v>10000</v>
      </c>
      <c r="AY265" s="1">
        <f>+'ENCUESTA CONDUCTORES'!BG265</f>
        <v>12000</v>
      </c>
      <c r="AZ265" s="1">
        <f>+'ENCUESTA CONDUCTORES'!BH265</f>
        <v>63000</v>
      </c>
      <c r="BA265" s="1">
        <f>+'ENCUESTA CONDUCTORES'!BI265</f>
        <v>12000</v>
      </c>
      <c r="BB265" s="15">
        <f>IF('ENCUESTA CONDUCTORES'!BJ265="X",1,0)</f>
        <v>0</v>
      </c>
      <c r="BC265" s="15">
        <f>IF('ENCUESTA CONDUCTORES'!BK265="X",1,0)</f>
        <v>0</v>
      </c>
      <c r="BD265" s="15">
        <f>IF('ENCUESTA CONDUCTORES'!BL265="X",1,0)</f>
        <v>0</v>
      </c>
      <c r="BE265" s="15">
        <f>IF('ENCUESTA CONDUCTORES'!BM265="X",1,0)</f>
        <v>0</v>
      </c>
      <c r="BF265" s="15">
        <f>IF('ENCUESTA CONDUCTORES'!BN265="X",1,0)</f>
        <v>0</v>
      </c>
      <c r="BG265" s="15">
        <f>IF('ENCUESTA CONDUCTORES'!BO265="X",1,0)</f>
        <v>0</v>
      </c>
      <c r="BH265" s="15">
        <f>IF('ENCUESTA CONDUCTORES'!BP265="X",1,0)</f>
        <v>0</v>
      </c>
      <c r="BI265" s="15">
        <f>IF('ENCUESTA CONDUCTORES'!BQ265="X",1,0)</f>
        <v>0</v>
      </c>
      <c r="BJ265" s="15">
        <f>IF('ENCUESTA CONDUCTORES'!BR265="X",1,0)</f>
        <v>0</v>
      </c>
      <c r="BK265" s="15" t="str">
        <f>+'ENCUESTA CONDUCTORES'!BS265</f>
        <v>GENERAL</v>
      </c>
      <c r="BL265" s="15">
        <f>IF('ENCUESTA CONDUCTORES'!BT265="X",1,0)</f>
        <v>0</v>
      </c>
      <c r="BM265" s="15">
        <f>IF('ENCUESTA CONDUCTORES'!BU265="X",1,0)</f>
        <v>1</v>
      </c>
      <c r="BN265" s="15">
        <f>IF('ENCUESTA CONDUCTORES'!BV265="X",1,0)</f>
        <v>0</v>
      </c>
      <c r="BO265" s="15">
        <f>IF('ENCUESTA CONDUCTORES'!BW265="X",1,0)</f>
        <v>0</v>
      </c>
      <c r="BP265" s="15">
        <f>+'ENCUESTA CONDUCTORES'!BX265</f>
        <v>1</v>
      </c>
      <c r="BQ265" s="15">
        <f>+'ENCUESTA CONDUCTORES'!BY265</f>
        <v>3</v>
      </c>
      <c r="BR265" s="15">
        <f>+'ENCUESTA CONDUCTORES'!BZ265</f>
        <v>2</v>
      </c>
      <c r="BS265" s="15">
        <f>+'ENCUESTA CONDUCTORES'!CA265</f>
        <v>0</v>
      </c>
      <c r="BT265" s="15">
        <f>IF('ENCUESTA CONDUCTORES'!CB265="X",1,0)</f>
        <v>0</v>
      </c>
      <c r="BU265" s="15">
        <f>IF('ENCUESTA CONDUCTORES'!CC265="X",1,0)</f>
        <v>1</v>
      </c>
      <c r="BV265" s="15">
        <f>IF('ENCUESTA CONDUCTORES'!CD265="X",1,0)</f>
        <v>0</v>
      </c>
      <c r="BW265" s="15">
        <f>IF('ENCUESTA CONDUCTORES'!CE265="X",1,0)</f>
        <v>1</v>
      </c>
      <c r="BX265" s="15">
        <f>IF('ENCUESTA CONDUCTORES'!CF265="X",1,0)</f>
        <v>0</v>
      </c>
      <c r="BY265" s="15">
        <f>IF('ENCUESTA CONDUCTORES'!CG265="X",1,0)</f>
        <v>1</v>
      </c>
      <c r="BZ265" s="15">
        <f>IF('ENCUESTA CONDUCTORES'!CH265="X",1,0)</f>
        <v>1</v>
      </c>
      <c r="CA265" s="15">
        <f>IF('ENCUESTA CONDUCTORES'!CI265="X",1,0)</f>
        <v>1</v>
      </c>
      <c r="CB265" s="15">
        <f>IF('ENCUESTA CONDUCTORES'!CJ265="X",1,0)</f>
        <v>0</v>
      </c>
      <c r="CC265" s="15">
        <f>IF('ENCUESTA CONDUCTORES'!CK265="X",1,0)</f>
        <v>1</v>
      </c>
      <c r="CD265" s="15">
        <f>IF('ENCUESTA CONDUCTORES'!CL265="X",1,0)</f>
        <v>0</v>
      </c>
      <c r="CE265" s="15">
        <f>IF('ENCUESTA CONDUCTORES'!CM265="X",1,0)</f>
        <v>0</v>
      </c>
      <c r="CF265" s="15">
        <f>+'ENCUESTA CONDUCTORES'!CN265</f>
        <v>0</v>
      </c>
      <c r="CG265" s="15">
        <f>IF('ENCUESTA CONDUCTORES'!CO265="X",1,0)</f>
        <v>0</v>
      </c>
      <c r="CH265" s="15" t="str">
        <f>+'ENCUESTA CONDUCTORES'!CP265</f>
        <v>NO SABE</v>
      </c>
      <c r="CI265" s="15" t="str">
        <f>+'ENCUESTA CONDUCTORES'!CQ265</f>
        <v>PUBLICIDAD</v>
      </c>
      <c r="CJ265" s="15">
        <f>IF('ENCUESTA CONDUCTORES'!CR265="X",1,0)</f>
        <v>0</v>
      </c>
      <c r="CK265" s="15">
        <f>IF('ENCUESTA CONDUCTORES'!CS265="X",1,0)</f>
        <v>1</v>
      </c>
      <c r="CL265" s="15">
        <f>IF('ENCUESTA CONDUCTORES'!CT265="X",1,0)</f>
        <v>1</v>
      </c>
      <c r="CM265" s="15">
        <f>+'ENCUESTA CONDUCTORES'!CU265</f>
        <v>0</v>
      </c>
      <c r="CN265" s="15">
        <f>IF('ENCUESTA CONDUCTORES'!CV265="X",1,0)</f>
        <v>1</v>
      </c>
      <c r="CO265" s="15" t="str">
        <f>+'ENCUESTA CONDUCTORES'!CW265</f>
        <v>NO TIENE TIEMPO</v>
      </c>
      <c r="CP265" s="15">
        <f>IF('ENCUESTA CONDUCTORES'!CX265="X",1,0)</f>
        <v>0</v>
      </c>
      <c r="CQ265" s="15">
        <f>IF('ENCUESTA CONDUCTORES'!CY265="X",1,0)</f>
        <v>0</v>
      </c>
      <c r="CR265" s="3">
        <f>+'ENCUESTA CONDUCTORES'!CZ265</f>
        <v>0</v>
      </c>
      <c r="CS265" s="49">
        <f>+'ENCUESTA CONDUCTORES'!DA265</f>
        <v>0</v>
      </c>
    </row>
    <row r="266" spans="2:97" x14ac:dyDescent="0.25">
      <c r="B266" s="14" t="str">
        <f>+'ENCUESTA CONDUCTORES'!D266</f>
        <v>C-277</v>
      </c>
      <c r="C266" s="15">
        <f>IF('ENCUESTA CONDUCTORES'!E266="X",1,0)</f>
        <v>0</v>
      </c>
      <c r="D266" s="15">
        <f>IF('ENCUESTA CONDUCTORES'!F266="X",1,0)</f>
        <v>0</v>
      </c>
      <c r="E266" s="15">
        <f>IF('ENCUESTA CONDUCTORES'!G266="X",1,0)</f>
        <v>1</v>
      </c>
      <c r="F266" s="15">
        <f>IF('ENCUESTA CONDUCTORES'!H266="X",1,0)</f>
        <v>0</v>
      </c>
      <c r="G266" s="15">
        <f>+'ENCUESTA CONDUCTORES'!I266</f>
        <v>28</v>
      </c>
      <c r="H266" s="15" t="str">
        <f>+'ENCUESTA CONDUCTORES'!J266</f>
        <v>M</v>
      </c>
      <c r="I266" s="15" t="str">
        <f>+'ENCUESTA CONDUCTORES'!K266</f>
        <v>SECUNDARIA</v>
      </c>
      <c r="J266" s="15" t="str">
        <f>+'ENCUESTA CONDUCTORES'!L266</f>
        <v>CHALCO, EDO. MEX.</v>
      </c>
      <c r="K266" s="15" t="str">
        <f>+'ENCUESTA CONDUCTORES'!M266</f>
        <v>CHALCO</v>
      </c>
      <c r="L266" s="15" t="str">
        <f>+'ENCUESTA CONDUCTORES'!N266</f>
        <v>EDO. MEX.</v>
      </c>
      <c r="M266" s="15">
        <f>+'ENCUESTA CONDUCTORES'!O266</f>
        <v>5</v>
      </c>
      <c r="N266" s="15">
        <f>IF('ENCUESTA CONDUCTORES'!P266="X",1,0)</f>
        <v>1</v>
      </c>
      <c r="O266" s="15">
        <f>IF('ENCUESTA CONDUCTORES'!Q266="X",1,0)</f>
        <v>0</v>
      </c>
      <c r="P266" s="15">
        <f>IF('ENCUESTA CONDUCTORES'!R266="X",1,0)</f>
        <v>0</v>
      </c>
      <c r="Q266" s="15">
        <f>IF('ENCUESTA CONDUCTORES'!S266="X",1,0)</f>
        <v>0</v>
      </c>
      <c r="R266" s="15">
        <f>IF('ENCUESTA CONDUCTORES'!T266="X",1,0)</f>
        <v>0</v>
      </c>
      <c r="S266" s="15">
        <f>IF('ENCUESTA CONDUCTORES'!U266="X",1,0)</f>
        <v>1</v>
      </c>
      <c r="T266" s="15">
        <f>IF('ENCUESTA CONDUCTORES'!V266="X",1,0)</f>
        <v>0</v>
      </c>
      <c r="U266" s="15">
        <f>IF('ENCUESTA CONDUCTORES'!W266="X",1,0)</f>
        <v>0</v>
      </c>
      <c r="V266" s="15">
        <f>IF('ENCUESTA CONDUCTORES'!X266="X",1,0)</f>
        <v>0</v>
      </c>
      <c r="W266" s="15">
        <f>IF('ENCUESTA CONDUCTORES'!Y266="X",1,0)</f>
        <v>0</v>
      </c>
      <c r="X266" s="15">
        <f>IF('ENCUESTA CONDUCTORES'!Z266="X",1,0)</f>
        <v>0</v>
      </c>
      <c r="Y266" s="15">
        <f>+'ENCUESTA CONDUCTORES'!AG266</f>
        <v>0</v>
      </c>
      <c r="Z266" s="15">
        <f>+'ENCUESTA CONDUCTORES'!AH266</f>
        <v>1998</v>
      </c>
      <c r="AA266" s="1">
        <f>+'ENCUESTA CONDUCTORES'!AI266</f>
        <v>950000</v>
      </c>
      <c r="AB266" s="15">
        <f>IF('ENCUESTA CONDUCTORES'!AJ266="X",1,0)</f>
        <v>0</v>
      </c>
      <c r="AC266" s="15">
        <f>IF('ENCUESTA CONDUCTORES'!AK266="X",1,0)</f>
        <v>0</v>
      </c>
      <c r="AD266" s="15">
        <f>IF('ENCUESTA CONDUCTORES'!AL266="X",1,0)</f>
        <v>1</v>
      </c>
      <c r="AE266" s="15">
        <f>IF('ENCUESTA CONDUCTORES'!AM266="X",1,0)</f>
        <v>0</v>
      </c>
      <c r="AF266" s="15">
        <f>IF('ENCUESTA CONDUCTORES'!AN266="X",1,0)</f>
        <v>0</v>
      </c>
      <c r="AG266" s="15">
        <f>IF('ENCUESTA CONDUCTORES'!AO266="X",1,0)</f>
        <v>0</v>
      </c>
      <c r="AH266" s="15">
        <f>IF('ENCUESTA CONDUCTORES'!AP266="X",1,0)</f>
        <v>1</v>
      </c>
      <c r="AI266" s="15">
        <f>IF('ENCUESTA CONDUCTORES'!AQ266="X",1,0)</f>
        <v>0</v>
      </c>
      <c r="AJ266" s="15">
        <f>IF('ENCUESTA CONDUCTORES'!AR266="X",1,0)</f>
        <v>0</v>
      </c>
      <c r="AK266" s="15">
        <f>+'ENCUESTA CONDUCTORES'!AS266</f>
        <v>0</v>
      </c>
      <c r="AL266" s="15" t="str">
        <f>+'ENCUESTA CONDUCTORES'!AT266</f>
        <v>INTERNATIONAL</v>
      </c>
      <c r="AM266" s="1">
        <f>+'ENCUESTA CONDUCTORES'!AU266</f>
        <v>2000</v>
      </c>
      <c r="AN266" s="48">
        <f>+'ENCUESTA CONDUCTORES'!AV266</f>
        <v>0.5</v>
      </c>
      <c r="AO266" s="15">
        <f>+'ENCUESTA CONDUCTORES'!AW266</f>
        <v>2.9</v>
      </c>
      <c r="AP266" s="15">
        <f>+'ENCUESTA CONDUCTORES'!AX266</f>
        <v>2.2999999999999998</v>
      </c>
      <c r="AQ266" s="15">
        <f>+'ENCUESTA CONDUCTORES'!AY266</f>
        <v>1</v>
      </c>
      <c r="AR266" s="15">
        <f>+'ENCUESTA CONDUCTORES'!AZ266</f>
        <v>400</v>
      </c>
      <c r="AS266" s="15">
        <f>+'ENCUESTA CONDUCTORES'!BA266</f>
        <v>1100</v>
      </c>
      <c r="AT266" s="15">
        <f>IF('ENCUESTA CONDUCTORES'!BB266="X",1,0)</f>
        <v>0</v>
      </c>
      <c r="AU266" s="15">
        <f>IF('ENCUESTA CONDUCTORES'!BC266="X",1,0)</f>
        <v>0</v>
      </c>
      <c r="AV266" s="15">
        <f>IF('ENCUESTA CONDUCTORES'!BD266="X",1,0)</f>
        <v>0</v>
      </c>
      <c r="AW266" s="1">
        <f>+'ENCUESTA CONDUCTORES'!BE266</f>
        <v>18000</v>
      </c>
      <c r="AX266" s="1">
        <f>+'ENCUESTA CONDUCTORES'!BF266</f>
        <v>20000</v>
      </c>
      <c r="AY266" s="1">
        <f>+'ENCUESTA CONDUCTORES'!BG266</f>
        <v>30000</v>
      </c>
      <c r="AZ266" s="1">
        <f>+'ENCUESTA CONDUCTORES'!BH266</f>
        <v>24000</v>
      </c>
      <c r="BA266" s="1">
        <f>+'ENCUESTA CONDUCTORES'!BI266</f>
        <v>30000</v>
      </c>
      <c r="BB266" s="15">
        <f>IF('ENCUESTA CONDUCTORES'!BJ266="X",1,0)</f>
        <v>0</v>
      </c>
      <c r="BC266" s="15">
        <f>IF('ENCUESTA CONDUCTORES'!BK266="X",1,0)</f>
        <v>0</v>
      </c>
      <c r="BD266" s="15">
        <f>IF('ENCUESTA CONDUCTORES'!BL266="X",1,0)</f>
        <v>0</v>
      </c>
      <c r="BE266" s="15">
        <f>IF('ENCUESTA CONDUCTORES'!BM266="X",1,0)</f>
        <v>1</v>
      </c>
      <c r="BF266" s="15">
        <f>IF('ENCUESTA CONDUCTORES'!BN266="X",1,0)</f>
        <v>0</v>
      </c>
      <c r="BG266" s="15">
        <f>IF('ENCUESTA CONDUCTORES'!BO266="X",1,0)</f>
        <v>0</v>
      </c>
      <c r="BH266" s="15">
        <f>IF('ENCUESTA CONDUCTORES'!BP266="X",1,0)</f>
        <v>0</v>
      </c>
      <c r="BI266" s="15">
        <f>IF('ENCUESTA CONDUCTORES'!BQ266="X",1,0)</f>
        <v>0</v>
      </c>
      <c r="BJ266" s="15">
        <f>IF('ENCUESTA CONDUCTORES'!BR266="X",1,0)</f>
        <v>0</v>
      </c>
      <c r="BK266" s="15">
        <f>+'ENCUESTA CONDUCTORES'!BS266</f>
        <v>0</v>
      </c>
      <c r="BL266" s="15">
        <f>IF('ENCUESTA CONDUCTORES'!BT266="X",1,0)</f>
        <v>0</v>
      </c>
      <c r="BM266" s="15">
        <f>IF('ENCUESTA CONDUCTORES'!BU266="X",1,0)</f>
        <v>0</v>
      </c>
      <c r="BN266" s="15">
        <f>IF('ENCUESTA CONDUCTORES'!BV266="X",1,0)</f>
        <v>1</v>
      </c>
      <c r="BO266" s="15">
        <f>IF('ENCUESTA CONDUCTORES'!BW266="X",1,0)</f>
        <v>0</v>
      </c>
      <c r="BP266" s="15">
        <f>+'ENCUESTA CONDUCTORES'!BX266</f>
        <v>0</v>
      </c>
      <c r="BQ266" s="15">
        <f>+'ENCUESTA CONDUCTORES'!BY266</f>
        <v>0</v>
      </c>
      <c r="BR266" s="15">
        <f>+'ENCUESTA CONDUCTORES'!BZ266</f>
        <v>0</v>
      </c>
      <c r="BS266" s="15" t="str">
        <f>+'ENCUESTA CONDUCTORES'!CA266</f>
        <v>ES LOCAL</v>
      </c>
      <c r="BT266" s="15">
        <f>IF('ENCUESTA CONDUCTORES'!CB266="X",1,0)</f>
        <v>1</v>
      </c>
      <c r="BU266" s="15">
        <f>IF('ENCUESTA CONDUCTORES'!CC266="X",1,0)</f>
        <v>0</v>
      </c>
      <c r="BV266" s="15">
        <f>IF('ENCUESTA CONDUCTORES'!CD266="X",1,0)</f>
        <v>0</v>
      </c>
      <c r="BW266" s="15">
        <f>IF('ENCUESTA CONDUCTORES'!CE266="X",1,0)</f>
        <v>0</v>
      </c>
      <c r="BX266" s="15">
        <f>IF('ENCUESTA CONDUCTORES'!CF266="X",1,0)</f>
        <v>0</v>
      </c>
      <c r="BY266" s="15">
        <f>IF('ENCUESTA CONDUCTORES'!CG266="X",1,0)</f>
        <v>0</v>
      </c>
      <c r="BZ266" s="15">
        <f>IF('ENCUESTA CONDUCTORES'!CH266="X",1,0)</f>
        <v>0</v>
      </c>
      <c r="CA266" s="15">
        <f>IF('ENCUESTA CONDUCTORES'!CI266="X",1,0)</f>
        <v>0</v>
      </c>
      <c r="CB266" s="15">
        <f>IF('ENCUESTA CONDUCTORES'!CJ266="X",1,0)</f>
        <v>0</v>
      </c>
      <c r="CC266" s="15">
        <f>IF('ENCUESTA CONDUCTORES'!CK266="X",1,0)</f>
        <v>1</v>
      </c>
      <c r="CD266" s="15">
        <f>IF('ENCUESTA CONDUCTORES'!CL266="X",1,0)</f>
        <v>0</v>
      </c>
      <c r="CE266" s="15">
        <f>IF('ENCUESTA CONDUCTORES'!CM266="X",1,0)</f>
        <v>0</v>
      </c>
      <c r="CF266" s="15">
        <f>+'ENCUESTA CONDUCTORES'!CN266</f>
        <v>0</v>
      </c>
      <c r="CG266" s="15">
        <f>IF('ENCUESTA CONDUCTORES'!CO266="X",1,0)</f>
        <v>0</v>
      </c>
      <c r="CH266" s="15" t="str">
        <f>+'ENCUESTA CONDUCTORES'!CP266</f>
        <v>NO SABE</v>
      </c>
      <c r="CI266" s="15" t="str">
        <f>+'ENCUESTA CONDUCTORES'!CQ266</f>
        <v>MAYOR INFORMACION</v>
      </c>
      <c r="CJ266" s="15">
        <f>IF('ENCUESTA CONDUCTORES'!CR266="X",1,0)</f>
        <v>1</v>
      </c>
      <c r="CK266" s="15">
        <f>IF('ENCUESTA CONDUCTORES'!CS266="X",1,0)</f>
        <v>0</v>
      </c>
      <c r="CL266" s="15">
        <f>IF('ENCUESTA CONDUCTORES'!CT266="X",1,0)</f>
        <v>0</v>
      </c>
      <c r="CM266" s="15">
        <f>+'ENCUESTA CONDUCTORES'!CU266</f>
        <v>0</v>
      </c>
      <c r="CN266" s="15">
        <f>IF('ENCUESTA CONDUCTORES'!CV266="X",1,0)</f>
        <v>0</v>
      </c>
      <c r="CO266" s="15">
        <f>+'ENCUESTA CONDUCTORES'!CW266</f>
        <v>0</v>
      </c>
      <c r="CP266" s="15">
        <f>IF('ENCUESTA CONDUCTORES'!CX266="X",1,0)</f>
        <v>1</v>
      </c>
      <c r="CQ266" s="15">
        <f>IF('ENCUESTA CONDUCTORES'!CY266="X",1,0)</f>
        <v>1</v>
      </c>
      <c r="CR266" s="3">
        <f>+'ENCUESTA CONDUCTORES'!CZ266</f>
        <v>0</v>
      </c>
      <c r="CS266" s="49">
        <f>+'ENCUESTA CONDUCTORES'!DA266</f>
        <v>0</v>
      </c>
    </row>
    <row r="267" spans="2:97" x14ac:dyDescent="0.25">
      <c r="B267" s="14" t="str">
        <f>+'ENCUESTA CONDUCTORES'!D267</f>
        <v>C-278</v>
      </c>
      <c r="C267" s="15">
        <f>IF('ENCUESTA CONDUCTORES'!E267="X",1,0)</f>
        <v>1</v>
      </c>
      <c r="D267" s="15">
        <f>IF('ENCUESTA CONDUCTORES'!F267="X",1,0)</f>
        <v>0</v>
      </c>
      <c r="E267" s="15">
        <f>IF('ENCUESTA CONDUCTORES'!G267="X",1,0)</f>
        <v>0</v>
      </c>
      <c r="F267" s="15">
        <f>IF('ENCUESTA CONDUCTORES'!H267="X",1,0)</f>
        <v>0</v>
      </c>
      <c r="G267" s="15">
        <f>+'ENCUESTA CONDUCTORES'!I267</f>
        <v>23</v>
      </c>
      <c r="H267" s="15" t="str">
        <f>+'ENCUESTA CONDUCTORES'!J267</f>
        <v>M</v>
      </c>
      <c r="I267" s="15" t="str">
        <f>+'ENCUESTA CONDUCTORES'!K267</f>
        <v>BACHILLERATO</v>
      </c>
      <c r="J267" s="15" t="str">
        <f>+'ENCUESTA CONDUCTORES'!L267</f>
        <v>COACALCO, EDO. MEX</v>
      </c>
      <c r="K267" s="15" t="str">
        <f>+'ENCUESTA CONDUCTORES'!M267</f>
        <v>COACALCO</v>
      </c>
      <c r="L267" s="15" t="str">
        <f>+'ENCUESTA CONDUCTORES'!N267</f>
        <v>EDO. MEX.</v>
      </c>
      <c r="M267" s="15">
        <f>+'ENCUESTA CONDUCTORES'!O267</f>
        <v>3</v>
      </c>
      <c r="N267" s="15">
        <f>IF('ENCUESTA CONDUCTORES'!P267="X",1,0)</f>
        <v>0</v>
      </c>
      <c r="O267" s="15">
        <f>IF('ENCUESTA CONDUCTORES'!Q267="X",1,0)</f>
        <v>0</v>
      </c>
      <c r="P267" s="15">
        <f>IF('ENCUESTA CONDUCTORES'!R267="X",1,0)</f>
        <v>0</v>
      </c>
      <c r="Q267" s="15">
        <f>IF('ENCUESTA CONDUCTORES'!S267="X",1,0)</f>
        <v>1</v>
      </c>
      <c r="R267" s="15">
        <f>IF('ENCUESTA CONDUCTORES'!T267="X",1,0)</f>
        <v>0</v>
      </c>
      <c r="S267" s="15">
        <f>IF('ENCUESTA CONDUCTORES'!U267="X",1,0)</f>
        <v>0</v>
      </c>
      <c r="T267" s="15">
        <f>IF('ENCUESTA CONDUCTORES'!V267="X",1,0)</f>
        <v>0</v>
      </c>
      <c r="U267" s="15">
        <f>IF('ENCUESTA CONDUCTORES'!W267="X",1,0)</f>
        <v>0</v>
      </c>
      <c r="V267" s="15">
        <f>IF('ENCUESTA CONDUCTORES'!X267="X",1,0)</f>
        <v>1</v>
      </c>
      <c r="W267" s="15">
        <f>IF('ENCUESTA CONDUCTORES'!Y267="X",1,0)</f>
        <v>0</v>
      </c>
      <c r="X267" s="15">
        <f>IF('ENCUESTA CONDUCTORES'!Z267="X",1,0)</f>
        <v>0</v>
      </c>
      <c r="Y267" s="15">
        <f>+'ENCUESTA CONDUCTORES'!AG267</f>
        <v>0</v>
      </c>
      <c r="Z267" s="15">
        <f>+'ENCUESTA CONDUCTORES'!AH267</f>
        <v>2009</v>
      </c>
      <c r="AA267" s="1">
        <f>+'ENCUESTA CONDUCTORES'!AI267</f>
        <v>240000</v>
      </c>
      <c r="AB267" s="15">
        <f>IF('ENCUESTA CONDUCTORES'!AJ267="X",1,0)</f>
        <v>0</v>
      </c>
      <c r="AC267" s="15">
        <f>IF('ENCUESTA CONDUCTORES'!AK267="X",1,0)</f>
        <v>0</v>
      </c>
      <c r="AD267" s="15">
        <f>IF('ENCUESTA CONDUCTORES'!AL267="X",1,0)</f>
        <v>1</v>
      </c>
      <c r="AE267" s="15">
        <f>IF('ENCUESTA CONDUCTORES'!AM267="X",1,0)</f>
        <v>0</v>
      </c>
      <c r="AF267" s="15">
        <f>IF('ENCUESTA CONDUCTORES'!AN267="X",1,0)</f>
        <v>0</v>
      </c>
      <c r="AG267" s="15">
        <f>IF('ENCUESTA CONDUCTORES'!AO267="X",1,0)</f>
        <v>0</v>
      </c>
      <c r="AH267" s="15">
        <f>IF('ENCUESTA CONDUCTORES'!AP267="X",1,0)</f>
        <v>1</v>
      </c>
      <c r="AI267" s="15">
        <f>IF('ENCUESTA CONDUCTORES'!AQ267="X",1,0)</f>
        <v>0</v>
      </c>
      <c r="AJ267" s="15">
        <f>IF('ENCUESTA CONDUCTORES'!AR267="X",1,0)</f>
        <v>0</v>
      </c>
      <c r="AK267" s="15">
        <f>+'ENCUESTA CONDUCTORES'!AS267</f>
        <v>0</v>
      </c>
      <c r="AL267" s="15" t="str">
        <f>+'ENCUESTA CONDUCTORES'!AT267</f>
        <v>KENWORTH</v>
      </c>
      <c r="AM267" s="1">
        <f>+'ENCUESTA CONDUCTORES'!AU267</f>
        <v>5000</v>
      </c>
      <c r="AN267" s="48">
        <f>+'ENCUESTA CONDUCTORES'!AV267</f>
        <v>0.2</v>
      </c>
      <c r="AO267" s="15">
        <f>+'ENCUESTA CONDUCTORES'!AW267</f>
        <v>2.8</v>
      </c>
      <c r="AP267" s="15">
        <f>+'ENCUESTA CONDUCTORES'!AX267</f>
        <v>2.2000000000000002</v>
      </c>
      <c r="AQ267" s="15">
        <f>+'ENCUESTA CONDUCTORES'!AY267</f>
        <v>3</v>
      </c>
      <c r="AR267" s="15">
        <f>+'ENCUESTA CONDUCTORES'!AZ267</f>
        <v>1320</v>
      </c>
      <c r="AS267" s="15">
        <f>+'ENCUESTA CONDUCTORES'!BA267</f>
        <v>3300</v>
      </c>
      <c r="AT267" s="15">
        <f>IF('ENCUESTA CONDUCTORES'!BB267="X",1,0)</f>
        <v>1</v>
      </c>
      <c r="AU267" s="15">
        <f>IF('ENCUESTA CONDUCTORES'!BC267="X",1,0)</f>
        <v>1</v>
      </c>
      <c r="AV267" s="15">
        <f>IF('ENCUESTA CONDUCTORES'!BD267="X",1,0)</f>
        <v>1</v>
      </c>
      <c r="AW267" s="1">
        <f>+'ENCUESTA CONDUCTORES'!BE267</f>
        <v>20000</v>
      </c>
      <c r="AX267" s="1">
        <f>+'ENCUESTA CONDUCTORES'!BF267</f>
        <v>12000</v>
      </c>
      <c r="AY267" s="1">
        <f>+'ENCUESTA CONDUCTORES'!BG267</f>
        <v>12000</v>
      </c>
      <c r="AZ267" s="1">
        <f>+'ENCUESTA CONDUCTORES'!BH267</f>
        <v>60000</v>
      </c>
      <c r="BA267" s="1">
        <f>+'ENCUESTA CONDUCTORES'!BI267</f>
        <v>20000</v>
      </c>
      <c r="BB267" s="15">
        <f>IF('ENCUESTA CONDUCTORES'!BJ267="X",1,0)</f>
        <v>1</v>
      </c>
      <c r="BC267" s="15">
        <f>IF('ENCUESTA CONDUCTORES'!BK267="X",1,0)</f>
        <v>0</v>
      </c>
      <c r="BD267" s="15">
        <f>IF('ENCUESTA CONDUCTORES'!BL267="X",1,0)</f>
        <v>0</v>
      </c>
      <c r="BE267" s="15">
        <f>IF('ENCUESTA CONDUCTORES'!BM267="X",1,0)</f>
        <v>0</v>
      </c>
      <c r="BF267" s="15">
        <f>IF('ENCUESTA CONDUCTORES'!BN267="X",1,0)</f>
        <v>0</v>
      </c>
      <c r="BG267" s="15">
        <f>IF('ENCUESTA CONDUCTORES'!BO267="X",1,0)</f>
        <v>0</v>
      </c>
      <c r="BH267" s="15">
        <f>IF('ENCUESTA CONDUCTORES'!BP267="X",1,0)</f>
        <v>0</v>
      </c>
      <c r="BI267" s="15">
        <f>IF('ENCUESTA CONDUCTORES'!BQ267="X",1,0)</f>
        <v>1</v>
      </c>
      <c r="BJ267" s="15">
        <f>IF('ENCUESTA CONDUCTORES'!BR267="X",1,0)</f>
        <v>0</v>
      </c>
      <c r="BK267" s="15">
        <f>+'ENCUESTA CONDUCTORES'!BS267</f>
        <v>0</v>
      </c>
      <c r="BL267" s="15">
        <f>IF('ENCUESTA CONDUCTORES'!BT267="X",1,0)</f>
        <v>0</v>
      </c>
      <c r="BM267" s="15">
        <f>IF('ENCUESTA CONDUCTORES'!BU267="X",1,0)</f>
        <v>1</v>
      </c>
      <c r="BN267" s="15">
        <f>IF('ENCUESTA CONDUCTORES'!BV267="X",1,0)</f>
        <v>0</v>
      </c>
      <c r="BO267" s="15">
        <f>IF('ENCUESTA CONDUCTORES'!BW267="X",1,0)</f>
        <v>0</v>
      </c>
      <c r="BP267" s="15">
        <f>+'ENCUESTA CONDUCTORES'!BX267</f>
        <v>2</v>
      </c>
      <c r="BQ267" s="15">
        <f>+'ENCUESTA CONDUCTORES'!BY267</f>
        <v>3</v>
      </c>
      <c r="BR267" s="15">
        <f>+'ENCUESTA CONDUCTORES'!BZ267</f>
        <v>4</v>
      </c>
      <c r="BS267" s="15" t="str">
        <f>+'ENCUESTA CONDUCTORES'!CA267</f>
        <v>SEGURIDAD</v>
      </c>
      <c r="BT267" s="15">
        <f>IF('ENCUESTA CONDUCTORES'!CB267="X",1,0)</f>
        <v>0</v>
      </c>
      <c r="BU267" s="15">
        <f>IF('ENCUESTA CONDUCTORES'!CC267="X",1,0)</f>
        <v>1</v>
      </c>
      <c r="BV267" s="15">
        <f>IF('ENCUESTA CONDUCTORES'!CD267="X",1,0)</f>
        <v>0</v>
      </c>
      <c r="BW267" s="15">
        <f>IF('ENCUESTA CONDUCTORES'!CE267="X",1,0)</f>
        <v>1</v>
      </c>
      <c r="BX267" s="15">
        <f>IF('ENCUESTA CONDUCTORES'!CF267="X",1,0)</f>
        <v>0</v>
      </c>
      <c r="BY267" s="15">
        <f>IF('ENCUESTA CONDUCTORES'!CG267="X",1,0)</f>
        <v>1</v>
      </c>
      <c r="BZ267" s="15">
        <f>IF('ENCUESTA CONDUCTORES'!CH267="X",1,0)</f>
        <v>1</v>
      </c>
      <c r="CA267" s="15">
        <f>IF('ENCUESTA CONDUCTORES'!CI267="X",1,0)</f>
        <v>1</v>
      </c>
      <c r="CB267" s="15">
        <f>IF('ENCUESTA CONDUCTORES'!CJ267="X",1,0)</f>
        <v>0</v>
      </c>
      <c r="CC267" s="15">
        <f>IF('ENCUESTA CONDUCTORES'!CK267="X",1,0)</f>
        <v>0</v>
      </c>
      <c r="CD267" s="15">
        <f>IF('ENCUESTA CONDUCTORES'!CL267="X",1,0)</f>
        <v>1</v>
      </c>
      <c r="CE267" s="15">
        <f>IF('ENCUESTA CONDUCTORES'!CM267="X",1,0)</f>
        <v>1</v>
      </c>
      <c r="CF267" s="15" t="str">
        <f>+'ENCUESTA CONDUCTORES'!CN267</f>
        <v>POR QUE EL DUEÑO NO QUIERE</v>
      </c>
      <c r="CG267" s="15">
        <f>IF('ENCUESTA CONDUCTORES'!CO267="X",1,0)</f>
        <v>0</v>
      </c>
      <c r="CH267" s="15" t="str">
        <f>+'ENCUESTA CONDUCTORES'!CP267</f>
        <v>ES BUENA IDEA</v>
      </c>
      <c r="CI267" s="15" t="str">
        <f>+'ENCUESTA CONDUCTORES'!CQ267</f>
        <v>HACERLO OBLIGATORIO</v>
      </c>
      <c r="CJ267" s="15">
        <f>IF('ENCUESTA CONDUCTORES'!CR267="X",1,0)</f>
        <v>0</v>
      </c>
      <c r="CK267" s="15">
        <f>IF('ENCUESTA CONDUCTORES'!CS267="X",1,0)</f>
        <v>1</v>
      </c>
      <c r="CL267" s="15">
        <f>IF('ENCUESTA CONDUCTORES'!CT267="X",1,0)</f>
        <v>1</v>
      </c>
      <c r="CM267" s="15">
        <f>+'ENCUESTA CONDUCTORES'!CU267</f>
        <v>0</v>
      </c>
      <c r="CN267" s="15">
        <f>IF('ENCUESTA CONDUCTORES'!CV267="X",1,0)</f>
        <v>1</v>
      </c>
      <c r="CO267" s="15" t="str">
        <f>+'ENCUESTA CONDUCTORES'!CW267</f>
        <v>NO TIENE TIEMPO</v>
      </c>
      <c r="CP267" s="15">
        <f>IF('ENCUESTA CONDUCTORES'!CX267="X",1,0)</f>
        <v>0</v>
      </c>
      <c r="CQ267" s="15">
        <f>IF('ENCUESTA CONDUCTORES'!CY267="X",1,0)</f>
        <v>0</v>
      </c>
      <c r="CR267" s="3">
        <f>+'ENCUESTA CONDUCTORES'!CZ267</f>
        <v>0</v>
      </c>
      <c r="CS267" s="49">
        <f>+'ENCUESTA CONDUCTORES'!DA267</f>
        <v>0</v>
      </c>
    </row>
    <row r="268" spans="2:97" x14ac:dyDescent="0.25">
      <c r="B268" s="14" t="str">
        <f>+'ENCUESTA CONDUCTORES'!D268</f>
        <v>C-279</v>
      </c>
      <c r="C268" s="15">
        <f>IF('ENCUESTA CONDUCTORES'!E268="X",1,0)</f>
        <v>0</v>
      </c>
      <c r="D268" s="15">
        <f>IF('ENCUESTA CONDUCTORES'!F268="X",1,0)</f>
        <v>0</v>
      </c>
      <c r="E268" s="15">
        <f>IF('ENCUESTA CONDUCTORES'!G268="X",1,0)</f>
        <v>1</v>
      </c>
      <c r="F268" s="15">
        <f>IF('ENCUESTA CONDUCTORES'!H268="X",1,0)</f>
        <v>0</v>
      </c>
      <c r="G268" s="15">
        <f>+'ENCUESTA CONDUCTORES'!I268</f>
        <v>68</v>
      </c>
      <c r="H268" s="15" t="str">
        <f>+'ENCUESTA CONDUCTORES'!J268</f>
        <v>M</v>
      </c>
      <c r="I268" s="15" t="str">
        <f>+'ENCUESTA CONDUCTORES'!K268</f>
        <v>PRIMARIA</v>
      </c>
      <c r="J268" s="15" t="str">
        <f>+'ENCUESTA CONDUCTORES'!L268</f>
        <v>XOCHIMILCO, D.F.</v>
      </c>
      <c r="K268" s="15" t="str">
        <f>+'ENCUESTA CONDUCTORES'!M268</f>
        <v>XOCHIMILCO</v>
      </c>
      <c r="L268" s="15" t="str">
        <f>+'ENCUESTA CONDUCTORES'!N268</f>
        <v>D.F.</v>
      </c>
      <c r="M268" s="15">
        <f>+'ENCUESTA CONDUCTORES'!O268</f>
        <v>38</v>
      </c>
      <c r="N268" s="15">
        <f>IF('ENCUESTA CONDUCTORES'!P268="X",1,0)</f>
        <v>0</v>
      </c>
      <c r="O268" s="15">
        <f>IF('ENCUESTA CONDUCTORES'!Q268="X",1,0)</f>
        <v>0</v>
      </c>
      <c r="P268" s="15">
        <f>IF('ENCUESTA CONDUCTORES'!R268="X",1,0)</f>
        <v>0</v>
      </c>
      <c r="Q268" s="15">
        <f>IF('ENCUESTA CONDUCTORES'!S268="X",1,0)</f>
        <v>1</v>
      </c>
      <c r="R268" s="15">
        <f>IF('ENCUESTA CONDUCTORES'!T268="X",1,0)</f>
        <v>0</v>
      </c>
      <c r="S268" s="15">
        <f>IF('ENCUESTA CONDUCTORES'!U268="X",1,0)</f>
        <v>0</v>
      </c>
      <c r="T268" s="15">
        <f>IF('ENCUESTA CONDUCTORES'!V268="X",1,0)</f>
        <v>0</v>
      </c>
      <c r="U268" s="15">
        <f>IF('ENCUESTA CONDUCTORES'!W268="X",1,0)</f>
        <v>0</v>
      </c>
      <c r="V268" s="15">
        <f>IF('ENCUESTA CONDUCTORES'!X268="X",1,0)</f>
        <v>0</v>
      </c>
      <c r="W268" s="15">
        <f>IF('ENCUESTA CONDUCTORES'!Y268="X",1,0)</f>
        <v>0</v>
      </c>
      <c r="X268" s="15">
        <f>IF('ENCUESTA CONDUCTORES'!Z268="X",1,0)</f>
        <v>0</v>
      </c>
      <c r="Y268" s="15">
        <f>+'ENCUESTA CONDUCTORES'!AG268</f>
        <v>0</v>
      </c>
      <c r="Z268" s="15">
        <f>+'ENCUESTA CONDUCTORES'!AH268</f>
        <v>1981</v>
      </c>
      <c r="AA268" s="1" t="str">
        <f>+'ENCUESTA CONDUCTORES'!AI268</f>
        <v>DAÑADO</v>
      </c>
      <c r="AB268" s="15">
        <f>IF('ENCUESTA CONDUCTORES'!AJ268="X",1,0)</f>
        <v>0</v>
      </c>
      <c r="AC268" s="15">
        <f>IF('ENCUESTA CONDUCTORES'!AK268="X",1,0)</f>
        <v>0</v>
      </c>
      <c r="AD268" s="15">
        <f>IF('ENCUESTA CONDUCTORES'!AL268="X",1,0)</f>
        <v>1</v>
      </c>
      <c r="AE268" s="15">
        <f>IF('ENCUESTA CONDUCTORES'!AM268="X",1,0)</f>
        <v>0</v>
      </c>
      <c r="AF268" s="15">
        <f>IF('ENCUESTA CONDUCTORES'!AN268="X",1,0)</f>
        <v>0</v>
      </c>
      <c r="AG268" s="15">
        <f>IF('ENCUESTA CONDUCTORES'!AO268="X",1,0)</f>
        <v>0</v>
      </c>
      <c r="AH268" s="15">
        <f>IF('ENCUESTA CONDUCTORES'!AP268="X",1,0)</f>
        <v>1</v>
      </c>
      <c r="AI268" s="15">
        <f>IF('ENCUESTA CONDUCTORES'!AQ268="X",1,0)</f>
        <v>0</v>
      </c>
      <c r="AJ268" s="15">
        <f>IF('ENCUESTA CONDUCTORES'!AR268="X",1,0)</f>
        <v>0</v>
      </c>
      <c r="AK268" s="15">
        <f>+'ENCUESTA CONDUCTORES'!AS268</f>
        <v>0</v>
      </c>
      <c r="AL268" s="15" t="str">
        <f>+'ENCUESTA CONDUCTORES'!AT268</f>
        <v>CUMMINS</v>
      </c>
      <c r="AM268" s="1">
        <f>+'ENCUESTA CONDUCTORES'!AU268</f>
        <v>4000</v>
      </c>
      <c r="AN268" s="48">
        <f>+'ENCUESTA CONDUCTORES'!AV268</f>
        <v>0.5</v>
      </c>
      <c r="AO268" s="15">
        <f>+'ENCUESTA CONDUCTORES'!AW268</f>
        <v>2</v>
      </c>
      <c r="AP268" s="15">
        <f>+'ENCUESTA CONDUCTORES'!AX268</f>
        <v>1.7</v>
      </c>
      <c r="AQ268" s="15">
        <f>+'ENCUESTA CONDUCTORES'!AY268</f>
        <v>2</v>
      </c>
      <c r="AR268" s="15">
        <f>+'ENCUESTA CONDUCTORES'!AZ268</f>
        <v>1100</v>
      </c>
      <c r="AS268" s="15">
        <f>+'ENCUESTA CONDUCTORES'!BA268</f>
        <v>2000</v>
      </c>
      <c r="AT268" s="15">
        <f>IF('ENCUESTA CONDUCTORES'!BB268="X",1,0)</f>
        <v>0</v>
      </c>
      <c r="AU268" s="15">
        <f>IF('ENCUESTA CONDUCTORES'!BC268="X",1,0)</f>
        <v>1</v>
      </c>
      <c r="AV268" s="15">
        <f>IF('ENCUESTA CONDUCTORES'!BD268="X",1,0)</f>
        <v>1</v>
      </c>
      <c r="AW268" s="1">
        <f>+'ENCUESTA CONDUCTORES'!BE268</f>
        <v>24000</v>
      </c>
      <c r="AX268" s="1">
        <f>+'ENCUESTA CONDUCTORES'!BF268</f>
        <v>12000</v>
      </c>
      <c r="AY268" s="1">
        <f>+'ENCUESTA CONDUCTORES'!BG268</f>
        <v>48000</v>
      </c>
      <c r="AZ268" s="1">
        <f>+'ENCUESTA CONDUCTORES'!BH268</f>
        <v>96000</v>
      </c>
      <c r="BA268" s="1">
        <f>+'ENCUESTA CONDUCTORES'!BI268</f>
        <v>48000</v>
      </c>
      <c r="BB268" s="15">
        <f>IF('ENCUESTA CONDUCTORES'!BJ268="X",1,0)</f>
        <v>0</v>
      </c>
      <c r="BC268" s="15">
        <f>IF('ENCUESTA CONDUCTORES'!BK268="X",1,0)</f>
        <v>0</v>
      </c>
      <c r="BD268" s="15">
        <f>IF('ENCUESTA CONDUCTORES'!BL268="X",1,0)</f>
        <v>0</v>
      </c>
      <c r="BE268" s="15">
        <f>IF('ENCUESTA CONDUCTORES'!BM268="X",1,0)</f>
        <v>0</v>
      </c>
      <c r="BF268" s="15">
        <f>IF('ENCUESTA CONDUCTORES'!BN268="X",1,0)</f>
        <v>0</v>
      </c>
      <c r="BG268" s="15">
        <f>IF('ENCUESTA CONDUCTORES'!BO268="X",1,0)</f>
        <v>0</v>
      </c>
      <c r="BH268" s="15">
        <f>IF('ENCUESTA CONDUCTORES'!BP268="X",1,0)</f>
        <v>0</v>
      </c>
      <c r="BI268" s="15">
        <f>IF('ENCUESTA CONDUCTORES'!BQ268="X",1,0)</f>
        <v>0</v>
      </c>
      <c r="BJ268" s="15">
        <f>IF('ENCUESTA CONDUCTORES'!BR268="X",1,0)</f>
        <v>0</v>
      </c>
      <c r="BK268" s="15" t="str">
        <f>+'ENCUESTA CONDUCTORES'!BS268</f>
        <v>GENERAL</v>
      </c>
      <c r="BL268" s="15">
        <f>IF('ENCUESTA CONDUCTORES'!BT268="X",1,0)</f>
        <v>0</v>
      </c>
      <c r="BM268" s="15">
        <f>IF('ENCUESTA CONDUCTORES'!BU268="X",1,0)</f>
        <v>0</v>
      </c>
      <c r="BN268" s="15">
        <f>IF('ENCUESTA CONDUCTORES'!BV268="X",1,0)</f>
        <v>1</v>
      </c>
      <c r="BO268" s="15">
        <f>IF('ENCUESTA CONDUCTORES'!BW268="X",1,0)</f>
        <v>0</v>
      </c>
      <c r="BP268" s="15">
        <f>+'ENCUESTA CONDUCTORES'!BX268</f>
        <v>0</v>
      </c>
      <c r="BQ268" s="15">
        <f>+'ENCUESTA CONDUCTORES'!BY268</f>
        <v>0</v>
      </c>
      <c r="BR268" s="15">
        <f>+'ENCUESTA CONDUCTORES'!BZ268</f>
        <v>0</v>
      </c>
      <c r="BS268" s="15" t="str">
        <f>+'ENCUESTA CONDUCTORES'!CA268</f>
        <v>ES LOCAL</v>
      </c>
      <c r="BT268" s="15">
        <f>IF('ENCUESTA CONDUCTORES'!CB268="X",1,0)</f>
        <v>1</v>
      </c>
      <c r="BU268" s="15">
        <f>IF('ENCUESTA CONDUCTORES'!CC268="X",1,0)</f>
        <v>0</v>
      </c>
      <c r="BV268" s="15">
        <f>IF('ENCUESTA CONDUCTORES'!CD268="X",1,0)</f>
        <v>0</v>
      </c>
      <c r="BW268" s="15">
        <f>IF('ENCUESTA CONDUCTORES'!CE268="X",1,0)</f>
        <v>0</v>
      </c>
      <c r="BX268" s="15">
        <f>IF('ENCUESTA CONDUCTORES'!CF268="X",1,0)</f>
        <v>0</v>
      </c>
      <c r="BY268" s="15">
        <f>IF('ENCUESTA CONDUCTORES'!CG268="X",1,0)</f>
        <v>0</v>
      </c>
      <c r="BZ268" s="15">
        <f>IF('ENCUESTA CONDUCTORES'!CH268="X",1,0)</f>
        <v>0</v>
      </c>
      <c r="CA268" s="15">
        <f>IF('ENCUESTA CONDUCTORES'!CI268="X",1,0)</f>
        <v>0</v>
      </c>
      <c r="CB268" s="15">
        <f>IF('ENCUESTA CONDUCTORES'!CJ268="X",1,0)</f>
        <v>0</v>
      </c>
      <c r="CC268" s="15">
        <f>IF('ENCUESTA CONDUCTORES'!CK268="X",1,0)</f>
        <v>1</v>
      </c>
      <c r="CD268" s="15">
        <f>IF('ENCUESTA CONDUCTORES'!CL268="X",1,0)</f>
        <v>0</v>
      </c>
      <c r="CE268" s="15">
        <f>IF('ENCUESTA CONDUCTORES'!CM268="X",1,0)</f>
        <v>0</v>
      </c>
      <c r="CF268" s="15">
        <f>+'ENCUESTA CONDUCTORES'!CN268</f>
        <v>0</v>
      </c>
      <c r="CG268" s="15">
        <f>IF('ENCUESTA CONDUCTORES'!CO268="X",1,0)</f>
        <v>0</v>
      </c>
      <c r="CH268" s="15" t="str">
        <f>+'ENCUESTA CONDUCTORES'!CP268</f>
        <v>NO SABE</v>
      </c>
      <c r="CI268" s="15" t="str">
        <f>+'ENCUESTA CONDUCTORES'!CQ268</f>
        <v>PUBLICIDAD</v>
      </c>
      <c r="CJ268" s="15">
        <f>IF('ENCUESTA CONDUCTORES'!CR268="X",1,0)</f>
        <v>0</v>
      </c>
      <c r="CK268" s="15">
        <f>IF('ENCUESTA CONDUCTORES'!CS268="X",1,0)</f>
        <v>0</v>
      </c>
      <c r="CL268" s="15">
        <f>IF('ENCUESTA CONDUCTORES'!CT268="X",1,0)</f>
        <v>0</v>
      </c>
      <c r="CM268" s="15" t="str">
        <f>+'ENCUESTA CONDUCTORES'!CU268</f>
        <v>MANEJO A LA DEFENSIVA</v>
      </c>
      <c r="CN268" s="15">
        <f>IF('ENCUESTA CONDUCTORES'!CV268="X",1,0)</f>
        <v>0</v>
      </c>
      <c r="CO268" s="15">
        <f>+'ENCUESTA CONDUCTORES'!CW268</f>
        <v>0</v>
      </c>
      <c r="CP268" s="15">
        <f>IF('ENCUESTA CONDUCTORES'!CX268="X",1,0)</f>
        <v>1</v>
      </c>
      <c r="CQ268" s="15">
        <f>IF('ENCUESTA CONDUCTORES'!CY268="X",1,0)</f>
        <v>1</v>
      </c>
      <c r="CR268" s="3">
        <f>+'ENCUESTA CONDUCTORES'!CZ268</f>
        <v>0</v>
      </c>
      <c r="CS268" s="49">
        <f>+'ENCUESTA CONDUCTORES'!DA268</f>
        <v>0</v>
      </c>
    </row>
    <row r="269" spans="2:97" x14ac:dyDescent="0.25">
      <c r="B269" s="14" t="str">
        <f>+'ENCUESTA CONDUCTORES'!D269</f>
        <v>C-280</v>
      </c>
      <c r="C269" s="15">
        <f>IF('ENCUESTA CONDUCTORES'!E269="X",1,0)</f>
        <v>0</v>
      </c>
      <c r="D269" s="15">
        <f>IF('ENCUESTA CONDUCTORES'!F269="X",1,0)</f>
        <v>0</v>
      </c>
      <c r="E269" s="15">
        <f>IF('ENCUESTA CONDUCTORES'!G269="X",1,0)</f>
        <v>1</v>
      </c>
      <c r="F269" s="15">
        <f>IF('ENCUESTA CONDUCTORES'!H269="X",1,0)</f>
        <v>0</v>
      </c>
      <c r="G269" s="15">
        <f>+'ENCUESTA CONDUCTORES'!I269</f>
        <v>36</v>
      </c>
      <c r="H269" s="15" t="str">
        <f>+'ENCUESTA CONDUCTORES'!J269</f>
        <v>M</v>
      </c>
      <c r="I269" s="15" t="str">
        <f>+'ENCUESTA CONDUCTORES'!K269</f>
        <v>SECUNDARIA</v>
      </c>
      <c r="J269" s="15" t="str">
        <f>+'ENCUESTA CONDUCTORES'!L269</f>
        <v>D.F. IZTAPALAPA</v>
      </c>
      <c r="K269" s="15" t="str">
        <f>+'ENCUESTA CONDUCTORES'!M269</f>
        <v>IZTAPALAPA</v>
      </c>
      <c r="L269" s="15" t="str">
        <f>+'ENCUESTA CONDUCTORES'!N269</f>
        <v>D.F.</v>
      </c>
      <c r="M269" s="15">
        <f>+'ENCUESTA CONDUCTORES'!O269</f>
        <v>17</v>
      </c>
      <c r="N269" s="15">
        <f>IF('ENCUESTA CONDUCTORES'!P269="X",1,0)</f>
        <v>1</v>
      </c>
      <c r="O269" s="15">
        <f>IF('ENCUESTA CONDUCTORES'!Q269="X",1,0)</f>
        <v>0</v>
      </c>
      <c r="P269" s="15">
        <f>IF('ENCUESTA CONDUCTORES'!R269="X",1,0)</f>
        <v>0</v>
      </c>
      <c r="Q269" s="15">
        <f>IF('ENCUESTA CONDUCTORES'!S269="X",1,0)</f>
        <v>0</v>
      </c>
      <c r="R269" s="15">
        <f>IF('ENCUESTA CONDUCTORES'!T269="X",1,0)</f>
        <v>0</v>
      </c>
      <c r="S269" s="15">
        <f>IF('ENCUESTA CONDUCTORES'!U269="X",1,0)</f>
        <v>1</v>
      </c>
      <c r="T269" s="15">
        <f>IF('ENCUESTA CONDUCTORES'!V269="X",1,0)</f>
        <v>0</v>
      </c>
      <c r="U269" s="15">
        <f>IF('ENCUESTA CONDUCTORES'!W269="X",1,0)</f>
        <v>0</v>
      </c>
      <c r="V269" s="15">
        <f>IF('ENCUESTA CONDUCTORES'!X269="X",1,0)</f>
        <v>0</v>
      </c>
      <c r="W269" s="15">
        <f>IF('ENCUESTA CONDUCTORES'!Y269="X",1,0)</f>
        <v>0</v>
      </c>
      <c r="X269" s="15">
        <f>IF('ENCUESTA CONDUCTORES'!Z269="X",1,0)</f>
        <v>0</v>
      </c>
      <c r="Y269" s="15">
        <f>+'ENCUESTA CONDUCTORES'!AG269</f>
        <v>0</v>
      </c>
      <c r="Z269" s="15">
        <f>+'ENCUESTA CONDUCTORES'!AH269</f>
        <v>1995</v>
      </c>
      <c r="AA269" s="1">
        <f>+'ENCUESTA CONDUCTORES'!AI269</f>
        <v>750000</v>
      </c>
      <c r="AB269" s="15">
        <f>IF('ENCUESTA CONDUCTORES'!AJ269="X",1,0)</f>
        <v>0</v>
      </c>
      <c r="AC269" s="15">
        <f>IF('ENCUESTA CONDUCTORES'!AK269="X",1,0)</f>
        <v>0</v>
      </c>
      <c r="AD269" s="15">
        <f>IF('ENCUESTA CONDUCTORES'!AL269="X",1,0)</f>
        <v>1</v>
      </c>
      <c r="AE269" s="15">
        <f>IF('ENCUESTA CONDUCTORES'!AM269="X",1,0)</f>
        <v>0</v>
      </c>
      <c r="AF269" s="15">
        <f>IF('ENCUESTA CONDUCTORES'!AN269="X",1,0)</f>
        <v>0</v>
      </c>
      <c r="AG269" s="15">
        <f>IF('ENCUESTA CONDUCTORES'!AO269="X",1,0)</f>
        <v>0</v>
      </c>
      <c r="AH269" s="15">
        <f>IF('ENCUESTA CONDUCTORES'!AP269="X",1,0)</f>
        <v>1</v>
      </c>
      <c r="AI269" s="15">
        <f>IF('ENCUESTA CONDUCTORES'!AQ269="X",1,0)</f>
        <v>0</v>
      </c>
      <c r="AJ269" s="15">
        <f>IF('ENCUESTA CONDUCTORES'!AR269="X",1,0)</f>
        <v>0</v>
      </c>
      <c r="AK269" s="15">
        <f>+'ENCUESTA CONDUCTORES'!AS269</f>
        <v>0</v>
      </c>
      <c r="AL269" s="15" t="str">
        <f>+'ENCUESTA CONDUCTORES'!AT269</f>
        <v>CUMMINS</v>
      </c>
      <c r="AM269" s="1">
        <f>+'ENCUESTA CONDUCTORES'!AU269</f>
        <v>3000</v>
      </c>
      <c r="AN269" s="48">
        <f>+'ENCUESTA CONDUCTORES'!AV269</f>
        <v>0.5</v>
      </c>
      <c r="AO269" s="15">
        <f>+'ENCUESTA CONDUCTORES'!AW269</f>
        <v>3</v>
      </c>
      <c r="AP269" s="15">
        <f>+'ENCUESTA CONDUCTORES'!AX269</f>
        <v>2.7</v>
      </c>
      <c r="AQ269" s="15">
        <f>+'ENCUESTA CONDUCTORES'!AY269</f>
        <v>1</v>
      </c>
      <c r="AR269" s="15">
        <f>+'ENCUESTA CONDUCTORES'!AZ269</f>
        <v>410</v>
      </c>
      <c r="AS269" s="15">
        <f>+'ENCUESTA CONDUCTORES'!BA269</f>
        <v>1200</v>
      </c>
      <c r="AT269" s="15">
        <f>IF('ENCUESTA CONDUCTORES'!BB269="X",1,0)</f>
        <v>0</v>
      </c>
      <c r="AU269" s="15">
        <f>IF('ENCUESTA CONDUCTORES'!BC269="X",1,0)</f>
        <v>1</v>
      </c>
      <c r="AV269" s="15">
        <f>IF('ENCUESTA CONDUCTORES'!BD269="X",1,0)</f>
        <v>1</v>
      </c>
      <c r="AW269" s="1">
        <f>+'ENCUESTA CONDUCTORES'!BE269</f>
        <v>11000</v>
      </c>
      <c r="AX269" s="1">
        <f>+'ENCUESTA CONDUCTORES'!BF269</f>
        <v>20000</v>
      </c>
      <c r="AY269" s="1">
        <f>+'ENCUESTA CONDUCTORES'!BG269</f>
        <v>23000</v>
      </c>
      <c r="AZ269" s="1">
        <f>+'ENCUESTA CONDUCTORES'!BH269</f>
        <v>54000</v>
      </c>
      <c r="BA269" s="1">
        <f>+'ENCUESTA CONDUCTORES'!BI269</f>
        <v>23000</v>
      </c>
      <c r="BB269" s="15">
        <f>IF('ENCUESTA CONDUCTORES'!BJ269="X",1,0)</f>
        <v>0</v>
      </c>
      <c r="BC269" s="15">
        <f>IF('ENCUESTA CONDUCTORES'!BK269="X",1,0)</f>
        <v>0</v>
      </c>
      <c r="BD269" s="15">
        <f>IF('ENCUESTA CONDUCTORES'!BL269="X",1,0)</f>
        <v>0</v>
      </c>
      <c r="BE269" s="15">
        <f>IF('ENCUESTA CONDUCTORES'!BM269="X",1,0)</f>
        <v>0</v>
      </c>
      <c r="BF269" s="15">
        <f>IF('ENCUESTA CONDUCTORES'!BN269="X",1,0)</f>
        <v>0</v>
      </c>
      <c r="BG269" s="15">
        <f>IF('ENCUESTA CONDUCTORES'!BO269="X",1,0)</f>
        <v>0</v>
      </c>
      <c r="BH269" s="15">
        <f>IF('ENCUESTA CONDUCTORES'!BP269="X",1,0)</f>
        <v>0</v>
      </c>
      <c r="BI269" s="15">
        <f>IF('ENCUESTA CONDUCTORES'!BQ269="X",1,0)</f>
        <v>0</v>
      </c>
      <c r="BJ269" s="15">
        <f>IF('ENCUESTA CONDUCTORES'!BR269="X",1,0)</f>
        <v>0</v>
      </c>
      <c r="BK269" s="15" t="str">
        <f>+'ENCUESTA CONDUCTORES'!BS269</f>
        <v>MUEBLES</v>
      </c>
      <c r="BL269" s="15">
        <f>IF('ENCUESTA CONDUCTORES'!BT269="X",1,0)</f>
        <v>0</v>
      </c>
      <c r="BM269" s="15">
        <f>IF('ENCUESTA CONDUCTORES'!BU269="X",1,0)</f>
        <v>1</v>
      </c>
      <c r="BN269" s="15">
        <f>IF('ENCUESTA CONDUCTORES'!BV269="X",1,0)</f>
        <v>0</v>
      </c>
      <c r="BO269" s="15">
        <f>IF('ENCUESTA CONDUCTORES'!BW269="X",1,0)</f>
        <v>0</v>
      </c>
      <c r="BP269" s="15">
        <f>+'ENCUESTA CONDUCTORES'!BX269</f>
        <v>1</v>
      </c>
      <c r="BQ269" s="15">
        <f>+'ENCUESTA CONDUCTORES'!BY269</f>
        <v>2</v>
      </c>
      <c r="BR269" s="15">
        <f>+'ENCUESTA CONDUCTORES'!BZ269</f>
        <v>3</v>
      </c>
      <c r="BS269" s="15">
        <f>+'ENCUESTA CONDUCTORES'!CA269</f>
        <v>0</v>
      </c>
      <c r="BT269" s="15">
        <f>IF('ENCUESTA CONDUCTORES'!CB269="X",1,0)</f>
        <v>0</v>
      </c>
      <c r="BU269" s="15">
        <f>IF('ENCUESTA CONDUCTORES'!CC269="X",1,0)</f>
        <v>1</v>
      </c>
      <c r="BV269" s="15">
        <f>IF('ENCUESTA CONDUCTORES'!CD269="X",1,0)</f>
        <v>0</v>
      </c>
      <c r="BW269" s="15">
        <f>IF('ENCUESTA CONDUCTORES'!CE269="X",1,0)</f>
        <v>0</v>
      </c>
      <c r="BX269" s="15">
        <f>IF('ENCUESTA CONDUCTORES'!CF269="X",1,0)</f>
        <v>0</v>
      </c>
      <c r="BY269" s="15">
        <f>IF('ENCUESTA CONDUCTORES'!CG269="X",1,0)</f>
        <v>0</v>
      </c>
      <c r="BZ269" s="15">
        <f>IF('ENCUESTA CONDUCTORES'!CH269="X",1,0)</f>
        <v>1</v>
      </c>
      <c r="CA269" s="15">
        <f>IF('ENCUESTA CONDUCTORES'!CI269="X",1,0)</f>
        <v>1</v>
      </c>
      <c r="CB269" s="15">
        <f>IF('ENCUESTA CONDUCTORES'!CJ269="X",1,0)</f>
        <v>0</v>
      </c>
      <c r="CC269" s="15">
        <f>IF('ENCUESTA CONDUCTORES'!CK269="X",1,0)</f>
        <v>1</v>
      </c>
      <c r="CD269" s="15">
        <f>IF('ENCUESTA CONDUCTORES'!CL269="X",1,0)</f>
        <v>0</v>
      </c>
      <c r="CE269" s="15">
        <f>IF('ENCUESTA CONDUCTORES'!CM269="X",1,0)</f>
        <v>0</v>
      </c>
      <c r="CF269" s="15">
        <f>+'ENCUESTA CONDUCTORES'!CN269</f>
        <v>0</v>
      </c>
      <c r="CG269" s="15">
        <f>IF('ENCUESTA CONDUCTORES'!CO269="X",1,0)</f>
        <v>0</v>
      </c>
      <c r="CH269" s="15" t="str">
        <f>+'ENCUESTA CONDUCTORES'!CP269</f>
        <v>NO SABE</v>
      </c>
      <c r="CI269" s="15" t="str">
        <f>+'ENCUESTA CONDUCTORES'!CQ269</f>
        <v>PUBLICIDAD</v>
      </c>
      <c r="CJ269" s="15">
        <f>IF('ENCUESTA CONDUCTORES'!CR269="X",1,0)</f>
        <v>0</v>
      </c>
      <c r="CK269" s="15">
        <f>IF('ENCUESTA CONDUCTORES'!CS269="X",1,0)</f>
        <v>0</v>
      </c>
      <c r="CL269" s="15">
        <f>IF('ENCUESTA CONDUCTORES'!CT269="X",1,0)</f>
        <v>0</v>
      </c>
      <c r="CM269" s="15" t="str">
        <f>+'ENCUESTA CONDUCTORES'!CU269</f>
        <v>MANEJO A LA DEFENSIVA</v>
      </c>
      <c r="CN269" s="15">
        <f>IF('ENCUESTA CONDUCTORES'!CV269="X",1,0)</f>
        <v>1</v>
      </c>
      <c r="CO269" s="15" t="str">
        <f>+'ENCUESTA CONDUCTORES'!CW269</f>
        <v>NO TIENE TIEMPO</v>
      </c>
      <c r="CP269" s="15">
        <f>IF('ENCUESTA CONDUCTORES'!CX269="X",1,0)</f>
        <v>0</v>
      </c>
      <c r="CQ269" s="15">
        <f>IF('ENCUESTA CONDUCTORES'!CY269="X",1,0)</f>
        <v>0</v>
      </c>
      <c r="CR269" s="3">
        <f>+'ENCUESTA CONDUCTORES'!CZ269</f>
        <v>0</v>
      </c>
      <c r="CS269" s="49">
        <f>+'ENCUESTA CONDUCTORES'!DA269</f>
        <v>0</v>
      </c>
    </row>
    <row r="270" spans="2:97" x14ac:dyDescent="0.25">
      <c r="B270" s="14" t="str">
        <f>+'ENCUESTA CONDUCTORES'!D270</f>
        <v>C-281</v>
      </c>
      <c r="C270" s="15">
        <f>IF('ENCUESTA CONDUCTORES'!E270="X",1,0)</f>
        <v>0</v>
      </c>
      <c r="D270" s="15">
        <f>IF('ENCUESTA CONDUCTORES'!F270="X",1,0)</f>
        <v>0</v>
      </c>
      <c r="E270" s="15">
        <f>IF('ENCUESTA CONDUCTORES'!G270="X",1,0)</f>
        <v>1</v>
      </c>
      <c r="F270" s="15">
        <f>IF('ENCUESTA CONDUCTORES'!H270="X",1,0)</f>
        <v>0</v>
      </c>
      <c r="G270" s="15">
        <f>+'ENCUESTA CONDUCTORES'!I270</f>
        <v>51</v>
      </c>
      <c r="H270" s="15" t="str">
        <f>+'ENCUESTA CONDUCTORES'!J270</f>
        <v>M</v>
      </c>
      <c r="I270" s="15" t="str">
        <f>+'ENCUESTA CONDUCTORES'!K270</f>
        <v>PRIMARIA</v>
      </c>
      <c r="J270" s="15" t="str">
        <f>+'ENCUESTA CONDUCTORES'!L270</f>
        <v>NEZAHUALCÓYOTL, EDO. MEX.</v>
      </c>
      <c r="K270" s="15" t="str">
        <f>+'ENCUESTA CONDUCTORES'!M270</f>
        <v>NEZAHUALCÓYOTL</v>
      </c>
      <c r="L270" s="15" t="str">
        <f>+'ENCUESTA CONDUCTORES'!N270</f>
        <v>EDO. MEX.</v>
      </c>
      <c r="M270" s="15">
        <f>+'ENCUESTA CONDUCTORES'!O270</f>
        <v>28</v>
      </c>
      <c r="N270" s="15">
        <f>IF('ENCUESTA CONDUCTORES'!P270="X",1,0)</f>
        <v>0</v>
      </c>
      <c r="O270" s="15">
        <f>IF('ENCUESTA CONDUCTORES'!Q270="X",1,0)</f>
        <v>0</v>
      </c>
      <c r="P270" s="15">
        <f>IF('ENCUESTA CONDUCTORES'!R270="X",1,0)</f>
        <v>0</v>
      </c>
      <c r="Q270" s="15">
        <f>IF('ENCUESTA CONDUCTORES'!S270="X",1,0)</f>
        <v>1</v>
      </c>
      <c r="R270" s="15">
        <f>IF('ENCUESTA CONDUCTORES'!T270="X",1,0)</f>
        <v>0</v>
      </c>
      <c r="S270" s="15">
        <f>IF('ENCUESTA CONDUCTORES'!U270="X",1,0)</f>
        <v>1</v>
      </c>
      <c r="T270" s="15">
        <f>IF('ENCUESTA CONDUCTORES'!V270="X",1,0)</f>
        <v>0</v>
      </c>
      <c r="U270" s="15">
        <f>IF('ENCUESTA CONDUCTORES'!W270="X",1,0)</f>
        <v>0</v>
      </c>
      <c r="V270" s="15">
        <f>IF('ENCUESTA CONDUCTORES'!X270="X",1,0)</f>
        <v>0</v>
      </c>
      <c r="W270" s="15">
        <f>IF('ENCUESTA CONDUCTORES'!Y270="X",1,0)</f>
        <v>0</v>
      </c>
      <c r="X270" s="15">
        <f>IF('ENCUESTA CONDUCTORES'!Z270="X",1,0)</f>
        <v>0</v>
      </c>
      <c r="Y270" s="15">
        <f>+'ENCUESTA CONDUCTORES'!AG270</f>
        <v>0</v>
      </c>
      <c r="Z270" s="15">
        <f>+'ENCUESTA CONDUCTORES'!AH270</f>
        <v>1998</v>
      </c>
      <c r="AA270" s="1">
        <f>+'ENCUESTA CONDUCTORES'!AI270</f>
        <v>800000</v>
      </c>
      <c r="AB270" s="15">
        <f>IF('ENCUESTA CONDUCTORES'!AJ270="X",1,0)</f>
        <v>0</v>
      </c>
      <c r="AC270" s="15">
        <f>IF('ENCUESTA CONDUCTORES'!AK270="X",1,0)</f>
        <v>0</v>
      </c>
      <c r="AD270" s="15">
        <f>IF('ENCUESTA CONDUCTORES'!AL270="X",1,0)</f>
        <v>1</v>
      </c>
      <c r="AE270" s="15">
        <f>IF('ENCUESTA CONDUCTORES'!AM270="X",1,0)</f>
        <v>0</v>
      </c>
      <c r="AF270" s="15">
        <f>IF('ENCUESTA CONDUCTORES'!AN270="X",1,0)</f>
        <v>0</v>
      </c>
      <c r="AG270" s="15">
        <f>IF('ENCUESTA CONDUCTORES'!AO270="X",1,0)</f>
        <v>0</v>
      </c>
      <c r="AH270" s="15">
        <f>IF('ENCUESTA CONDUCTORES'!AP270="X",1,0)</f>
        <v>1</v>
      </c>
      <c r="AI270" s="15">
        <f>IF('ENCUESTA CONDUCTORES'!AQ270="X",1,0)</f>
        <v>0</v>
      </c>
      <c r="AJ270" s="15">
        <f>IF('ENCUESTA CONDUCTORES'!AR270="X",1,0)</f>
        <v>0</v>
      </c>
      <c r="AK270" s="15">
        <f>+'ENCUESTA CONDUCTORES'!AS270</f>
        <v>0</v>
      </c>
      <c r="AL270" s="15" t="str">
        <f>+'ENCUESTA CONDUCTORES'!AT270</f>
        <v>KENWORTH</v>
      </c>
      <c r="AM270" s="1">
        <f>+'ENCUESTA CONDUCTORES'!AU270</f>
        <v>6000</v>
      </c>
      <c r="AN270" s="48">
        <f>+'ENCUESTA CONDUCTORES'!AV270</f>
        <v>0.5</v>
      </c>
      <c r="AO270" s="15">
        <f>+'ENCUESTA CONDUCTORES'!AW270</f>
        <v>2.6</v>
      </c>
      <c r="AP270" s="15">
        <f>+'ENCUESTA CONDUCTORES'!AX270</f>
        <v>2.2000000000000002</v>
      </c>
      <c r="AQ270" s="15">
        <f>+'ENCUESTA CONDUCTORES'!AY270</f>
        <v>2</v>
      </c>
      <c r="AR270" s="15">
        <f>+'ENCUESTA CONDUCTORES'!AZ270</f>
        <v>750</v>
      </c>
      <c r="AS270" s="15">
        <f>+'ENCUESTA CONDUCTORES'!BA270</f>
        <v>1800</v>
      </c>
      <c r="AT270" s="15">
        <f>IF('ENCUESTA CONDUCTORES'!BB270="X",1,0)</f>
        <v>1</v>
      </c>
      <c r="AU270" s="15">
        <f>IF('ENCUESTA CONDUCTORES'!BC270="X",1,0)</f>
        <v>1</v>
      </c>
      <c r="AV270" s="15">
        <f>IF('ENCUESTA CONDUCTORES'!BD270="X",1,0)</f>
        <v>0</v>
      </c>
      <c r="AW270" s="1">
        <f>+'ENCUESTA CONDUCTORES'!BE270</f>
        <v>6000</v>
      </c>
      <c r="AX270" s="1">
        <f>+'ENCUESTA CONDUCTORES'!BF270</f>
        <v>15000</v>
      </c>
      <c r="AY270" s="1">
        <f>+'ENCUESTA CONDUCTORES'!BG270</f>
        <v>30000</v>
      </c>
      <c r="AZ270" s="1">
        <f>+'ENCUESTA CONDUCTORES'!BH270</f>
        <v>150000</v>
      </c>
      <c r="BA270" s="1">
        <f>+'ENCUESTA CONDUCTORES'!BI270</f>
        <v>30000</v>
      </c>
      <c r="BB270" s="15">
        <f>IF('ENCUESTA CONDUCTORES'!BJ270="X",1,0)</f>
        <v>0</v>
      </c>
      <c r="BC270" s="15">
        <f>IF('ENCUESTA CONDUCTORES'!BK270="X",1,0)</f>
        <v>0</v>
      </c>
      <c r="BD270" s="15">
        <f>IF('ENCUESTA CONDUCTORES'!BL270="X",1,0)</f>
        <v>0</v>
      </c>
      <c r="BE270" s="15">
        <f>IF('ENCUESTA CONDUCTORES'!BM270="X",1,0)</f>
        <v>0</v>
      </c>
      <c r="BF270" s="15">
        <f>IF('ENCUESTA CONDUCTORES'!BN270="X",1,0)</f>
        <v>0</v>
      </c>
      <c r="BG270" s="15">
        <f>IF('ENCUESTA CONDUCTORES'!BO270="X",1,0)</f>
        <v>0</v>
      </c>
      <c r="BH270" s="15">
        <f>IF('ENCUESTA CONDUCTORES'!BP270="X",1,0)</f>
        <v>0</v>
      </c>
      <c r="BI270" s="15">
        <f>IF('ENCUESTA CONDUCTORES'!BQ270="X",1,0)</f>
        <v>0</v>
      </c>
      <c r="BJ270" s="15">
        <f>IF('ENCUESTA CONDUCTORES'!BR270="X",1,0)</f>
        <v>0</v>
      </c>
      <c r="BK270" s="15" t="str">
        <f>+'ENCUESTA CONDUCTORES'!BS270</f>
        <v>GENERAL</v>
      </c>
      <c r="BL270" s="15">
        <f>IF('ENCUESTA CONDUCTORES'!BT270="X",1,0)</f>
        <v>0</v>
      </c>
      <c r="BM270" s="15">
        <f>IF('ENCUESTA CONDUCTORES'!BU270="X",1,0)</f>
        <v>0</v>
      </c>
      <c r="BN270" s="15">
        <f>IF('ENCUESTA CONDUCTORES'!BV270="X",1,0)</f>
        <v>1</v>
      </c>
      <c r="BO270" s="15">
        <f>IF('ENCUESTA CONDUCTORES'!BW270="X",1,0)</f>
        <v>0</v>
      </c>
      <c r="BP270" s="15">
        <f>+'ENCUESTA CONDUCTORES'!BX270</f>
        <v>1</v>
      </c>
      <c r="BQ270" s="15">
        <f>+'ENCUESTA CONDUCTORES'!BY270</f>
        <v>3</v>
      </c>
      <c r="BR270" s="15">
        <f>+'ENCUESTA CONDUCTORES'!BZ270</f>
        <v>2</v>
      </c>
      <c r="BS270" s="15">
        <f>+'ENCUESTA CONDUCTORES'!CA270</f>
        <v>0</v>
      </c>
      <c r="BT270" s="15">
        <f>IF('ENCUESTA CONDUCTORES'!CB270="X",1,0)</f>
        <v>0</v>
      </c>
      <c r="BU270" s="15">
        <f>IF('ENCUESTA CONDUCTORES'!CC270="X",1,0)</f>
        <v>1</v>
      </c>
      <c r="BV270" s="15">
        <f>IF('ENCUESTA CONDUCTORES'!CD270="X",1,0)</f>
        <v>0</v>
      </c>
      <c r="BW270" s="15">
        <f>IF('ENCUESTA CONDUCTORES'!CE270="X",1,0)</f>
        <v>1</v>
      </c>
      <c r="BX270" s="15">
        <f>IF('ENCUESTA CONDUCTORES'!CF270="X",1,0)</f>
        <v>0</v>
      </c>
      <c r="BY270" s="15">
        <f>IF('ENCUESTA CONDUCTORES'!CG270="X",1,0)</f>
        <v>1</v>
      </c>
      <c r="BZ270" s="15">
        <f>IF('ENCUESTA CONDUCTORES'!CH270="X",1,0)</f>
        <v>1</v>
      </c>
      <c r="CA270" s="15">
        <f>IF('ENCUESTA CONDUCTORES'!CI270="X",1,0)</f>
        <v>0</v>
      </c>
      <c r="CB270" s="15">
        <f>IF('ENCUESTA CONDUCTORES'!CJ270="X",1,0)</f>
        <v>0</v>
      </c>
      <c r="CC270" s="15">
        <f>IF('ENCUESTA CONDUCTORES'!CK270="X",1,0)</f>
        <v>1</v>
      </c>
      <c r="CD270" s="15">
        <f>IF('ENCUESTA CONDUCTORES'!CL270="X",1,0)</f>
        <v>0</v>
      </c>
      <c r="CE270" s="15">
        <f>IF('ENCUESTA CONDUCTORES'!CM270="X",1,0)</f>
        <v>0</v>
      </c>
      <c r="CF270" s="15">
        <f>+'ENCUESTA CONDUCTORES'!CN270</f>
        <v>0</v>
      </c>
      <c r="CG270" s="15">
        <f>IF('ENCUESTA CONDUCTORES'!CO270="X",1,0)</f>
        <v>0</v>
      </c>
      <c r="CH270" s="15" t="str">
        <f>+'ENCUESTA CONDUCTORES'!CP270</f>
        <v>NO SABE</v>
      </c>
      <c r="CI270" s="15" t="str">
        <f>+'ENCUESTA CONDUCTORES'!CQ270</f>
        <v>PUBLICIDAD</v>
      </c>
      <c r="CJ270" s="15">
        <f>IF('ENCUESTA CONDUCTORES'!CR270="X",1,0)</f>
        <v>1</v>
      </c>
      <c r="CK270" s="15">
        <f>IF('ENCUESTA CONDUCTORES'!CS270="X",1,0)</f>
        <v>0</v>
      </c>
      <c r="CL270" s="15">
        <f>IF('ENCUESTA CONDUCTORES'!CT270="X",1,0)</f>
        <v>0</v>
      </c>
      <c r="CM270" s="15">
        <f>+'ENCUESTA CONDUCTORES'!CU270</f>
        <v>0</v>
      </c>
      <c r="CN270" s="15">
        <f>IF('ENCUESTA CONDUCTORES'!CV270="X",1,0)</f>
        <v>0</v>
      </c>
      <c r="CO270" s="15">
        <f>+'ENCUESTA CONDUCTORES'!CW270</f>
        <v>0</v>
      </c>
      <c r="CP270" s="15">
        <f>IF('ENCUESTA CONDUCTORES'!CX270="X",1,0)</f>
        <v>0</v>
      </c>
      <c r="CQ270" s="15">
        <f>IF('ENCUESTA CONDUCTORES'!CY270="X",1,0)</f>
        <v>0</v>
      </c>
      <c r="CR270" s="3" t="str">
        <f>+'ENCUESTA CONDUCTORES'!CZ270</f>
        <v>MANEJO A LA DEDENSIVA</v>
      </c>
      <c r="CS270" s="49">
        <f>+'ENCUESTA CONDUCTORES'!DA270</f>
        <v>0</v>
      </c>
    </row>
    <row r="271" spans="2:97" x14ac:dyDescent="0.25">
      <c r="B271" s="14" t="str">
        <f>+'ENCUESTA CONDUCTORES'!D271</f>
        <v>C-282</v>
      </c>
      <c r="C271" s="15">
        <f>IF('ENCUESTA CONDUCTORES'!E271="X",1,0)</f>
        <v>0</v>
      </c>
      <c r="D271" s="15">
        <f>IF('ENCUESTA CONDUCTORES'!F271="X",1,0)</f>
        <v>0</v>
      </c>
      <c r="E271" s="15">
        <f>IF('ENCUESTA CONDUCTORES'!G271="X",1,0)</f>
        <v>1</v>
      </c>
      <c r="F271" s="15">
        <f>IF('ENCUESTA CONDUCTORES'!H271="X",1,0)</f>
        <v>0</v>
      </c>
      <c r="G271" s="15">
        <f>+'ENCUESTA CONDUCTORES'!I271</f>
        <v>62</v>
      </c>
      <c r="H271" s="15" t="str">
        <f>+'ENCUESTA CONDUCTORES'!J271</f>
        <v>M</v>
      </c>
      <c r="I271" s="15" t="str">
        <f>+'ENCUESTA CONDUCTORES'!K271</f>
        <v>PRIMARIA</v>
      </c>
      <c r="J271" s="15" t="str">
        <f>+'ENCUESTA CONDUCTORES'!L271</f>
        <v>CHICOLOAPAN, EDO. MEX.</v>
      </c>
      <c r="K271" s="15" t="str">
        <f>+'ENCUESTA CONDUCTORES'!M271</f>
        <v>CHICOLOAPAN</v>
      </c>
      <c r="L271" s="15" t="str">
        <f>+'ENCUESTA CONDUCTORES'!N271</f>
        <v>EDO. MEX.</v>
      </c>
      <c r="M271" s="15">
        <f>+'ENCUESTA CONDUCTORES'!O271</f>
        <v>41</v>
      </c>
      <c r="N271" s="15">
        <f>IF('ENCUESTA CONDUCTORES'!P271="X",1,0)</f>
        <v>0</v>
      </c>
      <c r="O271" s="15">
        <f>IF('ENCUESTA CONDUCTORES'!Q271="X",1,0)</f>
        <v>0</v>
      </c>
      <c r="P271" s="15">
        <f>IF('ENCUESTA CONDUCTORES'!R271="X",1,0)</f>
        <v>0</v>
      </c>
      <c r="Q271" s="15">
        <f>IF('ENCUESTA CONDUCTORES'!S271="X",1,0)</f>
        <v>1</v>
      </c>
      <c r="R271" s="15">
        <f>IF('ENCUESTA CONDUCTORES'!T271="X",1,0)</f>
        <v>0</v>
      </c>
      <c r="S271" s="15">
        <f>IF('ENCUESTA CONDUCTORES'!U271="X",1,0)</f>
        <v>1</v>
      </c>
      <c r="T271" s="15">
        <f>IF('ENCUESTA CONDUCTORES'!V271="X",1,0)</f>
        <v>0</v>
      </c>
      <c r="U271" s="15">
        <f>IF('ENCUESTA CONDUCTORES'!W271="X",1,0)</f>
        <v>0</v>
      </c>
      <c r="V271" s="15">
        <f>IF('ENCUESTA CONDUCTORES'!X271="X",1,0)</f>
        <v>0</v>
      </c>
      <c r="W271" s="15">
        <f>IF('ENCUESTA CONDUCTORES'!Y271="X",1,0)</f>
        <v>0</v>
      </c>
      <c r="X271" s="15">
        <f>IF('ENCUESTA CONDUCTORES'!Z271="X",1,0)</f>
        <v>0</v>
      </c>
      <c r="Y271" s="15">
        <f>+'ENCUESTA CONDUCTORES'!AG271</f>
        <v>0</v>
      </c>
      <c r="Z271" s="15">
        <f>+'ENCUESTA CONDUCTORES'!AH271</f>
        <v>1989</v>
      </c>
      <c r="AA271" s="1">
        <f>+'ENCUESTA CONDUCTORES'!AI271</f>
        <v>970000</v>
      </c>
      <c r="AB271" s="15">
        <f>IF('ENCUESTA CONDUCTORES'!AJ271="X",1,0)</f>
        <v>0</v>
      </c>
      <c r="AC271" s="15">
        <f>IF('ENCUESTA CONDUCTORES'!AK271="X",1,0)</f>
        <v>0</v>
      </c>
      <c r="AD271" s="15">
        <f>IF('ENCUESTA CONDUCTORES'!AL271="X",1,0)</f>
        <v>1</v>
      </c>
      <c r="AE271" s="15">
        <f>IF('ENCUESTA CONDUCTORES'!AM271="X",1,0)</f>
        <v>0</v>
      </c>
      <c r="AF271" s="15">
        <f>IF('ENCUESTA CONDUCTORES'!AN271="X",1,0)</f>
        <v>0</v>
      </c>
      <c r="AG271" s="15">
        <f>IF('ENCUESTA CONDUCTORES'!AO271="X",1,0)</f>
        <v>0</v>
      </c>
      <c r="AH271" s="15">
        <f>IF('ENCUESTA CONDUCTORES'!AP271="X",1,0)</f>
        <v>1</v>
      </c>
      <c r="AI271" s="15">
        <f>IF('ENCUESTA CONDUCTORES'!AQ271="X",1,0)</f>
        <v>0</v>
      </c>
      <c r="AJ271" s="15">
        <f>IF('ENCUESTA CONDUCTORES'!AR271="X",1,0)</f>
        <v>0</v>
      </c>
      <c r="AK271" s="15">
        <f>+'ENCUESTA CONDUCTORES'!AS271</f>
        <v>0</v>
      </c>
      <c r="AL271" s="15" t="str">
        <f>+'ENCUESTA CONDUCTORES'!AT271</f>
        <v>KENWORTH</v>
      </c>
      <c r="AM271" s="1">
        <f>+'ENCUESTA CONDUCTORES'!AU271</f>
        <v>7500</v>
      </c>
      <c r="AN271" s="48">
        <f>+'ENCUESTA CONDUCTORES'!AV271</f>
        <v>0.5</v>
      </c>
      <c r="AO271" s="15">
        <f>+'ENCUESTA CONDUCTORES'!AW271</f>
        <v>2.7</v>
      </c>
      <c r="AP271" s="15">
        <f>+'ENCUESTA CONDUCTORES'!AX271</f>
        <v>2.2999999999999998</v>
      </c>
      <c r="AQ271" s="15">
        <f>+'ENCUESTA CONDUCTORES'!AY271</f>
        <v>2</v>
      </c>
      <c r="AR271" s="15">
        <f>+'ENCUESTA CONDUCTORES'!AZ271</f>
        <v>960</v>
      </c>
      <c r="AS271" s="15">
        <f>+'ENCUESTA CONDUCTORES'!BA271</f>
        <v>2400</v>
      </c>
      <c r="AT271" s="15">
        <f>IF('ENCUESTA CONDUCTORES'!BB271="X",1,0)</f>
        <v>1</v>
      </c>
      <c r="AU271" s="15">
        <f>IF('ENCUESTA CONDUCTORES'!BC271="X",1,0)</f>
        <v>1</v>
      </c>
      <c r="AV271" s="15">
        <f>IF('ENCUESTA CONDUCTORES'!BD271="X",1,0)</f>
        <v>0</v>
      </c>
      <c r="AW271" s="1">
        <f>+'ENCUESTA CONDUCTORES'!BE271</f>
        <v>11000</v>
      </c>
      <c r="AX271" s="1">
        <f>+'ENCUESTA CONDUCTORES'!BF271</f>
        <v>8000</v>
      </c>
      <c r="AY271" s="1">
        <f>+'ENCUESTA CONDUCTORES'!BG271</f>
        <v>25000</v>
      </c>
      <c r="AZ271" s="1">
        <f>+'ENCUESTA CONDUCTORES'!BH271</f>
        <v>90000</v>
      </c>
      <c r="BA271" s="1">
        <f>+'ENCUESTA CONDUCTORES'!BI271</f>
        <v>25000</v>
      </c>
      <c r="BB271" s="15">
        <f>IF('ENCUESTA CONDUCTORES'!BJ271="X",1,0)</f>
        <v>0</v>
      </c>
      <c r="BC271" s="15">
        <f>IF('ENCUESTA CONDUCTORES'!BK271="X",1,0)</f>
        <v>0</v>
      </c>
      <c r="BD271" s="15">
        <f>IF('ENCUESTA CONDUCTORES'!BL271="X",1,0)</f>
        <v>0</v>
      </c>
      <c r="BE271" s="15">
        <f>IF('ENCUESTA CONDUCTORES'!BM271="X",1,0)</f>
        <v>0</v>
      </c>
      <c r="BF271" s="15">
        <f>IF('ENCUESTA CONDUCTORES'!BN271="X",1,0)</f>
        <v>0</v>
      </c>
      <c r="BG271" s="15">
        <f>IF('ENCUESTA CONDUCTORES'!BO271="X",1,0)</f>
        <v>0</v>
      </c>
      <c r="BH271" s="15">
        <f>IF('ENCUESTA CONDUCTORES'!BP271="X",1,0)</f>
        <v>0</v>
      </c>
      <c r="BI271" s="15">
        <f>IF('ENCUESTA CONDUCTORES'!BQ271="X",1,0)</f>
        <v>0</v>
      </c>
      <c r="BJ271" s="15">
        <f>IF('ENCUESTA CONDUCTORES'!BR271="X",1,0)</f>
        <v>0</v>
      </c>
      <c r="BK271" s="15" t="str">
        <f>+'ENCUESTA CONDUCTORES'!BS271</f>
        <v>GENERAL</v>
      </c>
      <c r="BL271" s="15">
        <f>IF('ENCUESTA CONDUCTORES'!BT271="X",1,0)</f>
        <v>0</v>
      </c>
      <c r="BM271" s="15">
        <f>IF('ENCUESTA CONDUCTORES'!BU271="X",1,0)</f>
        <v>1</v>
      </c>
      <c r="BN271" s="15">
        <f>IF('ENCUESTA CONDUCTORES'!BV271="X",1,0)</f>
        <v>0</v>
      </c>
      <c r="BO271" s="15">
        <f>IF('ENCUESTA CONDUCTORES'!BW271="X",1,0)</f>
        <v>0</v>
      </c>
      <c r="BP271" s="15">
        <f>+'ENCUESTA CONDUCTORES'!BX271</f>
        <v>1</v>
      </c>
      <c r="BQ271" s="15">
        <f>+'ENCUESTA CONDUCTORES'!BY271</f>
        <v>2</v>
      </c>
      <c r="BR271" s="15">
        <f>+'ENCUESTA CONDUCTORES'!BZ271</f>
        <v>3</v>
      </c>
      <c r="BS271" s="15">
        <f>+'ENCUESTA CONDUCTORES'!CA271</f>
        <v>0</v>
      </c>
      <c r="BT271" s="15">
        <f>IF('ENCUESTA CONDUCTORES'!CB271="X",1,0)</f>
        <v>0</v>
      </c>
      <c r="BU271" s="15">
        <f>IF('ENCUESTA CONDUCTORES'!CC271="X",1,0)</f>
        <v>1</v>
      </c>
      <c r="BV271" s="15">
        <f>IF('ENCUESTA CONDUCTORES'!CD271="X",1,0)</f>
        <v>0</v>
      </c>
      <c r="BW271" s="15">
        <f>IF('ENCUESTA CONDUCTORES'!CE271="X",1,0)</f>
        <v>1</v>
      </c>
      <c r="BX271" s="15">
        <f>IF('ENCUESTA CONDUCTORES'!CF271="X",1,0)</f>
        <v>0</v>
      </c>
      <c r="BY271" s="15">
        <f>IF('ENCUESTA CONDUCTORES'!CG271="X",1,0)</f>
        <v>1</v>
      </c>
      <c r="BZ271" s="15">
        <f>IF('ENCUESTA CONDUCTORES'!CH271="X",1,0)</f>
        <v>1</v>
      </c>
      <c r="CA271" s="15">
        <f>IF('ENCUESTA CONDUCTORES'!CI271="X",1,0)</f>
        <v>1</v>
      </c>
      <c r="CB271" s="15">
        <f>IF('ENCUESTA CONDUCTORES'!CJ271="X",1,0)</f>
        <v>0</v>
      </c>
      <c r="CC271" s="15">
        <f>IF('ENCUESTA CONDUCTORES'!CK271="X",1,0)</f>
        <v>1</v>
      </c>
      <c r="CD271" s="15">
        <f>IF('ENCUESTA CONDUCTORES'!CL271="X",1,0)</f>
        <v>0</v>
      </c>
      <c r="CE271" s="15">
        <f>IF('ENCUESTA CONDUCTORES'!CM271="X",1,0)</f>
        <v>0</v>
      </c>
      <c r="CF271" s="15">
        <f>+'ENCUESTA CONDUCTORES'!CN271</f>
        <v>0</v>
      </c>
      <c r="CG271" s="15">
        <f>IF('ENCUESTA CONDUCTORES'!CO271="X",1,0)</f>
        <v>0</v>
      </c>
      <c r="CH271" s="15" t="str">
        <f>+'ENCUESTA CONDUCTORES'!CP271</f>
        <v>NO SABE</v>
      </c>
      <c r="CI271" s="15" t="str">
        <f>+'ENCUESTA CONDUCTORES'!CQ271</f>
        <v>MAYOR INFORMACION</v>
      </c>
      <c r="CJ271" s="15">
        <f>IF('ENCUESTA CONDUCTORES'!CR271="X",1,0)</f>
        <v>0</v>
      </c>
      <c r="CK271" s="15">
        <f>IF('ENCUESTA CONDUCTORES'!CS271="X",1,0)</f>
        <v>0</v>
      </c>
      <c r="CL271" s="15">
        <f>IF('ENCUESTA CONDUCTORES'!CT271="X",1,0)</f>
        <v>0</v>
      </c>
      <c r="CM271" s="15" t="str">
        <f>+'ENCUESTA CONDUCTORES'!CU271</f>
        <v>MANEJO A LA DEFENSIVA</v>
      </c>
      <c r="CN271" s="15">
        <f>IF('ENCUESTA CONDUCTORES'!CV271="X",1,0)</f>
        <v>0</v>
      </c>
      <c r="CO271" s="15">
        <f>+'ENCUESTA CONDUCTORES'!CW271</f>
        <v>0</v>
      </c>
      <c r="CP271" s="15">
        <f>IF('ENCUESTA CONDUCTORES'!CX271="X",1,0)</f>
        <v>1</v>
      </c>
      <c r="CQ271" s="15">
        <f>IF('ENCUESTA CONDUCTORES'!CY271="X",1,0)</f>
        <v>1</v>
      </c>
      <c r="CR271" s="3">
        <f>+'ENCUESTA CONDUCTORES'!CZ271</f>
        <v>0</v>
      </c>
      <c r="CS271" s="49">
        <f>+'ENCUESTA CONDUCTORES'!DA271</f>
        <v>0</v>
      </c>
    </row>
    <row r="272" spans="2:97" x14ac:dyDescent="0.25">
      <c r="B272" s="14" t="str">
        <f>+'ENCUESTA CONDUCTORES'!D272</f>
        <v>C-283</v>
      </c>
      <c r="C272" s="15">
        <f>IF('ENCUESTA CONDUCTORES'!E272="X",1,0)</f>
        <v>0</v>
      </c>
      <c r="D272" s="15">
        <f>IF('ENCUESTA CONDUCTORES'!F272="X",1,0)</f>
        <v>0</v>
      </c>
      <c r="E272" s="15">
        <f>IF('ENCUESTA CONDUCTORES'!G272="X",1,0)</f>
        <v>1</v>
      </c>
      <c r="F272" s="15">
        <f>IF('ENCUESTA CONDUCTORES'!H272="X",1,0)</f>
        <v>0</v>
      </c>
      <c r="G272" s="15">
        <f>+'ENCUESTA CONDUCTORES'!I272</f>
        <v>25</v>
      </c>
      <c r="H272" s="15" t="str">
        <f>+'ENCUESTA CONDUCTORES'!J272</f>
        <v>M</v>
      </c>
      <c r="I272" s="15" t="str">
        <f>+'ENCUESTA CONDUCTORES'!K272</f>
        <v>PREPARATORIA</v>
      </c>
      <c r="J272" s="15" t="str">
        <f>+'ENCUESTA CONDUCTORES'!L272</f>
        <v>D.F. IZTAPALAPA</v>
      </c>
      <c r="K272" s="15" t="str">
        <f>+'ENCUESTA CONDUCTORES'!M272</f>
        <v>IZTAPALAPA</v>
      </c>
      <c r="L272" s="15" t="str">
        <f>+'ENCUESTA CONDUCTORES'!N272</f>
        <v>D.F.</v>
      </c>
      <c r="M272" s="15">
        <f>+'ENCUESTA CONDUCTORES'!O272</f>
        <v>3</v>
      </c>
      <c r="N272" s="15">
        <f>IF('ENCUESTA CONDUCTORES'!P272="X",1,0)</f>
        <v>1</v>
      </c>
      <c r="O272" s="15">
        <f>IF('ENCUESTA CONDUCTORES'!Q272="X",1,0)</f>
        <v>0</v>
      </c>
      <c r="P272" s="15">
        <f>IF('ENCUESTA CONDUCTORES'!R272="X",1,0)</f>
        <v>0</v>
      </c>
      <c r="Q272" s="15">
        <f>IF('ENCUESTA CONDUCTORES'!S272="X",1,0)</f>
        <v>0</v>
      </c>
      <c r="R272" s="15">
        <f>IF('ENCUESTA CONDUCTORES'!T272="X",1,0)</f>
        <v>0</v>
      </c>
      <c r="S272" s="15">
        <f>IF('ENCUESTA CONDUCTORES'!U272="X",1,0)</f>
        <v>1</v>
      </c>
      <c r="T272" s="15">
        <f>IF('ENCUESTA CONDUCTORES'!V272="X",1,0)</f>
        <v>0</v>
      </c>
      <c r="U272" s="15">
        <f>IF('ENCUESTA CONDUCTORES'!W272="X",1,0)</f>
        <v>0</v>
      </c>
      <c r="V272" s="15">
        <f>IF('ENCUESTA CONDUCTORES'!X272="X",1,0)</f>
        <v>0</v>
      </c>
      <c r="W272" s="15">
        <f>IF('ENCUESTA CONDUCTORES'!Y272="X",1,0)</f>
        <v>0</v>
      </c>
      <c r="X272" s="15">
        <f>IF('ENCUESTA CONDUCTORES'!Z272="X",1,0)</f>
        <v>0</v>
      </c>
      <c r="Y272" s="15">
        <f>+'ENCUESTA CONDUCTORES'!AG272</f>
        <v>0</v>
      </c>
      <c r="Z272" s="15">
        <f>+'ENCUESTA CONDUCTORES'!AH272</f>
        <v>1996</v>
      </c>
      <c r="AA272" s="1">
        <f>+'ENCUESTA CONDUCTORES'!AI272</f>
        <v>630000</v>
      </c>
      <c r="AB272" s="15">
        <f>IF('ENCUESTA CONDUCTORES'!AJ272="X",1,0)</f>
        <v>0</v>
      </c>
      <c r="AC272" s="15">
        <f>IF('ENCUESTA CONDUCTORES'!AK272="X",1,0)</f>
        <v>0</v>
      </c>
      <c r="AD272" s="15">
        <f>IF('ENCUESTA CONDUCTORES'!AL272="X",1,0)</f>
        <v>1</v>
      </c>
      <c r="AE272" s="15">
        <f>IF('ENCUESTA CONDUCTORES'!AM272="X",1,0)</f>
        <v>0</v>
      </c>
      <c r="AF272" s="15">
        <f>IF('ENCUESTA CONDUCTORES'!AN272="X",1,0)</f>
        <v>0</v>
      </c>
      <c r="AG272" s="15">
        <f>IF('ENCUESTA CONDUCTORES'!AO272="X",1,0)</f>
        <v>0</v>
      </c>
      <c r="AH272" s="15">
        <f>IF('ENCUESTA CONDUCTORES'!AP272="X",1,0)</f>
        <v>1</v>
      </c>
      <c r="AI272" s="15">
        <f>IF('ENCUESTA CONDUCTORES'!AQ272="X",1,0)</f>
        <v>0</v>
      </c>
      <c r="AJ272" s="15">
        <f>IF('ENCUESTA CONDUCTORES'!AR272="X",1,0)</f>
        <v>0</v>
      </c>
      <c r="AK272" s="15">
        <f>+'ENCUESTA CONDUCTORES'!AS272</f>
        <v>0</v>
      </c>
      <c r="AL272" s="15" t="str">
        <f>+'ENCUESTA CONDUCTORES'!AT272</f>
        <v>INTERNATIONAL</v>
      </c>
      <c r="AM272" s="1">
        <f>+'ENCUESTA CONDUCTORES'!AU272</f>
        <v>6000</v>
      </c>
      <c r="AN272" s="48">
        <f>+'ENCUESTA CONDUCTORES'!AV272</f>
        <v>0.5</v>
      </c>
      <c r="AO272" s="15">
        <f>+'ENCUESTA CONDUCTORES'!AW272</f>
        <v>2.8</v>
      </c>
      <c r="AP272" s="15">
        <f>+'ENCUESTA CONDUCTORES'!AX272</f>
        <v>2.6</v>
      </c>
      <c r="AQ272" s="15">
        <f>+'ENCUESTA CONDUCTORES'!AY272</f>
        <v>2</v>
      </c>
      <c r="AR272" s="15">
        <f>+'ENCUESTA CONDUCTORES'!AZ272</f>
        <v>700</v>
      </c>
      <c r="AS272" s="15">
        <f>+'ENCUESTA CONDUCTORES'!BA272</f>
        <v>1900</v>
      </c>
      <c r="AT272" s="15">
        <f>IF('ENCUESTA CONDUCTORES'!BB272="X",1,0)</f>
        <v>1</v>
      </c>
      <c r="AU272" s="15">
        <f>IF('ENCUESTA CONDUCTORES'!BC272="X",1,0)</f>
        <v>1</v>
      </c>
      <c r="AV272" s="15">
        <f>IF('ENCUESTA CONDUCTORES'!BD272="X",1,0)</f>
        <v>0</v>
      </c>
      <c r="AW272" s="1">
        <f>+'ENCUESTA CONDUCTORES'!BE272</f>
        <v>10000</v>
      </c>
      <c r="AX272" s="1">
        <f>+'ENCUESTA CONDUCTORES'!BF272</f>
        <v>20000</v>
      </c>
      <c r="AY272" s="1">
        <f>+'ENCUESTA CONDUCTORES'!BG272</f>
        <v>30000</v>
      </c>
      <c r="AZ272" s="1">
        <f>+'ENCUESTA CONDUCTORES'!BH272</f>
        <v>170000</v>
      </c>
      <c r="BA272" s="1">
        <f>+'ENCUESTA CONDUCTORES'!BI272</f>
        <v>30000</v>
      </c>
      <c r="BB272" s="15">
        <f>IF('ENCUESTA CONDUCTORES'!BJ272="X",1,0)</f>
        <v>0</v>
      </c>
      <c r="BC272" s="15">
        <f>IF('ENCUESTA CONDUCTORES'!BK272="X",1,0)</f>
        <v>0</v>
      </c>
      <c r="BD272" s="15">
        <f>IF('ENCUESTA CONDUCTORES'!BL272="X",1,0)</f>
        <v>0</v>
      </c>
      <c r="BE272" s="15">
        <f>IF('ENCUESTA CONDUCTORES'!BM272="X",1,0)</f>
        <v>0</v>
      </c>
      <c r="BF272" s="15">
        <f>IF('ENCUESTA CONDUCTORES'!BN272="X",1,0)</f>
        <v>0</v>
      </c>
      <c r="BG272" s="15">
        <f>IF('ENCUESTA CONDUCTORES'!BO272="X",1,0)</f>
        <v>0</v>
      </c>
      <c r="BH272" s="15">
        <f>IF('ENCUESTA CONDUCTORES'!BP272="X",1,0)</f>
        <v>0</v>
      </c>
      <c r="BI272" s="15">
        <f>IF('ENCUESTA CONDUCTORES'!BQ272="X",1,0)</f>
        <v>0</v>
      </c>
      <c r="BJ272" s="15">
        <f>IF('ENCUESTA CONDUCTORES'!BR272="X",1,0)</f>
        <v>0</v>
      </c>
      <c r="BK272" s="15" t="str">
        <f>+'ENCUESTA CONDUCTORES'!BS272</f>
        <v>MUEBLES</v>
      </c>
      <c r="BL272" s="15">
        <f>IF('ENCUESTA CONDUCTORES'!BT272="X",1,0)</f>
        <v>0</v>
      </c>
      <c r="BM272" s="15">
        <f>IF('ENCUESTA CONDUCTORES'!BU272="X",1,0)</f>
        <v>0</v>
      </c>
      <c r="BN272" s="15">
        <f>IF('ENCUESTA CONDUCTORES'!BV272="X",1,0)</f>
        <v>1</v>
      </c>
      <c r="BO272" s="15">
        <f>IF('ENCUESTA CONDUCTORES'!BW272="X",1,0)</f>
        <v>0</v>
      </c>
      <c r="BP272" s="15">
        <f>+'ENCUESTA CONDUCTORES'!BX272</f>
        <v>2</v>
      </c>
      <c r="BQ272" s="15">
        <f>+'ENCUESTA CONDUCTORES'!BY272</f>
        <v>1</v>
      </c>
      <c r="BR272" s="15">
        <f>+'ENCUESTA CONDUCTORES'!BZ272</f>
        <v>3</v>
      </c>
      <c r="BS272" s="15">
        <f>+'ENCUESTA CONDUCTORES'!CA272</f>
        <v>0</v>
      </c>
      <c r="BT272" s="15">
        <f>IF('ENCUESTA CONDUCTORES'!CB272="X",1,0)</f>
        <v>0</v>
      </c>
      <c r="BU272" s="15">
        <f>IF('ENCUESTA CONDUCTORES'!CC272="X",1,0)</f>
        <v>1</v>
      </c>
      <c r="BV272" s="15">
        <f>IF('ENCUESTA CONDUCTORES'!CD272="X",1,0)</f>
        <v>0</v>
      </c>
      <c r="BW272" s="15">
        <f>IF('ENCUESTA CONDUCTORES'!CE272="X",1,0)</f>
        <v>1</v>
      </c>
      <c r="BX272" s="15">
        <f>IF('ENCUESTA CONDUCTORES'!CF272="X",1,0)</f>
        <v>0</v>
      </c>
      <c r="BY272" s="15">
        <f>IF('ENCUESTA CONDUCTORES'!CG272="X",1,0)</f>
        <v>1</v>
      </c>
      <c r="BZ272" s="15">
        <f>IF('ENCUESTA CONDUCTORES'!CH272="X",1,0)</f>
        <v>1</v>
      </c>
      <c r="CA272" s="15">
        <f>IF('ENCUESTA CONDUCTORES'!CI272="X",1,0)</f>
        <v>1</v>
      </c>
      <c r="CB272" s="15">
        <f>IF('ENCUESTA CONDUCTORES'!CJ272="X",1,0)</f>
        <v>0</v>
      </c>
      <c r="CC272" s="15">
        <f>IF('ENCUESTA CONDUCTORES'!CK272="X",1,0)</f>
        <v>1</v>
      </c>
      <c r="CD272" s="15">
        <f>IF('ENCUESTA CONDUCTORES'!CL272="X",1,0)</f>
        <v>0</v>
      </c>
      <c r="CE272" s="15">
        <f>IF('ENCUESTA CONDUCTORES'!CM272="X",1,0)</f>
        <v>0</v>
      </c>
      <c r="CF272" s="15">
        <f>+'ENCUESTA CONDUCTORES'!CN272</f>
        <v>0</v>
      </c>
      <c r="CG272" s="15">
        <f>IF('ENCUESTA CONDUCTORES'!CO272="X",1,0)</f>
        <v>0</v>
      </c>
      <c r="CH272" s="15" t="str">
        <f>+'ENCUESTA CONDUCTORES'!CP272</f>
        <v>NO SABE</v>
      </c>
      <c r="CI272" s="15" t="str">
        <f>+'ENCUESTA CONDUCTORES'!CQ272</f>
        <v>MAYOR INFORMACION</v>
      </c>
      <c r="CJ272" s="15">
        <f>IF('ENCUESTA CONDUCTORES'!CR272="X",1,0)</f>
        <v>1</v>
      </c>
      <c r="CK272" s="15">
        <f>IF('ENCUESTA CONDUCTORES'!CS272="X",1,0)</f>
        <v>0</v>
      </c>
      <c r="CL272" s="15">
        <f>IF('ENCUESTA CONDUCTORES'!CT272="X",1,0)</f>
        <v>0</v>
      </c>
      <c r="CM272" s="15">
        <f>+'ENCUESTA CONDUCTORES'!CU272</f>
        <v>0</v>
      </c>
      <c r="CN272" s="15">
        <f>IF('ENCUESTA CONDUCTORES'!CV272="X",1,0)</f>
        <v>0</v>
      </c>
      <c r="CO272" s="15">
        <f>+'ENCUESTA CONDUCTORES'!CW272</f>
        <v>0</v>
      </c>
      <c r="CP272" s="15">
        <f>IF('ENCUESTA CONDUCTORES'!CX272="X",1,0)</f>
        <v>0</v>
      </c>
      <c r="CQ272" s="15">
        <f>IF('ENCUESTA CONDUCTORES'!CY272="X",1,0)</f>
        <v>1</v>
      </c>
      <c r="CR272" s="3">
        <f>+'ENCUESTA CONDUCTORES'!CZ272</f>
        <v>0</v>
      </c>
      <c r="CS272" s="49">
        <f>+'ENCUESTA CONDUCTORES'!DA272</f>
        <v>0</v>
      </c>
    </row>
    <row r="273" spans="2:97" x14ac:dyDescent="0.25">
      <c r="B273" s="14" t="str">
        <f>+'ENCUESTA CONDUCTORES'!D273</f>
        <v>C-284</v>
      </c>
      <c r="C273" s="15">
        <f>IF('ENCUESTA CONDUCTORES'!E273="X",1,0)</f>
        <v>0</v>
      </c>
      <c r="D273" s="15">
        <f>IF('ENCUESTA CONDUCTORES'!F273="X",1,0)</f>
        <v>1</v>
      </c>
      <c r="E273" s="15">
        <f>IF('ENCUESTA CONDUCTORES'!G273="X",1,0)</f>
        <v>0</v>
      </c>
      <c r="F273" s="15">
        <f>IF('ENCUESTA CONDUCTORES'!H273="X",1,0)</f>
        <v>0</v>
      </c>
      <c r="G273" s="15">
        <f>+'ENCUESTA CONDUCTORES'!I273</f>
        <v>60</v>
      </c>
      <c r="H273" s="15" t="str">
        <f>+'ENCUESTA CONDUCTORES'!J273</f>
        <v>M</v>
      </c>
      <c r="I273" s="15" t="str">
        <f>+'ENCUESTA CONDUCTORES'!K273</f>
        <v>PRIMARIA</v>
      </c>
      <c r="J273" s="15" t="str">
        <f>+'ENCUESTA CONDUCTORES'!L273</f>
        <v>CHALCO, EDO. MEX.</v>
      </c>
      <c r="K273" s="15" t="str">
        <f>+'ENCUESTA CONDUCTORES'!M273</f>
        <v>CHALCO</v>
      </c>
      <c r="L273" s="15" t="str">
        <f>+'ENCUESTA CONDUCTORES'!N273</f>
        <v>EDO. MEX.</v>
      </c>
      <c r="M273" s="15">
        <f>+'ENCUESTA CONDUCTORES'!O273</f>
        <v>38</v>
      </c>
      <c r="N273" s="15">
        <f>IF('ENCUESTA CONDUCTORES'!P273="X",1,0)</f>
        <v>0</v>
      </c>
      <c r="O273" s="15">
        <f>IF('ENCUESTA CONDUCTORES'!Q273="X",1,0)</f>
        <v>1</v>
      </c>
      <c r="P273" s="15">
        <f>IF('ENCUESTA CONDUCTORES'!R273="X",1,0)</f>
        <v>0</v>
      </c>
      <c r="Q273" s="15">
        <f>IF('ENCUESTA CONDUCTORES'!S273="X",1,0)</f>
        <v>0</v>
      </c>
      <c r="R273" s="15">
        <f>IF('ENCUESTA CONDUCTORES'!T273="X",1,0)</f>
        <v>0</v>
      </c>
      <c r="S273" s="15">
        <f>IF('ENCUESTA CONDUCTORES'!U273="X",1,0)</f>
        <v>1</v>
      </c>
      <c r="T273" s="15">
        <f>IF('ENCUESTA CONDUCTORES'!V273="X",1,0)</f>
        <v>0</v>
      </c>
      <c r="U273" s="15">
        <f>IF('ENCUESTA CONDUCTORES'!W273="X",1,0)</f>
        <v>0</v>
      </c>
      <c r="V273" s="15">
        <f>IF('ENCUESTA CONDUCTORES'!X273="X",1,0)</f>
        <v>0</v>
      </c>
      <c r="W273" s="15">
        <f>IF('ENCUESTA CONDUCTORES'!Y273="X",1,0)</f>
        <v>0</v>
      </c>
      <c r="X273" s="15">
        <f>IF('ENCUESTA CONDUCTORES'!Z273="X",1,0)</f>
        <v>0</v>
      </c>
      <c r="Y273" s="15">
        <f>+'ENCUESTA CONDUCTORES'!AG273</f>
        <v>0</v>
      </c>
      <c r="Z273" s="15">
        <f>+'ENCUESTA CONDUCTORES'!AH273</f>
        <v>1990</v>
      </c>
      <c r="AA273" s="1">
        <f>+'ENCUESTA CONDUCTORES'!AI273</f>
        <v>853500</v>
      </c>
      <c r="AB273" s="15">
        <f>IF('ENCUESTA CONDUCTORES'!AJ273="X",1,0)</f>
        <v>0</v>
      </c>
      <c r="AC273" s="15">
        <f>IF('ENCUESTA CONDUCTORES'!AK273="X",1,0)</f>
        <v>0</v>
      </c>
      <c r="AD273" s="15">
        <f>IF('ENCUESTA CONDUCTORES'!AL273="X",1,0)</f>
        <v>1</v>
      </c>
      <c r="AE273" s="15">
        <f>IF('ENCUESTA CONDUCTORES'!AM273="X",1,0)</f>
        <v>0</v>
      </c>
      <c r="AF273" s="15">
        <f>IF('ENCUESTA CONDUCTORES'!AN273="X",1,0)</f>
        <v>0</v>
      </c>
      <c r="AG273" s="15">
        <f>IF('ENCUESTA CONDUCTORES'!AO273="X",1,0)</f>
        <v>0</v>
      </c>
      <c r="AH273" s="15">
        <f>IF('ENCUESTA CONDUCTORES'!AP273="X",1,0)</f>
        <v>1</v>
      </c>
      <c r="AI273" s="15">
        <f>IF('ENCUESTA CONDUCTORES'!AQ273="X",1,0)</f>
        <v>0</v>
      </c>
      <c r="AJ273" s="15">
        <f>IF('ENCUESTA CONDUCTORES'!AR273="X",1,0)</f>
        <v>0</v>
      </c>
      <c r="AK273" s="15">
        <f>+'ENCUESTA CONDUCTORES'!AS273</f>
        <v>0</v>
      </c>
      <c r="AL273" s="15" t="str">
        <f>+'ENCUESTA CONDUCTORES'!AT273</f>
        <v>CUMMINS</v>
      </c>
      <c r="AM273" s="1">
        <f>+'ENCUESTA CONDUCTORES'!AU273</f>
        <v>4500</v>
      </c>
      <c r="AN273" s="48">
        <f>+'ENCUESTA CONDUCTORES'!AV273</f>
        <v>0.5</v>
      </c>
      <c r="AO273" s="15">
        <f>+'ENCUESTA CONDUCTORES'!AW273</f>
        <v>3.5</v>
      </c>
      <c r="AP273" s="15">
        <f>+'ENCUESTA CONDUCTORES'!AX273</f>
        <v>3.2</v>
      </c>
      <c r="AQ273" s="15">
        <f>+'ENCUESTA CONDUCTORES'!AY273</f>
        <v>2</v>
      </c>
      <c r="AR273" s="15">
        <f>+'ENCUESTA CONDUCTORES'!AZ273</f>
        <v>750</v>
      </c>
      <c r="AS273" s="15">
        <f>+'ENCUESTA CONDUCTORES'!BA273</f>
        <v>1800</v>
      </c>
      <c r="AT273" s="15">
        <f>IF('ENCUESTA CONDUCTORES'!BB273="X",1,0)</f>
        <v>1</v>
      </c>
      <c r="AU273" s="15">
        <f>IF('ENCUESTA CONDUCTORES'!BC273="X",1,0)</f>
        <v>1</v>
      </c>
      <c r="AV273" s="15">
        <f>IF('ENCUESTA CONDUCTORES'!BD273="X",1,0)</f>
        <v>0</v>
      </c>
      <c r="AW273" s="1">
        <f>+'ENCUESTA CONDUCTORES'!BE273</f>
        <v>6000</v>
      </c>
      <c r="AX273" s="1">
        <f>+'ENCUESTA CONDUCTORES'!BF273</f>
        <v>30000</v>
      </c>
      <c r="AY273" s="1">
        <f>+'ENCUESTA CONDUCTORES'!BG273</f>
        <v>25000</v>
      </c>
      <c r="AZ273" s="1">
        <f>+'ENCUESTA CONDUCTORES'!BH273</f>
        <v>81000</v>
      </c>
      <c r="BA273" s="1">
        <f>+'ENCUESTA CONDUCTORES'!BI273</f>
        <v>25000</v>
      </c>
      <c r="BB273" s="15">
        <f>IF('ENCUESTA CONDUCTORES'!BJ273="X",1,0)</f>
        <v>0</v>
      </c>
      <c r="BC273" s="15">
        <f>IF('ENCUESTA CONDUCTORES'!BK273="X",1,0)</f>
        <v>0</v>
      </c>
      <c r="BD273" s="15">
        <f>IF('ENCUESTA CONDUCTORES'!BL273="X",1,0)</f>
        <v>0</v>
      </c>
      <c r="BE273" s="15">
        <f>IF('ENCUESTA CONDUCTORES'!BM273="X",1,0)</f>
        <v>0</v>
      </c>
      <c r="BF273" s="15">
        <f>IF('ENCUESTA CONDUCTORES'!BN273="X",1,0)</f>
        <v>0</v>
      </c>
      <c r="BG273" s="15">
        <f>IF('ENCUESTA CONDUCTORES'!BO273="X",1,0)</f>
        <v>0</v>
      </c>
      <c r="BH273" s="15">
        <f>IF('ENCUESTA CONDUCTORES'!BP273="X",1,0)</f>
        <v>0</v>
      </c>
      <c r="BI273" s="15">
        <f>IF('ENCUESTA CONDUCTORES'!BQ273="X",1,0)</f>
        <v>0</v>
      </c>
      <c r="BJ273" s="15">
        <f>IF('ENCUESTA CONDUCTORES'!BR273="X",1,0)</f>
        <v>0</v>
      </c>
      <c r="BK273" s="15" t="str">
        <f>+'ENCUESTA CONDUCTORES'!BS273</f>
        <v>GENERAL</v>
      </c>
      <c r="BL273" s="15">
        <f>IF('ENCUESTA CONDUCTORES'!BT273="X",1,0)</f>
        <v>0</v>
      </c>
      <c r="BM273" s="15">
        <f>IF('ENCUESTA CONDUCTORES'!BU273="X",1,0)</f>
        <v>1</v>
      </c>
      <c r="BN273" s="15">
        <f>IF('ENCUESTA CONDUCTORES'!BV273="X",1,0)</f>
        <v>0</v>
      </c>
      <c r="BO273" s="15">
        <f>IF('ENCUESTA CONDUCTORES'!BW273="X",1,0)</f>
        <v>0</v>
      </c>
      <c r="BP273" s="15">
        <f>+'ENCUESTA CONDUCTORES'!BX273</f>
        <v>1</v>
      </c>
      <c r="BQ273" s="15">
        <f>+'ENCUESTA CONDUCTORES'!BY273</f>
        <v>3</v>
      </c>
      <c r="BR273" s="15">
        <f>+'ENCUESTA CONDUCTORES'!BZ273</f>
        <v>2</v>
      </c>
      <c r="BS273" s="15">
        <f>+'ENCUESTA CONDUCTORES'!CA273</f>
        <v>0</v>
      </c>
      <c r="BT273" s="15">
        <f>IF('ENCUESTA CONDUCTORES'!CB273="X",1,0)</f>
        <v>0</v>
      </c>
      <c r="BU273" s="15">
        <f>IF('ENCUESTA CONDUCTORES'!CC273="X",1,0)</f>
        <v>1</v>
      </c>
      <c r="BV273" s="15">
        <f>IF('ENCUESTA CONDUCTORES'!CD273="X",1,0)</f>
        <v>0</v>
      </c>
      <c r="BW273" s="15">
        <f>IF('ENCUESTA CONDUCTORES'!CE273="X",1,0)</f>
        <v>0</v>
      </c>
      <c r="BX273" s="15">
        <f>IF('ENCUESTA CONDUCTORES'!CF273="X",1,0)</f>
        <v>0</v>
      </c>
      <c r="BY273" s="15">
        <f>IF('ENCUESTA CONDUCTORES'!CG273="X",1,0)</f>
        <v>1</v>
      </c>
      <c r="BZ273" s="15">
        <f>IF('ENCUESTA CONDUCTORES'!CH273="X",1,0)</f>
        <v>1</v>
      </c>
      <c r="CA273" s="15">
        <f>IF('ENCUESTA CONDUCTORES'!CI273="X",1,0)</f>
        <v>1</v>
      </c>
      <c r="CB273" s="15">
        <f>IF('ENCUESTA CONDUCTORES'!CJ273="X",1,0)</f>
        <v>0</v>
      </c>
      <c r="CC273" s="15">
        <f>IF('ENCUESTA CONDUCTORES'!CK273="X",1,0)</f>
        <v>1</v>
      </c>
      <c r="CD273" s="15">
        <f>IF('ENCUESTA CONDUCTORES'!CL273="X",1,0)</f>
        <v>0</v>
      </c>
      <c r="CE273" s="15">
        <f>IF('ENCUESTA CONDUCTORES'!CM273="X",1,0)</f>
        <v>0</v>
      </c>
      <c r="CF273" s="15">
        <f>+'ENCUESTA CONDUCTORES'!CN273</f>
        <v>0</v>
      </c>
      <c r="CG273" s="15">
        <f>IF('ENCUESTA CONDUCTORES'!CO273="X",1,0)</f>
        <v>0</v>
      </c>
      <c r="CH273" s="15" t="str">
        <f>+'ENCUESTA CONDUCTORES'!CP273</f>
        <v>NO SABE</v>
      </c>
      <c r="CI273" s="15" t="str">
        <f>+'ENCUESTA CONDUCTORES'!CQ273</f>
        <v>MAYOR INFORMACION</v>
      </c>
      <c r="CJ273" s="15">
        <f>IF('ENCUESTA CONDUCTORES'!CR273="X",1,0)</f>
        <v>1</v>
      </c>
      <c r="CK273" s="15">
        <f>IF('ENCUESTA CONDUCTORES'!CS273="X",1,0)</f>
        <v>0</v>
      </c>
      <c r="CL273" s="15">
        <f>IF('ENCUESTA CONDUCTORES'!CT273="X",1,0)</f>
        <v>0</v>
      </c>
      <c r="CM273" s="15">
        <f>+'ENCUESTA CONDUCTORES'!CU273</f>
        <v>0</v>
      </c>
      <c r="CN273" s="15">
        <f>IF('ENCUESTA CONDUCTORES'!CV273="X",1,0)</f>
        <v>0</v>
      </c>
      <c r="CO273" s="15">
        <f>+'ENCUESTA CONDUCTORES'!CW273</f>
        <v>0</v>
      </c>
      <c r="CP273" s="15">
        <f>IF('ENCUESTA CONDUCTORES'!CX273="X",1,0)</f>
        <v>1</v>
      </c>
      <c r="CQ273" s="15">
        <f>IF('ENCUESTA CONDUCTORES'!CY273="X",1,0)</f>
        <v>1</v>
      </c>
      <c r="CR273" s="3">
        <f>+'ENCUESTA CONDUCTORES'!CZ273</f>
        <v>0</v>
      </c>
      <c r="CS273" s="49">
        <f>+'ENCUESTA CONDUCTORES'!DA273</f>
        <v>0</v>
      </c>
    </row>
    <row r="274" spans="2:97" x14ac:dyDescent="0.25">
      <c r="B274" s="14" t="str">
        <f>+'ENCUESTA CONDUCTORES'!D274</f>
        <v>C-285</v>
      </c>
      <c r="C274" s="15">
        <f>IF('ENCUESTA CONDUCTORES'!E274="X",1,0)</f>
        <v>0</v>
      </c>
      <c r="D274" s="15">
        <f>IF('ENCUESTA CONDUCTORES'!F274="X",1,0)</f>
        <v>0</v>
      </c>
      <c r="E274" s="15">
        <f>IF('ENCUESTA CONDUCTORES'!G274="X",1,0)</f>
        <v>0</v>
      </c>
      <c r="F274" s="15">
        <f>IF('ENCUESTA CONDUCTORES'!H274="X",1,0)</f>
        <v>1</v>
      </c>
      <c r="G274" s="15">
        <f>+'ENCUESTA CONDUCTORES'!I274</f>
        <v>45</v>
      </c>
      <c r="H274" s="15" t="str">
        <f>+'ENCUESTA CONDUCTORES'!J274</f>
        <v>M</v>
      </c>
      <c r="I274" s="15" t="str">
        <f>+'ENCUESTA CONDUCTORES'!K274</f>
        <v>PRIMARIA</v>
      </c>
      <c r="J274" s="15" t="str">
        <f>+'ENCUESTA CONDUCTORES'!L274</f>
        <v>LOS REYES LA PAZ, EDO. DE MEX.</v>
      </c>
      <c r="K274" s="15" t="str">
        <f>+'ENCUESTA CONDUCTORES'!M274</f>
        <v>LOS REYES LA PAZ</v>
      </c>
      <c r="L274" s="15" t="str">
        <f>+'ENCUESTA CONDUCTORES'!N274</f>
        <v>EDO. MEX.</v>
      </c>
      <c r="M274" s="15">
        <f>+'ENCUESTA CONDUCTORES'!O274</f>
        <v>26</v>
      </c>
      <c r="N274" s="15">
        <f>IF('ENCUESTA CONDUCTORES'!P274="X",1,0)</f>
        <v>1</v>
      </c>
      <c r="O274" s="15">
        <f>IF('ENCUESTA CONDUCTORES'!Q274="X",1,0)</f>
        <v>0</v>
      </c>
      <c r="P274" s="15">
        <f>IF('ENCUESTA CONDUCTORES'!R274="X",1,0)</f>
        <v>0</v>
      </c>
      <c r="Q274" s="15">
        <f>IF('ENCUESTA CONDUCTORES'!S274="X",1,0)</f>
        <v>0</v>
      </c>
      <c r="R274" s="15">
        <f>IF('ENCUESTA CONDUCTORES'!T274="X",1,0)</f>
        <v>0</v>
      </c>
      <c r="S274" s="15">
        <f>IF('ENCUESTA CONDUCTORES'!U274="X",1,0)</f>
        <v>1</v>
      </c>
      <c r="T274" s="15">
        <f>IF('ENCUESTA CONDUCTORES'!V274="X",1,0)</f>
        <v>0</v>
      </c>
      <c r="U274" s="15">
        <f>IF('ENCUESTA CONDUCTORES'!W274="X",1,0)</f>
        <v>0</v>
      </c>
      <c r="V274" s="15">
        <f>IF('ENCUESTA CONDUCTORES'!X274="X",1,0)</f>
        <v>0</v>
      </c>
      <c r="W274" s="15">
        <f>IF('ENCUESTA CONDUCTORES'!Y274="X",1,0)</f>
        <v>0</v>
      </c>
      <c r="X274" s="15">
        <f>IF('ENCUESTA CONDUCTORES'!Z274="X",1,0)</f>
        <v>0</v>
      </c>
      <c r="Y274" s="15">
        <f>+'ENCUESTA CONDUCTORES'!AG274</f>
        <v>0</v>
      </c>
      <c r="Z274" s="15">
        <f>+'ENCUESTA CONDUCTORES'!AH274</f>
        <v>1993</v>
      </c>
      <c r="AA274" s="1">
        <f>+'ENCUESTA CONDUCTORES'!AI274</f>
        <v>700000</v>
      </c>
      <c r="AB274" s="15">
        <f>IF('ENCUESTA CONDUCTORES'!AJ274="X",1,0)</f>
        <v>0</v>
      </c>
      <c r="AC274" s="15">
        <f>IF('ENCUESTA CONDUCTORES'!AK274="X",1,0)</f>
        <v>0</v>
      </c>
      <c r="AD274" s="15">
        <f>IF('ENCUESTA CONDUCTORES'!AL274="X",1,0)</f>
        <v>1</v>
      </c>
      <c r="AE274" s="15">
        <f>IF('ENCUESTA CONDUCTORES'!AM274="X",1,0)</f>
        <v>0</v>
      </c>
      <c r="AF274" s="15">
        <f>IF('ENCUESTA CONDUCTORES'!AN274="X",1,0)</f>
        <v>0</v>
      </c>
      <c r="AG274" s="15">
        <f>IF('ENCUESTA CONDUCTORES'!AO274="X",1,0)</f>
        <v>0</v>
      </c>
      <c r="AH274" s="15">
        <f>IF('ENCUESTA CONDUCTORES'!AP274="X",1,0)</f>
        <v>1</v>
      </c>
      <c r="AI274" s="15">
        <f>IF('ENCUESTA CONDUCTORES'!AQ274="X",1,0)</f>
        <v>0</v>
      </c>
      <c r="AJ274" s="15">
        <f>IF('ENCUESTA CONDUCTORES'!AR274="X",1,0)</f>
        <v>0</v>
      </c>
      <c r="AK274" s="15">
        <f>+'ENCUESTA CONDUCTORES'!AS274</f>
        <v>0</v>
      </c>
      <c r="AL274" s="15" t="str">
        <f>+'ENCUESTA CONDUCTORES'!AT274</f>
        <v>FREIGHTLINER</v>
      </c>
      <c r="AM274" s="1">
        <f>+'ENCUESTA CONDUCTORES'!AU274</f>
        <v>4000</v>
      </c>
      <c r="AN274" s="48">
        <f>+'ENCUESTA CONDUCTORES'!AV274</f>
        <v>0.5</v>
      </c>
      <c r="AO274" s="15">
        <f>+'ENCUESTA CONDUCTORES'!AW274</f>
        <v>2.8</v>
      </c>
      <c r="AP274" s="15">
        <f>+'ENCUESTA CONDUCTORES'!AX274</f>
        <v>2.5</v>
      </c>
      <c r="AQ274" s="15">
        <f>+'ENCUESTA CONDUCTORES'!AY274</f>
        <v>2</v>
      </c>
      <c r="AR274" s="15">
        <f>+'ENCUESTA CONDUCTORES'!AZ274</f>
        <v>580</v>
      </c>
      <c r="AS274" s="15">
        <f>+'ENCUESTA CONDUCTORES'!BA274</f>
        <v>1500</v>
      </c>
      <c r="AT274" s="15">
        <f>IF('ENCUESTA CONDUCTORES'!BB274="X",1,0)</f>
        <v>0</v>
      </c>
      <c r="AU274" s="15">
        <f>IF('ENCUESTA CONDUCTORES'!BC274="X",1,0)</f>
        <v>1</v>
      </c>
      <c r="AV274" s="15">
        <f>IF('ENCUESTA CONDUCTORES'!BD274="X",1,0)</f>
        <v>0</v>
      </c>
      <c r="AW274" s="1">
        <f>+'ENCUESTA CONDUCTORES'!BE274</f>
        <v>15000</v>
      </c>
      <c r="AX274" s="1">
        <f>+'ENCUESTA CONDUCTORES'!BF274</f>
        <v>20000</v>
      </c>
      <c r="AY274" s="1">
        <f>+'ENCUESTA CONDUCTORES'!BG274</f>
        <v>30000</v>
      </c>
      <c r="AZ274" s="1">
        <f>+'ENCUESTA CONDUCTORES'!BH274</f>
        <v>150000</v>
      </c>
      <c r="BA274" s="1">
        <f>+'ENCUESTA CONDUCTORES'!BI274</f>
        <v>30000</v>
      </c>
      <c r="BB274" s="15">
        <f>IF('ENCUESTA CONDUCTORES'!BJ274="X",1,0)</f>
        <v>0</v>
      </c>
      <c r="BC274" s="15">
        <f>IF('ENCUESTA CONDUCTORES'!BK274="X",1,0)</f>
        <v>0</v>
      </c>
      <c r="BD274" s="15">
        <f>IF('ENCUESTA CONDUCTORES'!BL274="X",1,0)</f>
        <v>0</v>
      </c>
      <c r="BE274" s="15">
        <f>IF('ENCUESTA CONDUCTORES'!BM274="X",1,0)</f>
        <v>0</v>
      </c>
      <c r="BF274" s="15">
        <f>IF('ENCUESTA CONDUCTORES'!BN274="X",1,0)</f>
        <v>0</v>
      </c>
      <c r="BG274" s="15">
        <f>IF('ENCUESTA CONDUCTORES'!BO274="X",1,0)</f>
        <v>0</v>
      </c>
      <c r="BH274" s="15">
        <f>IF('ENCUESTA CONDUCTORES'!BP274="X",1,0)</f>
        <v>0</v>
      </c>
      <c r="BI274" s="15">
        <f>IF('ENCUESTA CONDUCTORES'!BQ274="X",1,0)</f>
        <v>0</v>
      </c>
      <c r="BJ274" s="15">
        <f>IF('ENCUESTA CONDUCTORES'!BR274="X",1,0)</f>
        <v>0</v>
      </c>
      <c r="BK274" s="15" t="str">
        <f>+'ENCUESTA CONDUCTORES'!BS274</f>
        <v>GENERAL</v>
      </c>
      <c r="BL274" s="15">
        <f>IF('ENCUESTA CONDUCTORES'!BT274="X",1,0)</f>
        <v>0</v>
      </c>
      <c r="BM274" s="15">
        <f>IF('ENCUESTA CONDUCTORES'!BU274="X",1,0)</f>
        <v>0</v>
      </c>
      <c r="BN274" s="15">
        <f>IF('ENCUESTA CONDUCTORES'!BV274="X",1,0)</f>
        <v>1</v>
      </c>
      <c r="BO274" s="15">
        <f>IF('ENCUESTA CONDUCTORES'!BW274="X",1,0)</f>
        <v>0</v>
      </c>
      <c r="BP274" s="15">
        <f>+'ENCUESTA CONDUCTORES'!BX274</f>
        <v>0</v>
      </c>
      <c r="BQ274" s="15">
        <f>+'ENCUESTA CONDUCTORES'!BY274</f>
        <v>0</v>
      </c>
      <c r="BR274" s="15">
        <f>+'ENCUESTA CONDUCTORES'!BZ274</f>
        <v>0</v>
      </c>
      <c r="BS274" s="15" t="str">
        <f>+'ENCUESTA CONDUCTORES'!CA274</f>
        <v>ES LOCAL</v>
      </c>
      <c r="BT274" s="15">
        <f>IF('ENCUESTA CONDUCTORES'!CB274="X",1,0)</f>
        <v>1</v>
      </c>
      <c r="BU274" s="15">
        <f>IF('ENCUESTA CONDUCTORES'!CC274="X",1,0)</f>
        <v>0</v>
      </c>
      <c r="BV274" s="15">
        <f>IF('ENCUESTA CONDUCTORES'!CD274="X",1,0)</f>
        <v>0</v>
      </c>
      <c r="BW274" s="15">
        <f>IF('ENCUESTA CONDUCTORES'!CE274="X",1,0)</f>
        <v>0</v>
      </c>
      <c r="BX274" s="15">
        <f>IF('ENCUESTA CONDUCTORES'!CF274="X",1,0)</f>
        <v>0</v>
      </c>
      <c r="BY274" s="15">
        <f>IF('ENCUESTA CONDUCTORES'!CG274="X",1,0)</f>
        <v>0</v>
      </c>
      <c r="BZ274" s="15">
        <f>IF('ENCUESTA CONDUCTORES'!CH274="X",1,0)</f>
        <v>0</v>
      </c>
      <c r="CA274" s="15">
        <f>IF('ENCUESTA CONDUCTORES'!CI274="X",1,0)</f>
        <v>0</v>
      </c>
      <c r="CB274" s="15">
        <f>IF('ENCUESTA CONDUCTORES'!CJ274="X",1,0)</f>
        <v>0</v>
      </c>
      <c r="CC274" s="15">
        <f>IF('ENCUESTA CONDUCTORES'!CK274="X",1,0)</f>
        <v>1</v>
      </c>
      <c r="CD274" s="15">
        <f>IF('ENCUESTA CONDUCTORES'!CL274="X",1,0)</f>
        <v>0</v>
      </c>
      <c r="CE274" s="15">
        <f>IF('ENCUESTA CONDUCTORES'!CM274="X",1,0)</f>
        <v>0</v>
      </c>
      <c r="CF274" s="15">
        <f>+'ENCUESTA CONDUCTORES'!CN274</f>
        <v>0</v>
      </c>
      <c r="CG274" s="15">
        <f>IF('ENCUESTA CONDUCTORES'!CO274="X",1,0)</f>
        <v>0</v>
      </c>
      <c r="CH274" s="15" t="str">
        <f>+'ENCUESTA CONDUCTORES'!CP274</f>
        <v>NO SABE</v>
      </c>
      <c r="CI274" s="15" t="str">
        <f>+'ENCUESTA CONDUCTORES'!CQ274</f>
        <v>MAYOR INFORMACION</v>
      </c>
      <c r="CJ274" s="15">
        <f>IF('ENCUESTA CONDUCTORES'!CR274="X",1,0)</f>
        <v>0</v>
      </c>
      <c r="CK274" s="15">
        <f>IF('ENCUESTA CONDUCTORES'!CS274="X",1,0)</f>
        <v>0</v>
      </c>
      <c r="CL274" s="15">
        <f>IF('ENCUESTA CONDUCTORES'!CT274="X",1,0)</f>
        <v>0</v>
      </c>
      <c r="CM274" s="15" t="str">
        <f>+'ENCUESTA CONDUCTORES'!CU274</f>
        <v>MANEJO A LA DEFENSIVA</v>
      </c>
      <c r="CN274" s="15">
        <f>IF('ENCUESTA CONDUCTORES'!CV274="X",1,0)</f>
        <v>0</v>
      </c>
      <c r="CO274" s="15">
        <f>+'ENCUESTA CONDUCTORES'!CW274</f>
        <v>0</v>
      </c>
      <c r="CP274" s="15">
        <f>IF('ENCUESTA CONDUCTORES'!CX274="X",1,0)</f>
        <v>0</v>
      </c>
      <c r="CQ274" s="15">
        <f>IF('ENCUESTA CONDUCTORES'!CY274="X",1,0)</f>
        <v>1</v>
      </c>
      <c r="CR274" s="3">
        <f>+'ENCUESTA CONDUCTORES'!CZ274</f>
        <v>0</v>
      </c>
      <c r="CS274" s="49">
        <f>+'ENCUESTA CONDUCTORES'!DA274</f>
        <v>0</v>
      </c>
    </row>
    <row r="275" spans="2:97" x14ac:dyDescent="0.25">
      <c r="B275" s="14" t="str">
        <f>+'ENCUESTA CONDUCTORES'!D275</f>
        <v>C-286</v>
      </c>
      <c r="C275" s="15">
        <f>IF('ENCUESTA CONDUCTORES'!E275="X",1,0)</f>
        <v>0</v>
      </c>
      <c r="D275" s="15">
        <f>IF('ENCUESTA CONDUCTORES'!F275="X",1,0)</f>
        <v>1</v>
      </c>
      <c r="E275" s="15">
        <f>IF('ENCUESTA CONDUCTORES'!G275="X",1,0)</f>
        <v>0</v>
      </c>
      <c r="F275" s="15">
        <f>IF('ENCUESTA CONDUCTORES'!H275="X",1,0)</f>
        <v>0</v>
      </c>
      <c r="G275" s="15">
        <f>+'ENCUESTA CONDUCTORES'!I275</f>
        <v>29</v>
      </c>
      <c r="H275" s="15" t="str">
        <f>+'ENCUESTA CONDUCTORES'!J275</f>
        <v>M</v>
      </c>
      <c r="I275" s="15" t="str">
        <f>+'ENCUESTA CONDUCTORES'!K275</f>
        <v>SECUNDARIA</v>
      </c>
      <c r="J275" s="15" t="str">
        <f>+'ENCUESTA CONDUCTORES'!L275</f>
        <v>D.F. IZTACALCO</v>
      </c>
      <c r="K275" s="15" t="str">
        <f>+'ENCUESTA CONDUCTORES'!M275</f>
        <v>IZTACALCO</v>
      </c>
      <c r="L275" s="15" t="str">
        <f>+'ENCUESTA CONDUCTORES'!N275</f>
        <v>D.F.</v>
      </c>
      <c r="M275" s="15">
        <f>+'ENCUESTA CONDUCTORES'!O275</f>
        <v>5</v>
      </c>
      <c r="N275" s="15">
        <f>IF('ENCUESTA CONDUCTORES'!P275="X",1,0)</f>
        <v>1</v>
      </c>
      <c r="O275" s="15">
        <f>IF('ENCUESTA CONDUCTORES'!Q275="X",1,0)</f>
        <v>0</v>
      </c>
      <c r="P275" s="15">
        <f>IF('ENCUESTA CONDUCTORES'!R275="X",1,0)</f>
        <v>0</v>
      </c>
      <c r="Q275" s="15">
        <f>IF('ENCUESTA CONDUCTORES'!S275="X",1,0)</f>
        <v>0</v>
      </c>
      <c r="R275" s="15">
        <f>IF('ENCUESTA CONDUCTORES'!T275="X",1,0)</f>
        <v>0</v>
      </c>
      <c r="S275" s="15">
        <f>IF('ENCUESTA CONDUCTORES'!U275="X",1,0)</f>
        <v>1</v>
      </c>
      <c r="T275" s="15">
        <f>IF('ENCUESTA CONDUCTORES'!V275="X",1,0)</f>
        <v>0</v>
      </c>
      <c r="U275" s="15">
        <f>IF('ENCUESTA CONDUCTORES'!W275="X",1,0)</f>
        <v>0</v>
      </c>
      <c r="V275" s="15">
        <f>IF('ENCUESTA CONDUCTORES'!X275="X",1,0)</f>
        <v>0</v>
      </c>
      <c r="W275" s="15">
        <f>IF('ENCUESTA CONDUCTORES'!Y275="X",1,0)</f>
        <v>0</v>
      </c>
      <c r="X275" s="15">
        <f>IF('ENCUESTA CONDUCTORES'!Z275="X",1,0)</f>
        <v>0</v>
      </c>
      <c r="Y275" s="15">
        <f>+'ENCUESTA CONDUCTORES'!AG275</f>
        <v>0</v>
      </c>
      <c r="Z275" s="15">
        <f>+'ENCUESTA CONDUCTORES'!AH275</f>
        <v>2005</v>
      </c>
      <c r="AA275" s="1">
        <f>+'ENCUESTA CONDUCTORES'!AI275</f>
        <v>300000</v>
      </c>
      <c r="AB275" s="15">
        <f>IF('ENCUESTA CONDUCTORES'!AJ275="X",1,0)</f>
        <v>0</v>
      </c>
      <c r="AC275" s="15">
        <f>IF('ENCUESTA CONDUCTORES'!AK275="X",1,0)</f>
        <v>0</v>
      </c>
      <c r="AD275" s="15">
        <f>IF('ENCUESTA CONDUCTORES'!AL275="X",1,0)</f>
        <v>1</v>
      </c>
      <c r="AE275" s="15">
        <f>IF('ENCUESTA CONDUCTORES'!AM275="X",1,0)</f>
        <v>0</v>
      </c>
      <c r="AF275" s="15">
        <f>IF('ENCUESTA CONDUCTORES'!AN275="X",1,0)</f>
        <v>0</v>
      </c>
      <c r="AG275" s="15">
        <f>IF('ENCUESTA CONDUCTORES'!AO275="X",1,0)</f>
        <v>0</v>
      </c>
      <c r="AH275" s="15">
        <f>IF('ENCUESTA CONDUCTORES'!AP275="X",1,0)</f>
        <v>1</v>
      </c>
      <c r="AI275" s="15">
        <f>IF('ENCUESTA CONDUCTORES'!AQ275="X",1,0)</f>
        <v>0</v>
      </c>
      <c r="AJ275" s="15">
        <f>IF('ENCUESTA CONDUCTORES'!AR275="X",1,0)</f>
        <v>0</v>
      </c>
      <c r="AK275" s="15">
        <f>+'ENCUESTA CONDUCTORES'!AS275</f>
        <v>0</v>
      </c>
      <c r="AL275" s="15" t="str">
        <f>+'ENCUESTA CONDUCTORES'!AT275</f>
        <v>FORD</v>
      </c>
      <c r="AM275" s="1">
        <f>+'ENCUESTA CONDUCTORES'!AU275</f>
        <v>1200</v>
      </c>
      <c r="AN275" s="48">
        <f>+'ENCUESTA CONDUCTORES'!AV275</f>
        <v>0.5</v>
      </c>
      <c r="AO275" s="15">
        <f>+'ENCUESTA CONDUCTORES'!AW275</f>
        <v>5</v>
      </c>
      <c r="AP275" s="15">
        <f>+'ENCUESTA CONDUCTORES'!AX275</f>
        <v>4</v>
      </c>
      <c r="AQ275" s="15">
        <f>+'ENCUESTA CONDUCTORES'!AY275</f>
        <v>1</v>
      </c>
      <c r="AR275" s="15">
        <f>+'ENCUESTA CONDUCTORES'!AZ275</f>
        <v>100</v>
      </c>
      <c r="AS275" s="15">
        <f>+'ENCUESTA CONDUCTORES'!BA275</f>
        <v>400</v>
      </c>
      <c r="AT275" s="15">
        <f>IF('ENCUESTA CONDUCTORES'!BB275="X",1,0)</f>
        <v>0</v>
      </c>
      <c r="AU275" s="15">
        <f>IF('ENCUESTA CONDUCTORES'!BC275="X",1,0)</f>
        <v>0</v>
      </c>
      <c r="AV275" s="15">
        <f>IF('ENCUESTA CONDUCTORES'!BD275="X",1,0)</f>
        <v>1</v>
      </c>
      <c r="AW275" s="1">
        <f>+'ENCUESTA CONDUCTORES'!BE275</f>
        <v>20000</v>
      </c>
      <c r="AX275" s="1">
        <f>+'ENCUESTA CONDUCTORES'!BF275</f>
        <v>24000</v>
      </c>
      <c r="AY275" s="1">
        <f>+'ENCUESTA CONDUCTORES'!BG275</f>
        <v>60000</v>
      </c>
      <c r="AZ275" s="1">
        <f>+'ENCUESTA CONDUCTORES'!BH275</f>
        <v>28000</v>
      </c>
      <c r="BA275" s="1" t="str">
        <f>+'ENCUESTA CONDUCTORES'!BI275</f>
        <v>NO APLICA</v>
      </c>
      <c r="BB275" s="15">
        <f>IF('ENCUESTA CONDUCTORES'!BJ275="X",1,0)</f>
        <v>0</v>
      </c>
      <c r="BC275" s="15">
        <f>IF('ENCUESTA CONDUCTORES'!BK275="X",1,0)</f>
        <v>0</v>
      </c>
      <c r="BD275" s="15">
        <f>IF('ENCUESTA CONDUCTORES'!BL275="X",1,0)</f>
        <v>0</v>
      </c>
      <c r="BE275" s="15">
        <f>IF('ENCUESTA CONDUCTORES'!BM275="X",1,0)</f>
        <v>0</v>
      </c>
      <c r="BF275" s="15">
        <f>IF('ENCUESTA CONDUCTORES'!BN275="X",1,0)</f>
        <v>0</v>
      </c>
      <c r="BG275" s="15">
        <f>IF('ENCUESTA CONDUCTORES'!BO275="X",1,0)</f>
        <v>0</v>
      </c>
      <c r="BH275" s="15">
        <f>IF('ENCUESTA CONDUCTORES'!BP275="X",1,0)</f>
        <v>0</v>
      </c>
      <c r="BI275" s="15">
        <f>IF('ENCUESTA CONDUCTORES'!BQ275="X",1,0)</f>
        <v>0</v>
      </c>
      <c r="BJ275" s="15">
        <f>IF('ENCUESTA CONDUCTORES'!BR275="X",1,0)</f>
        <v>0</v>
      </c>
      <c r="BK275" s="15" t="str">
        <f>+'ENCUESTA CONDUCTORES'!BS275</f>
        <v>GENERAL</v>
      </c>
      <c r="BL275" s="15">
        <f>IF('ENCUESTA CONDUCTORES'!BT275="X",1,0)</f>
        <v>0</v>
      </c>
      <c r="BM275" s="15">
        <f>IF('ENCUESTA CONDUCTORES'!BU275="X",1,0)</f>
        <v>0</v>
      </c>
      <c r="BN275" s="15">
        <f>IF('ENCUESTA CONDUCTORES'!BV275="X",1,0)</f>
        <v>1</v>
      </c>
      <c r="BO275" s="15">
        <f>IF('ENCUESTA CONDUCTORES'!BW275="X",1,0)</f>
        <v>0</v>
      </c>
      <c r="BP275" s="15">
        <f>+'ENCUESTA CONDUCTORES'!BX275</f>
        <v>0</v>
      </c>
      <c r="BQ275" s="15">
        <f>+'ENCUESTA CONDUCTORES'!BY275</f>
        <v>0</v>
      </c>
      <c r="BR275" s="15">
        <f>+'ENCUESTA CONDUCTORES'!BZ275</f>
        <v>0</v>
      </c>
      <c r="BS275" s="15" t="str">
        <f>+'ENCUESTA CONDUCTORES'!CA275</f>
        <v>ES LOCAL</v>
      </c>
      <c r="BT275" s="15">
        <f>IF('ENCUESTA CONDUCTORES'!CB275="X",1,0)</f>
        <v>1</v>
      </c>
      <c r="BU275" s="15">
        <f>IF('ENCUESTA CONDUCTORES'!CC275="X",1,0)</f>
        <v>0</v>
      </c>
      <c r="BV275" s="15">
        <f>IF('ENCUESTA CONDUCTORES'!CD275="X",1,0)</f>
        <v>0</v>
      </c>
      <c r="BW275" s="15">
        <f>IF('ENCUESTA CONDUCTORES'!CE275="X",1,0)</f>
        <v>0</v>
      </c>
      <c r="BX275" s="15">
        <f>IF('ENCUESTA CONDUCTORES'!CF275="X",1,0)</f>
        <v>0</v>
      </c>
      <c r="BY275" s="15">
        <f>IF('ENCUESTA CONDUCTORES'!CG275="X",1,0)</f>
        <v>0</v>
      </c>
      <c r="BZ275" s="15">
        <f>IF('ENCUESTA CONDUCTORES'!CH275="X",1,0)</f>
        <v>0</v>
      </c>
      <c r="CA275" s="15">
        <f>IF('ENCUESTA CONDUCTORES'!CI275="X",1,0)</f>
        <v>0</v>
      </c>
      <c r="CB275" s="15">
        <f>IF('ENCUESTA CONDUCTORES'!CJ275="X",1,0)</f>
        <v>0</v>
      </c>
      <c r="CC275" s="15">
        <f>IF('ENCUESTA CONDUCTORES'!CK275="X",1,0)</f>
        <v>1</v>
      </c>
      <c r="CD275" s="15">
        <f>IF('ENCUESTA CONDUCTORES'!CL275="X",1,0)</f>
        <v>0</v>
      </c>
      <c r="CE275" s="15">
        <f>IF('ENCUESTA CONDUCTORES'!CM275="X",1,0)</f>
        <v>0</v>
      </c>
      <c r="CF275" s="15">
        <f>+'ENCUESTA CONDUCTORES'!CN275</f>
        <v>0</v>
      </c>
      <c r="CG275" s="15">
        <f>IF('ENCUESTA CONDUCTORES'!CO275="X",1,0)</f>
        <v>0</v>
      </c>
      <c r="CH275" s="15" t="str">
        <f>+'ENCUESTA CONDUCTORES'!CP275</f>
        <v>NO SABE</v>
      </c>
      <c r="CI275" s="15" t="str">
        <f>+'ENCUESTA CONDUCTORES'!CQ275</f>
        <v>PUBLICIDAD</v>
      </c>
      <c r="CJ275" s="15">
        <f>IF('ENCUESTA CONDUCTORES'!CR275="X",1,0)</f>
        <v>1</v>
      </c>
      <c r="CK275" s="15">
        <f>IF('ENCUESTA CONDUCTORES'!CS275="X",1,0)</f>
        <v>0</v>
      </c>
      <c r="CL275" s="15">
        <f>IF('ENCUESTA CONDUCTORES'!CT275="X",1,0)</f>
        <v>0</v>
      </c>
      <c r="CM275" s="15">
        <f>+'ENCUESTA CONDUCTORES'!CU275</f>
        <v>0</v>
      </c>
      <c r="CN275" s="15">
        <f>IF('ENCUESTA CONDUCTORES'!CV275="X",1,0)</f>
        <v>1</v>
      </c>
      <c r="CO275" s="15" t="str">
        <f>+'ENCUESTA CONDUCTORES'!CW275</f>
        <v>NO SABE CUALES HAY</v>
      </c>
      <c r="CP275" s="15">
        <f>IF('ENCUESTA CONDUCTORES'!CX275="X",1,0)</f>
        <v>0</v>
      </c>
      <c r="CQ275" s="15">
        <f>IF('ENCUESTA CONDUCTORES'!CY275="X",1,0)</f>
        <v>0</v>
      </c>
      <c r="CR275" s="3">
        <f>+'ENCUESTA CONDUCTORES'!CZ275</f>
        <v>0</v>
      </c>
      <c r="CS275" s="49">
        <f>+'ENCUESTA CONDUCTORES'!DA275</f>
        <v>0</v>
      </c>
    </row>
    <row r="276" spans="2:97" x14ac:dyDescent="0.25">
      <c r="B276" s="14" t="str">
        <f>+'ENCUESTA CONDUCTORES'!D276</f>
        <v>C-287</v>
      </c>
      <c r="C276" s="15">
        <f>IF('ENCUESTA CONDUCTORES'!E276="X",1,0)</f>
        <v>0</v>
      </c>
      <c r="D276" s="15">
        <f>IF('ENCUESTA CONDUCTORES'!F276="X",1,0)</f>
        <v>0</v>
      </c>
      <c r="E276" s="15">
        <f>IF('ENCUESTA CONDUCTORES'!G276="X",1,0)</f>
        <v>1</v>
      </c>
      <c r="F276" s="15">
        <f>IF('ENCUESTA CONDUCTORES'!H276="X",1,0)</f>
        <v>0</v>
      </c>
      <c r="G276" s="15">
        <f>+'ENCUESTA CONDUCTORES'!I276</f>
        <v>36</v>
      </c>
      <c r="H276" s="15" t="str">
        <f>+'ENCUESTA CONDUCTORES'!J276</f>
        <v>M</v>
      </c>
      <c r="I276" s="15" t="str">
        <f>+'ENCUESTA CONDUCTORES'!K276</f>
        <v>SECUNDARIA</v>
      </c>
      <c r="J276" s="15" t="str">
        <f>+'ENCUESTA CONDUCTORES'!L276</f>
        <v>D.F. IZTAPALAPA</v>
      </c>
      <c r="K276" s="15" t="str">
        <f>+'ENCUESTA CONDUCTORES'!M276</f>
        <v>IZTAPALAPA</v>
      </c>
      <c r="L276" s="15" t="str">
        <f>+'ENCUESTA CONDUCTORES'!N276</f>
        <v>D.F.</v>
      </c>
      <c r="M276" s="15">
        <f>+'ENCUESTA CONDUCTORES'!O276</f>
        <v>10</v>
      </c>
      <c r="N276" s="15">
        <f>IF('ENCUESTA CONDUCTORES'!P276="X",1,0)</f>
        <v>1</v>
      </c>
      <c r="O276" s="15">
        <f>IF('ENCUESTA CONDUCTORES'!Q276="X",1,0)</f>
        <v>0</v>
      </c>
      <c r="P276" s="15">
        <f>IF('ENCUESTA CONDUCTORES'!R276="X",1,0)</f>
        <v>0</v>
      </c>
      <c r="Q276" s="15">
        <f>IF('ENCUESTA CONDUCTORES'!S276="X",1,0)</f>
        <v>0</v>
      </c>
      <c r="R276" s="15">
        <f>IF('ENCUESTA CONDUCTORES'!T276="X",1,0)</f>
        <v>0</v>
      </c>
      <c r="S276" s="15">
        <f>IF('ENCUESTA CONDUCTORES'!U276="X",1,0)</f>
        <v>1</v>
      </c>
      <c r="T276" s="15">
        <f>IF('ENCUESTA CONDUCTORES'!V276="X",1,0)</f>
        <v>0</v>
      </c>
      <c r="U276" s="15">
        <f>IF('ENCUESTA CONDUCTORES'!W276="X",1,0)</f>
        <v>0</v>
      </c>
      <c r="V276" s="15">
        <f>IF('ENCUESTA CONDUCTORES'!X276="X",1,0)</f>
        <v>0</v>
      </c>
      <c r="W276" s="15">
        <f>IF('ENCUESTA CONDUCTORES'!Y276="X",1,0)</f>
        <v>0</v>
      </c>
      <c r="X276" s="15">
        <f>IF('ENCUESTA CONDUCTORES'!Z276="X",1,0)</f>
        <v>0</v>
      </c>
      <c r="Y276" s="15">
        <f>+'ENCUESTA CONDUCTORES'!AG276</f>
        <v>0</v>
      </c>
      <c r="Z276" s="15">
        <f>+'ENCUESTA CONDUCTORES'!AH276</f>
        <v>1995</v>
      </c>
      <c r="AA276" s="1">
        <f>+'ENCUESTA CONDUCTORES'!AI276</f>
        <v>650000</v>
      </c>
      <c r="AB276" s="15">
        <f>IF('ENCUESTA CONDUCTORES'!AJ276="X",1,0)</f>
        <v>0</v>
      </c>
      <c r="AC276" s="15">
        <f>IF('ENCUESTA CONDUCTORES'!AK276="X",1,0)</f>
        <v>0</v>
      </c>
      <c r="AD276" s="15">
        <f>IF('ENCUESTA CONDUCTORES'!AL276="X",1,0)</f>
        <v>1</v>
      </c>
      <c r="AE276" s="15">
        <f>IF('ENCUESTA CONDUCTORES'!AM276="X",1,0)</f>
        <v>0</v>
      </c>
      <c r="AF276" s="15">
        <f>IF('ENCUESTA CONDUCTORES'!AN276="X",1,0)</f>
        <v>0</v>
      </c>
      <c r="AG276" s="15">
        <f>IF('ENCUESTA CONDUCTORES'!AO276="X",1,0)</f>
        <v>0</v>
      </c>
      <c r="AH276" s="15">
        <f>IF('ENCUESTA CONDUCTORES'!AP276="X",1,0)</f>
        <v>1</v>
      </c>
      <c r="AI276" s="15">
        <f>IF('ENCUESTA CONDUCTORES'!AQ276="X",1,0)</f>
        <v>0</v>
      </c>
      <c r="AJ276" s="15">
        <f>IF('ENCUESTA CONDUCTORES'!AR276="X",1,0)</f>
        <v>0</v>
      </c>
      <c r="AK276" s="15">
        <f>+'ENCUESTA CONDUCTORES'!AS276</f>
        <v>0</v>
      </c>
      <c r="AL276" s="15" t="str">
        <f>+'ENCUESTA CONDUCTORES'!AT276</f>
        <v>MERCEDES BENZ</v>
      </c>
      <c r="AM276" s="1">
        <f>+'ENCUESTA CONDUCTORES'!AU276</f>
        <v>5000</v>
      </c>
      <c r="AN276" s="48">
        <f>+'ENCUESTA CONDUCTORES'!AV276</f>
        <v>0.5</v>
      </c>
      <c r="AO276" s="15">
        <f>+'ENCUESTA CONDUCTORES'!AW276</f>
        <v>2.9</v>
      </c>
      <c r="AP276" s="15">
        <f>+'ENCUESTA CONDUCTORES'!AX276</f>
        <v>2.5</v>
      </c>
      <c r="AQ276" s="15">
        <f>+'ENCUESTA CONDUCTORES'!AY276</f>
        <v>2</v>
      </c>
      <c r="AR276" s="15">
        <f>+'ENCUESTA CONDUCTORES'!AZ276</f>
        <v>670</v>
      </c>
      <c r="AS276" s="15">
        <f>+'ENCUESTA CONDUCTORES'!BA276</f>
        <v>1800</v>
      </c>
      <c r="AT276" s="15">
        <f>IF('ENCUESTA CONDUCTORES'!BB276="X",1,0)</f>
        <v>1</v>
      </c>
      <c r="AU276" s="15">
        <f>IF('ENCUESTA CONDUCTORES'!BC276="X",1,0)</f>
        <v>1</v>
      </c>
      <c r="AV276" s="15">
        <f>IF('ENCUESTA CONDUCTORES'!BD276="X",1,0)</f>
        <v>0</v>
      </c>
      <c r="AW276" s="1">
        <f>+'ENCUESTA CONDUCTORES'!BE276</f>
        <v>10000</v>
      </c>
      <c r="AX276" s="1">
        <f>+'ENCUESTA CONDUCTORES'!BF276</f>
        <v>8000</v>
      </c>
      <c r="AY276" s="1">
        <f>+'ENCUESTA CONDUCTORES'!BG276</f>
        <v>30000</v>
      </c>
      <c r="AZ276" s="1">
        <f>+'ENCUESTA CONDUCTORES'!BH276</f>
        <v>120000</v>
      </c>
      <c r="BA276" s="1">
        <f>+'ENCUESTA CONDUCTORES'!BI276</f>
        <v>30000</v>
      </c>
      <c r="BB276" s="15">
        <f>IF('ENCUESTA CONDUCTORES'!BJ276="X",1,0)</f>
        <v>0</v>
      </c>
      <c r="BC276" s="15">
        <f>IF('ENCUESTA CONDUCTORES'!BK276="X",1,0)</f>
        <v>0</v>
      </c>
      <c r="BD276" s="15">
        <f>IF('ENCUESTA CONDUCTORES'!BL276="X",1,0)</f>
        <v>0</v>
      </c>
      <c r="BE276" s="15">
        <f>IF('ENCUESTA CONDUCTORES'!BM276="X",1,0)</f>
        <v>0</v>
      </c>
      <c r="BF276" s="15">
        <f>IF('ENCUESTA CONDUCTORES'!BN276="X",1,0)</f>
        <v>0</v>
      </c>
      <c r="BG276" s="15">
        <f>IF('ENCUESTA CONDUCTORES'!BO276="X",1,0)</f>
        <v>0</v>
      </c>
      <c r="BH276" s="15">
        <f>IF('ENCUESTA CONDUCTORES'!BP276="X",1,0)</f>
        <v>0</v>
      </c>
      <c r="BI276" s="15">
        <f>IF('ENCUESTA CONDUCTORES'!BQ276="X",1,0)</f>
        <v>0</v>
      </c>
      <c r="BJ276" s="15">
        <f>IF('ENCUESTA CONDUCTORES'!BR276="X",1,0)</f>
        <v>0</v>
      </c>
      <c r="BK276" s="15" t="str">
        <f>+'ENCUESTA CONDUCTORES'!BS276</f>
        <v>GENERAL</v>
      </c>
      <c r="BL276" s="15">
        <f>IF('ENCUESTA CONDUCTORES'!BT276="X",1,0)</f>
        <v>0</v>
      </c>
      <c r="BM276" s="15">
        <f>IF('ENCUESTA CONDUCTORES'!BU276="X",1,0)</f>
        <v>1</v>
      </c>
      <c r="BN276" s="15">
        <f>IF('ENCUESTA CONDUCTORES'!BV276="X",1,0)</f>
        <v>0</v>
      </c>
      <c r="BO276" s="15">
        <f>IF('ENCUESTA CONDUCTORES'!BW276="X",1,0)</f>
        <v>0</v>
      </c>
      <c r="BP276" s="15">
        <f>+'ENCUESTA CONDUCTORES'!BX276</f>
        <v>1</v>
      </c>
      <c r="BQ276" s="15">
        <f>+'ENCUESTA CONDUCTORES'!BY276</f>
        <v>3</v>
      </c>
      <c r="BR276" s="15">
        <f>+'ENCUESTA CONDUCTORES'!BZ276</f>
        <v>2</v>
      </c>
      <c r="BS276" s="15">
        <f>+'ENCUESTA CONDUCTORES'!CA276</f>
        <v>0</v>
      </c>
      <c r="BT276" s="15">
        <f>IF('ENCUESTA CONDUCTORES'!CB276="X",1,0)</f>
        <v>0</v>
      </c>
      <c r="BU276" s="15">
        <f>IF('ENCUESTA CONDUCTORES'!CC276="X",1,0)</f>
        <v>1</v>
      </c>
      <c r="BV276" s="15">
        <f>IF('ENCUESTA CONDUCTORES'!CD276="X",1,0)</f>
        <v>0</v>
      </c>
      <c r="BW276" s="15">
        <f>IF('ENCUESTA CONDUCTORES'!CE276="X",1,0)</f>
        <v>0</v>
      </c>
      <c r="BX276" s="15">
        <f>IF('ENCUESTA CONDUCTORES'!CF276="X",1,0)</f>
        <v>0</v>
      </c>
      <c r="BY276" s="15">
        <f>IF('ENCUESTA CONDUCTORES'!CG276="X",1,0)</f>
        <v>1</v>
      </c>
      <c r="BZ276" s="15">
        <f>IF('ENCUESTA CONDUCTORES'!CH276="X",1,0)</f>
        <v>1</v>
      </c>
      <c r="CA276" s="15">
        <f>IF('ENCUESTA CONDUCTORES'!CI276="X",1,0)</f>
        <v>1</v>
      </c>
      <c r="CB276" s="15">
        <f>IF('ENCUESTA CONDUCTORES'!CJ276="X",1,0)</f>
        <v>0</v>
      </c>
      <c r="CC276" s="15">
        <f>IF('ENCUESTA CONDUCTORES'!CK276="X",1,0)</f>
        <v>1</v>
      </c>
      <c r="CD276" s="15">
        <f>IF('ENCUESTA CONDUCTORES'!CL276="X",1,0)</f>
        <v>0</v>
      </c>
      <c r="CE276" s="15">
        <f>IF('ENCUESTA CONDUCTORES'!CM276="X",1,0)</f>
        <v>0</v>
      </c>
      <c r="CF276" s="15">
        <f>+'ENCUESTA CONDUCTORES'!CN276</f>
        <v>0</v>
      </c>
      <c r="CG276" s="15">
        <f>IF('ENCUESTA CONDUCTORES'!CO276="X",1,0)</f>
        <v>0</v>
      </c>
      <c r="CH276" s="15" t="str">
        <f>+'ENCUESTA CONDUCTORES'!CP276</f>
        <v>NO SABE</v>
      </c>
      <c r="CI276" s="15" t="str">
        <f>+'ENCUESTA CONDUCTORES'!CQ276</f>
        <v>PUBLICIDAD</v>
      </c>
      <c r="CJ276" s="15">
        <f>IF('ENCUESTA CONDUCTORES'!CR276="X",1,0)</f>
        <v>1</v>
      </c>
      <c r="CK276" s="15">
        <f>IF('ENCUESTA CONDUCTORES'!CS276="X",1,0)</f>
        <v>0</v>
      </c>
      <c r="CL276" s="15">
        <f>IF('ENCUESTA CONDUCTORES'!CT276="X",1,0)</f>
        <v>0</v>
      </c>
      <c r="CM276" s="15">
        <f>+'ENCUESTA CONDUCTORES'!CU276</f>
        <v>0</v>
      </c>
      <c r="CN276" s="15">
        <f>IF('ENCUESTA CONDUCTORES'!CV276="X",1,0)</f>
        <v>0</v>
      </c>
      <c r="CO276" s="15">
        <f>+'ENCUESTA CONDUCTORES'!CW276</f>
        <v>0</v>
      </c>
      <c r="CP276" s="15">
        <f>IF('ENCUESTA CONDUCTORES'!CX276="X",1,0)</f>
        <v>0</v>
      </c>
      <c r="CQ276" s="15">
        <f>IF('ENCUESTA CONDUCTORES'!CY276="X",1,0)</f>
        <v>0</v>
      </c>
      <c r="CR276" s="3" t="str">
        <f>+'ENCUESTA CONDUCTORES'!CZ276</f>
        <v>MANEJO A LA DEFENSIVA</v>
      </c>
      <c r="CS276" s="49">
        <f>+'ENCUESTA CONDUCTORES'!DA276</f>
        <v>0</v>
      </c>
    </row>
    <row r="277" spans="2:97" x14ac:dyDescent="0.25">
      <c r="B277" s="14" t="str">
        <f>+'ENCUESTA CONDUCTORES'!D277</f>
        <v>C-288</v>
      </c>
      <c r="C277" s="15">
        <f>IF('ENCUESTA CONDUCTORES'!E277="X",1,0)</f>
        <v>0</v>
      </c>
      <c r="D277" s="15">
        <f>IF('ENCUESTA CONDUCTORES'!F277="X",1,0)</f>
        <v>0</v>
      </c>
      <c r="E277" s="15">
        <f>IF('ENCUESTA CONDUCTORES'!G277="X",1,0)</f>
        <v>1</v>
      </c>
      <c r="F277" s="15">
        <f>IF('ENCUESTA CONDUCTORES'!H277="X",1,0)</f>
        <v>0</v>
      </c>
      <c r="G277" s="15">
        <f>+'ENCUESTA CONDUCTORES'!I277</f>
        <v>40</v>
      </c>
      <c r="H277" s="15" t="str">
        <f>+'ENCUESTA CONDUCTORES'!J277</f>
        <v>M</v>
      </c>
      <c r="I277" s="15" t="str">
        <f>+'ENCUESTA CONDUCTORES'!K277</f>
        <v>SECUNDARIA</v>
      </c>
      <c r="J277" s="15" t="str">
        <f>+'ENCUESTA CONDUCTORES'!L277</f>
        <v>TECAMAC, EDO MEX</v>
      </c>
      <c r="K277" s="15" t="str">
        <f>+'ENCUESTA CONDUCTORES'!M277</f>
        <v>TECAMAC</v>
      </c>
      <c r="L277" s="15" t="str">
        <f>+'ENCUESTA CONDUCTORES'!N277</f>
        <v>EDO. MEX.</v>
      </c>
      <c r="M277" s="15">
        <f>+'ENCUESTA CONDUCTORES'!O277</f>
        <v>23</v>
      </c>
      <c r="N277" s="15">
        <f>IF('ENCUESTA CONDUCTORES'!P277="X",1,0)</f>
        <v>0</v>
      </c>
      <c r="O277" s="15">
        <f>IF('ENCUESTA CONDUCTORES'!Q277="X",1,0)</f>
        <v>0</v>
      </c>
      <c r="P277" s="15">
        <f>IF('ENCUESTA CONDUCTORES'!R277="X",1,0)</f>
        <v>0</v>
      </c>
      <c r="Q277" s="15">
        <f>IF('ENCUESTA CONDUCTORES'!S277="X",1,0)</f>
        <v>1</v>
      </c>
      <c r="R277" s="15">
        <f>IF('ENCUESTA CONDUCTORES'!T277="X",1,0)</f>
        <v>0</v>
      </c>
      <c r="S277" s="15">
        <f>IF('ENCUESTA CONDUCTORES'!U277="X",1,0)</f>
        <v>1</v>
      </c>
      <c r="T277" s="15">
        <f>IF('ENCUESTA CONDUCTORES'!V277="X",1,0)</f>
        <v>0</v>
      </c>
      <c r="U277" s="15">
        <f>IF('ENCUESTA CONDUCTORES'!W277="X",1,0)</f>
        <v>0</v>
      </c>
      <c r="V277" s="15">
        <f>IF('ENCUESTA CONDUCTORES'!X277="X",1,0)</f>
        <v>0</v>
      </c>
      <c r="W277" s="15">
        <f>IF('ENCUESTA CONDUCTORES'!Y277="X",1,0)</f>
        <v>0</v>
      </c>
      <c r="X277" s="15">
        <f>IF('ENCUESTA CONDUCTORES'!Z277="X",1,0)</f>
        <v>0</v>
      </c>
      <c r="Y277" s="15">
        <f>+'ENCUESTA CONDUCTORES'!AG277</f>
        <v>0</v>
      </c>
      <c r="Z277" s="15">
        <f>+'ENCUESTA CONDUCTORES'!AH277</f>
        <v>1998</v>
      </c>
      <c r="AA277" s="1">
        <f>+'ENCUESTA CONDUCTORES'!AI277</f>
        <v>1200000</v>
      </c>
      <c r="AB277" s="15">
        <f>IF('ENCUESTA CONDUCTORES'!AJ277="X",1,0)</f>
        <v>0</v>
      </c>
      <c r="AC277" s="15">
        <f>IF('ENCUESTA CONDUCTORES'!AK277="X",1,0)</f>
        <v>0</v>
      </c>
      <c r="AD277" s="15">
        <f>IF('ENCUESTA CONDUCTORES'!AL277="X",1,0)</f>
        <v>1</v>
      </c>
      <c r="AE277" s="15">
        <f>IF('ENCUESTA CONDUCTORES'!AM277="X",1,0)</f>
        <v>0</v>
      </c>
      <c r="AF277" s="15">
        <f>IF('ENCUESTA CONDUCTORES'!AN277="X",1,0)</f>
        <v>0</v>
      </c>
      <c r="AG277" s="15">
        <f>IF('ENCUESTA CONDUCTORES'!AO277="X",1,0)</f>
        <v>0</v>
      </c>
      <c r="AH277" s="15">
        <f>IF('ENCUESTA CONDUCTORES'!AP277="X",1,0)</f>
        <v>1</v>
      </c>
      <c r="AI277" s="15">
        <f>IF('ENCUESTA CONDUCTORES'!AQ277="X",1,0)</f>
        <v>0</v>
      </c>
      <c r="AJ277" s="15">
        <f>IF('ENCUESTA CONDUCTORES'!AR277="X",1,0)</f>
        <v>0</v>
      </c>
      <c r="AK277" s="15">
        <f>+'ENCUESTA CONDUCTORES'!AS277</f>
        <v>0</v>
      </c>
      <c r="AL277" s="15" t="str">
        <f>+'ENCUESTA CONDUCTORES'!AT277</f>
        <v>KENWORTH</v>
      </c>
      <c r="AM277" s="1">
        <f>+'ENCUESTA CONDUCTORES'!AU277</f>
        <v>5000</v>
      </c>
      <c r="AN277" s="48">
        <f>+'ENCUESTA CONDUCTORES'!AV277</f>
        <v>0.5</v>
      </c>
      <c r="AO277" s="15">
        <f>+'ENCUESTA CONDUCTORES'!AW277</f>
        <v>2.2999999999999998</v>
      </c>
      <c r="AP277" s="15">
        <f>+'ENCUESTA CONDUCTORES'!AX277</f>
        <v>2</v>
      </c>
      <c r="AQ277" s="15">
        <f>+'ENCUESTA CONDUCTORES'!AY277</f>
        <v>2</v>
      </c>
      <c r="AR277" s="15">
        <f>+'ENCUESTA CONDUCTORES'!AZ277</f>
        <v>1000</v>
      </c>
      <c r="AS277" s="15">
        <f>+'ENCUESTA CONDUCTORES'!BA277</f>
        <v>2200</v>
      </c>
      <c r="AT277" s="15">
        <f>IF('ENCUESTA CONDUCTORES'!BB277="X",1,0)</f>
        <v>0</v>
      </c>
      <c r="AU277" s="15">
        <f>IF('ENCUESTA CONDUCTORES'!BC277="X",1,0)</f>
        <v>1</v>
      </c>
      <c r="AV277" s="15">
        <f>IF('ENCUESTA CONDUCTORES'!BD277="X",1,0)</f>
        <v>0</v>
      </c>
      <c r="AW277" s="1">
        <f>+'ENCUESTA CONDUCTORES'!BE277</f>
        <v>16000</v>
      </c>
      <c r="AX277" s="1">
        <f>+'ENCUESTA CONDUCTORES'!BF277</f>
        <v>10000</v>
      </c>
      <c r="AY277" s="1">
        <f>+'ENCUESTA CONDUCTORES'!BG277</f>
        <v>30000</v>
      </c>
      <c r="AZ277" s="1">
        <f>+'ENCUESTA CONDUCTORES'!BH277</f>
        <v>220000</v>
      </c>
      <c r="BA277" s="1">
        <f>+'ENCUESTA CONDUCTORES'!BI277</f>
        <v>30000</v>
      </c>
      <c r="BB277" s="15">
        <f>IF('ENCUESTA CONDUCTORES'!BJ277="X",1,0)</f>
        <v>0</v>
      </c>
      <c r="BC277" s="15">
        <f>IF('ENCUESTA CONDUCTORES'!BK277="X",1,0)</f>
        <v>0</v>
      </c>
      <c r="BD277" s="15">
        <f>IF('ENCUESTA CONDUCTORES'!BL277="X",1,0)</f>
        <v>0</v>
      </c>
      <c r="BE277" s="15">
        <f>IF('ENCUESTA CONDUCTORES'!BM277="X",1,0)</f>
        <v>0</v>
      </c>
      <c r="BF277" s="15">
        <f>IF('ENCUESTA CONDUCTORES'!BN277="X",1,0)</f>
        <v>0</v>
      </c>
      <c r="BG277" s="15">
        <f>IF('ENCUESTA CONDUCTORES'!BO277="X",1,0)</f>
        <v>0</v>
      </c>
      <c r="BH277" s="15">
        <f>IF('ENCUESTA CONDUCTORES'!BP277="X",1,0)</f>
        <v>0</v>
      </c>
      <c r="BI277" s="15">
        <f>IF('ENCUESTA CONDUCTORES'!BQ277="X",1,0)</f>
        <v>0</v>
      </c>
      <c r="BJ277" s="15">
        <f>IF('ENCUESTA CONDUCTORES'!BR277="X",1,0)</f>
        <v>0</v>
      </c>
      <c r="BK277" s="15" t="str">
        <f>+'ENCUESTA CONDUCTORES'!BS277</f>
        <v>PANTALLAS</v>
      </c>
      <c r="BL277" s="15">
        <f>IF('ENCUESTA CONDUCTORES'!BT277="X",1,0)</f>
        <v>0</v>
      </c>
      <c r="BM277" s="15">
        <f>IF('ENCUESTA CONDUCTORES'!BU277="X",1,0)</f>
        <v>1</v>
      </c>
      <c r="BN277" s="15">
        <f>IF('ENCUESTA CONDUCTORES'!BV277="X",1,0)</f>
        <v>0</v>
      </c>
      <c r="BO277" s="15">
        <f>IF('ENCUESTA CONDUCTORES'!BW277="X",1,0)</f>
        <v>0</v>
      </c>
      <c r="BP277" s="15">
        <f>+'ENCUESTA CONDUCTORES'!BX277</f>
        <v>3</v>
      </c>
      <c r="BQ277" s="15">
        <f>+'ENCUESTA CONDUCTORES'!BY277</f>
        <v>2</v>
      </c>
      <c r="BR277" s="15">
        <f>+'ENCUESTA CONDUCTORES'!BZ277</f>
        <v>1</v>
      </c>
      <c r="BS277" s="15">
        <f>+'ENCUESTA CONDUCTORES'!CA277</f>
        <v>0</v>
      </c>
      <c r="BT277" s="15">
        <f>IF('ENCUESTA CONDUCTORES'!CB277="X",1,0)</f>
        <v>1</v>
      </c>
      <c r="BU277" s="15">
        <f>IF('ENCUESTA CONDUCTORES'!CC277="X",1,0)</f>
        <v>0</v>
      </c>
      <c r="BV277" s="15">
        <f>IF('ENCUESTA CONDUCTORES'!CD277="X",1,0)</f>
        <v>0</v>
      </c>
      <c r="BW277" s="15">
        <f>IF('ENCUESTA CONDUCTORES'!CE277="X",1,0)</f>
        <v>0</v>
      </c>
      <c r="BX277" s="15">
        <f>IF('ENCUESTA CONDUCTORES'!CF277="X",1,0)</f>
        <v>0</v>
      </c>
      <c r="BY277" s="15">
        <f>IF('ENCUESTA CONDUCTORES'!CG277="X",1,0)</f>
        <v>0</v>
      </c>
      <c r="BZ277" s="15">
        <f>IF('ENCUESTA CONDUCTORES'!CH277="X",1,0)</f>
        <v>0</v>
      </c>
      <c r="CA277" s="15">
        <f>IF('ENCUESTA CONDUCTORES'!CI277="X",1,0)</f>
        <v>0</v>
      </c>
      <c r="CB277" s="15">
        <f>IF('ENCUESTA CONDUCTORES'!CJ277="X",1,0)</f>
        <v>0</v>
      </c>
      <c r="CC277" s="15">
        <f>IF('ENCUESTA CONDUCTORES'!CK277="X",1,0)</f>
        <v>1</v>
      </c>
      <c r="CD277" s="15">
        <f>IF('ENCUESTA CONDUCTORES'!CL277="X",1,0)</f>
        <v>0</v>
      </c>
      <c r="CE277" s="15">
        <f>IF('ENCUESTA CONDUCTORES'!CM277="X",1,0)</f>
        <v>0</v>
      </c>
      <c r="CF277" s="15">
        <f>+'ENCUESTA CONDUCTORES'!CN277</f>
        <v>0</v>
      </c>
      <c r="CG277" s="15">
        <f>IF('ENCUESTA CONDUCTORES'!CO277="X",1,0)</f>
        <v>0</v>
      </c>
      <c r="CH277" s="15" t="str">
        <f>+'ENCUESTA CONDUCTORES'!CP277</f>
        <v>NO SABE</v>
      </c>
      <c r="CI277" s="15" t="str">
        <f>+'ENCUESTA CONDUCTORES'!CQ277</f>
        <v>PUBLICIDAD</v>
      </c>
      <c r="CJ277" s="15">
        <f>IF('ENCUESTA CONDUCTORES'!CR277="X",1,0)</f>
        <v>1</v>
      </c>
      <c r="CK277" s="15">
        <f>IF('ENCUESTA CONDUCTORES'!CS277="X",1,0)</f>
        <v>0</v>
      </c>
      <c r="CL277" s="15">
        <f>IF('ENCUESTA CONDUCTORES'!CT277="X",1,0)</f>
        <v>0</v>
      </c>
      <c r="CM277" s="15">
        <f>+'ENCUESTA CONDUCTORES'!CU277</f>
        <v>0</v>
      </c>
      <c r="CN277" s="15">
        <f>IF('ENCUESTA CONDUCTORES'!CV277="X",1,0)</f>
        <v>1</v>
      </c>
      <c r="CO277" s="15" t="str">
        <f>+'ENCUESTA CONDUCTORES'!CW277</f>
        <v>NO TIENE TIEMPO</v>
      </c>
      <c r="CP277" s="15">
        <f>IF('ENCUESTA CONDUCTORES'!CX277="X",1,0)</f>
        <v>0</v>
      </c>
      <c r="CQ277" s="15">
        <f>IF('ENCUESTA CONDUCTORES'!CY277="X",1,0)</f>
        <v>0</v>
      </c>
      <c r="CR277" s="3">
        <f>+'ENCUESTA CONDUCTORES'!CZ277</f>
        <v>0</v>
      </c>
      <c r="CS277" s="49">
        <f>+'ENCUESTA CONDUCTORES'!DA277</f>
        <v>0</v>
      </c>
    </row>
    <row r="278" spans="2:97" x14ac:dyDescent="0.25">
      <c r="B278" s="14" t="str">
        <f>+'ENCUESTA CONDUCTORES'!D278</f>
        <v>C-289</v>
      </c>
      <c r="C278" s="15">
        <f>IF('ENCUESTA CONDUCTORES'!E278="X",1,0)</f>
        <v>0</v>
      </c>
      <c r="D278" s="15">
        <f>IF('ENCUESTA CONDUCTORES'!F278="X",1,0)</f>
        <v>1</v>
      </c>
      <c r="E278" s="15">
        <f>IF('ENCUESTA CONDUCTORES'!G278="X",1,0)</f>
        <v>0</v>
      </c>
      <c r="F278" s="15">
        <f>IF('ENCUESTA CONDUCTORES'!H278="X",1,0)</f>
        <v>0</v>
      </c>
      <c r="G278" s="15">
        <f>+'ENCUESTA CONDUCTORES'!I278</f>
        <v>65</v>
      </c>
      <c r="H278" s="15" t="str">
        <f>+'ENCUESTA CONDUCTORES'!J278</f>
        <v>M</v>
      </c>
      <c r="I278" s="15" t="str">
        <f>+'ENCUESTA CONDUCTORES'!K278</f>
        <v>PRIMARIA</v>
      </c>
      <c r="J278" s="15" t="str">
        <f>+'ENCUESTA CONDUCTORES'!L278</f>
        <v>CHIMALHUACÁN, EDO. MEX.</v>
      </c>
      <c r="K278" s="15" t="str">
        <f>+'ENCUESTA CONDUCTORES'!M278</f>
        <v>CHIMALHUACÁN</v>
      </c>
      <c r="L278" s="15" t="str">
        <f>+'ENCUESTA CONDUCTORES'!N278</f>
        <v>EDO. MEX.</v>
      </c>
      <c r="M278" s="15">
        <f>+'ENCUESTA CONDUCTORES'!O278</f>
        <v>43</v>
      </c>
      <c r="N278" s="15">
        <f>IF('ENCUESTA CONDUCTORES'!P278="X",1,0)</f>
        <v>0</v>
      </c>
      <c r="O278" s="15">
        <f>IF('ENCUESTA CONDUCTORES'!Q278="X",1,0)</f>
        <v>0</v>
      </c>
      <c r="P278" s="15">
        <f>IF('ENCUESTA CONDUCTORES'!R278="X",1,0)</f>
        <v>0</v>
      </c>
      <c r="Q278" s="15">
        <f>IF('ENCUESTA CONDUCTORES'!S278="X",1,0)</f>
        <v>1</v>
      </c>
      <c r="R278" s="15">
        <f>IF('ENCUESTA CONDUCTORES'!T278="X",1,0)</f>
        <v>0</v>
      </c>
      <c r="S278" s="15">
        <f>IF('ENCUESTA CONDUCTORES'!U278="X",1,0)</f>
        <v>1</v>
      </c>
      <c r="T278" s="15">
        <f>IF('ENCUESTA CONDUCTORES'!V278="X",1,0)</f>
        <v>0</v>
      </c>
      <c r="U278" s="15">
        <f>IF('ENCUESTA CONDUCTORES'!W278="X",1,0)</f>
        <v>0</v>
      </c>
      <c r="V278" s="15">
        <f>IF('ENCUESTA CONDUCTORES'!X278="X",1,0)</f>
        <v>0</v>
      </c>
      <c r="W278" s="15">
        <f>IF('ENCUESTA CONDUCTORES'!Y278="X",1,0)</f>
        <v>0</v>
      </c>
      <c r="X278" s="15">
        <f>IF('ENCUESTA CONDUCTORES'!Z278="X",1,0)</f>
        <v>0</v>
      </c>
      <c r="Y278" s="15">
        <f>+'ENCUESTA CONDUCTORES'!AG278</f>
        <v>0</v>
      </c>
      <c r="Z278" s="15">
        <f>+'ENCUESTA CONDUCTORES'!AH278</f>
        <v>1986</v>
      </c>
      <c r="AA278" s="1">
        <f>+'ENCUESTA CONDUCTORES'!AI278</f>
        <v>1500000</v>
      </c>
      <c r="AB278" s="15">
        <f>IF('ENCUESTA CONDUCTORES'!AJ278="X",1,0)</f>
        <v>0</v>
      </c>
      <c r="AC278" s="15">
        <f>IF('ENCUESTA CONDUCTORES'!AK278="X",1,0)</f>
        <v>0</v>
      </c>
      <c r="AD278" s="15">
        <f>IF('ENCUESTA CONDUCTORES'!AL278="X",1,0)</f>
        <v>1</v>
      </c>
      <c r="AE278" s="15">
        <f>IF('ENCUESTA CONDUCTORES'!AM278="X",1,0)</f>
        <v>0</v>
      </c>
      <c r="AF278" s="15">
        <f>IF('ENCUESTA CONDUCTORES'!AN278="X",1,0)</f>
        <v>0</v>
      </c>
      <c r="AG278" s="15">
        <f>IF('ENCUESTA CONDUCTORES'!AO278="X",1,0)</f>
        <v>0</v>
      </c>
      <c r="AH278" s="15">
        <f>IF('ENCUESTA CONDUCTORES'!AP278="X",1,0)</f>
        <v>1</v>
      </c>
      <c r="AI278" s="15">
        <f>IF('ENCUESTA CONDUCTORES'!AQ278="X",1,0)</f>
        <v>0</v>
      </c>
      <c r="AJ278" s="15">
        <f>IF('ENCUESTA CONDUCTORES'!AR278="X",1,0)</f>
        <v>0</v>
      </c>
      <c r="AK278" s="15">
        <f>+'ENCUESTA CONDUCTORES'!AS278</f>
        <v>0</v>
      </c>
      <c r="AL278" s="15" t="str">
        <f>+'ENCUESTA CONDUCTORES'!AT278</f>
        <v>FREIGHTLINER</v>
      </c>
      <c r="AM278" s="1">
        <f>+'ENCUESTA CONDUCTORES'!AU278</f>
        <v>5000</v>
      </c>
      <c r="AN278" s="48">
        <f>+'ENCUESTA CONDUCTORES'!AV278</f>
        <v>0.5</v>
      </c>
      <c r="AO278" s="15">
        <f>+'ENCUESTA CONDUCTORES'!AW278</f>
        <v>2.2999999999999998</v>
      </c>
      <c r="AP278" s="15">
        <f>+'ENCUESTA CONDUCTORES'!AX278</f>
        <v>2</v>
      </c>
      <c r="AQ278" s="15">
        <f>+'ENCUESTA CONDUCTORES'!AY278</f>
        <v>1</v>
      </c>
      <c r="AR278" s="15">
        <f>+'ENCUESTA CONDUCTORES'!AZ278</f>
        <v>400</v>
      </c>
      <c r="AS278" s="15">
        <f>+'ENCUESTA CONDUCTORES'!BA278</f>
        <v>1200</v>
      </c>
      <c r="AT278" s="15">
        <f>IF('ENCUESTA CONDUCTORES'!BB278="X",1,0)</f>
        <v>0</v>
      </c>
      <c r="AU278" s="15">
        <f>IF('ENCUESTA CONDUCTORES'!BC278="X",1,0)</f>
        <v>1</v>
      </c>
      <c r="AV278" s="15">
        <f>IF('ENCUESTA CONDUCTORES'!BD278="X",1,0)</f>
        <v>0</v>
      </c>
      <c r="AW278" s="1">
        <f>+'ENCUESTA CONDUCTORES'!BE278</f>
        <v>12000</v>
      </c>
      <c r="AX278" s="1">
        <f>+'ENCUESTA CONDUCTORES'!BF278</f>
        <v>6000</v>
      </c>
      <c r="AY278" s="1">
        <f>+'ENCUESTA CONDUCTORES'!BG278</f>
        <v>30000</v>
      </c>
      <c r="AZ278" s="1">
        <f>+'ENCUESTA CONDUCTORES'!BH278</f>
        <v>120000</v>
      </c>
      <c r="BA278" s="1">
        <f>+'ENCUESTA CONDUCTORES'!BI278</f>
        <v>30000</v>
      </c>
      <c r="BB278" s="15">
        <f>IF('ENCUESTA CONDUCTORES'!BJ278="X",1,0)</f>
        <v>0</v>
      </c>
      <c r="BC278" s="15">
        <f>IF('ENCUESTA CONDUCTORES'!BK278="X",1,0)</f>
        <v>0</v>
      </c>
      <c r="BD278" s="15">
        <f>IF('ENCUESTA CONDUCTORES'!BL278="X",1,0)</f>
        <v>0</v>
      </c>
      <c r="BE278" s="15">
        <f>IF('ENCUESTA CONDUCTORES'!BM278="X",1,0)</f>
        <v>0</v>
      </c>
      <c r="BF278" s="15">
        <f>IF('ENCUESTA CONDUCTORES'!BN278="X",1,0)</f>
        <v>0</v>
      </c>
      <c r="BG278" s="15">
        <f>IF('ENCUESTA CONDUCTORES'!BO278="X",1,0)</f>
        <v>0</v>
      </c>
      <c r="BH278" s="15">
        <f>IF('ENCUESTA CONDUCTORES'!BP278="X",1,0)</f>
        <v>0</v>
      </c>
      <c r="BI278" s="15">
        <f>IF('ENCUESTA CONDUCTORES'!BQ278="X",1,0)</f>
        <v>0</v>
      </c>
      <c r="BJ278" s="15">
        <f>IF('ENCUESTA CONDUCTORES'!BR278="X",1,0)</f>
        <v>0</v>
      </c>
      <c r="BK278" s="15" t="str">
        <f>+'ENCUESTA CONDUCTORES'!BS278</f>
        <v>GENERAL</v>
      </c>
      <c r="BL278" s="15">
        <f>IF('ENCUESTA CONDUCTORES'!BT278="X",1,0)</f>
        <v>0</v>
      </c>
      <c r="BM278" s="15">
        <f>IF('ENCUESTA CONDUCTORES'!BU278="X",1,0)</f>
        <v>0</v>
      </c>
      <c r="BN278" s="15">
        <f>IF('ENCUESTA CONDUCTORES'!BV278="X",1,0)</f>
        <v>1</v>
      </c>
      <c r="BO278" s="15">
        <f>IF('ENCUESTA CONDUCTORES'!BW278="X",1,0)</f>
        <v>0</v>
      </c>
      <c r="BP278" s="15">
        <f>+'ENCUESTA CONDUCTORES'!BX278</f>
        <v>2</v>
      </c>
      <c r="BQ278" s="15">
        <f>+'ENCUESTA CONDUCTORES'!BY278</f>
        <v>3</v>
      </c>
      <c r="BR278" s="15">
        <f>+'ENCUESTA CONDUCTORES'!BZ278</f>
        <v>1</v>
      </c>
      <c r="BS278" s="15">
        <f>+'ENCUESTA CONDUCTORES'!CA278</f>
        <v>0</v>
      </c>
      <c r="BT278" s="15">
        <f>IF('ENCUESTA CONDUCTORES'!CB278="X",1,0)</f>
        <v>1</v>
      </c>
      <c r="BU278" s="15">
        <f>IF('ENCUESTA CONDUCTORES'!CC278="X",1,0)</f>
        <v>0</v>
      </c>
      <c r="BV278" s="15">
        <f>IF('ENCUESTA CONDUCTORES'!CD278="X",1,0)</f>
        <v>0</v>
      </c>
      <c r="BW278" s="15">
        <f>IF('ENCUESTA CONDUCTORES'!CE278="X",1,0)</f>
        <v>0</v>
      </c>
      <c r="BX278" s="15">
        <f>IF('ENCUESTA CONDUCTORES'!CF278="X",1,0)</f>
        <v>0</v>
      </c>
      <c r="BY278" s="15">
        <f>IF('ENCUESTA CONDUCTORES'!CG278="X",1,0)</f>
        <v>0</v>
      </c>
      <c r="BZ278" s="15">
        <f>IF('ENCUESTA CONDUCTORES'!CH278="X",1,0)</f>
        <v>0</v>
      </c>
      <c r="CA278" s="15">
        <f>IF('ENCUESTA CONDUCTORES'!CI278="X",1,0)</f>
        <v>0</v>
      </c>
      <c r="CB278" s="15">
        <f>IF('ENCUESTA CONDUCTORES'!CJ278="X",1,0)</f>
        <v>0</v>
      </c>
      <c r="CC278" s="15">
        <f>IF('ENCUESTA CONDUCTORES'!CK278="X",1,0)</f>
        <v>1</v>
      </c>
      <c r="CD278" s="15">
        <f>IF('ENCUESTA CONDUCTORES'!CL278="X",1,0)</f>
        <v>0</v>
      </c>
      <c r="CE278" s="15">
        <f>IF('ENCUESTA CONDUCTORES'!CM278="X",1,0)</f>
        <v>0</v>
      </c>
      <c r="CF278" s="15">
        <f>+'ENCUESTA CONDUCTORES'!CN278</f>
        <v>0</v>
      </c>
      <c r="CG278" s="15">
        <f>IF('ENCUESTA CONDUCTORES'!CO278="X",1,0)</f>
        <v>0</v>
      </c>
      <c r="CH278" s="15" t="str">
        <f>+'ENCUESTA CONDUCTORES'!CP278</f>
        <v>NO SABE</v>
      </c>
      <c r="CI278" s="15" t="str">
        <f>+'ENCUESTA CONDUCTORES'!CQ278</f>
        <v>NO SABE</v>
      </c>
      <c r="CJ278" s="15">
        <f>IF('ENCUESTA CONDUCTORES'!CR278="X",1,0)</f>
        <v>0</v>
      </c>
      <c r="CK278" s="15">
        <f>IF('ENCUESTA CONDUCTORES'!CS278="X",1,0)</f>
        <v>0</v>
      </c>
      <c r="CL278" s="15">
        <f>IF('ENCUESTA CONDUCTORES'!CT278="X",1,0)</f>
        <v>0</v>
      </c>
      <c r="CM278" s="15" t="str">
        <f>+'ENCUESTA CONDUCTORES'!CU278</f>
        <v>MANEJO A LA DEFENSIVA</v>
      </c>
      <c r="CN278" s="15">
        <f>IF('ENCUESTA CONDUCTORES'!CV278="X",1,0)</f>
        <v>0</v>
      </c>
      <c r="CO278" s="15">
        <f>+'ENCUESTA CONDUCTORES'!CW278</f>
        <v>0</v>
      </c>
      <c r="CP278" s="15">
        <f>IF('ENCUESTA CONDUCTORES'!CX278="X",1,0)</f>
        <v>0</v>
      </c>
      <c r="CQ278" s="15">
        <f>IF('ENCUESTA CONDUCTORES'!CY278="X",1,0)</f>
        <v>1</v>
      </c>
      <c r="CR278" s="3">
        <f>+'ENCUESTA CONDUCTORES'!CZ278</f>
        <v>0</v>
      </c>
      <c r="CS278" s="49">
        <f>+'ENCUESTA CONDUCTORES'!DA278</f>
        <v>0</v>
      </c>
    </row>
    <row r="279" spans="2:97" x14ac:dyDescent="0.25">
      <c r="B279" s="14" t="str">
        <f>+'ENCUESTA CONDUCTORES'!D279</f>
        <v>C-290</v>
      </c>
      <c r="C279" s="15">
        <f>IF('ENCUESTA CONDUCTORES'!E279="X",1,0)</f>
        <v>0</v>
      </c>
      <c r="D279" s="15">
        <f>IF('ENCUESTA CONDUCTORES'!F279="X",1,0)</f>
        <v>0</v>
      </c>
      <c r="E279" s="15">
        <f>IF('ENCUESTA CONDUCTORES'!G279="X",1,0)</f>
        <v>1</v>
      </c>
      <c r="F279" s="15">
        <f>IF('ENCUESTA CONDUCTORES'!H279="X",1,0)</f>
        <v>0</v>
      </c>
      <c r="G279" s="15">
        <f>+'ENCUESTA CONDUCTORES'!I279</f>
        <v>57</v>
      </c>
      <c r="H279" s="15" t="str">
        <f>+'ENCUESTA CONDUCTORES'!J279</f>
        <v>M</v>
      </c>
      <c r="I279" s="15" t="str">
        <f>+'ENCUESTA CONDUCTORES'!K279</f>
        <v>PRIMARIA</v>
      </c>
      <c r="J279" s="15" t="str">
        <f>+'ENCUESTA CONDUCTORES'!L279</f>
        <v>NEZAHUALCÓYOTL, EDO. MEX.</v>
      </c>
      <c r="K279" s="15" t="str">
        <f>+'ENCUESTA CONDUCTORES'!M279</f>
        <v>NEZAHUALCÓYOTL</v>
      </c>
      <c r="L279" s="15" t="str">
        <f>+'ENCUESTA CONDUCTORES'!N279</f>
        <v>EDO. MEX.</v>
      </c>
      <c r="M279" s="15">
        <f>+'ENCUESTA CONDUCTORES'!O279</f>
        <v>32</v>
      </c>
      <c r="N279" s="15">
        <f>IF('ENCUESTA CONDUCTORES'!P279="X",1,0)</f>
        <v>0</v>
      </c>
      <c r="O279" s="15">
        <f>IF('ENCUESTA CONDUCTORES'!Q279="X",1,0)</f>
        <v>1</v>
      </c>
      <c r="P279" s="15">
        <f>IF('ENCUESTA CONDUCTORES'!R279="X",1,0)</f>
        <v>0</v>
      </c>
      <c r="Q279" s="15">
        <f>IF('ENCUESTA CONDUCTORES'!S279="X",1,0)</f>
        <v>0</v>
      </c>
      <c r="R279" s="15">
        <f>IF('ENCUESTA CONDUCTORES'!T279="X",1,0)</f>
        <v>0</v>
      </c>
      <c r="S279" s="15">
        <f>IF('ENCUESTA CONDUCTORES'!U279="X",1,0)</f>
        <v>1</v>
      </c>
      <c r="T279" s="15">
        <f>IF('ENCUESTA CONDUCTORES'!V279="X",1,0)</f>
        <v>0</v>
      </c>
      <c r="U279" s="15">
        <f>IF('ENCUESTA CONDUCTORES'!W279="X",1,0)</f>
        <v>0</v>
      </c>
      <c r="V279" s="15">
        <f>IF('ENCUESTA CONDUCTORES'!X279="X",1,0)</f>
        <v>0</v>
      </c>
      <c r="W279" s="15">
        <f>IF('ENCUESTA CONDUCTORES'!Y279="X",1,0)</f>
        <v>0</v>
      </c>
      <c r="X279" s="15">
        <f>IF('ENCUESTA CONDUCTORES'!Z279="X",1,0)</f>
        <v>0</v>
      </c>
      <c r="Y279" s="15">
        <f>+'ENCUESTA CONDUCTORES'!AG279</f>
        <v>0</v>
      </c>
      <c r="Z279" s="15">
        <f>+'ENCUESTA CONDUCTORES'!AH279</f>
        <v>1988</v>
      </c>
      <c r="AA279" s="1">
        <f>+'ENCUESTA CONDUCTORES'!AI279</f>
        <v>1250000</v>
      </c>
      <c r="AB279" s="15">
        <f>IF('ENCUESTA CONDUCTORES'!AJ279="X",1,0)</f>
        <v>0</v>
      </c>
      <c r="AC279" s="15">
        <f>IF('ENCUESTA CONDUCTORES'!AK279="X",1,0)</f>
        <v>0</v>
      </c>
      <c r="AD279" s="15">
        <f>IF('ENCUESTA CONDUCTORES'!AL279="X",1,0)</f>
        <v>1</v>
      </c>
      <c r="AE279" s="15">
        <f>IF('ENCUESTA CONDUCTORES'!AM279="X",1,0)</f>
        <v>0</v>
      </c>
      <c r="AF279" s="15">
        <f>IF('ENCUESTA CONDUCTORES'!AN279="X",1,0)</f>
        <v>0</v>
      </c>
      <c r="AG279" s="15">
        <f>IF('ENCUESTA CONDUCTORES'!AO279="X",1,0)</f>
        <v>0</v>
      </c>
      <c r="AH279" s="15">
        <f>IF('ENCUESTA CONDUCTORES'!AP279="X",1,0)</f>
        <v>1</v>
      </c>
      <c r="AI279" s="15">
        <f>IF('ENCUESTA CONDUCTORES'!AQ279="X",1,0)</f>
        <v>0</v>
      </c>
      <c r="AJ279" s="15">
        <f>IF('ENCUESTA CONDUCTORES'!AR279="X",1,0)</f>
        <v>0</v>
      </c>
      <c r="AK279" s="15">
        <f>+'ENCUESTA CONDUCTORES'!AS279</f>
        <v>0</v>
      </c>
      <c r="AL279" s="15" t="str">
        <f>+'ENCUESTA CONDUCTORES'!AT279</f>
        <v>INTERNATIONAL</v>
      </c>
      <c r="AM279" s="1">
        <f>+'ENCUESTA CONDUCTORES'!AU279</f>
        <v>5000</v>
      </c>
      <c r="AN279" s="48">
        <f>+'ENCUESTA CONDUCTORES'!AV279</f>
        <v>0.5</v>
      </c>
      <c r="AO279" s="15">
        <f>+'ENCUESTA CONDUCTORES'!AW279</f>
        <v>2.7</v>
      </c>
      <c r="AP279" s="15">
        <f>+'ENCUESTA CONDUCTORES'!AX279</f>
        <v>2.5</v>
      </c>
      <c r="AQ279" s="15">
        <f>+'ENCUESTA CONDUCTORES'!AY279</f>
        <v>2</v>
      </c>
      <c r="AR279" s="15">
        <f>+'ENCUESTA CONDUCTORES'!AZ279</f>
        <v>620</v>
      </c>
      <c r="AS279" s="15">
        <f>+'ENCUESTA CONDUCTORES'!BA279</f>
        <v>1600</v>
      </c>
      <c r="AT279" s="15">
        <f>IF('ENCUESTA CONDUCTORES'!BB279="X",1,0)</f>
        <v>0</v>
      </c>
      <c r="AU279" s="15">
        <f>IF('ENCUESTA CONDUCTORES'!BC279="X",1,0)</f>
        <v>1</v>
      </c>
      <c r="AV279" s="15">
        <f>IF('ENCUESTA CONDUCTORES'!BD279="X",1,0)</f>
        <v>0</v>
      </c>
      <c r="AW279" s="1">
        <f>+'ENCUESTA CONDUCTORES'!BE279</f>
        <v>6000</v>
      </c>
      <c r="AX279" s="1">
        <f>+'ENCUESTA CONDUCTORES'!BF279</f>
        <v>10000</v>
      </c>
      <c r="AY279" s="1">
        <f>+'ENCUESTA CONDUCTORES'!BG279</f>
        <v>40000</v>
      </c>
      <c r="AZ279" s="1">
        <f>+'ENCUESTA CONDUCTORES'!BH279</f>
        <v>90000</v>
      </c>
      <c r="BA279" s="1">
        <f>+'ENCUESTA CONDUCTORES'!BI279</f>
        <v>40000</v>
      </c>
      <c r="BB279" s="15">
        <f>IF('ENCUESTA CONDUCTORES'!BJ279="X",1,0)</f>
        <v>0</v>
      </c>
      <c r="BC279" s="15">
        <f>IF('ENCUESTA CONDUCTORES'!BK279="X",1,0)</f>
        <v>0</v>
      </c>
      <c r="BD279" s="15">
        <f>IF('ENCUESTA CONDUCTORES'!BL279="X",1,0)</f>
        <v>0</v>
      </c>
      <c r="BE279" s="15">
        <f>IF('ENCUESTA CONDUCTORES'!BM279="X",1,0)</f>
        <v>0</v>
      </c>
      <c r="BF279" s="15">
        <f>IF('ENCUESTA CONDUCTORES'!BN279="X",1,0)</f>
        <v>0</v>
      </c>
      <c r="BG279" s="15">
        <f>IF('ENCUESTA CONDUCTORES'!BO279="X",1,0)</f>
        <v>0</v>
      </c>
      <c r="BH279" s="15">
        <f>IF('ENCUESTA CONDUCTORES'!BP279="X",1,0)</f>
        <v>0</v>
      </c>
      <c r="BI279" s="15">
        <f>IF('ENCUESTA CONDUCTORES'!BQ279="X",1,0)</f>
        <v>0</v>
      </c>
      <c r="BJ279" s="15">
        <f>IF('ENCUESTA CONDUCTORES'!BR279="X",1,0)</f>
        <v>0</v>
      </c>
      <c r="BK279" s="15" t="str">
        <f>+'ENCUESTA CONDUCTORES'!BS279</f>
        <v>GENERAL</v>
      </c>
      <c r="BL279" s="15">
        <f>IF('ENCUESTA CONDUCTORES'!BT279="X",1,0)</f>
        <v>0</v>
      </c>
      <c r="BM279" s="15">
        <f>IF('ENCUESTA CONDUCTORES'!BU279="X",1,0)</f>
        <v>1</v>
      </c>
      <c r="BN279" s="15">
        <f>IF('ENCUESTA CONDUCTORES'!BV279="X",1,0)</f>
        <v>0</v>
      </c>
      <c r="BO279" s="15">
        <f>IF('ENCUESTA CONDUCTORES'!BW279="X",1,0)</f>
        <v>0</v>
      </c>
      <c r="BP279" s="15">
        <f>+'ENCUESTA CONDUCTORES'!BX279</f>
        <v>1</v>
      </c>
      <c r="BQ279" s="15">
        <f>+'ENCUESTA CONDUCTORES'!BY279</f>
        <v>3</v>
      </c>
      <c r="BR279" s="15">
        <f>+'ENCUESTA CONDUCTORES'!BZ279</f>
        <v>2</v>
      </c>
      <c r="BS279" s="15">
        <f>+'ENCUESTA CONDUCTORES'!CA279</f>
        <v>0</v>
      </c>
      <c r="BT279" s="15">
        <f>IF('ENCUESTA CONDUCTORES'!CB279="X",1,0)</f>
        <v>1</v>
      </c>
      <c r="BU279" s="15">
        <f>IF('ENCUESTA CONDUCTORES'!CC279="X",1,0)</f>
        <v>0</v>
      </c>
      <c r="BV279" s="15">
        <f>IF('ENCUESTA CONDUCTORES'!CD279="X",1,0)</f>
        <v>0</v>
      </c>
      <c r="BW279" s="15">
        <f>IF('ENCUESTA CONDUCTORES'!CE279="X",1,0)</f>
        <v>0</v>
      </c>
      <c r="BX279" s="15">
        <f>IF('ENCUESTA CONDUCTORES'!CF279="X",1,0)</f>
        <v>0</v>
      </c>
      <c r="BY279" s="15">
        <f>IF('ENCUESTA CONDUCTORES'!CG279="X",1,0)</f>
        <v>0</v>
      </c>
      <c r="BZ279" s="15">
        <f>IF('ENCUESTA CONDUCTORES'!CH279="X",1,0)</f>
        <v>0</v>
      </c>
      <c r="CA279" s="15">
        <f>IF('ENCUESTA CONDUCTORES'!CI279="X",1,0)</f>
        <v>0</v>
      </c>
      <c r="CB279" s="15">
        <f>IF('ENCUESTA CONDUCTORES'!CJ279="X",1,0)</f>
        <v>0</v>
      </c>
      <c r="CC279" s="15">
        <f>IF('ENCUESTA CONDUCTORES'!CK279="X",1,0)</f>
        <v>1</v>
      </c>
      <c r="CD279" s="15">
        <f>IF('ENCUESTA CONDUCTORES'!CL279="X",1,0)</f>
        <v>0</v>
      </c>
      <c r="CE279" s="15">
        <f>IF('ENCUESTA CONDUCTORES'!CM279="X",1,0)</f>
        <v>0</v>
      </c>
      <c r="CF279" s="15">
        <f>+'ENCUESTA CONDUCTORES'!CN279</f>
        <v>0</v>
      </c>
      <c r="CG279" s="15">
        <f>IF('ENCUESTA CONDUCTORES'!CO279="X",1,0)</f>
        <v>0</v>
      </c>
      <c r="CH279" s="15" t="str">
        <f>+'ENCUESTA CONDUCTORES'!CP279</f>
        <v>NO SABE</v>
      </c>
      <c r="CI279" s="15" t="str">
        <f>+'ENCUESTA CONDUCTORES'!CQ279</f>
        <v>NO SABE</v>
      </c>
      <c r="CJ279" s="15">
        <f>IF('ENCUESTA CONDUCTORES'!CR279="X",1,0)</f>
        <v>0</v>
      </c>
      <c r="CK279" s="15">
        <f>IF('ENCUESTA CONDUCTORES'!CS279="X",1,0)</f>
        <v>0</v>
      </c>
      <c r="CL279" s="15">
        <f>IF('ENCUESTA CONDUCTORES'!CT279="X",1,0)</f>
        <v>0</v>
      </c>
      <c r="CM279" s="15" t="str">
        <f>+'ENCUESTA CONDUCTORES'!CU279</f>
        <v>MANEJO A LA DEFENSIVA</v>
      </c>
      <c r="CN279" s="15">
        <f>IF('ENCUESTA CONDUCTORES'!CV279="X",1,0)</f>
        <v>1</v>
      </c>
      <c r="CO279" s="15" t="str">
        <f>+'ENCUESTA CONDUCTORES'!CW279</f>
        <v>NO TIENE TIEMPO</v>
      </c>
      <c r="CP279" s="15">
        <f>IF('ENCUESTA CONDUCTORES'!CX279="X",1,0)</f>
        <v>0</v>
      </c>
      <c r="CQ279" s="15">
        <f>IF('ENCUESTA CONDUCTORES'!CY279="X",1,0)</f>
        <v>0</v>
      </c>
      <c r="CR279" s="3">
        <f>+'ENCUESTA CONDUCTORES'!CZ279</f>
        <v>0</v>
      </c>
      <c r="CS279" s="49">
        <f>+'ENCUESTA CONDUCTORES'!DA279</f>
        <v>0</v>
      </c>
    </row>
    <row r="280" spans="2:97" x14ac:dyDescent="0.25">
      <c r="B280" s="14" t="str">
        <f>+'ENCUESTA CONDUCTORES'!D280</f>
        <v>C-291</v>
      </c>
      <c r="C280" s="15">
        <f>IF('ENCUESTA CONDUCTORES'!E280="X",1,0)</f>
        <v>0</v>
      </c>
      <c r="D280" s="15">
        <f>IF('ENCUESTA CONDUCTORES'!F280="X",1,0)</f>
        <v>0</v>
      </c>
      <c r="E280" s="15">
        <f>IF('ENCUESTA CONDUCTORES'!G280="X",1,0)</f>
        <v>1</v>
      </c>
      <c r="F280" s="15">
        <f>IF('ENCUESTA CONDUCTORES'!H280="X",1,0)</f>
        <v>0</v>
      </c>
      <c r="G280" s="15">
        <f>+'ENCUESTA CONDUCTORES'!I280</f>
        <v>36</v>
      </c>
      <c r="H280" s="15" t="str">
        <f>+'ENCUESTA CONDUCTORES'!J280</f>
        <v>M</v>
      </c>
      <c r="I280" s="15" t="str">
        <f>+'ENCUESTA CONDUCTORES'!K280</f>
        <v>SECUNDARIA</v>
      </c>
      <c r="J280" s="15" t="str">
        <f>+'ENCUESTA CONDUCTORES'!L280</f>
        <v>D.F IZTAPALAPA</v>
      </c>
      <c r="K280" s="15" t="str">
        <f>+'ENCUESTA CONDUCTORES'!M280</f>
        <v>IZTAPALAPA</v>
      </c>
      <c r="L280" s="15" t="str">
        <f>+'ENCUESTA CONDUCTORES'!N280</f>
        <v>D.F.</v>
      </c>
      <c r="M280" s="15">
        <f>+'ENCUESTA CONDUCTORES'!O280</f>
        <v>12</v>
      </c>
      <c r="N280" s="15">
        <f>IF('ENCUESTA CONDUCTORES'!P280="X",1,0)</f>
        <v>0</v>
      </c>
      <c r="O280" s="15">
        <f>IF('ENCUESTA CONDUCTORES'!Q280="X",1,0)</f>
        <v>1</v>
      </c>
      <c r="P280" s="15">
        <f>IF('ENCUESTA CONDUCTORES'!R280="X",1,0)</f>
        <v>0</v>
      </c>
      <c r="Q280" s="15">
        <f>IF('ENCUESTA CONDUCTORES'!S280="X",1,0)</f>
        <v>0</v>
      </c>
      <c r="R280" s="15">
        <f>IF('ENCUESTA CONDUCTORES'!T280="X",1,0)</f>
        <v>0</v>
      </c>
      <c r="S280" s="15">
        <f>IF('ENCUESTA CONDUCTORES'!U280="X",1,0)</f>
        <v>1</v>
      </c>
      <c r="T280" s="15">
        <f>IF('ENCUESTA CONDUCTORES'!V280="X",1,0)</f>
        <v>0</v>
      </c>
      <c r="U280" s="15">
        <f>IF('ENCUESTA CONDUCTORES'!W280="X",1,0)</f>
        <v>0</v>
      </c>
      <c r="V280" s="15">
        <f>IF('ENCUESTA CONDUCTORES'!X280="X",1,0)</f>
        <v>0</v>
      </c>
      <c r="W280" s="15">
        <f>IF('ENCUESTA CONDUCTORES'!Y280="X",1,0)</f>
        <v>0</v>
      </c>
      <c r="X280" s="15">
        <f>IF('ENCUESTA CONDUCTORES'!Z280="X",1,0)</f>
        <v>0</v>
      </c>
      <c r="Y280" s="15">
        <f>+'ENCUESTA CONDUCTORES'!AG280</f>
        <v>0</v>
      </c>
      <c r="Z280" s="15">
        <f>+'ENCUESTA CONDUCTORES'!AH280</f>
        <v>1990</v>
      </c>
      <c r="AA280" s="1">
        <f>+'ENCUESTA CONDUCTORES'!AI280</f>
        <v>950000</v>
      </c>
      <c r="AB280" s="15">
        <f>IF('ENCUESTA CONDUCTORES'!AJ280="X",1,0)</f>
        <v>0</v>
      </c>
      <c r="AC280" s="15">
        <f>IF('ENCUESTA CONDUCTORES'!AK280="X",1,0)</f>
        <v>0</v>
      </c>
      <c r="AD280" s="15">
        <f>IF('ENCUESTA CONDUCTORES'!AL280="X",1,0)</f>
        <v>1</v>
      </c>
      <c r="AE280" s="15">
        <f>IF('ENCUESTA CONDUCTORES'!AM280="X",1,0)</f>
        <v>0</v>
      </c>
      <c r="AF280" s="15">
        <f>IF('ENCUESTA CONDUCTORES'!AN280="X",1,0)</f>
        <v>0</v>
      </c>
      <c r="AG280" s="15">
        <f>IF('ENCUESTA CONDUCTORES'!AO280="X",1,0)</f>
        <v>0</v>
      </c>
      <c r="AH280" s="15">
        <f>IF('ENCUESTA CONDUCTORES'!AP280="X",1,0)</f>
        <v>1</v>
      </c>
      <c r="AI280" s="15">
        <f>IF('ENCUESTA CONDUCTORES'!AQ280="X",1,0)</f>
        <v>0</v>
      </c>
      <c r="AJ280" s="15">
        <f>IF('ENCUESTA CONDUCTORES'!AR280="X",1,0)</f>
        <v>0</v>
      </c>
      <c r="AK280" s="15">
        <f>+'ENCUESTA CONDUCTORES'!AS280</f>
        <v>0</v>
      </c>
      <c r="AL280" s="15" t="str">
        <f>+'ENCUESTA CONDUCTORES'!AT280</f>
        <v>INTERNATIONAL</v>
      </c>
      <c r="AM280" s="1">
        <f>+'ENCUESTA CONDUCTORES'!AU280</f>
        <v>4000</v>
      </c>
      <c r="AN280" s="48">
        <f>+'ENCUESTA CONDUCTORES'!AV280</f>
        <v>0.5</v>
      </c>
      <c r="AO280" s="15">
        <f>+'ENCUESTA CONDUCTORES'!AW280</f>
        <v>2.5</v>
      </c>
      <c r="AP280" s="15">
        <f>+'ENCUESTA CONDUCTORES'!AX280</f>
        <v>2.1</v>
      </c>
      <c r="AQ280" s="15">
        <f>+'ENCUESTA CONDUCTORES'!AY280</f>
        <v>1</v>
      </c>
      <c r="AR280" s="15">
        <f>+'ENCUESTA CONDUCTORES'!AZ280</f>
        <v>460</v>
      </c>
      <c r="AS280" s="15">
        <f>+'ENCUESTA CONDUCTORES'!BA280</f>
        <v>1100</v>
      </c>
      <c r="AT280" s="15">
        <f>IF('ENCUESTA CONDUCTORES'!BB280="X",1,0)</f>
        <v>0</v>
      </c>
      <c r="AU280" s="15">
        <f>IF('ENCUESTA CONDUCTORES'!BC280="X",1,0)</f>
        <v>1</v>
      </c>
      <c r="AV280" s="15">
        <f>IF('ENCUESTA CONDUCTORES'!BD280="X",1,0)</f>
        <v>1</v>
      </c>
      <c r="AW280" s="1">
        <f>+'ENCUESTA CONDUCTORES'!BE280</f>
        <v>15000</v>
      </c>
      <c r="AX280" s="1">
        <f>+'ENCUESTA CONDUCTORES'!BF280</f>
        <v>10000</v>
      </c>
      <c r="AY280" s="1">
        <f>+'ENCUESTA CONDUCTORES'!BG280</f>
        <v>35000</v>
      </c>
      <c r="AZ280" s="1">
        <f>+'ENCUESTA CONDUCTORES'!BH280</f>
        <v>200000</v>
      </c>
      <c r="BA280" s="1">
        <f>+'ENCUESTA CONDUCTORES'!BI280</f>
        <v>35000</v>
      </c>
      <c r="BB280" s="15">
        <f>IF('ENCUESTA CONDUCTORES'!BJ280="X",1,0)</f>
        <v>0</v>
      </c>
      <c r="BC280" s="15">
        <f>IF('ENCUESTA CONDUCTORES'!BK280="X",1,0)</f>
        <v>0</v>
      </c>
      <c r="BD280" s="15">
        <f>IF('ENCUESTA CONDUCTORES'!BL280="X",1,0)</f>
        <v>0</v>
      </c>
      <c r="BE280" s="15">
        <f>IF('ENCUESTA CONDUCTORES'!BM280="X",1,0)</f>
        <v>0</v>
      </c>
      <c r="BF280" s="15">
        <f>IF('ENCUESTA CONDUCTORES'!BN280="X",1,0)</f>
        <v>0</v>
      </c>
      <c r="BG280" s="15">
        <f>IF('ENCUESTA CONDUCTORES'!BO280="X",1,0)</f>
        <v>0</v>
      </c>
      <c r="BH280" s="15">
        <f>IF('ENCUESTA CONDUCTORES'!BP280="X",1,0)</f>
        <v>0</v>
      </c>
      <c r="BI280" s="15">
        <f>IF('ENCUESTA CONDUCTORES'!BQ280="X",1,0)</f>
        <v>0</v>
      </c>
      <c r="BJ280" s="15">
        <f>IF('ENCUESTA CONDUCTORES'!BR280="X",1,0)</f>
        <v>0</v>
      </c>
      <c r="BK280" s="15" t="str">
        <f>+'ENCUESTA CONDUCTORES'!BS280</f>
        <v>MUEBLES</v>
      </c>
      <c r="BL280" s="15">
        <f>IF('ENCUESTA CONDUCTORES'!BT280="X",1,0)</f>
        <v>0</v>
      </c>
      <c r="BM280" s="15">
        <f>IF('ENCUESTA CONDUCTORES'!BU280="X",1,0)</f>
        <v>0</v>
      </c>
      <c r="BN280" s="15">
        <f>IF('ENCUESTA CONDUCTORES'!BV280="X",1,0)</f>
        <v>1</v>
      </c>
      <c r="BO280" s="15">
        <f>IF('ENCUESTA CONDUCTORES'!BW280="X",1,0)</f>
        <v>0</v>
      </c>
      <c r="BP280" s="15">
        <f>+'ENCUESTA CONDUCTORES'!BX280</f>
        <v>1</v>
      </c>
      <c r="BQ280" s="15">
        <f>+'ENCUESTA CONDUCTORES'!BY280</f>
        <v>2</v>
      </c>
      <c r="BR280" s="15">
        <f>+'ENCUESTA CONDUCTORES'!BZ280</f>
        <v>3</v>
      </c>
      <c r="BS280" s="15">
        <f>+'ENCUESTA CONDUCTORES'!CA280</f>
        <v>0</v>
      </c>
      <c r="BT280" s="15">
        <f>IF('ENCUESTA CONDUCTORES'!CB280="X",1,0)</f>
        <v>1</v>
      </c>
      <c r="BU280" s="15">
        <f>IF('ENCUESTA CONDUCTORES'!CC280="X",1,0)</f>
        <v>0</v>
      </c>
      <c r="BV280" s="15">
        <f>IF('ENCUESTA CONDUCTORES'!CD280="X",1,0)</f>
        <v>0</v>
      </c>
      <c r="BW280" s="15">
        <f>IF('ENCUESTA CONDUCTORES'!CE280="X",1,0)</f>
        <v>0</v>
      </c>
      <c r="BX280" s="15">
        <f>IF('ENCUESTA CONDUCTORES'!CF280="X",1,0)</f>
        <v>0</v>
      </c>
      <c r="BY280" s="15">
        <f>IF('ENCUESTA CONDUCTORES'!CG280="X",1,0)</f>
        <v>0</v>
      </c>
      <c r="BZ280" s="15">
        <f>IF('ENCUESTA CONDUCTORES'!CH280="X",1,0)</f>
        <v>0</v>
      </c>
      <c r="CA280" s="15">
        <f>IF('ENCUESTA CONDUCTORES'!CI280="X",1,0)</f>
        <v>0</v>
      </c>
      <c r="CB280" s="15">
        <f>IF('ENCUESTA CONDUCTORES'!CJ280="X",1,0)</f>
        <v>0</v>
      </c>
      <c r="CC280" s="15">
        <f>IF('ENCUESTA CONDUCTORES'!CK280="X",1,0)</f>
        <v>1</v>
      </c>
      <c r="CD280" s="15">
        <f>IF('ENCUESTA CONDUCTORES'!CL280="X",1,0)</f>
        <v>0</v>
      </c>
      <c r="CE280" s="15">
        <f>IF('ENCUESTA CONDUCTORES'!CM280="X",1,0)</f>
        <v>0</v>
      </c>
      <c r="CF280" s="15">
        <f>+'ENCUESTA CONDUCTORES'!CN280</f>
        <v>0</v>
      </c>
      <c r="CG280" s="15">
        <f>IF('ENCUESTA CONDUCTORES'!CO280="X",1,0)</f>
        <v>0</v>
      </c>
      <c r="CH280" s="15" t="str">
        <f>+'ENCUESTA CONDUCTORES'!CP280</f>
        <v>NO SABE</v>
      </c>
      <c r="CI280" s="15" t="str">
        <f>+'ENCUESTA CONDUCTORES'!CQ280</f>
        <v>NO SABE</v>
      </c>
      <c r="CJ280" s="15">
        <f>IF('ENCUESTA CONDUCTORES'!CR280="X",1,0)</f>
        <v>1</v>
      </c>
      <c r="CK280" s="15">
        <f>IF('ENCUESTA CONDUCTORES'!CS280="X",1,0)</f>
        <v>0</v>
      </c>
      <c r="CL280" s="15">
        <f>IF('ENCUESTA CONDUCTORES'!CT280="X",1,0)</f>
        <v>0</v>
      </c>
      <c r="CM280" s="15">
        <f>+'ENCUESTA CONDUCTORES'!CU280</f>
        <v>0</v>
      </c>
      <c r="CN280" s="15">
        <f>IF('ENCUESTA CONDUCTORES'!CV280="X",1,0)</f>
        <v>0</v>
      </c>
      <c r="CO280" s="15">
        <f>+'ENCUESTA CONDUCTORES'!CW280</f>
        <v>0</v>
      </c>
      <c r="CP280" s="15">
        <f>IF('ENCUESTA CONDUCTORES'!CX280="X",1,0)</f>
        <v>0</v>
      </c>
      <c r="CQ280" s="15">
        <f>IF('ENCUESTA CONDUCTORES'!CY280="X",1,0)</f>
        <v>0</v>
      </c>
      <c r="CR280" s="3" t="str">
        <f>+'ENCUESTA CONDUCTORES'!CZ280</f>
        <v>MANEJO A LA DEFENSIVA</v>
      </c>
      <c r="CS280" s="49">
        <f>+'ENCUESTA CONDUCTORES'!DA280</f>
        <v>0</v>
      </c>
    </row>
    <row r="281" spans="2:97" x14ac:dyDescent="0.25">
      <c r="B281" s="14" t="str">
        <f>+'ENCUESTA CONDUCTORES'!D281</f>
        <v>C-292</v>
      </c>
      <c r="C281" s="15">
        <f>IF('ENCUESTA CONDUCTORES'!E281="X",1,0)</f>
        <v>0</v>
      </c>
      <c r="D281" s="15">
        <f>IF('ENCUESTA CONDUCTORES'!F281="X",1,0)</f>
        <v>1</v>
      </c>
      <c r="E281" s="15">
        <f>IF('ENCUESTA CONDUCTORES'!G281="X",1,0)</f>
        <v>0</v>
      </c>
      <c r="F281" s="15">
        <f>IF('ENCUESTA CONDUCTORES'!H281="X",1,0)</f>
        <v>0</v>
      </c>
      <c r="G281" s="15">
        <f>+'ENCUESTA CONDUCTORES'!I281</f>
        <v>22</v>
      </c>
      <c r="H281" s="15" t="str">
        <f>+'ENCUESTA CONDUCTORES'!J281</f>
        <v>M</v>
      </c>
      <c r="I281" s="15" t="str">
        <f>+'ENCUESTA CONDUCTORES'!K281</f>
        <v>SECUNDARIA</v>
      </c>
      <c r="J281" s="15" t="str">
        <f>+'ENCUESTA CONDUCTORES'!L281</f>
        <v>TEPIC, NAYARIT</v>
      </c>
      <c r="K281" s="15" t="str">
        <f>+'ENCUESTA CONDUCTORES'!M281</f>
        <v>TEPIC</v>
      </c>
      <c r="L281" s="15" t="str">
        <f>+'ENCUESTA CONDUCTORES'!N281</f>
        <v>NAYARIT</v>
      </c>
      <c r="M281" s="15">
        <f>+'ENCUESTA CONDUCTORES'!O281</f>
        <v>7</v>
      </c>
      <c r="N281" s="15">
        <f>IF('ENCUESTA CONDUCTORES'!P281="X",1,0)</f>
        <v>0</v>
      </c>
      <c r="O281" s="15">
        <f>IF('ENCUESTA CONDUCTORES'!Q281="X",1,0)</f>
        <v>0</v>
      </c>
      <c r="P281" s="15">
        <f>IF('ENCUESTA CONDUCTORES'!R281="X",1,0)</f>
        <v>0</v>
      </c>
      <c r="Q281" s="15">
        <f>IF('ENCUESTA CONDUCTORES'!S281="X",1,0)</f>
        <v>1</v>
      </c>
      <c r="R281" s="15">
        <f>IF('ENCUESTA CONDUCTORES'!T281="X",1,0)</f>
        <v>0</v>
      </c>
      <c r="S281" s="15">
        <f>IF('ENCUESTA CONDUCTORES'!U281="X",1,0)</f>
        <v>1</v>
      </c>
      <c r="T281" s="15">
        <f>IF('ENCUESTA CONDUCTORES'!V281="X",1,0)</f>
        <v>0</v>
      </c>
      <c r="U281" s="15">
        <f>IF('ENCUESTA CONDUCTORES'!W281="X",1,0)</f>
        <v>0</v>
      </c>
      <c r="V281" s="15">
        <f>IF('ENCUESTA CONDUCTORES'!X281="X",1,0)</f>
        <v>0</v>
      </c>
      <c r="W281" s="15">
        <f>IF('ENCUESTA CONDUCTORES'!Y281="X",1,0)</f>
        <v>0</v>
      </c>
      <c r="X281" s="15">
        <f>IF('ENCUESTA CONDUCTORES'!Z281="X",1,0)</f>
        <v>0</v>
      </c>
      <c r="Y281" s="15">
        <f>+'ENCUESTA CONDUCTORES'!AG281</f>
        <v>0</v>
      </c>
      <c r="Z281" s="15">
        <f>+'ENCUESTA CONDUCTORES'!AH281</f>
        <v>1998</v>
      </c>
      <c r="AA281" s="1">
        <f>+'ENCUESTA CONDUCTORES'!AI281</f>
        <v>973815</v>
      </c>
      <c r="AB281" s="15">
        <f>IF('ENCUESTA CONDUCTORES'!AJ281="X",1,0)</f>
        <v>0</v>
      </c>
      <c r="AC281" s="15">
        <f>IF('ENCUESTA CONDUCTORES'!AK281="X",1,0)</f>
        <v>0</v>
      </c>
      <c r="AD281" s="15">
        <f>IF('ENCUESTA CONDUCTORES'!AL281="X",1,0)</f>
        <v>1</v>
      </c>
      <c r="AE281" s="15">
        <f>IF('ENCUESTA CONDUCTORES'!AM281="X",1,0)</f>
        <v>0</v>
      </c>
      <c r="AF281" s="15">
        <f>IF('ENCUESTA CONDUCTORES'!AN281="X",1,0)</f>
        <v>0</v>
      </c>
      <c r="AG281" s="15">
        <f>IF('ENCUESTA CONDUCTORES'!AO281="X",1,0)</f>
        <v>1</v>
      </c>
      <c r="AH281" s="15">
        <f>IF('ENCUESTA CONDUCTORES'!AP281="X",1,0)</f>
        <v>0</v>
      </c>
      <c r="AI281" s="15">
        <f>IF('ENCUESTA CONDUCTORES'!AQ281="X",1,0)</f>
        <v>0</v>
      </c>
      <c r="AJ281" s="15">
        <f>IF('ENCUESTA CONDUCTORES'!AR281="X",1,0)</f>
        <v>0</v>
      </c>
      <c r="AK281" s="15">
        <f>+'ENCUESTA CONDUCTORES'!AS281</f>
        <v>0</v>
      </c>
      <c r="AL281" s="15" t="str">
        <f>+'ENCUESTA CONDUCTORES'!AT281</f>
        <v>CUMMINS</v>
      </c>
      <c r="AM281" s="1">
        <f>+'ENCUESTA CONDUCTORES'!AU281</f>
        <v>9000</v>
      </c>
      <c r="AN281" s="48">
        <f>+'ENCUESTA CONDUCTORES'!AV281</f>
        <v>0.1</v>
      </c>
      <c r="AO281" s="15">
        <f>+'ENCUESTA CONDUCTORES'!AW281</f>
        <v>2.7</v>
      </c>
      <c r="AP281" s="15">
        <f>+'ENCUESTA CONDUCTORES'!AX281</f>
        <v>2.4</v>
      </c>
      <c r="AQ281" s="15">
        <f>+'ENCUESTA CONDUCTORES'!AY281</f>
        <v>2</v>
      </c>
      <c r="AR281" s="15">
        <f>+'ENCUESTA CONDUCTORES'!AZ281</f>
        <v>830</v>
      </c>
      <c r="AS281" s="15">
        <f>+'ENCUESTA CONDUCTORES'!BA281</f>
        <v>2150</v>
      </c>
      <c r="AT281" s="15">
        <f>IF('ENCUESTA CONDUCTORES'!BB281="X",1,0)</f>
        <v>1</v>
      </c>
      <c r="AU281" s="15">
        <f>IF('ENCUESTA CONDUCTORES'!BC281="X",1,0)</f>
        <v>0</v>
      </c>
      <c r="AV281" s="15">
        <f>IF('ENCUESTA CONDUCTORES'!BD281="X",1,0)</f>
        <v>0</v>
      </c>
      <c r="AW281" s="1">
        <f>+'ENCUESTA CONDUCTORES'!BE281</f>
        <v>18000</v>
      </c>
      <c r="AX281" s="1" t="str">
        <f>+'ENCUESTA CONDUCTORES'!BF281</f>
        <v>NO SABE</v>
      </c>
      <c r="AY281" s="1">
        <f>+'ENCUESTA CONDUCTORES'!BG281</f>
        <v>27000</v>
      </c>
      <c r="AZ281" s="1">
        <f>+'ENCUESTA CONDUCTORES'!BH281</f>
        <v>100000</v>
      </c>
      <c r="BA281" s="1" t="str">
        <f>+'ENCUESTA CONDUCTORES'!BI281</f>
        <v>NO SABE</v>
      </c>
      <c r="BB281" s="15">
        <f>IF('ENCUESTA CONDUCTORES'!BJ281="X",1,0)</f>
        <v>0</v>
      </c>
      <c r="BC281" s="15">
        <f>IF('ENCUESTA CONDUCTORES'!BK281="X",1,0)</f>
        <v>1</v>
      </c>
      <c r="BD281" s="15">
        <f>IF('ENCUESTA CONDUCTORES'!BL281="X",1,0)</f>
        <v>0</v>
      </c>
      <c r="BE281" s="15">
        <f>IF('ENCUESTA CONDUCTORES'!BM281="X",1,0)</f>
        <v>0</v>
      </c>
      <c r="BF281" s="15">
        <f>IF('ENCUESTA CONDUCTORES'!BN281="X",1,0)</f>
        <v>0</v>
      </c>
      <c r="BG281" s="15">
        <f>IF('ENCUESTA CONDUCTORES'!BO281="X",1,0)</f>
        <v>0</v>
      </c>
      <c r="BH281" s="15">
        <f>IF('ENCUESTA CONDUCTORES'!BP281="X",1,0)</f>
        <v>0</v>
      </c>
      <c r="BI281" s="15">
        <f>IF('ENCUESTA CONDUCTORES'!BQ281="X",1,0)</f>
        <v>0</v>
      </c>
      <c r="BJ281" s="15">
        <f>IF('ENCUESTA CONDUCTORES'!BR281="X",1,0)</f>
        <v>0</v>
      </c>
      <c r="BK281" s="15">
        <f>+'ENCUESTA CONDUCTORES'!BS281</f>
        <v>0</v>
      </c>
      <c r="BL281" s="15">
        <f>IF('ENCUESTA CONDUCTORES'!BT281="X",1,0)</f>
        <v>0</v>
      </c>
      <c r="BM281" s="15">
        <f>IF('ENCUESTA CONDUCTORES'!BU281="X",1,0)</f>
        <v>1</v>
      </c>
      <c r="BN281" s="15">
        <f>IF('ENCUESTA CONDUCTORES'!BV281="X",1,0)</f>
        <v>0</v>
      </c>
      <c r="BO281" s="15">
        <f>IF('ENCUESTA CONDUCTORES'!BW281="X",1,0)</f>
        <v>0</v>
      </c>
      <c r="BP281" s="15">
        <f>+'ENCUESTA CONDUCTORES'!BX281</f>
        <v>1</v>
      </c>
      <c r="BQ281" s="15">
        <f>+'ENCUESTA CONDUCTORES'!BY281</f>
        <v>2</v>
      </c>
      <c r="BR281" s="15">
        <f>+'ENCUESTA CONDUCTORES'!BZ281</f>
        <v>3</v>
      </c>
      <c r="BS281" s="15">
        <f>+'ENCUESTA CONDUCTORES'!CA281</f>
        <v>0</v>
      </c>
      <c r="BT281" s="15">
        <f>IF('ENCUESTA CONDUCTORES'!CB281="X",1,0)</f>
        <v>1</v>
      </c>
      <c r="BU281" s="15">
        <f>IF('ENCUESTA CONDUCTORES'!CC281="X",1,0)</f>
        <v>0</v>
      </c>
      <c r="BV281" s="15">
        <f>IF('ENCUESTA CONDUCTORES'!CD281="X",1,0)</f>
        <v>0</v>
      </c>
      <c r="BW281" s="15">
        <f>IF('ENCUESTA CONDUCTORES'!CE281="X",1,0)</f>
        <v>0</v>
      </c>
      <c r="BX281" s="15">
        <f>IF('ENCUESTA CONDUCTORES'!CF281="X",1,0)</f>
        <v>0</v>
      </c>
      <c r="BY281" s="15">
        <f>IF('ENCUESTA CONDUCTORES'!CG281="X",1,0)</f>
        <v>0</v>
      </c>
      <c r="BZ281" s="15">
        <f>IF('ENCUESTA CONDUCTORES'!CH281="X",1,0)</f>
        <v>0</v>
      </c>
      <c r="CA281" s="15">
        <f>IF('ENCUESTA CONDUCTORES'!CI281="X",1,0)</f>
        <v>0</v>
      </c>
      <c r="CB281" s="15">
        <f>IF('ENCUESTA CONDUCTORES'!CJ281="X",1,0)</f>
        <v>0</v>
      </c>
      <c r="CC281" s="15">
        <f>IF('ENCUESTA CONDUCTORES'!CK281="X",1,0)</f>
        <v>1</v>
      </c>
      <c r="CD281" s="15">
        <f>IF('ENCUESTA CONDUCTORES'!CL281="X",1,0)</f>
        <v>0</v>
      </c>
      <c r="CE281" s="15">
        <f>IF('ENCUESTA CONDUCTORES'!CM281="X",1,0)</f>
        <v>0</v>
      </c>
      <c r="CF281" s="15">
        <f>+'ENCUESTA CONDUCTORES'!CN281</f>
        <v>0</v>
      </c>
      <c r="CG281" s="15">
        <f>IF('ENCUESTA CONDUCTORES'!CO281="X",1,0)</f>
        <v>0</v>
      </c>
      <c r="CH281" s="15" t="str">
        <f>+'ENCUESTA CONDUCTORES'!CP281</f>
        <v>NO SABE</v>
      </c>
      <c r="CI281" s="15" t="str">
        <f>+'ENCUESTA CONDUCTORES'!CQ281</f>
        <v>NO SABE</v>
      </c>
      <c r="CJ281" s="15">
        <f>IF('ENCUESTA CONDUCTORES'!CR281="X",1,0)</f>
        <v>1</v>
      </c>
      <c r="CK281" s="15">
        <f>IF('ENCUESTA CONDUCTORES'!CS281="X",1,0)</f>
        <v>0</v>
      </c>
      <c r="CL281" s="15">
        <f>IF('ENCUESTA CONDUCTORES'!CT281="X",1,0)</f>
        <v>0</v>
      </c>
      <c r="CM281" s="15">
        <f>+'ENCUESTA CONDUCTORES'!CU281</f>
        <v>0</v>
      </c>
      <c r="CN281" s="15">
        <f>IF('ENCUESTA CONDUCTORES'!CV281="X",1,0)</f>
        <v>0</v>
      </c>
      <c r="CO281" s="15">
        <f>+'ENCUESTA CONDUCTORES'!CW281</f>
        <v>0</v>
      </c>
      <c r="CP281" s="15">
        <f>IF('ENCUESTA CONDUCTORES'!CX281="X",1,0)</f>
        <v>0</v>
      </c>
      <c r="CQ281" s="15">
        <f>IF('ENCUESTA CONDUCTORES'!CY281="X",1,0)</f>
        <v>1</v>
      </c>
      <c r="CR281" s="3">
        <f>+'ENCUESTA CONDUCTORES'!CZ281</f>
        <v>0</v>
      </c>
      <c r="CS281" s="49">
        <f>+'ENCUESTA CONDUCTORES'!DA281</f>
        <v>0</v>
      </c>
    </row>
    <row r="282" spans="2:97" x14ac:dyDescent="0.25">
      <c r="B282" s="14" t="str">
        <f>+'ENCUESTA CONDUCTORES'!D282</f>
        <v>C-293</v>
      </c>
      <c r="C282" s="15">
        <f>IF('ENCUESTA CONDUCTORES'!E282="X",1,0)</f>
        <v>0</v>
      </c>
      <c r="D282" s="15">
        <f>IF('ENCUESTA CONDUCTORES'!F282="X",1,0)</f>
        <v>0</v>
      </c>
      <c r="E282" s="15">
        <f>IF('ENCUESTA CONDUCTORES'!G282="X",1,0)</f>
        <v>0</v>
      </c>
      <c r="F282" s="15">
        <f>IF('ENCUESTA CONDUCTORES'!H282="X",1,0)</f>
        <v>1</v>
      </c>
      <c r="G282" s="15">
        <f>+'ENCUESTA CONDUCTORES'!I282</f>
        <v>42</v>
      </c>
      <c r="H282" s="15" t="str">
        <f>+'ENCUESTA CONDUCTORES'!J282</f>
        <v>M</v>
      </c>
      <c r="I282" s="15" t="str">
        <f>+'ENCUESTA CONDUCTORES'!K282</f>
        <v>PREPARATORIA</v>
      </c>
      <c r="J282" s="15" t="str">
        <f>+'ENCUESTA CONDUCTORES'!L282</f>
        <v>TIJUANA, B. CALIFORNIA</v>
      </c>
      <c r="K282" s="15" t="str">
        <f>+'ENCUESTA CONDUCTORES'!M282</f>
        <v>TIJUANA</v>
      </c>
      <c r="L282" s="15" t="str">
        <f>+'ENCUESTA CONDUCTORES'!N282</f>
        <v>B. CALIFORNIA</v>
      </c>
      <c r="M282" s="15">
        <f>+'ENCUESTA CONDUCTORES'!O282</f>
        <v>20</v>
      </c>
      <c r="N282" s="15">
        <f>IF('ENCUESTA CONDUCTORES'!P282="X",1,0)</f>
        <v>0</v>
      </c>
      <c r="O282" s="15">
        <f>IF('ENCUESTA CONDUCTORES'!Q282="X",1,0)</f>
        <v>0</v>
      </c>
      <c r="P282" s="15">
        <f>IF('ENCUESTA CONDUCTORES'!R282="X",1,0)</f>
        <v>0</v>
      </c>
      <c r="Q282" s="15">
        <f>IF('ENCUESTA CONDUCTORES'!S282="X",1,0)</f>
        <v>1</v>
      </c>
      <c r="R282" s="15">
        <f>IF('ENCUESTA CONDUCTORES'!T282="X",1,0)</f>
        <v>0</v>
      </c>
      <c r="S282" s="15">
        <f>IF('ENCUESTA CONDUCTORES'!U282="X",1,0)</f>
        <v>0</v>
      </c>
      <c r="T282" s="15">
        <f>IF('ENCUESTA CONDUCTORES'!V282="X",1,0)</f>
        <v>1</v>
      </c>
      <c r="U282" s="15">
        <f>IF('ENCUESTA CONDUCTORES'!W282="X",1,0)</f>
        <v>0</v>
      </c>
      <c r="V282" s="15">
        <f>IF('ENCUESTA CONDUCTORES'!X282="X",1,0)</f>
        <v>0</v>
      </c>
      <c r="W282" s="15">
        <f>IF('ENCUESTA CONDUCTORES'!Y282="X",1,0)</f>
        <v>0</v>
      </c>
      <c r="X282" s="15">
        <f>IF('ENCUESTA CONDUCTORES'!Z282="X",1,0)</f>
        <v>0</v>
      </c>
      <c r="Y282" s="15">
        <f>+'ENCUESTA CONDUCTORES'!AG282</f>
        <v>0</v>
      </c>
      <c r="Z282" s="15">
        <f>+'ENCUESTA CONDUCTORES'!AH282</f>
        <v>2007</v>
      </c>
      <c r="AA282" s="1">
        <f>+'ENCUESTA CONDUCTORES'!AI282</f>
        <v>618923</v>
      </c>
      <c r="AB282" s="15">
        <f>IF('ENCUESTA CONDUCTORES'!AJ282="X",1,0)</f>
        <v>0</v>
      </c>
      <c r="AC282" s="15">
        <f>IF('ENCUESTA CONDUCTORES'!AK282="X",1,0)</f>
        <v>0</v>
      </c>
      <c r="AD282" s="15">
        <f>IF('ENCUESTA CONDUCTORES'!AL282="X",1,0)</f>
        <v>1</v>
      </c>
      <c r="AE282" s="15">
        <f>IF('ENCUESTA CONDUCTORES'!AM282="X",1,0)</f>
        <v>0</v>
      </c>
      <c r="AF282" s="15">
        <f>IF('ENCUESTA CONDUCTORES'!AN282="X",1,0)</f>
        <v>0</v>
      </c>
      <c r="AG282" s="15">
        <f>IF('ENCUESTA CONDUCTORES'!AO282="X",1,0)</f>
        <v>0</v>
      </c>
      <c r="AH282" s="15">
        <f>IF('ENCUESTA CONDUCTORES'!AP282="X",1,0)</f>
        <v>1</v>
      </c>
      <c r="AI282" s="15">
        <f>IF('ENCUESTA CONDUCTORES'!AQ282="X",1,0)</f>
        <v>0</v>
      </c>
      <c r="AJ282" s="15">
        <f>IF('ENCUESTA CONDUCTORES'!AR282="X",1,0)</f>
        <v>0</v>
      </c>
      <c r="AK282" s="15">
        <f>+'ENCUESTA CONDUCTORES'!AS282</f>
        <v>0</v>
      </c>
      <c r="AL282" s="15" t="str">
        <f>+'ENCUESTA CONDUCTORES'!AT282</f>
        <v>CUMMINS</v>
      </c>
      <c r="AM282" s="1">
        <f>+'ENCUESTA CONDUCTORES'!AU282</f>
        <v>8333.3333333333339</v>
      </c>
      <c r="AN282" s="48">
        <f>+'ENCUESTA CONDUCTORES'!AV282</f>
        <v>0.5</v>
      </c>
      <c r="AO282" s="15">
        <f>+'ENCUESTA CONDUCTORES'!AW282</f>
        <v>2.8</v>
      </c>
      <c r="AP282" s="15">
        <f>+'ENCUESTA CONDUCTORES'!AX282</f>
        <v>2.5</v>
      </c>
      <c r="AQ282" s="15">
        <f>+'ENCUESTA CONDUCTORES'!AY282</f>
        <v>2</v>
      </c>
      <c r="AR282" s="15">
        <f>+'ENCUESTA CONDUCTORES'!AZ282</f>
        <v>810</v>
      </c>
      <c r="AS282" s="15">
        <f>+'ENCUESTA CONDUCTORES'!BA282</f>
        <v>2200</v>
      </c>
      <c r="AT282" s="15">
        <f>IF('ENCUESTA CONDUCTORES'!BB282="X",1,0)</f>
        <v>1</v>
      </c>
      <c r="AU282" s="15">
        <f>IF('ENCUESTA CONDUCTORES'!BC282="X",1,0)</f>
        <v>1</v>
      </c>
      <c r="AV282" s="15">
        <f>IF('ENCUESTA CONDUCTORES'!BD282="X",1,0)</f>
        <v>0</v>
      </c>
      <c r="AW282" s="1">
        <f>+'ENCUESTA CONDUCTORES'!BE282</f>
        <v>18000</v>
      </c>
      <c r="AX282" s="1">
        <f>+'ENCUESTA CONDUCTORES'!BF282</f>
        <v>240000</v>
      </c>
      <c r="AY282" s="1">
        <f>+'ENCUESTA CONDUCTORES'!BG282</f>
        <v>36000</v>
      </c>
      <c r="AZ282" s="1">
        <f>+'ENCUESTA CONDUCTORES'!BH282</f>
        <v>120000</v>
      </c>
      <c r="BA282" s="1" t="str">
        <f>+'ENCUESTA CONDUCTORES'!BI282</f>
        <v>NO SABE</v>
      </c>
      <c r="BB282" s="15">
        <f>IF('ENCUESTA CONDUCTORES'!BJ282="X",1,0)</f>
        <v>0</v>
      </c>
      <c r="BC282" s="15">
        <f>IF('ENCUESTA CONDUCTORES'!BK282="X",1,0)</f>
        <v>0</v>
      </c>
      <c r="BD282" s="15">
        <f>IF('ENCUESTA CONDUCTORES'!BL282="X",1,0)</f>
        <v>0</v>
      </c>
      <c r="BE282" s="15">
        <f>IF('ENCUESTA CONDUCTORES'!BM282="X",1,0)</f>
        <v>0</v>
      </c>
      <c r="BF282" s="15">
        <f>IF('ENCUESTA CONDUCTORES'!BN282="X",1,0)</f>
        <v>0</v>
      </c>
      <c r="BG282" s="15">
        <f>IF('ENCUESTA CONDUCTORES'!BO282="X",1,0)</f>
        <v>0</v>
      </c>
      <c r="BH282" s="15">
        <f>IF('ENCUESTA CONDUCTORES'!BP282="X",1,0)</f>
        <v>0</v>
      </c>
      <c r="BI282" s="15">
        <f>IF('ENCUESTA CONDUCTORES'!BQ282="X",1,0)</f>
        <v>1</v>
      </c>
      <c r="BJ282" s="15">
        <f>IF('ENCUESTA CONDUCTORES'!BR282="X",1,0)</f>
        <v>0</v>
      </c>
      <c r="BK282" s="15">
        <f>+'ENCUESTA CONDUCTORES'!BS282</f>
        <v>0</v>
      </c>
      <c r="BL282" s="15">
        <f>IF('ENCUESTA CONDUCTORES'!BT282="X",1,0)</f>
        <v>0</v>
      </c>
      <c r="BM282" s="15">
        <f>IF('ENCUESTA CONDUCTORES'!BU282="X",1,0)</f>
        <v>1</v>
      </c>
      <c r="BN282" s="15">
        <f>IF('ENCUESTA CONDUCTORES'!BV282="X",1,0)</f>
        <v>0</v>
      </c>
      <c r="BO282" s="15">
        <f>IF('ENCUESTA CONDUCTORES'!BW282="X",1,0)</f>
        <v>0</v>
      </c>
      <c r="BP282" s="15">
        <f>+'ENCUESTA CONDUCTORES'!BX282</f>
        <v>1</v>
      </c>
      <c r="BQ282" s="15">
        <f>+'ENCUESTA CONDUCTORES'!BY282</f>
        <v>3</v>
      </c>
      <c r="BR282" s="15">
        <f>+'ENCUESTA CONDUCTORES'!BZ282</f>
        <v>2</v>
      </c>
      <c r="BS282" s="15">
        <f>+'ENCUESTA CONDUCTORES'!CA282</f>
        <v>0</v>
      </c>
      <c r="BT282" s="15">
        <f>IF('ENCUESTA CONDUCTORES'!CB282="X",1,0)</f>
        <v>0</v>
      </c>
      <c r="BU282" s="15">
        <f>IF('ENCUESTA CONDUCTORES'!CC282="X",1,0)</f>
        <v>1</v>
      </c>
      <c r="BV282" s="15">
        <f>IF('ENCUESTA CONDUCTORES'!CD282="X",1,0)</f>
        <v>0</v>
      </c>
      <c r="BW282" s="15">
        <f>IF('ENCUESTA CONDUCTORES'!CE282="X",1,0)</f>
        <v>0</v>
      </c>
      <c r="BX282" s="15">
        <f>IF('ENCUESTA CONDUCTORES'!CF282="X",1,0)</f>
        <v>0</v>
      </c>
      <c r="BY282" s="15">
        <f>IF('ENCUESTA CONDUCTORES'!CG282="X",1,0)</f>
        <v>0</v>
      </c>
      <c r="BZ282" s="15">
        <f>IF('ENCUESTA CONDUCTORES'!CH282="X",1,0)</f>
        <v>1</v>
      </c>
      <c r="CA282" s="15">
        <f>IF('ENCUESTA CONDUCTORES'!CI282="X",1,0)</f>
        <v>0</v>
      </c>
      <c r="CB282" s="15">
        <f>IF('ENCUESTA CONDUCTORES'!CJ282="X",1,0)</f>
        <v>0</v>
      </c>
      <c r="CC282" s="15">
        <f>IF('ENCUESTA CONDUCTORES'!CK282="X",1,0)</f>
        <v>1</v>
      </c>
      <c r="CD282" s="15">
        <f>IF('ENCUESTA CONDUCTORES'!CL282="X",1,0)</f>
        <v>0</v>
      </c>
      <c r="CE282" s="15">
        <f>IF('ENCUESTA CONDUCTORES'!CM282="X",1,0)</f>
        <v>0</v>
      </c>
      <c r="CF282" s="15">
        <f>+'ENCUESTA CONDUCTORES'!CN282</f>
        <v>0</v>
      </c>
      <c r="CG282" s="15">
        <f>IF('ENCUESTA CONDUCTORES'!CO282="X",1,0)</f>
        <v>0</v>
      </c>
      <c r="CH282" s="15" t="str">
        <f>+'ENCUESTA CONDUCTORES'!CP282</f>
        <v>NO SABE</v>
      </c>
      <c r="CI282" s="15" t="str">
        <f>+'ENCUESTA CONDUCTORES'!CQ282</f>
        <v>NO SABE</v>
      </c>
      <c r="CJ282" s="15">
        <f>IF('ENCUESTA CONDUCTORES'!CR282="X",1,0)</f>
        <v>1</v>
      </c>
      <c r="CK282" s="15">
        <f>IF('ENCUESTA CONDUCTORES'!CS282="X",1,0)</f>
        <v>0</v>
      </c>
      <c r="CL282" s="15">
        <f>IF('ENCUESTA CONDUCTORES'!CT282="X",1,0)</f>
        <v>0</v>
      </c>
      <c r="CM282" s="15">
        <f>+'ENCUESTA CONDUCTORES'!CU282</f>
        <v>0</v>
      </c>
      <c r="CN282" s="15">
        <f>IF('ENCUESTA CONDUCTORES'!CV282="X",1,0)</f>
        <v>0</v>
      </c>
      <c r="CO282" s="15">
        <f>+'ENCUESTA CONDUCTORES'!CW282</f>
        <v>0</v>
      </c>
      <c r="CP282" s="15">
        <f>IF('ENCUESTA CONDUCTORES'!CX282="X",1,0)</f>
        <v>1</v>
      </c>
      <c r="CQ282" s="15">
        <f>IF('ENCUESTA CONDUCTORES'!CY282="X",1,0)</f>
        <v>0</v>
      </c>
      <c r="CR282" s="3">
        <f>+'ENCUESTA CONDUCTORES'!CZ282</f>
        <v>0</v>
      </c>
      <c r="CS282" s="49">
        <f>+'ENCUESTA CONDUCTORES'!DA282</f>
        <v>0</v>
      </c>
    </row>
    <row r="283" spans="2:97" x14ac:dyDescent="0.25">
      <c r="B283" s="14" t="str">
        <f>+'ENCUESTA CONDUCTORES'!D283</f>
        <v>C-294</v>
      </c>
      <c r="C283" s="15">
        <f>IF('ENCUESTA CONDUCTORES'!E283="X",1,0)</f>
        <v>1</v>
      </c>
      <c r="D283" s="15">
        <f>IF('ENCUESTA CONDUCTORES'!F283="X",1,0)</f>
        <v>0</v>
      </c>
      <c r="E283" s="15">
        <f>IF('ENCUESTA CONDUCTORES'!G283="X",1,0)</f>
        <v>0</v>
      </c>
      <c r="F283" s="15">
        <f>IF('ENCUESTA CONDUCTORES'!H283="X",1,0)</f>
        <v>0</v>
      </c>
      <c r="G283" s="15">
        <f>+'ENCUESTA CONDUCTORES'!I283</f>
        <v>19</v>
      </c>
      <c r="H283" s="15" t="str">
        <f>+'ENCUESTA CONDUCTORES'!J283</f>
        <v>M</v>
      </c>
      <c r="I283" s="15" t="str">
        <f>+'ENCUESTA CONDUCTORES'!K283</f>
        <v>SECUNDARIA</v>
      </c>
      <c r="J283" s="15" t="str">
        <f>+'ENCUESTA CONDUCTORES'!L283</f>
        <v>OCOTLAN, JALISCO</v>
      </c>
      <c r="K283" s="15" t="str">
        <f>+'ENCUESTA CONDUCTORES'!M283</f>
        <v>OCOTLAN</v>
      </c>
      <c r="L283" s="15" t="str">
        <f>+'ENCUESTA CONDUCTORES'!N283</f>
        <v>JALISCO</v>
      </c>
      <c r="M283" s="15">
        <f>+'ENCUESTA CONDUCTORES'!O283</f>
        <v>3</v>
      </c>
      <c r="N283" s="15">
        <f>IF('ENCUESTA CONDUCTORES'!P283="X",1,0)</f>
        <v>1</v>
      </c>
      <c r="O283" s="15">
        <f>IF('ENCUESTA CONDUCTORES'!Q283="X",1,0)</f>
        <v>0</v>
      </c>
      <c r="P283" s="15">
        <f>IF('ENCUESTA CONDUCTORES'!R283="X",1,0)</f>
        <v>0</v>
      </c>
      <c r="Q283" s="15">
        <f>IF('ENCUESTA CONDUCTORES'!S283="X",1,0)</f>
        <v>0</v>
      </c>
      <c r="R283" s="15">
        <f>IF('ENCUESTA CONDUCTORES'!T283="X",1,0)</f>
        <v>0</v>
      </c>
      <c r="S283" s="15">
        <f>IF('ENCUESTA CONDUCTORES'!U283="X",1,0)</f>
        <v>0</v>
      </c>
      <c r="T283" s="15">
        <f>IF('ENCUESTA CONDUCTORES'!V283="X",1,0)</f>
        <v>0</v>
      </c>
      <c r="U283" s="15">
        <f>IF('ENCUESTA CONDUCTORES'!W283="X",1,0)</f>
        <v>0</v>
      </c>
      <c r="V283" s="15">
        <f>IF('ENCUESTA CONDUCTORES'!X283="X",1,0)</f>
        <v>0</v>
      </c>
      <c r="W283" s="15">
        <f>IF('ENCUESTA CONDUCTORES'!Y283="X",1,0)</f>
        <v>0</v>
      </c>
      <c r="X283" s="15">
        <f>IF('ENCUESTA CONDUCTORES'!Z283="X",1,0)</f>
        <v>0</v>
      </c>
      <c r="Y283" s="15">
        <f>+'ENCUESTA CONDUCTORES'!AG283</f>
        <v>0</v>
      </c>
      <c r="Z283" s="15">
        <f>+'ENCUESTA CONDUCTORES'!AH283</f>
        <v>1997</v>
      </c>
      <c r="AA283" s="1" t="str">
        <f>+'ENCUESTA CONDUCTORES'!AI283</f>
        <v>DAÑADO</v>
      </c>
      <c r="AB283" s="15">
        <f>IF('ENCUESTA CONDUCTORES'!AJ283="X",1,0)</f>
        <v>1</v>
      </c>
      <c r="AC283" s="15">
        <f>IF('ENCUESTA CONDUCTORES'!AK283="X",1,0)</f>
        <v>0</v>
      </c>
      <c r="AD283" s="15">
        <f>IF('ENCUESTA CONDUCTORES'!AL283="X",1,0)</f>
        <v>0</v>
      </c>
      <c r="AE283" s="15">
        <f>IF('ENCUESTA CONDUCTORES'!AM283="X",1,0)</f>
        <v>0</v>
      </c>
      <c r="AF283" s="15">
        <f>IF('ENCUESTA CONDUCTORES'!AN283="X",1,0)</f>
        <v>0</v>
      </c>
      <c r="AG283" s="15">
        <f>IF('ENCUESTA CONDUCTORES'!AO283="X",1,0)</f>
        <v>1</v>
      </c>
      <c r="AH283" s="15">
        <f>IF('ENCUESTA CONDUCTORES'!AP283="X",1,0)</f>
        <v>0</v>
      </c>
      <c r="AI283" s="15">
        <f>IF('ENCUESTA CONDUCTORES'!AQ283="X",1,0)</f>
        <v>0</v>
      </c>
      <c r="AJ283" s="15">
        <f>IF('ENCUESTA CONDUCTORES'!AR283="X",1,0)</f>
        <v>0</v>
      </c>
      <c r="AK283" s="15">
        <f>+'ENCUESTA CONDUCTORES'!AS283</f>
        <v>0</v>
      </c>
      <c r="AL283" s="15" t="str">
        <f>+'ENCUESTA CONDUCTORES'!AT283</f>
        <v>CHEVROLET</v>
      </c>
      <c r="AM283" s="1">
        <f>+'ENCUESTA CONDUCTORES'!AU283</f>
        <v>3000</v>
      </c>
      <c r="AN283" s="48">
        <f>+'ENCUESTA CONDUCTORES'!AV283</f>
        <v>0.5</v>
      </c>
      <c r="AO283" s="15">
        <f>+'ENCUESTA CONDUCTORES'!AW283</f>
        <v>5</v>
      </c>
      <c r="AP283" s="15">
        <f>+'ENCUESTA CONDUCTORES'!AX283</f>
        <v>4.2</v>
      </c>
      <c r="AQ283" s="15">
        <f>+'ENCUESTA CONDUCTORES'!AY283</f>
        <v>1</v>
      </c>
      <c r="AR283" s="15">
        <f>+'ENCUESTA CONDUCTORES'!AZ283</f>
        <v>210</v>
      </c>
      <c r="AS283" s="15">
        <f>+'ENCUESTA CONDUCTORES'!BA283</f>
        <v>800</v>
      </c>
      <c r="AT283" s="15">
        <f>IF('ENCUESTA CONDUCTORES'!BB283="X",1,0)</f>
        <v>0</v>
      </c>
      <c r="AU283" s="15">
        <f>IF('ENCUESTA CONDUCTORES'!BC283="X",1,0)</f>
        <v>0</v>
      </c>
      <c r="AV283" s="15">
        <f>IF('ENCUESTA CONDUCTORES'!BD283="X",1,0)</f>
        <v>0</v>
      </c>
      <c r="AW283" s="1">
        <f>+'ENCUESTA CONDUCTORES'!BE283</f>
        <v>20000</v>
      </c>
      <c r="AX283" s="1" t="str">
        <f>+'ENCUESTA CONDUCTORES'!BF283</f>
        <v>NO SABE</v>
      </c>
      <c r="AY283" s="1">
        <f>+'ENCUESTA CONDUCTORES'!BG283</f>
        <v>20000</v>
      </c>
      <c r="AZ283" s="1" t="str">
        <f>+'ENCUESTA CONDUCTORES'!BH283</f>
        <v>NO SABE</v>
      </c>
      <c r="BA283" s="1" t="str">
        <f>+'ENCUESTA CONDUCTORES'!BI283</f>
        <v>NO APLICA</v>
      </c>
      <c r="BB283" s="15">
        <f>IF('ENCUESTA CONDUCTORES'!BJ283="X",1,0)</f>
        <v>0</v>
      </c>
      <c r="BC283" s="15">
        <f>IF('ENCUESTA CONDUCTORES'!BK283="X",1,0)</f>
        <v>0</v>
      </c>
      <c r="BD283" s="15">
        <f>IF('ENCUESTA CONDUCTORES'!BL283="X",1,0)</f>
        <v>0</v>
      </c>
      <c r="BE283" s="15">
        <f>IF('ENCUESTA CONDUCTORES'!BM283="X",1,0)</f>
        <v>0</v>
      </c>
      <c r="BF283" s="15">
        <f>IF('ENCUESTA CONDUCTORES'!BN283="X",1,0)</f>
        <v>0</v>
      </c>
      <c r="BG283" s="15">
        <f>IF('ENCUESTA CONDUCTORES'!BO283="X",1,0)</f>
        <v>1</v>
      </c>
      <c r="BH283" s="15">
        <f>IF('ENCUESTA CONDUCTORES'!BP283="X",1,0)</f>
        <v>0</v>
      </c>
      <c r="BI283" s="15">
        <f>IF('ENCUESTA CONDUCTORES'!BQ283="X",1,0)</f>
        <v>0</v>
      </c>
      <c r="BJ283" s="15">
        <f>IF('ENCUESTA CONDUCTORES'!BR283="X",1,0)</f>
        <v>0</v>
      </c>
      <c r="BK283" s="15">
        <f>+'ENCUESTA CONDUCTORES'!BS283</f>
        <v>0</v>
      </c>
      <c r="BL283" s="15">
        <f>IF('ENCUESTA CONDUCTORES'!BT283="X",1,0)</f>
        <v>0</v>
      </c>
      <c r="BM283" s="15">
        <f>IF('ENCUESTA CONDUCTORES'!BU283="X",1,0)</f>
        <v>1</v>
      </c>
      <c r="BN283" s="15">
        <f>IF('ENCUESTA CONDUCTORES'!BV283="X",1,0)</f>
        <v>0</v>
      </c>
      <c r="BO283" s="15">
        <f>IF('ENCUESTA CONDUCTORES'!BW283="X",1,0)</f>
        <v>0</v>
      </c>
      <c r="BP283" s="15">
        <f>+'ENCUESTA CONDUCTORES'!BX283</f>
        <v>3</v>
      </c>
      <c r="BQ283" s="15">
        <f>+'ENCUESTA CONDUCTORES'!BY283</f>
        <v>2</v>
      </c>
      <c r="BR283" s="15">
        <f>+'ENCUESTA CONDUCTORES'!BZ283</f>
        <v>1</v>
      </c>
      <c r="BS283" s="15">
        <f>+'ENCUESTA CONDUCTORES'!CA283</f>
        <v>0</v>
      </c>
      <c r="BT283" s="15">
        <f>IF('ENCUESTA CONDUCTORES'!CB283="X",1,0)</f>
        <v>1</v>
      </c>
      <c r="BU283" s="15">
        <f>IF('ENCUESTA CONDUCTORES'!CC283="X",1,0)</f>
        <v>0</v>
      </c>
      <c r="BV283" s="15">
        <f>IF('ENCUESTA CONDUCTORES'!CD283="X",1,0)</f>
        <v>0</v>
      </c>
      <c r="BW283" s="15">
        <f>IF('ENCUESTA CONDUCTORES'!CE283="X",1,0)</f>
        <v>0</v>
      </c>
      <c r="BX283" s="15">
        <f>IF('ENCUESTA CONDUCTORES'!CF283="X",1,0)</f>
        <v>0</v>
      </c>
      <c r="BY283" s="15">
        <f>IF('ENCUESTA CONDUCTORES'!CG283="X",1,0)</f>
        <v>0</v>
      </c>
      <c r="BZ283" s="15">
        <f>IF('ENCUESTA CONDUCTORES'!CH283="X",1,0)</f>
        <v>0</v>
      </c>
      <c r="CA283" s="15">
        <f>IF('ENCUESTA CONDUCTORES'!CI283="X",1,0)</f>
        <v>0</v>
      </c>
      <c r="CB283" s="15">
        <f>IF('ENCUESTA CONDUCTORES'!CJ283="X",1,0)</f>
        <v>0</v>
      </c>
      <c r="CC283" s="15">
        <f>IF('ENCUESTA CONDUCTORES'!CK283="X",1,0)</f>
        <v>1</v>
      </c>
      <c r="CD283" s="15">
        <f>IF('ENCUESTA CONDUCTORES'!CL283="X",1,0)</f>
        <v>0</v>
      </c>
      <c r="CE283" s="15">
        <f>IF('ENCUESTA CONDUCTORES'!CM283="X",1,0)</f>
        <v>0</v>
      </c>
      <c r="CF283" s="15">
        <f>+'ENCUESTA CONDUCTORES'!CN283</f>
        <v>0</v>
      </c>
      <c r="CG283" s="15">
        <f>IF('ENCUESTA CONDUCTORES'!CO283="X",1,0)</f>
        <v>0</v>
      </c>
      <c r="CH283" s="15" t="str">
        <f>+'ENCUESTA CONDUCTORES'!CP283</f>
        <v>NO SABE</v>
      </c>
      <c r="CI283" s="15" t="str">
        <f>+'ENCUESTA CONDUCTORES'!CQ283</f>
        <v>NO SABE</v>
      </c>
      <c r="CJ283" s="15">
        <f>IF('ENCUESTA CONDUCTORES'!CR283="X",1,0)</f>
        <v>1</v>
      </c>
      <c r="CK283" s="15">
        <f>IF('ENCUESTA CONDUCTORES'!CS283="X",1,0)</f>
        <v>0</v>
      </c>
      <c r="CL283" s="15">
        <f>IF('ENCUESTA CONDUCTORES'!CT283="X",1,0)</f>
        <v>0</v>
      </c>
      <c r="CM283" s="15">
        <f>+'ENCUESTA CONDUCTORES'!CU283</f>
        <v>0</v>
      </c>
      <c r="CN283" s="15">
        <f>IF('ENCUESTA CONDUCTORES'!CV283="X",1,0)</f>
        <v>0</v>
      </c>
      <c r="CO283" s="15">
        <f>+'ENCUESTA CONDUCTORES'!CW283</f>
        <v>0</v>
      </c>
      <c r="CP283" s="15">
        <f>IF('ENCUESTA CONDUCTORES'!CX283="X",1,0)</f>
        <v>1</v>
      </c>
      <c r="CQ283" s="15">
        <f>IF('ENCUESTA CONDUCTORES'!CY283="X",1,0)</f>
        <v>1</v>
      </c>
      <c r="CR283" s="3">
        <f>+'ENCUESTA CONDUCTORES'!CZ283</f>
        <v>0</v>
      </c>
      <c r="CS283" s="49">
        <f>+'ENCUESTA CONDUCTORES'!DA283</f>
        <v>0</v>
      </c>
    </row>
    <row r="284" spans="2:97" x14ac:dyDescent="0.25">
      <c r="B284" s="14" t="str">
        <f>+'ENCUESTA CONDUCTORES'!D284</f>
        <v>C-295</v>
      </c>
      <c r="C284" s="15">
        <f>IF('ENCUESTA CONDUCTORES'!E284="X",1,0)</f>
        <v>0</v>
      </c>
      <c r="D284" s="15">
        <f>IF('ENCUESTA CONDUCTORES'!F284="X",1,0)</f>
        <v>0</v>
      </c>
      <c r="E284" s="15">
        <f>IF('ENCUESTA CONDUCTORES'!G284="X",1,0)</f>
        <v>1</v>
      </c>
      <c r="F284" s="15">
        <f>IF('ENCUESTA CONDUCTORES'!H284="X",1,0)</f>
        <v>0</v>
      </c>
      <c r="G284" s="15">
        <f>+'ENCUESTA CONDUCTORES'!I284</f>
        <v>48</v>
      </c>
      <c r="H284" s="15" t="str">
        <f>+'ENCUESTA CONDUCTORES'!J284</f>
        <v>M</v>
      </c>
      <c r="I284" s="15" t="str">
        <f>+'ENCUESTA CONDUCTORES'!K284</f>
        <v>PRIMARIA</v>
      </c>
      <c r="J284" s="15" t="str">
        <f>+'ENCUESTA CONDUCTORES'!L284</f>
        <v>TANTOYUCA, VERACRUZ</v>
      </c>
      <c r="K284" s="15" t="str">
        <f>+'ENCUESTA CONDUCTORES'!M284</f>
        <v>TANTOYUCA</v>
      </c>
      <c r="L284" s="15" t="str">
        <f>+'ENCUESTA CONDUCTORES'!N284</f>
        <v>VERACRUZ</v>
      </c>
      <c r="M284" s="15">
        <f>+'ENCUESTA CONDUCTORES'!O284</f>
        <v>29</v>
      </c>
      <c r="N284" s="15">
        <f>IF('ENCUESTA CONDUCTORES'!P284="X",1,0)</f>
        <v>0</v>
      </c>
      <c r="O284" s="15">
        <f>IF('ENCUESTA CONDUCTORES'!Q284="X",1,0)</f>
        <v>1</v>
      </c>
      <c r="P284" s="15">
        <f>IF('ENCUESTA CONDUCTORES'!R284="X",1,0)</f>
        <v>0</v>
      </c>
      <c r="Q284" s="15">
        <f>IF('ENCUESTA CONDUCTORES'!S284="X",1,0)</f>
        <v>0</v>
      </c>
      <c r="R284" s="15">
        <f>IF('ENCUESTA CONDUCTORES'!T284="X",1,0)</f>
        <v>0</v>
      </c>
      <c r="S284" s="15">
        <f>IF('ENCUESTA CONDUCTORES'!U284="X",1,0)</f>
        <v>0</v>
      </c>
      <c r="T284" s="15">
        <f>IF('ENCUESTA CONDUCTORES'!V284="X",1,0)</f>
        <v>0</v>
      </c>
      <c r="U284" s="15">
        <f>IF('ENCUESTA CONDUCTORES'!W284="X",1,0)</f>
        <v>0</v>
      </c>
      <c r="V284" s="15">
        <f>IF('ENCUESTA CONDUCTORES'!X284="X",1,0)</f>
        <v>0</v>
      </c>
      <c r="W284" s="15">
        <f>IF('ENCUESTA CONDUCTORES'!Y284="X",1,0)</f>
        <v>0</v>
      </c>
      <c r="X284" s="15">
        <f>IF('ENCUESTA CONDUCTORES'!Z284="X",1,0)</f>
        <v>0</v>
      </c>
      <c r="Y284" s="15">
        <f>+'ENCUESTA CONDUCTORES'!AG284</f>
        <v>0</v>
      </c>
      <c r="Z284" s="15">
        <f>+'ENCUESTA CONDUCTORES'!AH284</f>
        <v>2000</v>
      </c>
      <c r="AA284" s="1">
        <f>+'ENCUESTA CONDUCTORES'!AI284</f>
        <v>937616</v>
      </c>
      <c r="AB284" s="15">
        <f>IF('ENCUESTA CONDUCTORES'!AJ284="X",1,0)</f>
        <v>0</v>
      </c>
      <c r="AC284" s="15">
        <f>IF('ENCUESTA CONDUCTORES'!AK284="X",1,0)</f>
        <v>0</v>
      </c>
      <c r="AD284" s="15">
        <f>IF('ENCUESTA CONDUCTORES'!AL284="X",1,0)</f>
        <v>1</v>
      </c>
      <c r="AE284" s="15">
        <f>IF('ENCUESTA CONDUCTORES'!AM284="X",1,0)</f>
        <v>0</v>
      </c>
      <c r="AF284" s="15">
        <f>IF('ENCUESTA CONDUCTORES'!AN284="X",1,0)</f>
        <v>0</v>
      </c>
      <c r="AG284" s="15">
        <f>IF('ENCUESTA CONDUCTORES'!AO284="X",1,0)</f>
        <v>0</v>
      </c>
      <c r="AH284" s="15">
        <f>IF('ENCUESTA CONDUCTORES'!AP284="X",1,0)</f>
        <v>1</v>
      </c>
      <c r="AI284" s="15">
        <f>IF('ENCUESTA CONDUCTORES'!AQ284="X",1,0)</f>
        <v>0</v>
      </c>
      <c r="AJ284" s="15">
        <f>IF('ENCUESTA CONDUCTORES'!AR284="X",1,0)</f>
        <v>0</v>
      </c>
      <c r="AK284" s="15">
        <f>+'ENCUESTA CONDUCTORES'!AS284</f>
        <v>0</v>
      </c>
      <c r="AL284" s="15" t="str">
        <f>+'ENCUESTA CONDUCTORES'!AT284</f>
        <v>CUMMINS</v>
      </c>
      <c r="AM284" s="1">
        <f>+'ENCUESTA CONDUCTORES'!AU284</f>
        <v>6000</v>
      </c>
      <c r="AN284" s="48">
        <f>+'ENCUESTA CONDUCTORES'!AV284</f>
        <v>0.2</v>
      </c>
      <c r="AO284" s="15">
        <f>+'ENCUESTA CONDUCTORES'!AW284</f>
        <v>3.8</v>
      </c>
      <c r="AP284" s="15">
        <f>+'ENCUESTA CONDUCTORES'!AX284</f>
        <v>3.1</v>
      </c>
      <c r="AQ284" s="15">
        <f>+'ENCUESTA CONDUCTORES'!AY284</f>
        <v>2</v>
      </c>
      <c r="AR284" s="15">
        <f>+'ENCUESTA CONDUCTORES'!AZ284</f>
        <v>1080</v>
      </c>
      <c r="AS284" s="15">
        <f>+'ENCUESTA CONDUCTORES'!BA284</f>
        <v>2700</v>
      </c>
      <c r="AT284" s="15">
        <f>IF('ENCUESTA CONDUCTORES'!BB284="X",1,0)</f>
        <v>1</v>
      </c>
      <c r="AU284" s="15">
        <f>IF('ENCUESTA CONDUCTORES'!BC284="X",1,0)</f>
        <v>0</v>
      </c>
      <c r="AV284" s="15">
        <f>IF('ENCUESTA CONDUCTORES'!BD284="X",1,0)</f>
        <v>0</v>
      </c>
      <c r="AW284" s="1">
        <f>+'ENCUESTA CONDUCTORES'!BE284</f>
        <v>24000</v>
      </c>
      <c r="AX284" s="1">
        <f>+'ENCUESTA CONDUCTORES'!BF284</f>
        <v>180000</v>
      </c>
      <c r="AY284" s="1">
        <f>+'ENCUESTA CONDUCTORES'!BG284</f>
        <v>24000</v>
      </c>
      <c r="AZ284" s="1">
        <f>+'ENCUESTA CONDUCTORES'!BH284</f>
        <v>120000</v>
      </c>
      <c r="BA284" s="1" t="str">
        <f>+'ENCUESTA CONDUCTORES'!BI284</f>
        <v>NO SABE</v>
      </c>
      <c r="BB284" s="15">
        <f>IF('ENCUESTA CONDUCTORES'!BJ284="X",1,0)</f>
        <v>0</v>
      </c>
      <c r="BC284" s="15">
        <f>IF('ENCUESTA CONDUCTORES'!BK284="X",1,0)</f>
        <v>1</v>
      </c>
      <c r="BD284" s="15">
        <f>IF('ENCUESTA CONDUCTORES'!BL284="X",1,0)</f>
        <v>0</v>
      </c>
      <c r="BE284" s="15">
        <f>IF('ENCUESTA CONDUCTORES'!BM284="X",1,0)</f>
        <v>0</v>
      </c>
      <c r="BF284" s="15">
        <f>IF('ENCUESTA CONDUCTORES'!BN284="X",1,0)</f>
        <v>0</v>
      </c>
      <c r="BG284" s="15">
        <f>IF('ENCUESTA CONDUCTORES'!BO284="X",1,0)</f>
        <v>1</v>
      </c>
      <c r="BH284" s="15">
        <f>IF('ENCUESTA CONDUCTORES'!BP284="X",1,0)</f>
        <v>0</v>
      </c>
      <c r="BI284" s="15">
        <f>IF('ENCUESTA CONDUCTORES'!BQ284="X",1,0)</f>
        <v>0</v>
      </c>
      <c r="BJ284" s="15">
        <f>IF('ENCUESTA CONDUCTORES'!BR284="X",1,0)</f>
        <v>0</v>
      </c>
      <c r="BK284" s="15">
        <f>+'ENCUESTA CONDUCTORES'!BS284</f>
        <v>0</v>
      </c>
      <c r="BL284" s="15">
        <f>IF('ENCUESTA CONDUCTORES'!BT284="X",1,0)</f>
        <v>0</v>
      </c>
      <c r="BM284" s="15">
        <f>IF('ENCUESTA CONDUCTORES'!BU284="X",1,0)</f>
        <v>1</v>
      </c>
      <c r="BN284" s="15">
        <f>IF('ENCUESTA CONDUCTORES'!BV284="X",1,0)</f>
        <v>0</v>
      </c>
      <c r="BO284" s="15">
        <f>IF('ENCUESTA CONDUCTORES'!BW284="X",1,0)</f>
        <v>0</v>
      </c>
      <c r="BP284" s="15">
        <f>+'ENCUESTA CONDUCTORES'!BX284</f>
        <v>1</v>
      </c>
      <c r="BQ284" s="15">
        <f>+'ENCUESTA CONDUCTORES'!BY284</f>
        <v>2</v>
      </c>
      <c r="BR284" s="15">
        <f>+'ENCUESTA CONDUCTORES'!BZ284</f>
        <v>3</v>
      </c>
      <c r="BS284" s="15">
        <f>+'ENCUESTA CONDUCTORES'!CA284</f>
        <v>0</v>
      </c>
      <c r="BT284" s="15">
        <f>IF('ENCUESTA CONDUCTORES'!CB284="X",1,0)</f>
        <v>1</v>
      </c>
      <c r="BU284" s="15">
        <f>IF('ENCUESTA CONDUCTORES'!CC284="X",1,0)</f>
        <v>0</v>
      </c>
      <c r="BV284" s="15">
        <f>IF('ENCUESTA CONDUCTORES'!CD284="X",1,0)</f>
        <v>0</v>
      </c>
      <c r="BW284" s="15">
        <f>IF('ENCUESTA CONDUCTORES'!CE284="X",1,0)</f>
        <v>0</v>
      </c>
      <c r="BX284" s="15">
        <f>IF('ENCUESTA CONDUCTORES'!CF284="X",1,0)</f>
        <v>0</v>
      </c>
      <c r="BY284" s="15">
        <f>IF('ENCUESTA CONDUCTORES'!CG284="X",1,0)</f>
        <v>0</v>
      </c>
      <c r="BZ284" s="15">
        <f>IF('ENCUESTA CONDUCTORES'!CH284="X",1,0)</f>
        <v>0</v>
      </c>
      <c r="CA284" s="15">
        <f>IF('ENCUESTA CONDUCTORES'!CI284="X",1,0)</f>
        <v>0</v>
      </c>
      <c r="CB284" s="15">
        <f>IF('ENCUESTA CONDUCTORES'!CJ284="X",1,0)</f>
        <v>0</v>
      </c>
      <c r="CC284" s="15">
        <f>IF('ENCUESTA CONDUCTORES'!CK284="X",1,0)</f>
        <v>1</v>
      </c>
      <c r="CD284" s="15">
        <f>IF('ENCUESTA CONDUCTORES'!CL284="X",1,0)</f>
        <v>0</v>
      </c>
      <c r="CE284" s="15">
        <f>IF('ENCUESTA CONDUCTORES'!CM284="X",1,0)</f>
        <v>0</v>
      </c>
      <c r="CF284" s="15">
        <f>+'ENCUESTA CONDUCTORES'!CN284</f>
        <v>0</v>
      </c>
      <c r="CG284" s="15">
        <f>IF('ENCUESTA CONDUCTORES'!CO284="X",1,0)</f>
        <v>0</v>
      </c>
      <c r="CH284" s="15" t="str">
        <f>+'ENCUESTA CONDUCTORES'!CP284</f>
        <v>NO SABE</v>
      </c>
      <c r="CI284" s="15" t="str">
        <f>+'ENCUESTA CONDUCTORES'!CQ284</f>
        <v>NO SABE</v>
      </c>
      <c r="CJ284" s="15">
        <f>IF('ENCUESTA CONDUCTORES'!CR284="X",1,0)</f>
        <v>0</v>
      </c>
      <c r="CK284" s="15">
        <f>IF('ENCUESTA CONDUCTORES'!CS284="X",1,0)</f>
        <v>0</v>
      </c>
      <c r="CL284" s="15">
        <f>IF('ENCUESTA CONDUCTORES'!CT284="X",1,0)</f>
        <v>1</v>
      </c>
      <c r="CM284" s="15">
        <f>+'ENCUESTA CONDUCTORES'!CU284</f>
        <v>0</v>
      </c>
      <c r="CN284" s="15">
        <f>IF('ENCUESTA CONDUCTORES'!CV284="X",1,0)</f>
        <v>0</v>
      </c>
      <c r="CO284" s="15">
        <f>+'ENCUESTA CONDUCTORES'!CW284</f>
        <v>0</v>
      </c>
      <c r="CP284" s="15">
        <f>IF('ENCUESTA CONDUCTORES'!CX284="X",1,0)</f>
        <v>1</v>
      </c>
      <c r="CQ284" s="15">
        <f>IF('ENCUESTA CONDUCTORES'!CY284="X",1,0)</f>
        <v>0</v>
      </c>
      <c r="CR284" s="3">
        <f>+'ENCUESTA CONDUCTORES'!CZ284</f>
        <v>0</v>
      </c>
      <c r="CS284" s="49">
        <f>+'ENCUESTA CONDUCTORES'!DA284</f>
        <v>0</v>
      </c>
    </row>
    <row r="285" spans="2:97" x14ac:dyDescent="0.25">
      <c r="B285" s="14" t="str">
        <f>+'ENCUESTA CONDUCTORES'!D285</f>
        <v>C-296</v>
      </c>
      <c r="C285" s="15">
        <f>IF('ENCUESTA CONDUCTORES'!E285="X",1,0)</f>
        <v>0</v>
      </c>
      <c r="D285" s="15">
        <f>IF('ENCUESTA CONDUCTORES'!F285="X",1,0)</f>
        <v>0</v>
      </c>
      <c r="E285" s="15">
        <f>IF('ENCUESTA CONDUCTORES'!G285="X",1,0)</f>
        <v>1</v>
      </c>
      <c r="F285" s="15">
        <f>IF('ENCUESTA CONDUCTORES'!H285="X",1,0)</f>
        <v>0</v>
      </c>
      <c r="G285" s="15">
        <f>+'ENCUESTA CONDUCTORES'!I285</f>
        <v>53</v>
      </c>
      <c r="H285" s="15" t="str">
        <f>+'ENCUESTA CONDUCTORES'!J285</f>
        <v>M</v>
      </c>
      <c r="I285" s="15" t="str">
        <f>+'ENCUESTA CONDUCTORES'!K285</f>
        <v>SIN ESTUDIOS</v>
      </c>
      <c r="J285" s="15" t="str">
        <f>+'ENCUESTA CONDUCTORES'!L285</f>
        <v>ACAYUCAN, VERACRUZ</v>
      </c>
      <c r="K285" s="15" t="str">
        <f>+'ENCUESTA CONDUCTORES'!M285</f>
        <v>ACAYUCAN</v>
      </c>
      <c r="L285" s="15" t="str">
        <f>+'ENCUESTA CONDUCTORES'!N285</f>
        <v>VERACRUZ</v>
      </c>
      <c r="M285" s="15">
        <f>+'ENCUESTA CONDUCTORES'!O285</f>
        <v>33</v>
      </c>
      <c r="N285" s="15">
        <f>IF('ENCUESTA CONDUCTORES'!P285="X",1,0)</f>
        <v>0</v>
      </c>
      <c r="O285" s="15">
        <f>IF('ENCUESTA CONDUCTORES'!Q285="X",1,0)</f>
        <v>1</v>
      </c>
      <c r="P285" s="15">
        <f>IF('ENCUESTA CONDUCTORES'!R285="X",1,0)</f>
        <v>0</v>
      </c>
      <c r="Q285" s="15">
        <f>IF('ENCUESTA CONDUCTORES'!S285="X",1,0)</f>
        <v>0</v>
      </c>
      <c r="R285" s="15">
        <f>IF('ENCUESTA CONDUCTORES'!T285="X",1,0)</f>
        <v>0</v>
      </c>
      <c r="S285" s="15">
        <f>IF('ENCUESTA CONDUCTORES'!U285="X",1,0)</f>
        <v>0</v>
      </c>
      <c r="T285" s="15">
        <f>IF('ENCUESTA CONDUCTORES'!V285="X",1,0)</f>
        <v>0</v>
      </c>
      <c r="U285" s="15">
        <f>IF('ENCUESTA CONDUCTORES'!W285="X",1,0)</f>
        <v>0</v>
      </c>
      <c r="V285" s="15">
        <f>IF('ENCUESTA CONDUCTORES'!X285="X",1,0)</f>
        <v>0</v>
      </c>
      <c r="W285" s="15">
        <f>IF('ENCUESTA CONDUCTORES'!Y285="X",1,0)</f>
        <v>0</v>
      </c>
      <c r="X285" s="15">
        <f>IF('ENCUESTA CONDUCTORES'!Z285="X",1,0)</f>
        <v>0</v>
      </c>
      <c r="Y285" s="15">
        <f>+'ENCUESTA CONDUCTORES'!AG285</f>
        <v>0</v>
      </c>
      <c r="Z285" s="15">
        <f>+'ENCUESTA CONDUCTORES'!AH285</f>
        <v>1997</v>
      </c>
      <c r="AA285" s="1" t="str">
        <f>+'ENCUESTA CONDUCTORES'!AI285</f>
        <v>DAÑADO</v>
      </c>
      <c r="AB285" s="15">
        <f>IF('ENCUESTA CONDUCTORES'!AJ285="X",1,0)</f>
        <v>0</v>
      </c>
      <c r="AC285" s="15">
        <f>IF('ENCUESTA CONDUCTORES'!AK285="X",1,0)</f>
        <v>0</v>
      </c>
      <c r="AD285" s="15">
        <f>IF('ENCUESTA CONDUCTORES'!AL285="X",1,0)</f>
        <v>1</v>
      </c>
      <c r="AE285" s="15">
        <f>IF('ENCUESTA CONDUCTORES'!AM285="X",1,0)</f>
        <v>0</v>
      </c>
      <c r="AF285" s="15">
        <f>IF('ENCUESTA CONDUCTORES'!AN285="X",1,0)</f>
        <v>0</v>
      </c>
      <c r="AG285" s="15">
        <f>IF('ENCUESTA CONDUCTORES'!AO285="X",1,0)</f>
        <v>1</v>
      </c>
      <c r="AH285" s="15">
        <f>IF('ENCUESTA CONDUCTORES'!AP285="X",1,0)</f>
        <v>0</v>
      </c>
      <c r="AI285" s="15">
        <f>IF('ENCUESTA CONDUCTORES'!AQ285="X",1,0)</f>
        <v>0</v>
      </c>
      <c r="AJ285" s="15">
        <f>IF('ENCUESTA CONDUCTORES'!AR285="X",1,0)</f>
        <v>0</v>
      </c>
      <c r="AK285" s="15">
        <f>+'ENCUESTA CONDUCTORES'!AS285</f>
        <v>0</v>
      </c>
      <c r="AL285" s="15" t="str">
        <f>+'ENCUESTA CONDUCTORES'!AT285</f>
        <v>DETROIT</v>
      </c>
      <c r="AM285" s="1">
        <f>+'ENCUESTA CONDUCTORES'!AU285</f>
        <v>8000</v>
      </c>
      <c r="AN285" s="48">
        <f>+'ENCUESTA CONDUCTORES'!AV285</f>
        <v>0.1</v>
      </c>
      <c r="AO285" s="15">
        <f>+'ENCUESTA CONDUCTORES'!AW285</f>
        <v>3.6</v>
      </c>
      <c r="AP285" s="15">
        <f>+'ENCUESTA CONDUCTORES'!AX285</f>
        <v>2.9</v>
      </c>
      <c r="AQ285" s="15">
        <f>+'ENCUESTA CONDUCTORES'!AY285</f>
        <v>2</v>
      </c>
      <c r="AR285" s="15">
        <f>+'ENCUESTA CONDUCTORES'!AZ285</f>
        <v>730</v>
      </c>
      <c r="AS285" s="15">
        <f>+'ENCUESTA CONDUCTORES'!BA285</f>
        <v>2400</v>
      </c>
      <c r="AT285" s="15">
        <f>IF('ENCUESTA CONDUCTORES'!BB285="X",1,0)</f>
        <v>1</v>
      </c>
      <c r="AU285" s="15">
        <f>IF('ENCUESTA CONDUCTORES'!BC285="X",1,0)</f>
        <v>0</v>
      </c>
      <c r="AV285" s="15">
        <f>IF('ENCUESTA CONDUCTORES'!BD285="X",1,0)</f>
        <v>0</v>
      </c>
      <c r="AW285" s="1">
        <f>+'ENCUESTA CONDUCTORES'!BE285</f>
        <v>30000</v>
      </c>
      <c r="AX285" s="1" t="str">
        <f>+'ENCUESTA CONDUCTORES'!BF285</f>
        <v>NO SABE</v>
      </c>
      <c r="AY285" s="1">
        <f>+'ENCUESTA CONDUCTORES'!BG285</f>
        <v>30000</v>
      </c>
      <c r="AZ285" s="1" t="str">
        <f>+'ENCUESTA CONDUCTORES'!BH285</f>
        <v>NO SABE</v>
      </c>
      <c r="BA285" s="1" t="str">
        <f>+'ENCUESTA CONDUCTORES'!BI285</f>
        <v>NO SABE</v>
      </c>
      <c r="BB285" s="15">
        <f>IF('ENCUESTA CONDUCTORES'!BJ285="X",1,0)</f>
        <v>0</v>
      </c>
      <c r="BC285" s="15">
        <f>IF('ENCUESTA CONDUCTORES'!BK285="X",1,0)</f>
        <v>1</v>
      </c>
      <c r="BD285" s="15">
        <f>IF('ENCUESTA CONDUCTORES'!BL285="X",1,0)</f>
        <v>0</v>
      </c>
      <c r="BE285" s="15">
        <f>IF('ENCUESTA CONDUCTORES'!BM285="X",1,0)</f>
        <v>0</v>
      </c>
      <c r="BF285" s="15">
        <f>IF('ENCUESTA CONDUCTORES'!BN285="X",1,0)</f>
        <v>0</v>
      </c>
      <c r="BG285" s="15">
        <f>IF('ENCUESTA CONDUCTORES'!BO285="X",1,0)</f>
        <v>1</v>
      </c>
      <c r="BH285" s="15">
        <f>IF('ENCUESTA CONDUCTORES'!BP285="X",1,0)</f>
        <v>0</v>
      </c>
      <c r="BI285" s="15">
        <f>IF('ENCUESTA CONDUCTORES'!BQ285="X",1,0)</f>
        <v>0</v>
      </c>
      <c r="BJ285" s="15">
        <f>IF('ENCUESTA CONDUCTORES'!BR285="X",1,0)</f>
        <v>0</v>
      </c>
      <c r="BK285" s="15">
        <f>+'ENCUESTA CONDUCTORES'!BS285</f>
        <v>0</v>
      </c>
      <c r="BL285" s="15">
        <f>IF('ENCUESTA CONDUCTORES'!BT285="X",1,0)</f>
        <v>1</v>
      </c>
      <c r="BM285" s="15">
        <f>IF('ENCUESTA CONDUCTORES'!BU285="X",1,0)</f>
        <v>0</v>
      </c>
      <c r="BN285" s="15">
        <f>IF('ENCUESTA CONDUCTORES'!BV285="X",1,0)</f>
        <v>0</v>
      </c>
      <c r="BO285" s="15">
        <f>IF('ENCUESTA CONDUCTORES'!BW285="X",1,0)</f>
        <v>0</v>
      </c>
      <c r="BP285" s="15">
        <f>+'ENCUESTA CONDUCTORES'!BX285</f>
        <v>3</v>
      </c>
      <c r="BQ285" s="15">
        <f>+'ENCUESTA CONDUCTORES'!BY285</f>
        <v>1</v>
      </c>
      <c r="BR285" s="15">
        <f>+'ENCUESTA CONDUCTORES'!BZ285</f>
        <v>2</v>
      </c>
      <c r="BS285" s="15">
        <f>+'ENCUESTA CONDUCTORES'!CA285</f>
        <v>0</v>
      </c>
      <c r="BT285" s="15">
        <f>IF('ENCUESTA CONDUCTORES'!CB285="X",1,0)</f>
        <v>1</v>
      </c>
      <c r="BU285" s="15">
        <f>IF('ENCUESTA CONDUCTORES'!CC285="X",1,0)</f>
        <v>0</v>
      </c>
      <c r="BV285" s="15">
        <f>IF('ENCUESTA CONDUCTORES'!CD285="X",1,0)</f>
        <v>0</v>
      </c>
      <c r="BW285" s="15">
        <f>IF('ENCUESTA CONDUCTORES'!CE285="X",1,0)</f>
        <v>0</v>
      </c>
      <c r="BX285" s="15">
        <f>IF('ENCUESTA CONDUCTORES'!CF285="X",1,0)</f>
        <v>0</v>
      </c>
      <c r="BY285" s="15">
        <f>IF('ENCUESTA CONDUCTORES'!CG285="X",1,0)</f>
        <v>0</v>
      </c>
      <c r="BZ285" s="15">
        <f>IF('ENCUESTA CONDUCTORES'!CH285="X",1,0)</f>
        <v>0</v>
      </c>
      <c r="CA285" s="15">
        <f>IF('ENCUESTA CONDUCTORES'!CI285="X",1,0)</f>
        <v>0</v>
      </c>
      <c r="CB285" s="15">
        <f>IF('ENCUESTA CONDUCTORES'!CJ285="X",1,0)</f>
        <v>0</v>
      </c>
      <c r="CC285" s="15">
        <f>IF('ENCUESTA CONDUCTORES'!CK285="X",1,0)</f>
        <v>1</v>
      </c>
      <c r="CD285" s="15">
        <f>IF('ENCUESTA CONDUCTORES'!CL285="X",1,0)</f>
        <v>0</v>
      </c>
      <c r="CE285" s="15">
        <f>IF('ENCUESTA CONDUCTORES'!CM285="X",1,0)</f>
        <v>0</v>
      </c>
      <c r="CF285" s="15">
        <f>+'ENCUESTA CONDUCTORES'!CN285</f>
        <v>0</v>
      </c>
      <c r="CG285" s="15">
        <f>IF('ENCUESTA CONDUCTORES'!CO285="X",1,0)</f>
        <v>0</v>
      </c>
      <c r="CH285" s="15" t="str">
        <f>+'ENCUESTA CONDUCTORES'!CP285</f>
        <v>NO SABE</v>
      </c>
      <c r="CI285" s="15" t="str">
        <f>+'ENCUESTA CONDUCTORES'!CQ285</f>
        <v>NO SABE</v>
      </c>
      <c r="CJ285" s="15">
        <f>IF('ENCUESTA CONDUCTORES'!CR285="X",1,0)</f>
        <v>1</v>
      </c>
      <c r="CK285" s="15">
        <f>IF('ENCUESTA CONDUCTORES'!CS285="X",1,0)</f>
        <v>0</v>
      </c>
      <c r="CL285" s="15">
        <f>IF('ENCUESTA CONDUCTORES'!CT285="X",1,0)</f>
        <v>0</v>
      </c>
      <c r="CM285" s="15">
        <f>+'ENCUESTA CONDUCTORES'!CU285</f>
        <v>0</v>
      </c>
      <c r="CN285" s="15">
        <f>IF('ENCUESTA CONDUCTORES'!CV285="X",1,0)</f>
        <v>0</v>
      </c>
      <c r="CO285" s="15">
        <f>+'ENCUESTA CONDUCTORES'!CW285</f>
        <v>0</v>
      </c>
      <c r="CP285" s="15">
        <f>IF('ENCUESTA CONDUCTORES'!CX285="X",1,0)</f>
        <v>1</v>
      </c>
      <c r="CQ285" s="15">
        <f>IF('ENCUESTA CONDUCTORES'!CY285="X",1,0)</f>
        <v>0</v>
      </c>
      <c r="CR285" s="3">
        <f>+'ENCUESTA CONDUCTORES'!CZ285</f>
        <v>0</v>
      </c>
      <c r="CS285" s="49">
        <f>+'ENCUESTA CONDUCTORES'!DA285</f>
        <v>0</v>
      </c>
    </row>
    <row r="286" spans="2:97" x14ac:dyDescent="0.25">
      <c r="B286" s="14" t="str">
        <f>+'ENCUESTA CONDUCTORES'!D286</f>
        <v>C-297</v>
      </c>
      <c r="C286" s="15">
        <f>IF('ENCUESTA CONDUCTORES'!E286="X",1,0)</f>
        <v>1</v>
      </c>
      <c r="D286" s="15">
        <f>IF('ENCUESTA CONDUCTORES'!F286="X",1,0)</f>
        <v>0</v>
      </c>
      <c r="E286" s="15">
        <f>IF('ENCUESTA CONDUCTORES'!G286="X",1,0)</f>
        <v>0</v>
      </c>
      <c r="F286" s="15">
        <f>IF('ENCUESTA CONDUCTORES'!H286="X",1,0)</f>
        <v>0</v>
      </c>
      <c r="G286" s="15">
        <f>+'ENCUESTA CONDUCTORES'!I286</f>
        <v>30</v>
      </c>
      <c r="H286" s="15" t="str">
        <f>+'ENCUESTA CONDUCTORES'!J286</f>
        <v>M</v>
      </c>
      <c r="I286" s="15" t="str">
        <f>+'ENCUESTA CONDUCTORES'!K286</f>
        <v>PRIMARIA</v>
      </c>
      <c r="J286" s="15" t="str">
        <f>+'ENCUESTA CONDUCTORES'!L286</f>
        <v>ZAPOPAN, JALISCO</v>
      </c>
      <c r="K286" s="15" t="str">
        <f>+'ENCUESTA CONDUCTORES'!M286</f>
        <v>ZAPOPAN</v>
      </c>
      <c r="L286" s="15" t="str">
        <f>+'ENCUESTA CONDUCTORES'!N286</f>
        <v>JALISCO</v>
      </c>
      <c r="M286" s="15">
        <f>+'ENCUESTA CONDUCTORES'!O286</f>
        <v>11</v>
      </c>
      <c r="N286" s="15">
        <f>IF('ENCUESTA CONDUCTORES'!P286="X",1,0)</f>
        <v>0</v>
      </c>
      <c r="O286" s="15">
        <f>IF('ENCUESTA CONDUCTORES'!Q286="X",1,0)</f>
        <v>1</v>
      </c>
      <c r="P286" s="15">
        <f>IF('ENCUESTA CONDUCTORES'!R286="X",1,0)</f>
        <v>0</v>
      </c>
      <c r="Q286" s="15">
        <f>IF('ENCUESTA CONDUCTORES'!S286="X",1,0)</f>
        <v>0</v>
      </c>
      <c r="R286" s="15">
        <f>IF('ENCUESTA CONDUCTORES'!T286="X",1,0)</f>
        <v>0</v>
      </c>
      <c r="S286" s="15">
        <f>IF('ENCUESTA CONDUCTORES'!U286="X",1,0)</f>
        <v>1</v>
      </c>
      <c r="T286" s="15">
        <f>IF('ENCUESTA CONDUCTORES'!V286="X",1,0)</f>
        <v>0</v>
      </c>
      <c r="U286" s="15">
        <f>IF('ENCUESTA CONDUCTORES'!W286="X",1,0)</f>
        <v>0</v>
      </c>
      <c r="V286" s="15">
        <f>IF('ENCUESTA CONDUCTORES'!X286="X",1,0)</f>
        <v>0</v>
      </c>
      <c r="W286" s="15">
        <f>IF('ENCUESTA CONDUCTORES'!Y286="X",1,0)</f>
        <v>0</v>
      </c>
      <c r="X286" s="15">
        <f>IF('ENCUESTA CONDUCTORES'!Z286="X",1,0)</f>
        <v>0</v>
      </c>
      <c r="Y286" s="15">
        <f>+'ENCUESTA CONDUCTORES'!AG286</f>
        <v>0</v>
      </c>
      <c r="Z286" s="15">
        <f>+'ENCUESTA CONDUCTORES'!AH286</f>
        <v>2001</v>
      </c>
      <c r="AA286" s="1">
        <f>+'ENCUESTA CONDUCTORES'!AI286</f>
        <v>917890</v>
      </c>
      <c r="AB286" s="15">
        <f>IF('ENCUESTA CONDUCTORES'!AJ286="X",1,0)</f>
        <v>0</v>
      </c>
      <c r="AC286" s="15">
        <f>IF('ENCUESTA CONDUCTORES'!AK286="X",1,0)</f>
        <v>0</v>
      </c>
      <c r="AD286" s="15">
        <f>IF('ENCUESTA CONDUCTORES'!AL286="X",1,0)</f>
        <v>1</v>
      </c>
      <c r="AE286" s="15">
        <f>IF('ENCUESTA CONDUCTORES'!AM286="X",1,0)</f>
        <v>0</v>
      </c>
      <c r="AF286" s="15">
        <f>IF('ENCUESTA CONDUCTORES'!AN286="X",1,0)</f>
        <v>0</v>
      </c>
      <c r="AG286" s="15">
        <f>IF('ENCUESTA CONDUCTORES'!AO286="X",1,0)</f>
        <v>1</v>
      </c>
      <c r="AH286" s="15">
        <f>IF('ENCUESTA CONDUCTORES'!AP286="X",1,0)</f>
        <v>0</v>
      </c>
      <c r="AI286" s="15">
        <f>IF('ENCUESTA CONDUCTORES'!AQ286="X",1,0)</f>
        <v>0</v>
      </c>
      <c r="AJ286" s="15">
        <f>IF('ENCUESTA CONDUCTORES'!AR286="X",1,0)</f>
        <v>0</v>
      </c>
      <c r="AK286" s="15">
        <f>+'ENCUESTA CONDUCTORES'!AS286</f>
        <v>0</v>
      </c>
      <c r="AL286" s="15" t="str">
        <f>+'ENCUESTA CONDUCTORES'!AT286</f>
        <v>CUMMINS</v>
      </c>
      <c r="AM286" s="1">
        <f>+'ENCUESTA CONDUCTORES'!AU286</f>
        <v>7500</v>
      </c>
      <c r="AN286" s="48">
        <f>+'ENCUESTA CONDUCTORES'!AV286</f>
        <v>0.5</v>
      </c>
      <c r="AO286" s="15">
        <f>+'ENCUESTA CONDUCTORES'!AW286</f>
        <v>3.8</v>
      </c>
      <c r="AP286" s="15">
        <f>+'ENCUESTA CONDUCTORES'!AX286</f>
        <v>3.2</v>
      </c>
      <c r="AQ286" s="15">
        <f>+'ENCUESTA CONDUCTORES'!AY286</f>
        <v>2</v>
      </c>
      <c r="AR286" s="15">
        <f>+'ENCUESTA CONDUCTORES'!AZ286</f>
        <v>800</v>
      </c>
      <c r="AS286" s="15">
        <f>+'ENCUESTA CONDUCTORES'!BA286</f>
        <v>2800</v>
      </c>
      <c r="AT286" s="15">
        <f>IF('ENCUESTA CONDUCTORES'!BB286="X",1,0)</f>
        <v>1</v>
      </c>
      <c r="AU286" s="15">
        <f>IF('ENCUESTA CONDUCTORES'!BC286="X",1,0)</f>
        <v>0</v>
      </c>
      <c r="AV286" s="15">
        <f>IF('ENCUESTA CONDUCTORES'!BD286="X",1,0)</f>
        <v>0</v>
      </c>
      <c r="AW286" s="1">
        <f>+'ENCUESTA CONDUCTORES'!BE286</f>
        <v>30000</v>
      </c>
      <c r="AX286" s="1" t="str">
        <f>+'ENCUESTA CONDUCTORES'!BF286</f>
        <v>NO SABE</v>
      </c>
      <c r="AY286" s="1">
        <f>+'ENCUESTA CONDUCTORES'!BG286</f>
        <v>30000</v>
      </c>
      <c r="AZ286" s="1" t="str">
        <f>+'ENCUESTA CONDUCTORES'!BH286</f>
        <v>NO SABE</v>
      </c>
      <c r="BA286" s="1" t="str">
        <f>+'ENCUESTA CONDUCTORES'!BI286</f>
        <v>NO SABE</v>
      </c>
      <c r="BB286" s="15">
        <f>IF('ENCUESTA CONDUCTORES'!BJ286="X",1,0)</f>
        <v>0</v>
      </c>
      <c r="BC286" s="15">
        <f>IF('ENCUESTA CONDUCTORES'!BK286="X",1,0)</f>
        <v>1</v>
      </c>
      <c r="BD286" s="15">
        <f>IF('ENCUESTA CONDUCTORES'!BL286="X",1,0)</f>
        <v>0</v>
      </c>
      <c r="BE286" s="15">
        <f>IF('ENCUESTA CONDUCTORES'!BM286="X",1,0)</f>
        <v>0</v>
      </c>
      <c r="BF286" s="15">
        <f>IF('ENCUESTA CONDUCTORES'!BN286="X",1,0)</f>
        <v>0</v>
      </c>
      <c r="BG286" s="15">
        <f>IF('ENCUESTA CONDUCTORES'!BO286="X",1,0)</f>
        <v>0</v>
      </c>
      <c r="BH286" s="15">
        <f>IF('ENCUESTA CONDUCTORES'!BP286="X",1,0)</f>
        <v>0</v>
      </c>
      <c r="BI286" s="15">
        <f>IF('ENCUESTA CONDUCTORES'!BQ286="X",1,0)</f>
        <v>0</v>
      </c>
      <c r="BJ286" s="15">
        <f>IF('ENCUESTA CONDUCTORES'!BR286="X",1,0)</f>
        <v>0</v>
      </c>
      <c r="BK286" s="15">
        <f>+'ENCUESTA CONDUCTORES'!BS286</f>
        <v>0</v>
      </c>
      <c r="BL286" s="15">
        <f>IF('ENCUESTA CONDUCTORES'!BT286="X",1,0)</f>
        <v>0</v>
      </c>
      <c r="BM286" s="15">
        <f>IF('ENCUESTA CONDUCTORES'!BU286="X",1,0)</f>
        <v>1</v>
      </c>
      <c r="BN286" s="15">
        <f>IF('ENCUESTA CONDUCTORES'!BV286="X",1,0)</f>
        <v>0</v>
      </c>
      <c r="BO286" s="15">
        <f>IF('ENCUESTA CONDUCTORES'!BW286="X",1,0)</f>
        <v>0</v>
      </c>
      <c r="BP286" s="15">
        <f>+'ENCUESTA CONDUCTORES'!BX286</f>
        <v>1</v>
      </c>
      <c r="BQ286" s="15">
        <f>+'ENCUESTA CONDUCTORES'!BY286</f>
        <v>3</v>
      </c>
      <c r="BR286" s="15">
        <f>+'ENCUESTA CONDUCTORES'!BZ286</f>
        <v>2</v>
      </c>
      <c r="BS286" s="15">
        <f>+'ENCUESTA CONDUCTORES'!CA286</f>
        <v>0</v>
      </c>
      <c r="BT286" s="15">
        <f>IF('ENCUESTA CONDUCTORES'!CB286="X",1,0)</f>
        <v>1</v>
      </c>
      <c r="BU286" s="15">
        <f>IF('ENCUESTA CONDUCTORES'!CC286="X",1,0)</f>
        <v>0</v>
      </c>
      <c r="BV286" s="15">
        <f>IF('ENCUESTA CONDUCTORES'!CD286="X",1,0)</f>
        <v>0</v>
      </c>
      <c r="BW286" s="15">
        <f>IF('ENCUESTA CONDUCTORES'!CE286="X",1,0)</f>
        <v>0</v>
      </c>
      <c r="BX286" s="15">
        <f>IF('ENCUESTA CONDUCTORES'!CF286="X",1,0)</f>
        <v>0</v>
      </c>
      <c r="BY286" s="15">
        <f>IF('ENCUESTA CONDUCTORES'!CG286="X",1,0)</f>
        <v>0</v>
      </c>
      <c r="BZ286" s="15">
        <f>IF('ENCUESTA CONDUCTORES'!CH286="X",1,0)</f>
        <v>0</v>
      </c>
      <c r="CA286" s="15">
        <f>IF('ENCUESTA CONDUCTORES'!CI286="X",1,0)</f>
        <v>0</v>
      </c>
      <c r="CB286" s="15">
        <f>IF('ENCUESTA CONDUCTORES'!CJ286="X",1,0)</f>
        <v>0</v>
      </c>
      <c r="CC286" s="15">
        <f>IF('ENCUESTA CONDUCTORES'!CK286="X",1,0)</f>
        <v>1</v>
      </c>
      <c r="CD286" s="15">
        <f>IF('ENCUESTA CONDUCTORES'!CL286="X",1,0)</f>
        <v>0</v>
      </c>
      <c r="CE286" s="15">
        <f>IF('ENCUESTA CONDUCTORES'!CM286="X",1,0)</f>
        <v>0</v>
      </c>
      <c r="CF286" s="15">
        <f>+'ENCUESTA CONDUCTORES'!CN286</f>
        <v>0</v>
      </c>
      <c r="CG286" s="15">
        <f>IF('ENCUESTA CONDUCTORES'!CO286="X",1,0)</f>
        <v>0</v>
      </c>
      <c r="CH286" s="15" t="str">
        <f>+'ENCUESTA CONDUCTORES'!CP286</f>
        <v>NO SABE</v>
      </c>
      <c r="CI286" s="15" t="str">
        <f>+'ENCUESTA CONDUCTORES'!CQ286</f>
        <v>NO SABE</v>
      </c>
      <c r="CJ286" s="15">
        <f>IF('ENCUESTA CONDUCTORES'!CR286="X",1,0)</f>
        <v>1</v>
      </c>
      <c r="CK286" s="15">
        <f>IF('ENCUESTA CONDUCTORES'!CS286="X",1,0)</f>
        <v>0</v>
      </c>
      <c r="CL286" s="15">
        <f>IF('ENCUESTA CONDUCTORES'!CT286="X",1,0)</f>
        <v>0</v>
      </c>
      <c r="CM286" s="15">
        <f>+'ENCUESTA CONDUCTORES'!CU286</f>
        <v>0</v>
      </c>
      <c r="CN286" s="15">
        <f>IF('ENCUESTA CONDUCTORES'!CV286="X",1,0)</f>
        <v>0</v>
      </c>
      <c r="CO286" s="15">
        <f>+'ENCUESTA CONDUCTORES'!CW286</f>
        <v>0</v>
      </c>
      <c r="CP286" s="15">
        <f>IF('ENCUESTA CONDUCTORES'!CX286="X",1,0)</f>
        <v>1</v>
      </c>
      <c r="CQ286" s="15">
        <f>IF('ENCUESTA CONDUCTORES'!CY286="X",1,0)</f>
        <v>0</v>
      </c>
      <c r="CR286" s="3">
        <f>+'ENCUESTA CONDUCTORES'!CZ286</f>
        <v>0</v>
      </c>
      <c r="CS286" s="49">
        <f>+'ENCUESTA CONDUCTORES'!DA286</f>
        <v>0</v>
      </c>
    </row>
    <row r="287" spans="2:97" x14ac:dyDescent="0.25">
      <c r="B287" s="14" t="str">
        <f>+'ENCUESTA CONDUCTORES'!D287</f>
        <v>C-298</v>
      </c>
      <c r="C287" s="15">
        <f>IF('ENCUESTA CONDUCTORES'!E287="X",1,0)</f>
        <v>0</v>
      </c>
      <c r="D287" s="15">
        <f>IF('ENCUESTA CONDUCTORES'!F287="X",1,0)</f>
        <v>0</v>
      </c>
      <c r="E287" s="15">
        <f>IF('ENCUESTA CONDUCTORES'!G287="X",1,0)</f>
        <v>1</v>
      </c>
      <c r="F287" s="15">
        <f>IF('ENCUESTA CONDUCTORES'!H287="X",1,0)</f>
        <v>0</v>
      </c>
      <c r="G287" s="15">
        <f>+'ENCUESTA CONDUCTORES'!I287</f>
        <v>46</v>
      </c>
      <c r="H287" s="15" t="str">
        <f>+'ENCUESTA CONDUCTORES'!J287</f>
        <v>M</v>
      </c>
      <c r="I287" s="15" t="str">
        <f>+'ENCUESTA CONDUCTORES'!K287</f>
        <v>SECUNDARIA</v>
      </c>
      <c r="J287" s="15" t="str">
        <f>+'ENCUESTA CONDUCTORES'!L287</f>
        <v>LEON, GTO</v>
      </c>
      <c r="K287" s="15" t="str">
        <f>+'ENCUESTA CONDUCTORES'!M287</f>
        <v>LEON</v>
      </c>
      <c r="L287" s="15" t="str">
        <f>+'ENCUESTA CONDUCTORES'!N287</f>
        <v>GUANAJUATO</v>
      </c>
      <c r="M287" s="15">
        <f>+'ENCUESTA CONDUCTORES'!O287</f>
        <v>23</v>
      </c>
      <c r="N287" s="15">
        <f>IF('ENCUESTA CONDUCTORES'!P287="X",1,0)</f>
        <v>0</v>
      </c>
      <c r="O287" s="15">
        <f>IF('ENCUESTA CONDUCTORES'!Q287="X",1,0)</f>
        <v>1</v>
      </c>
      <c r="P287" s="15">
        <f>IF('ENCUESTA CONDUCTORES'!R287="X",1,0)</f>
        <v>0</v>
      </c>
      <c r="Q287" s="15">
        <f>IF('ENCUESTA CONDUCTORES'!S287="X",1,0)</f>
        <v>0</v>
      </c>
      <c r="R287" s="15">
        <f>IF('ENCUESTA CONDUCTORES'!T287="X",1,0)</f>
        <v>0</v>
      </c>
      <c r="S287" s="15">
        <f>IF('ENCUESTA CONDUCTORES'!U287="X",1,0)</f>
        <v>1</v>
      </c>
      <c r="T287" s="15">
        <f>IF('ENCUESTA CONDUCTORES'!V287="X",1,0)</f>
        <v>0</v>
      </c>
      <c r="U287" s="15">
        <f>IF('ENCUESTA CONDUCTORES'!W287="X",1,0)</f>
        <v>0</v>
      </c>
      <c r="V287" s="15">
        <f>IF('ENCUESTA CONDUCTORES'!X287="X",1,0)</f>
        <v>0</v>
      </c>
      <c r="W287" s="15">
        <f>IF('ENCUESTA CONDUCTORES'!Y287="X",1,0)</f>
        <v>0</v>
      </c>
      <c r="X287" s="15">
        <f>IF('ENCUESTA CONDUCTORES'!Z287="X",1,0)</f>
        <v>0</v>
      </c>
      <c r="Y287" s="15">
        <f>+'ENCUESTA CONDUCTORES'!AG287</f>
        <v>0</v>
      </c>
      <c r="Z287" s="15">
        <f>+'ENCUESTA CONDUCTORES'!AH287</f>
        <v>2006</v>
      </c>
      <c r="AA287" s="1">
        <f>+'ENCUESTA CONDUCTORES'!AI287</f>
        <v>746922</v>
      </c>
      <c r="AB287" s="15">
        <f>IF('ENCUESTA CONDUCTORES'!AJ287="X",1,0)</f>
        <v>0</v>
      </c>
      <c r="AC287" s="15">
        <f>IF('ENCUESTA CONDUCTORES'!AK287="X",1,0)</f>
        <v>0</v>
      </c>
      <c r="AD287" s="15">
        <f>IF('ENCUESTA CONDUCTORES'!AL287="X",1,0)</f>
        <v>1</v>
      </c>
      <c r="AE287" s="15">
        <f>IF('ENCUESTA CONDUCTORES'!AM287="X",1,0)</f>
        <v>0</v>
      </c>
      <c r="AF287" s="15">
        <f>IF('ENCUESTA CONDUCTORES'!AN287="X",1,0)</f>
        <v>0</v>
      </c>
      <c r="AG287" s="15">
        <f>IF('ENCUESTA CONDUCTORES'!AO287="X",1,0)</f>
        <v>0</v>
      </c>
      <c r="AH287" s="15">
        <f>IF('ENCUESTA CONDUCTORES'!AP287="X",1,0)</f>
        <v>1</v>
      </c>
      <c r="AI287" s="15">
        <f>IF('ENCUESTA CONDUCTORES'!AQ287="X",1,0)</f>
        <v>0</v>
      </c>
      <c r="AJ287" s="15">
        <f>IF('ENCUESTA CONDUCTORES'!AR287="X",1,0)</f>
        <v>0</v>
      </c>
      <c r="AK287" s="15">
        <f>+'ENCUESTA CONDUCTORES'!AS287</f>
        <v>0</v>
      </c>
      <c r="AL287" s="15" t="str">
        <f>+'ENCUESTA CONDUCTORES'!AT287</f>
        <v>CUMMINS</v>
      </c>
      <c r="AM287" s="1">
        <f>+'ENCUESTA CONDUCTORES'!AU287</f>
        <v>8000</v>
      </c>
      <c r="AN287" s="48">
        <f>+'ENCUESTA CONDUCTORES'!AV287</f>
        <v>0.05</v>
      </c>
      <c r="AO287" s="15">
        <f>+'ENCUESTA CONDUCTORES'!AW287</f>
        <v>3.7</v>
      </c>
      <c r="AP287" s="15">
        <f>+'ENCUESTA CONDUCTORES'!AX287</f>
        <v>3.2</v>
      </c>
      <c r="AQ287" s="15">
        <f>+'ENCUESTA CONDUCTORES'!AY287</f>
        <v>2</v>
      </c>
      <c r="AR287" s="15">
        <f>+'ENCUESTA CONDUCTORES'!AZ287</f>
        <v>830</v>
      </c>
      <c r="AS287" s="15">
        <f>+'ENCUESTA CONDUCTORES'!BA287</f>
        <v>2900</v>
      </c>
      <c r="AT287" s="15">
        <f>IF('ENCUESTA CONDUCTORES'!BB287="X",1,0)</f>
        <v>1</v>
      </c>
      <c r="AU287" s="15">
        <f>IF('ENCUESTA CONDUCTORES'!BC287="X",1,0)</f>
        <v>1</v>
      </c>
      <c r="AV287" s="15">
        <f>IF('ENCUESTA CONDUCTORES'!BD287="X",1,0)</f>
        <v>0</v>
      </c>
      <c r="AW287" s="1">
        <f>+'ENCUESTA CONDUCTORES'!BE287</f>
        <v>24000</v>
      </c>
      <c r="AX287" s="1">
        <f>+'ENCUESTA CONDUCTORES'!BF287</f>
        <v>240000</v>
      </c>
      <c r="AY287" s="1">
        <f>+'ENCUESTA CONDUCTORES'!BG287</f>
        <v>24000</v>
      </c>
      <c r="AZ287" s="1">
        <f>+'ENCUESTA CONDUCTORES'!BH287</f>
        <v>120000</v>
      </c>
      <c r="BA287" s="1" t="str">
        <f>+'ENCUESTA CONDUCTORES'!BI287</f>
        <v>NO SABE</v>
      </c>
      <c r="BB287" s="15">
        <f>IF('ENCUESTA CONDUCTORES'!BJ287="X",1,0)</f>
        <v>0</v>
      </c>
      <c r="BC287" s="15">
        <f>IF('ENCUESTA CONDUCTORES'!BK287="X",1,0)</f>
        <v>1</v>
      </c>
      <c r="BD287" s="15">
        <f>IF('ENCUESTA CONDUCTORES'!BL287="X",1,0)</f>
        <v>0</v>
      </c>
      <c r="BE287" s="15">
        <f>IF('ENCUESTA CONDUCTORES'!BM287="X",1,0)</f>
        <v>0</v>
      </c>
      <c r="BF287" s="15">
        <f>IF('ENCUESTA CONDUCTORES'!BN287="X",1,0)</f>
        <v>0</v>
      </c>
      <c r="BG287" s="15">
        <f>IF('ENCUESTA CONDUCTORES'!BO287="X",1,0)</f>
        <v>1</v>
      </c>
      <c r="BH287" s="15">
        <f>IF('ENCUESTA CONDUCTORES'!BP287="X",1,0)</f>
        <v>0</v>
      </c>
      <c r="BI287" s="15">
        <f>IF('ENCUESTA CONDUCTORES'!BQ287="X",1,0)</f>
        <v>0</v>
      </c>
      <c r="BJ287" s="15">
        <f>IF('ENCUESTA CONDUCTORES'!BR287="X",1,0)</f>
        <v>0</v>
      </c>
      <c r="BK287" s="15">
        <f>+'ENCUESTA CONDUCTORES'!BS287</f>
        <v>0</v>
      </c>
      <c r="BL287" s="15">
        <f>IF('ENCUESTA CONDUCTORES'!BT287="X",1,0)</f>
        <v>0</v>
      </c>
      <c r="BM287" s="15">
        <f>IF('ENCUESTA CONDUCTORES'!BU287="X",1,0)</f>
        <v>0</v>
      </c>
      <c r="BN287" s="15">
        <f>IF('ENCUESTA CONDUCTORES'!BV287="X",1,0)</f>
        <v>1</v>
      </c>
      <c r="BO287" s="15">
        <f>IF('ENCUESTA CONDUCTORES'!BW287="X",1,0)</f>
        <v>0</v>
      </c>
      <c r="BP287" s="15">
        <f>+'ENCUESTA CONDUCTORES'!BX287</f>
        <v>1</v>
      </c>
      <c r="BQ287" s="15">
        <f>+'ENCUESTA CONDUCTORES'!BY287</f>
        <v>2</v>
      </c>
      <c r="BR287" s="15">
        <f>+'ENCUESTA CONDUCTORES'!BZ287</f>
        <v>3</v>
      </c>
      <c r="BS287" s="15">
        <f>+'ENCUESTA CONDUCTORES'!CA287</f>
        <v>0</v>
      </c>
      <c r="BT287" s="15">
        <f>IF('ENCUESTA CONDUCTORES'!CB287="X",1,0)</f>
        <v>1</v>
      </c>
      <c r="BU287" s="15">
        <f>IF('ENCUESTA CONDUCTORES'!CC287="X",1,0)</f>
        <v>0</v>
      </c>
      <c r="BV287" s="15">
        <f>IF('ENCUESTA CONDUCTORES'!CD287="X",1,0)</f>
        <v>0</v>
      </c>
      <c r="BW287" s="15">
        <f>IF('ENCUESTA CONDUCTORES'!CE287="X",1,0)</f>
        <v>0</v>
      </c>
      <c r="BX287" s="15">
        <f>IF('ENCUESTA CONDUCTORES'!CF287="X",1,0)</f>
        <v>0</v>
      </c>
      <c r="BY287" s="15">
        <f>IF('ENCUESTA CONDUCTORES'!CG287="X",1,0)</f>
        <v>0</v>
      </c>
      <c r="BZ287" s="15">
        <f>IF('ENCUESTA CONDUCTORES'!CH287="X",1,0)</f>
        <v>0</v>
      </c>
      <c r="CA287" s="15">
        <f>IF('ENCUESTA CONDUCTORES'!CI287="X",1,0)</f>
        <v>0</v>
      </c>
      <c r="CB287" s="15">
        <f>IF('ENCUESTA CONDUCTORES'!CJ287="X",1,0)</f>
        <v>0</v>
      </c>
      <c r="CC287" s="15">
        <f>IF('ENCUESTA CONDUCTORES'!CK287="X",1,0)</f>
        <v>1</v>
      </c>
      <c r="CD287" s="15">
        <f>IF('ENCUESTA CONDUCTORES'!CL287="X",1,0)</f>
        <v>0</v>
      </c>
      <c r="CE287" s="15">
        <f>IF('ENCUESTA CONDUCTORES'!CM287="X",1,0)</f>
        <v>0</v>
      </c>
      <c r="CF287" s="15">
        <f>+'ENCUESTA CONDUCTORES'!CN287</f>
        <v>0</v>
      </c>
      <c r="CG287" s="15">
        <f>IF('ENCUESTA CONDUCTORES'!CO287="X",1,0)</f>
        <v>0</v>
      </c>
      <c r="CH287" s="15" t="str">
        <f>+'ENCUESTA CONDUCTORES'!CP287</f>
        <v>NO SABE</v>
      </c>
      <c r="CI287" s="15" t="str">
        <f>+'ENCUESTA CONDUCTORES'!CQ287</f>
        <v>NO SABE</v>
      </c>
      <c r="CJ287" s="15">
        <f>IF('ENCUESTA CONDUCTORES'!CR287="X",1,0)</f>
        <v>1</v>
      </c>
      <c r="CK287" s="15">
        <f>IF('ENCUESTA CONDUCTORES'!CS287="X",1,0)</f>
        <v>0</v>
      </c>
      <c r="CL287" s="15">
        <f>IF('ENCUESTA CONDUCTORES'!CT287="X",1,0)</f>
        <v>0</v>
      </c>
      <c r="CM287" s="15">
        <f>+'ENCUESTA CONDUCTORES'!CU287</f>
        <v>0</v>
      </c>
      <c r="CN287" s="15">
        <f>IF('ENCUESTA CONDUCTORES'!CV287="X",1,0)</f>
        <v>0</v>
      </c>
      <c r="CO287" s="15">
        <f>+'ENCUESTA CONDUCTORES'!CW287</f>
        <v>0</v>
      </c>
      <c r="CP287" s="15">
        <f>IF('ENCUESTA CONDUCTORES'!CX287="X",1,0)</f>
        <v>1</v>
      </c>
      <c r="CQ287" s="15">
        <f>IF('ENCUESTA CONDUCTORES'!CY287="X",1,0)</f>
        <v>1</v>
      </c>
      <c r="CR287" s="3">
        <f>+'ENCUESTA CONDUCTORES'!CZ287</f>
        <v>0</v>
      </c>
      <c r="CS287" s="49">
        <f>+'ENCUESTA CONDUCTORES'!DA287</f>
        <v>0</v>
      </c>
    </row>
    <row r="288" spans="2:97" x14ac:dyDescent="0.25">
      <c r="B288" s="14" t="str">
        <f>+'ENCUESTA CONDUCTORES'!D288</f>
        <v>C-299</v>
      </c>
      <c r="C288" s="15">
        <f>IF('ENCUESTA CONDUCTORES'!E288="X",1,0)</f>
        <v>0</v>
      </c>
      <c r="D288" s="15">
        <f>IF('ENCUESTA CONDUCTORES'!F288="X",1,0)</f>
        <v>0</v>
      </c>
      <c r="E288" s="15">
        <f>IF('ENCUESTA CONDUCTORES'!G288="X",1,0)</f>
        <v>1</v>
      </c>
      <c r="F288" s="15">
        <f>IF('ENCUESTA CONDUCTORES'!H288="X",1,0)</f>
        <v>0</v>
      </c>
      <c r="G288" s="15">
        <f>+'ENCUESTA CONDUCTORES'!I288</f>
        <v>51</v>
      </c>
      <c r="H288" s="15" t="str">
        <f>+'ENCUESTA CONDUCTORES'!J288</f>
        <v>M</v>
      </c>
      <c r="I288" s="15" t="str">
        <f>+'ENCUESTA CONDUCTORES'!K288</f>
        <v>SIN ESTUDIOS</v>
      </c>
      <c r="J288" s="15" t="str">
        <f>+'ENCUESTA CONDUCTORES'!L288</f>
        <v>CD OREGON, SONORA</v>
      </c>
      <c r="K288" s="15" t="str">
        <f>+'ENCUESTA CONDUCTORES'!M288</f>
        <v>CD. OREGON</v>
      </c>
      <c r="L288" s="15" t="str">
        <f>+'ENCUESTA CONDUCTORES'!N288</f>
        <v>SONORA</v>
      </c>
      <c r="M288" s="15">
        <f>+'ENCUESTA CONDUCTORES'!O288</f>
        <v>33</v>
      </c>
      <c r="N288" s="15">
        <f>IF('ENCUESTA CONDUCTORES'!P288="X",1,0)</f>
        <v>0</v>
      </c>
      <c r="O288" s="15">
        <f>IF('ENCUESTA CONDUCTORES'!Q288="X",1,0)</f>
        <v>0</v>
      </c>
      <c r="P288" s="15">
        <f>IF('ENCUESTA CONDUCTORES'!R288="X",1,0)</f>
        <v>0</v>
      </c>
      <c r="Q288" s="15">
        <f>IF('ENCUESTA CONDUCTORES'!S288="X",1,0)</f>
        <v>1</v>
      </c>
      <c r="R288" s="15">
        <f>IF('ENCUESTA CONDUCTORES'!T288="X",1,0)</f>
        <v>0</v>
      </c>
      <c r="S288" s="15">
        <f>IF('ENCUESTA CONDUCTORES'!U288="X",1,0)</f>
        <v>1</v>
      </c>
      <c r="T288" s="15">
        <f>IF('ENCUESTA CONDUCTORES'!V288="X",1,0)</f>
        <v>0</v>
      </c>
      <c r="U288" s="15">
        <f>IF('ENCUESTA CONDUCTORES'!W288="X",1,0)</f>
        <v>0</v>
      </c>
      <c r="V288" s="15">
        <f>IF('ENCUESTA CONDUCTORES'!X288="X",1,0)</f>
        <v>0</v>
      </c>
      <c r="W288" s="15">
        <f>IF('ENCUESTA CONDUCTORES'!Y288="X",1,0)</f>
        <v>0</v>
      </c>
      <c r="X288" s="15">
        <f>IF('ENCUESTA CONDUCTORES'!Z288="X",1,0)</f>
        <v>0</v>
      </c>
      <c r="Y288" s="15">
        <f>+'ENCUESTA CONDUCTORES'!AG288</f>
        <v>0</v>
      </c>
      <c r="Z288" s="15">
        <f>+'ENCUESTA CONDUCTORES'!AH288</f>
        <v>2004</v>
      </c>
      <c r="AA288" s="1">
        <f>+'ENCUESTA CONDUCTORES'!AI288</f>
        <v>973600</v>
      </c>
      <c r="AB288" s="15">
        <f>IF('ENCUESTA CONDUCTORES'!AJ288="X",1,0)</f>
        <v>0</v>
      </c>
      <c r="AC288" s="15">
        <f>IF('ENCUESTA CONDUCTORES'!AK288="X",1,0)</f>
        <v>0</v>
      </c>
      <c r="AD288" s="15">
        <f>IF('ENCUESTA CONDUCTORES'!AL288="X",1,0)</f>
        <v>1</v>
      </c>
      <c r="AE288" s="15">
        <f>IF('ENCUESTA CONDUCTORES'!AM288="X",1,0)</f>
        <v>0</v>
      </c>
      <c r="AF288" s="15">
        <f>IF('ENCUESTA CONDUCTORES'!AN288="X",1,0)</f>
        <v>0</v>
      </c>
      <c r="AG288" s="15">
        <f>IF('ENCUESTA CONDUCTORES'!AO288="X",1,0)</f>
        <v>1</v>
      </c>
      <c r="AH288" s="15">
        <f>IF('ENCUESTA CONDUCTORES'!AP288="X",1,0)</f>
        <v>0</v>
      </c>
      <c r="AI288" s="15">
        <f>IF('ENCUESTA CONDUCTORES'!AQ288="X",1,0)</f>
        <v>0</v>
      </c>
      <c r="AJ288" s="15">
        <f>IF('ENCUESTA CONDUCTORES'!AR288="X",1,0)</f>
        <v>0</v>
      </c>
      <c r="AK288" s="15">
        <f>+'ENCUESTA CONDUCTORES'!AS288</f>
        <v>0</v>
      </c>
      <c r="AL288" s="15" t="str">
        <f>+'ENCUESTA CONDUCTORES'!AT288</f>
        <v>DETROIT</v>
      </c>
      <c r="AM288" s="1">
        <f>+'ENCUESTA CONDUCTORES'!AU288</f>
        <v>10000</v>
      </c>
      <c r="AN288" s="48">
        <f>+'ENCUESTA CONDUCTORES'!AV288</f>
        <v>0.05</v>
      </c>
      <c r="AO288" s="15">
        <f>+'ENCUESTA CONDUCTORES'!AW288</f>
        <v>2.7</v>
      </c>
      <c r="AP288" s="15">
        <f>+'ENCUESTA CONDUCTORES'!AX288</f>
        <v>2.4</v>
      </c>
      <c r="AQ288" s="15">
        <f>+'ENCUESTA CONDUCTORES'!AY288</f>
        <v>3</v>
      </c>
      <c r="AR288" s="15">
        <f>+'ENCUESTA CONDUCTORES'!AZ288</f>
        <v>1070</v>
      </c>
      <c r="AS288" s="15">
        <f>+'ENCUESTA CONDUCTORES'!BA288</f>
        <v>2800</v>
      </c>
      <c r="AT288" s="15">
        <f>IF('ENCUESTA CONDUCTORES'!BB288="X",1,0)</f>
        <v>1</v>
      </c>
      <c r="AU288" s="15">
        <f>IF('ENCUESTA CONDUCTORES'!BC288="X",1,0)</f>
        <v>0</v>
      </c>
      <c r="AV288" s="15">
        <f>IF('ENCUESTA CONDUCTORES'!BD288="X",1,0)</f>
        <v>0</v>
      </c>
      <c r="AW288" s="1">
        <f>+'ENCUESTA CONDUCTORES'!BE288</f>
        <v>20000</v>
      </c>
      <c r="AX288" s="1">
        <f>+'ENCUESTA CONDUCTORES'!BF288</f>
        <v>240000</v>
      </c>
      <c r="AY288" s="1">
        <f>+'ENCUESTA CONDUCTORES'!BG288</f>
        <v>20000</v>
      </c>
      <c r="AZ288" s="1">
        <f>+'ENCUESTA CONDUCTORES'!BH288</f>
        <v>120000</v>
      </c>
      <c r="BA288" s="1" t="str">
        <f>+'ENCUESTA CONDUCTORES'!BI288</f>
        <v>NO SABE</v>
      </c>
      <c r="BB288" s="15">
        <f>IF('ENCUESTA CONDUCTORES'!BJ288="X",1,0)</f>
        <v>1</v>
      </c>
      <c r="BC288" s="15">
        <f>IF('ENCUESTA CONDUCTORES'!BK288="X",1,0)</f>
        <v>1</v>
      </c>
      <c r="BD288" s="15">
        <f>IF('ENCUESTA CONDUCTORES'!BL288="X",1,0)</f>
        <v>0</v>
      </c>
      <c r="BE288" s="15">
        <f>IF('ENCUESTA CONDUCTORES'!BM288="X",1,0)</f>
        <v>0</v>
      </c>
      <c r="BF288" s="15">
        <f>IF('ENCUESTA CONDUCTORES'!BN288="X",1,0)</f>
        <v>0</v>
      </c>
      <c r="BG288" s="15">
        <f>IF('ENCUESTA CONDUCTORES'!BO288="X",1,0)</f>
        <v>0</v>
      </c>
      <c r="BH288" s="15">
        <f>IF('ENCUESTA CONDUCTORES'!BP288="X",1,0)</f>
        <v>0</v>
      </c>
      <c r="BI288" s="15">
        <f>IF('ENCUESTA CONDUCTORES'!BQ288="X",1,0)</f>
        <v>0</v>
      </c>
      <c r="BJ288" s="15">
        <f>IF('ENCUESTA CONDUCTORES'!BR288="X",1,0)</f>
        <v>0</v>
      </c>
      <c r="BK288" s="15">
        <f>+'ENCUESTA CONDUCTORES'!BS288</f>
        <v>0</v>
      </c>
      <c r="BL288" s="15">
        <f>IF('ENCUESTA CONDUCTORES'!BT288="X",1,0)</f>
        <v>0</v>
      </c>
      <c r="BM288" s="15">
        <f>IF('ENCUESTA CONDUCTORES'!BU288="X",1,0)</f>
        <v>0</v>
      </c>
      <c r="BN288" s="15">
        <f>IF('ENCUESTA CONDUCTORES'!BV288="X",1,0)</f>
        <v>1</v>
      </c>
      <c r="BO288" s="15">
        <f>IF('ENCUESTA CONDUCTORES'!BW288="X",1,0)</f>
        <v>0</v>
      </c>
      <c r="BP288" s="15">
        <f>+'ENCUESTA CONDUCTORES'!BX288</f>
        <v>1</v>
      </c>
      <c r="BQ288" s="15">
        <f>+'ENCUESTA CONDUCTORES'!BY288</f>
        <v>3</v>
      </c>
      <c r="BR288" s="15">
        <f>+'ENCUESTA CONDUCTORES'!BZ288</f>
        <v>2</v>
      </c>
      <c r="BS288" s="15">
        <f>+'ENCUESTA CONDUCTORES'!CA288</f>
        <v>0</v>
      </c>
      <c r="BT288" s="15">
        <f>IF('ENCUESTA CONDUCTORES'!CB288="X",1,0)</f>
        <v>1</v>
      </c>
      <c r="BU288" s="15">
        <f>IF('ENCUESTA CONDUCTORES'!CC288="X",1,0)</f>
        <v>0</v>
      </c>
      <c r="BV288" s="15">
        <f>IF('ENCUESTA CONDUCTORES'!CD288="X",1,0)</f>
        <v>0</v>
      </c>
      <c r="BW288" s="15">
        <f>IF('ENCUESTA CONDUCTORES'!CE288="X",1,0)</f>
        <v>0</v>
      </c>
      <c r="BX288" s="15">
        <f>IF('ENCUESTA CONDUCTORES'!CF288="X",1,0)</f>
        <v>0</v>
      </c>
      <c r="BY288" s="15">
        <f>IF('ENCUESTA CONDUCTORES'!CG288="X",1,0)</f>
        <v>0</v>
      </c>
      <c r="BZ288" s="15">
        <f>IF('ENCUESTA CONDUCTORES'!CH288="X",1,0)</f>
        <v>0</v>
      </c>
      <c r="CA288" s="15">
        <f>IF('ENCUESTA CONDUCTORES'!CI288="X",1,0)</f>
        <v>0</v>
      </c>
      <c r="CB288" s="15">
        <f>IF('ENCUESTA CONDUCTORES'!CJ288="X",1,0)</f>
        <v>0</v>
      </c>
      <c r="CC288" s="15">
        <f>IF('ENCUESTA CONDUCTORES'!CK288="X",1,0)</f>
        <v>1</v>
      </c>
      <c r="CD288" s="15">
        <f>IF('ENCUESTA CONDUCTORES'!CL288="X",1,0)</f>
        <v>0</v>
      </c>
      <c r="CE288" s="15">
        <f>IF('ENCUESTA CONDUCTORES'!CM288="X",1,0)</f>
        <v>0</v>
      </c>
      <c r="CF288" s="15">
        <f>+'ENCUESTA CONDUCTORES'!CN288</f>
        <v>0</v>
      </c>
      <c r="CG288" s="15">
        <f>IF('ENCUESTA CONDUCTORES'!CO288="X",1,0)</f>
        <v>0</v>
      </c>
      <c r="CH288" s="15" t="str">
        <f>+'ENCUESTA CONDUCTORES'!CP288</f>
        <v>NO SABE</v>
      </c>
      <c r="CI288" s="15" t="str">
        <f>+'ENCUESTA CONDUCTORES'!CQ288</f>
        <v>NO SABE</v>
      </c>
      <c r="CJ288" s="15">
        <f>IF('ENCUESTA CONDUCTORES'!CR288="X",1,0)</f>
        <v>0</v>
      </c>
      <c r="CK288" s="15">
        <f>IF('ENCUESTA CONDUCTORES'!CS288="X",1,0)</f>
        <v>0</v>
      </c>
      <c r="CL288" s="15">
        <f>IF('ENCUESTA CONDUCTORES'!CT288="X",1,0)</f>
        <v>1</v>
      </c>
      <c r="CM288" s="15">
        <f>+'ENCUESTA CONDUCTORES'!CU288</f>
        <v>0</v>
      </c>
      <c r="CN288" s="15">
        <f>IF('ENCUESTA CONDUCTORES'!CV288="X",1,0)</f>
        <v>0</v>
      </c>
      <c r="CO288" s="15">
        <f>+'ENCUESTA CONDUCTORES'!CW288</f>
        <v>0</v>
      </c>
      <c r="CP288" s="15">
        <f>IF('ENCUESTA CONDUCTORES'!CX288="X",1,0)</f>
        <v>1</v>
      </c>
      <c r="CQ288" s="15">
        <f>IF('ENCUESTA CONDUCTORES'!CY288="X",1,0)</f>
        <v>0</v>
      </c>
      <c r="CR288" s="3">
        <f>+'ENCUESTA CONDUCTORES'!CZ288</f>
        <v>0</v>
      </c>
      <c r="CS288" s="49">
        <f>+'ENCUESTA CONDUCTORES'!DA288</f>
        <v>0</v>
      </c>
    </row>
    <row r="289" spans="2:97" x14ac:dyDescent="0.25">
      <c r="B289" s="14" t="str">
        <f>+'ENCUESTA CONDUCTORES'!D289</f>
        <v>C-300</v>
      </c>
      <c r="C289" s="15">
        <f>IF('ENCUESTA CONDUCTORES'!E289="X",1,0)</f>
        <v>1</v>
      </c>
      <c r="D289" s="15">
        <f>IF('ENCUESTA CONDUCTORES'!F289="X",1,0)</f>
        <v>0</v>
      </c>
      <c r="E289" s="15">
        <f>IF('ENCUESTA CONDUCTORES'!G289="X",1,0)</f>
        <v>0</v>
      </c>
      <c r="F289" s="15">
        <f>IF('ENCUESTA CONDUCTORES'!H289="X",1,0)</f>
        <v>0</v>
      </c>
      <c r="G289" s="15">
        <f>+'ENCUESTA CONDUCTORES'!I289</f>
        <v>31</v>
      </c>
      <c r="H289" s="15" t="str">
        <f>+'ENCUESTA CONDUCTORES'!J289</f>
        <v>M</v>
      </c>
      <c r="I289" s="15" t="str">
        <f>+'ENCUESTA CONDUCTORES'!K289</f>
        <v>PREPARATORIA</v>
      </c>
      <c r="J289" s="15" t="str">
        <f>+'ENCUESTA CONDUCTORES'!L289</f>
        <v>TULTITLÁN, EDO. MEX.</v>
      </c>
      <c r="K289" s="15" t="str">
        <f>+'ENCUESTA CONDUCTORES'!M289</f>
        <v>TULTITLÁN</v>
      </c>
      <c r="L289" s="15" t="str">
        <f>+'ENCUESTA CONDUCTORES'!N289</f>
        <v>EDO. MEX.</v>
      </c>
      <c r="M289" s="15">
        <f>+'ENCUESTA CONDUCTORES'!O289</f>
        <v>11</v>
      </c>
      <c r="N289" s="15">
        <f>IF('ENCUESTA CONDUCTORES'!P289="X",1,0)</f>
        <v>0</v>
      </c>
      <c r="O289" s="15">
        <f>IF('ENCUESTA CONDUCTORES'!Q289="X",1,0)</f>
        <v>0</v>
      </c>
      <c r="P289" s="15">
        <f>IF('ENCUESTA CONDUCTORES'!R289="X",1,0)</f>
        <v>0</v>
      </c>
      <c r="Q289" s="15">
        <f>IF('ENCUESTA CONDUCTORES'!S289="X",1,0)</f>
        <v>1</v>
      </c>
      <c r="R289" s="15">
        <f>IF('ENCUESTA CONDUCTORES'!T289="X",1,0)</f>
        <v>0</v>
      </c>
      <c r="S289" s="15">
        <f>IF('ENCUESTA CONDUCTORES'!U289="X",1,0)</f>
        <v>1</v>
      </c>
      <c r="T289" s="15">
        <f>IF('ENCUESTA CONDUCTORES'!V289="X",1,0)</f>
        <v>0</v>
      </c>
      <c r="U289" s="15">
        <f>IF('ENCUESTA CONDUCTORES'!W289="X",1,0)</f>
        <v>0</v>
      </c>
      <c r="V289" s="15">
        <f>IF('ENCUESTA CONDUCTORES'!X289="X",1,0)</f>
        <v>0</v>
      </c>
      <c r="W289" s="15">
        <f>IF('ENCUESTA CONDUCTORES'!Y289="X",1,0)</f>
        <v>0</v>
      </c>
      <c r="X289" s="15">
        <f>IF('ENCUESTA CONDUCTORES'!Z289="X",1,0)</f>
        <v>0</v>
      </c>
      <c r="Y289" s="15">
        <f>+'ENCUESTA CONDUCTORES'!AG289</f>
        <v>0</v>
      </c>
      <c r="Z289" s="15">
        <f>+'ENCUESTA CONDUCTORES'!AH289</f>
        <v>2003</v>
      </c>
      <c r="AA289" s="1">
        <f>+'ENCUESTA CONDUCTORES'!AI289</f>
        <v>803973</v>
      </c>
      <c r="AB289" s="15">
        <f>IF('ENCUESTA CONDUCTORES'!AJ289="X",1,0)</f>
        <v>0</v>
      </c>
      <c r="AC289" s="15">
        <f>IF('ENCUESTA CONDUCTORES'!AK289="X",1,0)</f>
        <v>0</v>
      </c>
      <c r="AD289" s="15">
        <f>IF('ENCUESTA CONDUCTORES'!AL289="X",1,0)</f>
        <v>1</v>
      </c>
      <c r="AE289" s="15">
        <f>IF('ENCUESTA CONDUCTORES'!AM289="X",1,0)</f>
        <v>0</v>
      </c>
      <c r="AF289" s="15">
        <f>IF('ENCUESTA CONDUCTORES'!AN289="X",1,0)</f>
        <v>0</v>
      </c>
      <c r="AG289" s="15">
        <f>IF('ENCUESTA CONDUCTORES'!AO289="X",1,0)</f>
        <v>1</v>
      </c>
      <c r="AH289" s="15">
        <f>IF('ENCUESTA CONDUCTORES'!AP289="X",1,0)</f>
        <v>0</v>
      </c>
      <c r="AI289" s="15">
        <f>IF('ENCUESTA CONDUCTORES'!AQ289="X",1,0)</f>
        <v>0</v>
      </c>
      <c r="AJ289" s="15">
        <f>IF('ENCUESTA CONDUCTORES'!AR289="X",1,0)</f>
        <v>0</v>
      </c>
      <c r="AK289" s="15">
        <f>+'ENCUESTA CONDUCTORES'!AS289</f>
        <v>0</v>
      </c>
      <c r="AL289" s="15" t="str">
        <f>+'ENCUESTA CONDUCTORES'!AT289</f>
        <v>DETROIT</v>
      </c>
      <c r="AM289" s="1">
        <f>+'ENCUESTA CONDUCTORES'!AU289</f>
        <v>8000</v>
      </c>
      <c r="AN289" s="48">
        <f>+'ENCUESTA CONDUCTORES'!AV289</f>
        <v>0.1</v>
      </c>
      <c r="AO289" s="15">
        <f>+'ENCUESTA CONDUCTORES'!AW289</f>
        <v>2.7</v>
      </c>
      <c r="AP289" s="15">
        <f>+'ENCUESTA CONDUCTORES'!AX289</f>
        <v>2.4</v>
      </c>
      <c r="AQ289" s="15">
        <f>+'ENCUESTA CONDUCTORES'!AY289</f>
        <v>2</v>
      </c>
      <c r="AR289" s="15">
        <f>+'ENCUESTA CONDUCTORES'!AZ289</f>
        <v>810</v>
      </c>
      <c r="AS289" s="15">
        <f>+'ENCUESTA CONDUCTORES'!BA289</f>
        <v>2100</v>
      </c>
      <c r="AT289" s="15">
        <f>IF('ENCUESTA CONDUCTORES'!BB289="X",1,0)</f>
        <v>1</v>
      </c>
      <c r="AU289" s="15">
        <f>IF('ENCUESTA CONDUCTORES'!BC289="X",1,0)</f>
        <v>0</v>
      </c>
      <c r="AV289" s="15">
        <f>IF('ENCUESTA CONDUCTORES'!BD289="X",1,0)</f>
        <v>0</v>
      </c>
      <c r="AW289" s="1">
        <f>+'ENCUESTA CONDUCTORES'!BE289</f>
        <v>17000</v>
      </c>
      <c r="AX289" s="1" t="str">
        <f>+'ENCUESTA CONDUCTORES'!BF289</f>
        <v>NO SABE</v>
      </c>
      <c r="AY289" s="1">
        <f>+'ENCUESTA CONDUCTORES'!BG289</f>
        <v>35000</v>
      </c>
      <c r="AZ289" s="1">
        <f>+'ENCUESTA CONDUCTORES'!BH289</f>
        <v>100000</v>
      </c>
      <c r="BA289" s="1" t="str">
        <f>+'ENCUESTA CONDUCTORES'!BI289</f>
        <v>NO SABE</v>
      </c>
      <c r="BB289" s="15">
        <f>IF('ENCUESTA CONDUCTORES'!BJ289="X",1,0)</f>
        <v>0</v>
      </c>
      <c r="BC289" s="15">
        <f>IF('ENCUESTA CONDUCTORES'!BK289="X",1,0)</f>
        <v>1</v>
      </c>
      <c r="BD289" s="15">
        <f>IF('ENCUESTA CONDUCTORES'!BL289="X",1,0)</f>
        <v>0</v>
      </c>
      <c r="BE289" s="15">
        <f>IF('ENCUESTA CONDUCTORES'!BM289="X",1,0)</f>
        <v>0</v>
      </c>
      <c r="BF289" s="15">
        <f>IF('ENCUESTA CONDUCTORES'!BN289="X",1,0)</f>
        <v>0</v>
      </c>
      <c r="BG289" s="15">
        <f>IF('ENCUESTA CONDUCTORES'!BO289="X",1,0)</f>
        <v>0</v>
      </c>
      <c r="BH289" s="15">
        <f>IF('ENCUESTA CONDUCTORES'!BP289="X",1,0)</f>
        <v>0</v>
      </c>
      <c r="BI289" s="15">
        <f>IF('ENCUESTA CONDUCTORES'!BQ289="X",1,0)</f>
        <v>0</v>
      </c>
      <c r="BJ289" s="15">
        <f>IF('ENCUESTA CONDUCTORES'!BR289="X",1,0)</f>
        <v>0</v>
      </c>
      <c r="BK289" s="15">
        <f>+'ENCUESTA CONDUCTORES'!BS289</f>
        <v>0</v>
      </c>
      <c r="BL289" s="15">
        <f>IF('ENCUESTA CONDUCTORES'!BT289="X",1,0)</f>
        <v>0</v>
      </c>
      <c r="BM289" s="15">
        <f>IF('ENCUESTA CONDUCTORES'!BU289="X",1,0)</f>
        <v>1</v>
      </c>
      <c r="BN289" s="15">
        <f>IF('ENCUESTA CONDUCTORES'!BV289="X",1,0)</f>
        <v>0</v>
      </c>
      <c r="BO289" s="15">
        <f>IF('ENCUESTA CONDUCTORES'!BW289="X",1,0)</f>
        <v>0</v>
      </c>
      <c r="BP289" s="15">
        <f>+'ENCUESTA CONDUCTORES'!BX289</f>
        <v>2</v>
      </c>
      <c r="BQ289" s="15">
        <f>+'ENCUESTA CONDUCTORES'!BY289</f>
        <v>3</v>
      </c>
      <c r="BR289" s="15">
        <f>+'ENCUESTA CONDUCTORES'!BZ289</f>
        <v>1</v>
      </c>
      <c r="BS289" s="15">
        <f>+'ENCUESTA CONDUCTORES'!CA289</f>
        <v>0</v>
      </c>
      <c r="BT289" s="15">
        <f>IF('ENCUESTA CONDUCTORES'!CB289="X",1,0)</f>
        <v>1</v>
      </c>
      <c r="BU289" s="15">
        <f>IF('ENCUESTA CONDUCTORES'!CC289="X",1,0)</f>
        <v>0</v>
      </c>
      <c r="BV289" s="15">
        <f>IF('ENCUESTA CONDUCTORES'!CD289="X",1,0)</f>
        <v>0</v>
      </c>
      <c r="BW289" s="15">
        <f>IF('ENCUESTA CONDUCTORES'!CE289="X",1,0)</f>
        <v>0</v>
      </c>
      <c r="BX289" s="15">
        <f>IF('ENCUESTA CONDUCTORES'!CF289="X",1,0)</f>
        <v>0</v>
      </c>
      <c r="BY289" s="15">
        <f>IF('ENCUESTA CONDUCTORES'!CG289="X",1,0)</f>
        <v>0</v>
      </c>
      <c r="BZ289" s="15">
        <f>IF('ENCUESTA CONDUCTORES'!CH289="X",1,0)</f>
        <v>0</v>
      </c>
      <c r="CA289" s="15">
        <f>IF('ENCUESTA CONDUCTORES'!CI289="X",1,0)</f>
        <v>0</v>
      </c>
      <c r="CB289" s="15">
        <f>IF('ENCUESTA CONDUCTORES'!CJ289="X",1,0)</f>
        <v>0</v>
      </c>
      <c r="CC289" s="15">
        <f>IF('ENCUESTA CONDUCTORES'!CK289="X",1,0)</f>
        <v>1</v>
      </c>
      <c r="CD289" s="15">
        <f>IF('ENCUESTA CONDUCTORES'!CL289="X",1,0)</f>
        <v>0</v>
      </c>
      <c r="CE289" s="15">
        <f>IF('ENCUESTA CONDUCTORES'!CM289="X",1,0)</f>
        <v>0</v>
      </c>
      <c r="CF289" s="15">
        <f>+'ENCUESTA CONDUCTORES'!CN289</f>
        <v>0</v>
      </c>
      <c r="CG289" s="15">
        <f>IF('ENCUESTA CONDUCTORES'!CO289="X",1,0)</f>
        <v>0</v>
      </c>
      <c r="CH289" s="15" t="str">
        <f>+'ENCUESTA CONDUCTORES'!CP289</f>
        <v>NO SABE</v>
      </c>
      <c r="CI289" s="15" t="str">
        <f>+'ENCUESTA CONDUCTORES'!CQ289</f>
        <v>NO SABE</v>
      </c>
      <c r="CJ289" s="15">
        <f>IF('ENCUESTA CONDUCTORES'!CR289="X",1,0)</f>
        <v>1</v>
      </c>
      <c r="CK289" s="15">
        <f>IF('ENCUESTA CONDUCTORES'!CS289="X",1,0)</f>
        <v>0</v>
      </c>
      <c r="CL289" s="15">
        <f>IF('ENCUESTA CONDUCTORES'!CT289="X",1,0)</f>
        <v>0</v>
      </c>
      <c r="CM289" s="15">
        <f>+'ENCUESTA CONDUCTORES'!CU289</f>
        <v>0</v>
      </c>
      <c r="CN289" s="15">
        <f>IF('ENCUESTA CONDUCTORES'!CV289="X",1,0)</f>
        <v>1</v>
      </c>
      <c r="CO289" s="15" t="str">
        <f>+'ENCUESTA CONDUCTORES'!CW289</f>
        <v>NO SIRVEN</v>
      </c>
      <c r="CP289" s="15">
        <f>IF('ENCUESTA CONDUCTORES'!CX289="X",1,0)</f>
        <v>0</v>
      </c>
      <c r="CQ289" s="15">
        <f>IF('ENCUESTA CONDUCTORES'!CY289="X",1,0)</f>
        <v>0</v>
      </c>
      <c r="CR289" s="3">
        <f>+'ENCUESTA CONDUCTORES'!CZ289</f>
        <v>0</v>
      </c>
      <c r="CS289" s="49">
        <f>+'ENCUESTA CONDUCTORES'!DA289</f>
        <v>0</v>
      </c>
    </row>
    <row r="290" spans="2:97" x14ac:dyDescent="0.25">
      <c r="B290" s="14" t="str">
        <f>+'ENCUESTA CONDUCTORES'!D290</f>
        <v>C-301</v>
      </c>
      <c r="C290" s="15">
        <f>IF('ENCUESTA CONDUCTORES'!E290="X",1,0)</f>
        <v>0</v>
      </c>
      <c r="D290" s="15">
        <f>IF('ENCUESTA CONDUCTORES'!F290="X",1,0)</f>
        <v>0</v>
      </c>
      <c r="E290" s="15">
        <f>IF('ENCUESTA CONDUCTORES'!G290="X",1,0)</f>
        <v>0</v>
      </c>
      <c r="F290" s="15">
        <f>IF('ENCUESTA CONDUCTORES'!H290="X",1,0)</f>
        <v>1</v>
      </c>
      <c r="G290" s="15">
        <f>+'ENCUESTA CONDUCTORES'!I290</f>
        <v>54</v>
      </c>
      <c r="H290" s="15" t="str">
        <f>+'ENCUESTA CONDUCTORES'!J290</f>
        <v>M</v>
      </c>
      <c r="I290" s="15" t="str">
        <f>+'ENCUESTA CONDUCTORES'!K290</f>
        <v>SECUNDARIA</v>
      </c>
      <c r="J290" s="15" t="str">
        <f>+'ENCUESTA CONDUCTORES'!L290</f>
        <v>CELAYA, GTO.</v>
      </c>
      <c r="K290" s="15" t="str">
        <f>+'ENCUESTA CONDUCTORES'!M290</f>
        <v>CELAYA</v>
      </c>
      <c r="L290" s="15" t="str">
        <f>+'ENCUESTA CONDUCTORES'!N290</f>
        <v>GUANAJUATO</v>
      </c>
      <c r="M290" s="15">
        <f>+'ENCUESTA CONDUCTORES'!O290</f>
        <v>32</v>
      </c>
      <c r="N290" s="15">
        <f>IF('ENCUESTA CONDUCTORES'!P290="X",1,0)</f>
        <v>0</v>
      </c>
      <c r="O290" s="15">
        <f>IF('ENCUESTA CONDUCTORES'!Q290="X",1,0)</f>
        <v>0</v>
      </c>
      <c r="P290" s="15">
        <f>IF('ENCUESTA CONDUCTORES'!R290="X",1,0)</f>
        <v>0</v>
      </c>
      <c r="Q290" s="15">
        <f>IF('ENCUESTA CONDUCTORES'!S290="X",1,0)</f>
        <v>1</v>
      </c>
      <c r="R290" s="15">
        <f>IF('ENCUESTA CONDUCTORES'!T290="X",1,0)</f>
        <v>0</v>
      </c>
      <c r="S290" s="15">
        <f>IF('ENCUESTA CONDUCTORES'!U290="X",1,0)</f>
        <v>1</v>
      </c>
      <c r="T290" s="15">
        <f>IF('ENCUESTA CONDUCTORES'!V290="X",1,0)</f>
        <v>0</v>
      </c>
      <c r="U290" s="15">
        <f>IF('ENCUESTA CONDUCTORES'!W290="X",1,0)</f>
        <v>0</v>
      </c>
      <c r="V290" s="15">
        <f>IF('ENCUESTA CONDUCTORES'!X290="X",1,0)</f>
        <v>0</v>
      </c>
      <c r="W290" s="15">
        <f>IF('ENCUESTA CONDUCTORES'!Y290="X",1,0)</f>
        <v>0</v>
      </c>
      <c r="X290" s="15">
        <f>IF('ENCUESTA CONDUCTORES'!Z290="X",1,0)</f>
        <v>0</v>
      </c>
      <c r="Y290" s="15">
        <f>+'ENCUESTA CONDUCTORES'!AG290</f>
        <v>0</v>
      </c>
      <c r="Z290" s="15">
        <f>+'ENCUESTA CONDUCTORES'!AH290</f>
        <v>2008</v>
      </c>
      <c r="AA290" s="1">
        <f>+'ENCUESTA CONDUCTORES'!AI290</f>
        <v>615371</v>
      </c>
      <c r="AB290" s="15">
        <f>IF('ENCUESTA CONDUCTORES'!AJ290="X",1,0)</f>
        <v>0</v>
      </c>
      <c r="AC290" s="15">
        <f>IF('ENCUESTA CONDUCTORES'!AK290="X",1,0)</f>
        <v>0</v>
      </c>
      <c r="AD290" s="15">
        <f>IF('ENCUESTA CONDUCTORES'!AL290="X",1,0)</f>
        <v>1</v>
      </c>
      <c r="AE290" s="15">
        <f>IF('ENCUESTA CONDUCTORES'!AM290="X",1,0)</f>
        <v>0</v>
      </c>
      <c r="AF290" s="15">
        <f>IF('ENCUESTA CONDUCTORES'!AN290="X",1,0)</f>
        <v>0</v>
      </c>
      <c r="AG290" s="15">
        <f>IF('ENCUESTA CONDUCTORES'!AO290="X",1,0)</f>
        <v>0</v>
      </c>
      <c r="AH290" s="15">
        <f>IF('ENCUESTA CONDUCTORES'!AP290="X",1,0)</f>
        <v>1</v>
      </c>
      <c r="AI290" s="15">
        <f>IF('ENCUESTA CONDUCTORES'!AQ290="X",1,0)</f>
        <v>0</v>
      </c>
      <c r="AJ290" s="15">
        <f>IF('ENCUESTA CONDUCTORES'!AR290="X",1,0)</f>
        <v>0</v>
      </c>
      <c r="AK290" s="15">
        <f>+'ENCUESTA CONDUCTORES'!AS290</f>
        <v>0</v>
      </c>
      <c r="AL290" s="15" t="str">
        <f>+'ENCUESTA CONDUCTORES'!AT290</f>
        <v>CUMMINS</v>
      </c>
      <c r="AM290" s="1">
        <f>+'ENCUESTA CONDUCTORES'!AU290</f>
        <v>9000</v>
      </c>
      <c r="AN290" s="48">
        <f>+'ENCUESTA CONDUCTORES'!AV290</f>
        <v>0.05</v>
      </c>
      <c r="AO290" s="15">
        <f>+'ENCUESTA CONDUCTORES'!AW290</f>
        <v>2.7</v>
      </c>
      <c r="AP290" s="15">
        <f>+'ENCUESTA CONDUCTORES'!AX290</f>
        <v>2.4</v>
      </c>
      <c r="AQ290" s="15">
        <f>+'ENCUESTA CONDUCTORES'!AY290</f>
        <v>2</v>
      </c>
      <c r="AR290" s="15">
        <f>+'ENCUESTA CONDUCTORES'!AZ290</f>
        <v>830</v>
      </c>
      <c r="AS290" s="15">
        <f>+'ENCUESTA CONDUCTORES'!BA290</f>
        <v>2150</v>
      </c>
      <c r="AT290" s="15">
        <f>IF('ENCUESTA CONDUCTORES'!BB290="X",1,0)</f>
        <v>1</v>
      </c>
      <c r="AU290" s="15">
        <f>IF('ENCUESTA CONDUCTORES'!BC290="X",1,0)</f>
        <v>1</v>
      </c>
      <c r="AV290" s="15">
        <f>IF('ENCUESTA CONDUCTORES'!BD290="X",1,0)</f>
        <v>0</v>
      </c>
      <c r="AW290" s="1">
        <f>+'ENCUESTA CONDUCTORES'!BE290</f>
        <v>18000</v>
      </c>
      <c r="AX290" s="1">
        <f>+'ENCUESTA CONDUCTORES'!BF290</f>
        <v>240000</v>
      </c>
      <c r="AY290" s="1">
        <f>+'ENCUESTA CONDUCTORES'!BG290</f>
        <v>36000</v>
      </c>
      <c r="AZ290" s="1">
        <f>+'ENCUESTA CONDUCTORES'!BH290</f>
        <v>120000</v>
      </c>
      <c r="BA290" s="1" t="str">
        <f>+'ENCUESTA CONDUCTORES'!BI290</f>
        <v>NO SABE</v>
      </c>
      <c r="BB290" s="15">
        <f>IF('ENCUESTA CONDUCTORES'!BJ290="X",1,0)</f>
        <v>0</v>
      </c>
      <c r="BC290" s="15">
        <f>IF('ENCUESTA CONDUCTORES'!BK290="X",1,0)</f>
        <v>1</v>
      </c>
      <c r="BD290" s="15">
        <f>IF('ENCUESTA CONDUCTORES'!BL290="X",1,0)</f>
        <v>0</v>
      </c>
      <c r="BE290" s="15">
        <f>IF('ENCUESTA CONDUCTORES'!BM290="X",1,0)</f>
        <v>0</v>
      </c>
      <c r="BF290" s="15">
        <f>IF('ENCUESTA CONDUCTORES'!BN290="X",1,0)</f>
        <v>0</v>
      </c>
      <c r="BG290" s="15">
        <f>IF('ENCUESTA CONDUCTORES'!BO290="X",1,0)</f>
        <v>0</v>
      </c>
      <c r="BH290" s="15">
        <f>IF('ENCUESTA CONDUCTORES'!BP290="X",1,0)</f>
        <v>0</v>
      </c>
      <c r="BI290" s="15">
        <f>IF('ENCUESTA CONDUCTORES'!BQ290="X",1,0)</f>
        <v>0</v>
      </c>
      <c r="BJ290" s="15">
        <f>IF('ENCUESTA CONDUCTORES'!BR290="X",1,0)</f>
        <v>0</v>
      </c>
      <c r="BK290" s="15">
        <f>+'ENCUESTA CONDUCTORES'!BS290</f>
        <v>0</v>
      </c>
      <c r="BL290" s="15">
        <f>IF('ENCUESTA CONDUCTORES'!BT290="X",1,0)</f>
        <v>0</v>
      </c>
      <c r="BM290" s="15">
        <f>IF('ENCUESTA CONDUCTORES'!BU290="X",1,0)</f>
        <v>0</v>
      </c>
      <c r="BN290" s="15">
        <f>IF('ENCUESTA CONDUCTORES'!BV290="X",1,0)</f>
        <v>1</v>
      </c>
      <c r="BO290" s="15">
        <f>IF('ENCUESTA CONDUCTORES'!BW290="X",1,0)</f>
        <v>0</v>
      </c>
      <c r="BP290" s="15">
        <f>+'ENCUESTA CONDUCTORES'!BX290</f>
        <v>1</v>
      </c>
      <c r="BQ290" s="15">
        <f>+'ENCUESTA CONDUCTORES'!BY290</f>
        <v>3</v>
      </c>
      <c r="BR290" s="15">
        <f>+'ENCUESTA CONDUCTORES'!BZ290</f>
        <v>2</v>
      </c>
      <c r="BS290" s="15">
        <f>+'ENCUESTA CONDUCTORES'!CA290</f>
        <v>0</v>
      </c>
      <c r="BT290" s="15">
        <f>IF('ENCUESTA CONDUCTORES'!CB290="X",1,0)</f>
        <v>1</v>
      </c>
      <c r="BU290" s="15">
        <f>IF('ENCUESTA CONDUCTORES'!CC290="X",1,0)</f>
        <v>0</v>
      </c>
      <c r="BV290" s="15">
        <f>IF('ENCUESTA CONDUCTORES'!CD290="X",1,0)</f>
        <v>0</v>
      </c>
      <c r="BW290" s="15">
        <f>IF('ENCUESTA CONDUCTORES'!CE290="X",1,0)</f>
        <v>0</v>
      </c>
      <c r="BX290" s="15">
        <f>IF('ENCUESTA CONDUCTORES'!CF290="X",1,0)</f>
        <v>0</v>
      </c>
      <c r="BY290" s="15">
        <f>IF('ENCUESTA CONDUCTORES'!CG290="X",1,0)</f>
        <v>0</v>
      </c>
      <c r="BZ290" s="15">
        <f>IF('ENCUESTA CONDUCTORES'!CH290="X",1,0)</f>
        <v>0</v>
      </c>
      <c r="CA290" s="15">
        <f>IF('ENCUESTA CONDUCTORES'!CI290="X",1,0)</f>
        <v>0</v>
      </c>
      <c r="CB290" s="15">
        <f>IF('ENCUESTA CONDUCTORES'!CJ290="X",1,0)</f>
        <v>0</v>
      </c>
      <c r="CC290" s="15">
        <f>IF('ENCUESTA CONDUCTORES'!CK290="X",1,0)</f>
        <v>1</v>
      </c>
      <c r="CD290" s="15">
        <f>IF('ENCUESTA CONDUCTORES'!CL290="X",1,0)</f>
        <v>0</v>
      </c>
      <c r="CE290" s="15">
        <f>IF('ENCUESTA CONDUCTORES'!CM290="X",1,0)</f>
        <v>0</v>
      </c>
      <c r="CF290" s="15">
        <f>+'ENCUESTA CONDUCTORES'!CN290</f>
        <v>0</v>
      </c>
      <c r="CG290" s="15">
        <f>IF('ENCUESTA CONDUCTORES'!CO290="X",1,0)</f>
        <v>0</v>
      </c>
      <c r="CH290" s="15" t="str">
        <f>+'ENCUESTA CONDUCTORES'!CP290</f>
        <v>NO SABE</v>
      </c>
      <c r="CI290" s="15" t="str">
        <f>+'ENCUESTA CONDUCTORES'!CQ290</f>
        <v>NO SABE</v>
      </c>
      <c r="CJ290" s="15">
        <f>IF('ENCUESTA CONDUCTORES'!CR290="X",1,0)</f>
        <v>1</v>
      </c>
      <c r="CK290" s="15">
        <f>IF('ENCUESTA CONDUCTORES'!CS290="X",1,0)</f>
        <v>0</v>
      </c>
      <c r="CL290" s="15">
        <f>IF('ENCUESTA CONDUCTORES'!CT290="X",1,0)</f>
        <v>0</v>
      </c>
      <c r="CM290" s="15">
        <f>+'ENCUESTA CONDUCTORES'!CU290</f>
        <v>0</v>
      </c>
      <c r="CN290" s="15">
        <f>IF('ENCUESTA CONDUCTORES'!CV290="X",1,0)</f>
        <v>0</v>
      </c>
      <c r="CO290" s="15">
        <f>+'ENCUESTA CONDUCTORES'!CW290</f>
        <v>0</v>
      </c>
      <c r="CP290" s="15">
        <f>IF('ENCUESTA CONDUCTORES'!CX290="X",1,0)</f>
        <v>1</v>
      </c>
      <c r="CQ290" s="15">
        <f>IF('ENCUESTA CONDUCTORES'!CY290="X",1,0)</f>
        <v>1</v>
      </c>
      <c r="CR290" s="3">
        <f>+'ENCUESTA CONDUCTORES'!CZ290</f>
        <v>0</v>
      </c>
      <c r="CS290" s="49">
        <f>+'ENCUESTA CONDUCTORES'!DA290</f>
        <v>0</v>
      </c>
    </row>
    <row r="291" spans="2:97" x14ac:dyDescent="0.25">
      <c r="B291" s="14" t="str">
        <f>+'ENCUESTA CONDUCTORES'!D291</f>
        <v>C-302</v>
      </c>
      <c r="C291" s="15">
        <f>IF('ENCUESTA CONDUCTORES'!E291="X",1,0)</f>
        <v>0</v>
      </c>
      <c r="D291" s="15">
        <f>IF('ENCUESTA CONDUCTORES'!F291="X",1,0)</f>
        <v>1</v>
      </c>
      <c r="E291" s="15">
        <f>IF('ENCUESTA CONDUCTORES'!G291="X",1,0)</f>
        <v>0</v>
      </c>
      <c r="F291" s="15">
        <f>IF('ENCUESTA CONDUCTORES'!H291="X",1,0)</f>
        <v>0</v>
      </c>
      <c r="G291" s="15">
        <f>+'ENCUESTA CONDUCTORES'!I291</f>
        <v>39</v>
      </c>
      <c r="H291" s="15" t="str">
        <f>+'ENCUESTA CONDUCTORES'!J291</f>
        <v>M</v>
      </c>
      <c r="I291" s="15" t="str">
        <f>+'ENCUESTA CONDUCTORES'!K291</f>
        <v>SECUNDARIA</v>
      </c>
      <c r="J291" s="15" t="str">
        <f>+'ENCUESTA CONDUCTORES'!L291</f>
        <v>CD. LERDO, DGO</v>
      </c>
      <c r="K291" s="15" t="str">
        <f>+'ENCUESTA CONDUCTORES'!M291</f>
        <v>CD. LERDO</v>
      </c>
      <c r="L291" s="15" t="str">
        <f>+'ENCUESTA CONDUCTORES'!N291</f>
        <v>DURANGO</v>
      </c>
      <c r="M291" s="15">
        <f>+'ENCUESTA CONDUCTORES'!O291</f>
        <v>20</v>
      </c>
      <c r="N291" s="15">
        <f>IF('ENCUESTA CONDUCTORES'!P291="X",1,0)</f>
        <v>0</v>
      </c>
      <c r="O291" s="15">
        <f>IF('ENCUESTA CONDUCTORES'!Q291="X",1,0)</f>
        <v>1</v>
      </c>
      <c r="P291" s="15">
        <f>IF('ENCUESTA CONDUCTORES'!R291="X",1,0)</f>
        <v>0</v>
      </c>
      <c r="Q291" s="15">
        <f>IF('ENCUESTA CONDUCTORES'!S291="X",1,0)</f>
        <v>0</v>
      </c>
      <c r="R291" s="15">
        <f>IF('ENCUESTA CONDUCTORES'!T291="X",1,0)</f>
        <v>0</v>
      </c>
      <c r="S291" s="15">
        <f>IF('ENCUESTA CONDUCTORES'!U291="X",1,0)</f>
        <v>0</v>
      </c>
      <c r="T291" s="15">
        <f>IF('ENCUESTA CONDUCTORES'!V291="X",1,0)</f>
        <v>0</v>
      </c>
      <c r="U291" s="15">
        <f>IF('ENCUESTA CONDUCTORES'!W291="X",1,0)</f>
        <v>0</v>
      </c>
      <c r="V291" s="15">
        <f>IF('ENCUESTA CONDUCTORES'!X291="X",1,0)</f>
        <v>0</v>
      </c>
      <c r="W291" s="15">
        <f>IF('ENCUESTA CONDUCTORES'!Y291="X",1,0)</f>
        <v>0</v>
      </c>
      <c r="X291" s="15">
        <f>IF('ENCUESTA CONDUCTORES'!Z291="X",1,0)</f>
        <v>0</v>
      </c>
      <c r="Y291" s="15">
        <f>+'ENCUESTA CONDUCTORES'!AG291</f>
        <v>0</v>
      </c>
      <c r="Z291" s="15">
        <f>+'ENCUESTA CONDUCTORES'!AH291</f>
        <v>1997</v>
      </c>
      <c r="AA291" s="1">
        <f>+'ENCUESTA CONDUCTORES'!AI291</f>
        <v>881752</v>
      </c>
      <c r="AB291" s="15">
        <f>IF('ENCUESTA CONDUCTORES'!AJ291="X",1,0)</f>
        <v>0</v>
      </c>
      <c r="AC291" s="15">
        <f>IF('ENCUESTA CONDUCTORES'!AK291="X",1,0)</f>
        <v>0</v>
      </c>
      <c r="AD291" s="15">
        <f>IF('ENCUESTA CONDUCTORES'!AL291="X",1,0)</f>
        <v>1</v>
      </c>
      <c r="AE291" s="15">
        <f>IF('ENCUESTA CONDUCTORES'!AM291="X",1,0)</f>
        <v>0</v>
      </c>
      <c r="AF291" s="15">
        <f>IF('ENCUESTA CONDUCTORES'!AN291="X",1,0)</f>
        <v>0</v>
      </c>
      <c r="AG291" s="15">
        <f>IF('ENCUESTA CONDUCTORES'!AO291="X",1,0)</f>
        <v>1</v>
      </c>
      <c r="AH291" s="15">
        <f>IF('ENCUESTA CONDUCTORES'!AP291="X",1,0)</f>
        <v>0</v>
      </c>
      <c r="AI291" s="15">
        <f>IF('ENCUESTA CONDUCTORES'!AQ291="X",1,0)</f>
        <v>0</v>
      </c>
      <c r="AJ291" s="15">
        <f>IF('ENCUESTA CONDUCTORES'!AR291="X",1,0)</f>
        <v>0</v>
      </c>
      <c r="AK291" s="15">
        <f>+'ENCUESTA CONDUCTORES'!AS291</f>
        <v>0</v>
      </c>
      <c r="AL291" s="15" t="str">
        <f>+'ENCUESTA CONDUCTORES'!AT291</f>
        <v>CATERPILLAR</v>
      </c>
      <c r="AM291" s="1">
        <f>+'ENCUESTA CONDUCTORES'!AU291</f>
        <v>6000</v>
      </c>
      <c r="AN291" s="48">
        <f>+'ENCUESTA CONDUCTORES'!AV291</f>
        <v>0.1</v>
      </c>
      <c r="AO291" s="15">
        <f>+'ENCUESTA CONDUCTORES'!AW291</f>
        <v>3.6</v>
      </c>
      <c r="AP291" s="15">
        <f>+'ENCUESTA CONDUCTORES'!AX291</f>
        <v>3.1</v>
      </c>
      <c r="AQ291" s="15">
        <f>+'ENCUESTA CONDUCTORES'!AY291</f>
        <v>2</v>
      </c>
      <c r="AR291" s="15">
        <f>+'ENCUESTA CONDUCTORES'!AZ291</f>
        <v>700</v>
      </c>
      <c r="AS291" s="15">
        <f>+'ENCUESTA CONDUCTORES'!BA291</f>
        <v>2400</v>
      </c>
      <c r="AT291" s="15">
        <f>IF('ENCUESTA CONDUCTORES'!BB291="X",1,0)</f>
        <v>0</v>
      </c>
      <c r="AU291" s="15">
        <f>IF('ENCUESTA CONDUCTORES'!BC291="X",1,0)</f>
        <v>0</v>
      </c>
      <c r="AV291" s="15">
        <f>IF('ENCUESTA CONDUCTORES'!BD291="X",1,0)</f>
        <v>0</v>
      </c>
      <c r="AW291" s="1">
        <f>+'ENCUESTA CONDUCTORES'!BE291</f>
        <v>24000</v>
      </c>
      <c r="AX291" s="1" t="str">
        <f>+'ENCUESTA CONDUCTORES'!BF291</f>
        <v>NO SABE</v>
      </c>
      <c r="AY291" s="1">
        <f>+'ENCUESTA CONDUCTORES'!BG291</f>
        <v>24000</v>
      </c>
      <c r="AZ291" s="1" t="str">
        <f>+'ENCUESTA CONDUCTORES'!BH291</f>
        <v>NO SABE</v>
      </c>
      <c r="BA291" s="1" t="str">
        <f>+'ENCUESTA CONDUCTORES'!BI291</f>
        <v>NO SABE</v>
      </c>
      <c r="BB291" s="15">
        <f>IF('ENCUESTA CONDUCTORES'!BJ291="X",1,0)</f>
        <v>1</v>
      </c>
      <c r="BC291" s="15">
        <f>IF('ENCUESTA CONDUCTORES'!BK291="X",1,0)</f>
        <v>0</v>
      </c>
      <c r="BD291" s="15">
        <f>IF('ENCUESTA CONDUCTORES'!BL291="X",1,0)</f>
        <v>0</v>
      </c>
      <c r="BE291" s="15">
        <f>IF('ENCUESTA CONDUCTORES'!BM291="X",1,0)</f>
        <v>0</v>
      </c>
      <c r="BF291" s="15">
        <f>IF('ENCUESTA CONDUCTORES'!BN291="X",1,0)</f>
        <v>0</v>
      </c>
      <c r="BG291" s="15">
        <f>IF('ENCUESTA CONDUCTORES'!BO291="X",1,0)</f>
        <v>1</v>
      </c>
      <c r="BH291" s="15">
        <f>IF('ENCUESTA CONDUCTORES'!BP291="X",1,0)</f>
        <v>0</v>
      </c>
      <c r="BI291" s="15">
        <f>IF('ENCUESTA CONDUCTORES'!BQ291="X",1,0)</f>
        <v>0</v>
      </c>
      <c r="BJ291" s="15">
        <f>IF('ENCUESTA CONDUCTORES'!BR291="X",1,0)</f>
        <v>0</v>
      </c>
      <c r="BK291" s="15">
        <f>+'ENCUESTA CONDUCTORES'!BS291</f>
        <v>0</v>
      </c>
      <c r="BL291" s="15">
        <f>IF('ENCUESTA CONDUCTORES'!BT291="X",1,0)</f>
        <v>0</v>
      </c>
      <c r="BM291" s="15">
        <f>IF('ENCUESTA CONDUCTORES'!BU291="X",1,0)</f>
        <v>0</v>
      </c>
      <c r="BN291" s="15">
        <f>IF('ENCUESTA CONDUCTORES'!BV291="X",1,0)</f>
        <v>1</v>
      </c>
      <c r="BO291" s="15">
        <f>IF('ENCUESTA CONDUCTORES'!BW291="X",1,0)</f>
        <v>0</v>
      </c>
      <c r="BP291" s="15">
        <f>+'ENCUESTA CONDUCTORES'!BX291</f>
        <v>1</v>
      </c>
      <c r="BQ291" s="15">
        <f>+'ENCUESTA CONDUCTORES'!BY291</f>
        <v>3</v>
      </c>
      <c r="BR291" s="15">
        <f>+'ENCUESTA CONDUCTORES'!BZ291</f>
        <v>2</v>
      </c>
      <c r="BS291" s="15">
        <f>+'ENCUESTA CONDUCTORES'!CA291</f>
        <v>0</v>
      </c>
      <c r="BT291" s="15">
        <f>IF('ENCUESTA CONDUCTORES'!CB291="X",1,0)</f>
        <v>1</v>
      </c>
      <c r="BU291" s="15">
        <f>IF('ENCUESTA CONDUCTORES'!CC291="X",1,0)</f>
        <v>0</v>
      </c>
      <c r="BV291" s="15">
        <f>IF('ENCUESTA CONDUCTORES'!CD291="X",1,0)</f>
        <v>0</v>
      </c>
      <c r="BW291" s="15">
        <f>IF('ENCUESTA CONDUCTORES'!CE291="X",1,0)</f>
        <v>0</v>
      </c>
      <c r="BX291" s="15">
        <f>IF('ENCUESTA CONDUCTORES'!CF291="X",1,0)</f>
        <v>0</v>
      </c>
      <c r="BY291" s="15">
        <f>IF('ENCUESTA CONDUCTORES'!CG291="X",1,0)</f>
        <v>0</v>
      </c>
      <c r="BZ291" s="15">
        <f>IF('ENCUESTA CONDUCTORES'!CH291="X",1,0)</f>
        <v>0</v>
      </c>
      <c r="CA291" s="15">
        <f>IF('ENCUESTA CONDUCTORES'!CI291="X",1,0)</f>
        <v>0</v>
      </c>
      <c r="CB291" s="15">
        <f>IF('ENCUESTA CONDUCTORES'!CJ291="X",1,0)</f>
        <v>0</v>
      </c>
      <c r="CC291" s="15">
        <f>IF('ENCUESTA CONDUCTORES'!CK291="X",1,0)</f>
        <v>1</v>
      </c>
      <c r="CD291" s="15">
        <f>IF('ENCUESTA CONDUCTORES'!CL291="X",1,0)</f>
        <v>0</v>
      </c>
      <c r="CE291" s="15">
        <f>IF('ENCUESTA CONDUCTORES'!CM291="X",1,0)</f>
        <v>0</v>
      </c>
      <c r="CF291" s="15">
        <f>+'ENCUESTA CONDUCTORES'!CN291</f>
        <v>0</v>
      </c>
      <c r="CG291" s="15">
        <f>IF('ENCUESTA CONDUCTORES'!CO291="X",1,0)</f>
        <v>0</v>
      </c>
      <c r="CH291" s="15" t="str">
        <f>+'ENCUESTA CONDUCTORES'!CP291</f>
        <v>NO SABE</v>
      </c>
      <c r="CI291" s="15" t="str">
        <f>+'ENCUESTA CONDUCTORES'!CQ291</f>
        <v>NO SABE</v>
      </c>
      <c r="CJ291" s="15">
        <f>IF('ENCUESTA CONDUCTORES'!CR291="X",1,0)</f>
        <v>1</v>
      </c>
      <c r="CK291" s="15">
        <f>IF('ENCUESTA CONDUCTORES'!CS291="X",1,0)</f>
        <v>0</v>
      </c>
      <c r="CL291" s="15">
        <f>IF('ENCUESTA CONDUCTORES'!CT291="X",1,0)</f>
        <v>0</v>
      </c>
      <c r="CM291" s="15">
        <f>+'ENCUESTA CONDUCTORES'!CU291</f>
        <v>0</v>
      </c>
      <c r="CN291" s="15">
        <f>IF('ENCUESTA CONDUCTORES'!CV291="X",1,0)</f>
        <v>0</v>
      </c>
      <c r="CO291" s="15">
        <f>+'ENCUESTA CONDUCTORES'!CW291</f>
        <v>0</v>
      </c>
      <c r="CP291" s="15">
        <f>IF('ENCUESTA CONDUCTORES'!CX291="X",1,0)</f>
        <v>1</v>
      </c>
      <c r="CQ291" s="15">
        <f>IF('ENCUESTA CONDUCTORES'!CY291="X",1,0)</f>
        <v>0</v>
      </c>
      <c r="CR291" s="3">
        <f>+'ENCUESTA CONDUCTORES'!CZ291</f>
        <v>0</v>
      </c>
      <c r="CS291" s="49">
        <f>+'ENCUESTA CONDUCTORES'!DA291</f>
        <v>0</v>
      </c>
    </row>
    <row r="292" spans="2:97" x14ac:dyDescent="0.25">
      <c r="B292" s="14" t="str">
        <f>+'ENCUESTA CONDUCTORES'!D292</f>
        <v>C-303</v>
      </c>
      <c r="C292" s="15">
        <f>IF('ENCUESTA CONDUCTORES'!E292="X",1,0)</f>
        <v>0</v>
      </c>
      <c r="D292" s="15">
        <f>IF('ENCUESTA CONDUCTORES'!F292="X",1,0)</f>
        <v>0</v>
      </c>
      <c r="E292" s="15">
        <f>IF('ENCUESTA CONDUCTORES'!G292="X",1,0)</f>
        <v>1</v>
      </c>
      <c r="F292" s="15">
        <f>IF('ENCUESTA CONDUCTORES'!H292="X",1,0)</f>
        <v>0</v>
      </c>
      <c r="G292" s="15">
        <f>+'ENCUESTA CONDUCTORES'!I292</f>
        <v>33</v>
      </c>
      <c r="H292" s="15" t="str">
        <f>+'ENCUESTA CONDUCTORES'!J292</f>
        <v>M</v>
      </c>
      <c r="I292" s="15" t="str">
        <f>+'ENCUESTA CONDUCTORES'!K292</f>
        <v>PREPARATORIA</v>
      </c>
      <c r="J292" s="15" t="str">
        <f>+'ENCUESTA CONDUCTORES'!L292</f>
        <v>PONCITLAN, JALISCO</v>
      </c>
      <c r="K292" s="15" t="str">
        <f>+'ENCUESTA CONDUCTORES'!M292</f>
        <v>PONCITLAN</v>
      </c>
      <c r="L292" s="15" t="str">
        <f>+'ENCUESTA CONDUCTORES'!N292</f>
        <v>JALISCO</v>
      </c>
      <c r="M292" s="15">
        <f>+'ENCUESTA CONDUCTORES'!O292</f>
        <v>10</v>
      </c>
      <c r="N292" s="15">
        <f>IF('ENCUESTA CONDUCTORES'!P292="X",1,0)</f>
        <v>0</v>
      </c>
      <c r="O292" s="15">
        <f>IF('ENCUESTA CONDUCTORES'!Q292="X",1,0)</f>
        <v>1</v>
      </c>
      <c r="P292" s="15">
        <f>IF('ENCUESTA CONDUCTORES'!R292="X",1,0)</f>
        <v>0</v>
      </c>
      <c r="Q292" s="15">
        <f>IF('ENCUESTA CONDUCTORES'!S292="X",1,0)</f>
        <v>0</v>
      </c>
      <c r="R292" s="15">
        <f>IF('ENCUESTA CONDUCTORES'!T292="X",1,0)</f>
        <v>0</v>
      </c>
      <c r="S292" s="15">
        <f>IF('ENCUESTA CONDUCTORES'!U292="X",1,0)</f>
        <v>0</v>
      </c>
      <c r="T292" s="15">
        <f>IF('ENCUESTA CONDUCTORES'!V292="X",1,0)</f>
        <v>0</v>
      </c>
      <c r="U292" s="15">
        <f>IF('ENCUESTA CONDUCTORES'!W292="X",1,0)</f>
        <v>0</v>
      </c>
      <c r="V292" s="15">
        <f>IF('ENCUESTA CONDUCTORES'!X292="X",1,0)</f>
        <v>0</v>
      </c>
      <c r="W292" s="15">
        <f>IF('ENCUESTA CONDUCTORES'!Y292="X",1,0)</f>
        <v>0</v>
      </c>
      <c r="X292" s="15">
        <f>IF('ENCUESTA CONDUCTORES'!Z292="X",1,0)</f>
        <v>0</v>
      </c>
      <c r="Y292" s="15">
        <f>+'ENCUESTA CONDUCTORES'!AG292</f>
        <v>0</v>
      </c>
      <c r="Z292" s="15">
        <f>+'ENCUESTA CONDUCTORES'!AH292</f>
        <v>1999</v>
      </c>
      <c r="AA292" s="1">
        <f>+'ENCUESTA CONDUCTORES'!AI292</f>
        <v>763415</v>
      </c>
      <c r="AB292" s="15">
        <f>IF('ENCUESTA CONDUCTORES'!AJ292="X",1,0)</f>
        <v>0</v>
      </c>
      <c r="AC292" s="15">
        <f>IF('ENCUESTA CONDUCTORES'!AK292="X",1,0)</f>
        <v>0</v>
      </c>
      <c r="AD292" s="15">
        <f>IF('ENCUESTA CONDUCTORES'!AL292="X",1,0)</f>
        <v>1</v>
      </c>
      <c r="AE292" s="15">
        <f>IF('ENCUESTA CONDUCTORES'!AM292="X",1,0)</f>
        <v>0</v>
      </c>
      <c r="AF292" s="15">
        <f>IF('ENCUESTA CONDUCTORES'!AN292="X",1,0)</f>
        <v>0</v>
      </c>
      <c r="AG292" s="15">
        <f>IF('ENCUESTA CONDUCTORES'!AO292="X",1,0)</f>
        <v>1</v>
      </c>
      <c r="AH292" s="15">
        <f>IF('ENCUESTA CONDUCTORES'!AP292="X",1,0)</f>
        <v>0</v>
      </c>
      <c r="AI292" s="15">
        <f>IF('ENCUESTA CONDUCTORES'!AQ292="X",1,0)</f>
        <v>0</v>
      </c>
      <c r="AJ292" s="15">
        <f>IF('ENCUESTA CONDUCTORES'!AR292="X",1,0)</f>
        <v>0</v>
      </c>
      <c r="AK292" s="15">
        <f>+'ENCUESTA CONDUCTORES'!AS292</f>
        <v>0</v>
      </c>
      <c r="AL292" s="15" t="str">
        <f>+'ENCUESTA CONDUCTORES'!AT292</f>
        <v>CUMMINS</v>
      </c>
      <c r="AM292" s="1">
        <f>+'ENCUESTA CONDUCTORES'!AU292</f>
        <v>4000</v>
      </c>
      <c r="AN292" s="48">
        <f>+'ENCUESTA CONDUCTORES'!AV292</f>
        <v>0.5</v>
      </c>
      <c r="AO292" s="15">
        <f>+'ENCUESTA CONDUCTORES'!AW292</f>
        <v>3.6</v>
      </c>
      <c r="AP292" s="15">
        <f>+'ENCUESTA CONDUCTORES'!AX292</f>
        <v>3.2</v>
      </c>
      <c r="AQ292" s="15">
        <f>+'ENCUESTA CONDUCTORES'!AY292</f>
        <v>2</v>
      </c>
      <c r="AR292" s="15">
        <f>+'ENCUESTA CONDUCTORES'!AZ292</f>
        <v>820</v>
      </c>
      <c r="AS292" s="15">
        <f>+'ENCUESTA CONDUCTORES'!BA292</f>
        <v>2800</v>
      </c>
      <c r="AT292" s="15">
        <f>IF('ENCUESTA CONDUCTORES'!BB292="X",1,0)</f>
        <v>1</v>
      </c>
      <c r="AU292" s="15">
        <f>IF('ENCUESTA CONDUCTORES'!BC292="X",1,0)</f>
        <v>0</v>
      </c>
      <c r="AV292" s="15">
        <f>IF('ENCUESTA CONDUCTORES'!BD292="X",1,0)</f>
        <v>0</v>
      </c>
      <c r="AW292" s="1">
        <f>+'ENCUESTA CONDUCTORES'!BE292</f>
        <v>24000</v>
      </c>
      <c r="AX292" s="1">
        <f>+'ENCUESTA CONDUCTORES'!BF292</f>
        <v>180000</v>
      </c>
      <c r="AY292" s="1">
        <f>+'ENCUESTA CONDUCTORES'!BG292</f>
        <v>24000</v>
      </c>
      <c r="AZ292" s="1">
        <f>+'ENCUESTA CONDUCTORES'!BH292</f>
        <v>100000</v>
      </c>
      <c r="BA292" s="1" t="str">
        <f>+'ENCUESTA CONDUCTORES'!BI292</f>
        <v>NO SABE</v>
      </c>
      <c r="BB292" s="15">
        <f>IF('ENCUESTA CONDUCTORES'!BJ292="X",1,0)</f>
        <v>1</v>
      </c>
      <c r="BC292" s="15">
        <f>IF('ENCUESTA CONDUCTORES'!BK292="X",1,0)</f>
        <v>0</v>
      </c>
      <c r="BD292" s="15">
        <f>IF('ENCUESTA CONDUCTORES'!BL292="X",1,0)</f>
        <v>0</v>
      </c>
      <c r="BE292" s="15">
        <f>IF('ENCUESTA CONDUCTORES'!BM292="X",1,0)</f>
        <v>0</v>
      </c>
      <c r="BF292" s="15">
        <f>IF('ENCUESTA CONDUCTORES'!BN292="X",1,0)</f>
        <v>0</v>
      </c>
      <c r="BG292" s="15">
        <f>IF('ENCUESTA CONDUCTORES'!BO292="X",1,0)</f>
        <v>1</v>
      </c>
      <c r="BH292" s="15">
        <f>IF('ENCUESTA CONDUCTORES'!BP292="X",1,0)</f>
        <v>0</v>
      </c>
      <c r="BI292" s="15">
        <f>IF('ENCUESTA CONDUCTORES'!BQ292="X",1,0)</f>
        <v>0</v>
      </c>
      <c r="BJ292" s="15">
        <f>IF('ENCUESTA CONDUCTORES'!BR292="X",1,0)</f>
        <v>0</v>
      </c>
      <c r="BK292" s="15">
        <f>+'ENCUESTA CONDUCTORES'!BS292</f>
        <v>0</v>
      </c>
      <c r="BL292" s="15">
        <f>IF('ENCUESTA CONDUCTORES'!BT292="X",1,0)</f>
        <v>0</v>
      </c>
      <c r="BM292" s="15">
        <f>IF('ENCUESTA CONDUCTORES'!BU292="X",1,0)</f>
        <v>0</v>
      </c>
      <c r="BN292" s="15">
        <f>IF('ENCUESTA CONDUCTORES'!BV292="X",1,0)</f>
        <v>1</v>
      </c>
      <c r="BO292" s="15">
        <f>IF('ENCUESTA CONDUCTORES'!BW292="X",1,0)</f>
        <v>0</v>
      </c>
      <c r="BP292" s="15">
        <f>+'ENCUESTA CONDUCTORES'!BX292</f>
        <v>1</v>
      </c>
      <c r="BQ292" s="15">
        <f>+'ENCUESTA CONDUCTORES'!BY292</f>
        <v>3</v>
      </c>
      <c r="BR292" s="15">
        <f>+'ENCUESTA CONDUCTORES'!BZ292</f>
        <v>2</v>
      </c>
      <c r="BS292" s="15">
        <f>+'ENCUESTA CONDUCTORES'!CA292</f>
        <v>0</v>
      </c>
      <c r="BT292" s="15">
        <f>IF('ENCUESTA CONDUCTORES'!CB292="X",1,0)</f>
        <v>1</v>
      </c>
      <c r="BU292" s="15">
        <f>IF('ENCUESTA CONDUCTORES'!CC292="X",1,0)</f>
        <v>0</v>
      </c>
      <c r="BV292" s="15">
        <f>IF('ENCUESTA CONDUCTORES'!CD292="X",1,0)</f>
        <v>0</v>
      </c>
      <c r="BW292" s="15">
        <f>IF('ENCUESTA CONDUCTORES'!CE292="X",1,0)</f>
        <v>0</v>
      </c>
      <c r="BX292" s="15">
        <f>IF('ENCUESTA CONDUCTORES'!CF292="X",1,0)</f>
        <v>0</v>
      </c>
      <c r="BY292" s="15">
        <f>IF('ENCUESTA CONDUCTORES'!CG292="X",1,0)</f>
        <v>0</v>
      </c>
      <c r="BZ292" s="15">
        <f>IF('ENCUESTA CONDUCTORES'!CH292="X",1,0)</f>
        <v>0</v>
      </c>
      <c r="CA292" s="15">
        <f>IF('ENCUESTA CONDUCTORES'!CI292="X",1,0)</f>
        <v>0</v>
      </c>
      <c r="CB292" s="15">
        <f>IF('ENCUESTA CONDUCTORES'!CJ292="X",1,0)</f>
        <v>0</v>
      </c>
      <c r="CC292" s="15">
        <f>IF('ENCUESTA CONDUCTORES'!CK292="X",1,0)</f>
        <v>1</v>
      </c>
      <c r="CD292" s="15">
        <f>IF('ENCUESTA CONDUCTORES'!CL292="X",1,0)</f>
        <v>0</v>
      </c>
      <c r="CE292" s="15">
        <f>IF('ENCUESTA CONDUCTORES'!CM292="X",1,0)</f>
        <v>0</v>
      </c>
      <c r="CF292" s="15">
        <f>+'ENCUESTA CONDUCTORES'!CN292</f>
        <v>0</v>
      </c>
      <c r="CG292" s="15">
        <f>IF('ENCUESTA CONDUCTORES'!CO292="X",1,0)</f>
        <v>0</v>
      </c>
      <c r="CH292" s="15" t="str">
        <f>+'ENCUESTA CONDUCTORES'!CP292</f>
        <v>NO SABE</v>
      </c>
      <c r="CI292" s="15" t="str">
        <f>+'ENCUESTA CONDUCTORES'!CQ292</f>
        <v>NO SABE</v>
      </c>
      <c r="CJ292" s="15">
        <f>IF('ENCUESTA CONDUCTORES'!CR292="X",1,0)</f>
        <v>1</v>
      </c>
      <c r="CK292" s="15">
        <f>IF('ENCUESTA CONDUCTORES'!CS292="X",1,0)</f>
        <v>0</v>
      </c>
      <c r="CL292" s="15">
        <f>IF('ENCUESTA CONDUCTORES'!CT292="X",1,0)</f>
        <v>0</v>
      </c>
      <c r="CM292" s="15">
        <f>+'ENCUESTA CONDUCTORES'!CU292</f>
        <v>0</v>
      </c>
      <c r="CN292" s="15">
        <f>IF('ENCUESTA CONDUCTORES'!CV292="X",1,0)</f>
        <v>0</v>
      </c>
      <c r="CO292" s="15">
        <f>+'ENCUESTA CONDUCTORES'!CW292</f>
        <v>0</v>
      </c>
      <c r="CP292" s="15">
        <f>IF('ENCUESTA CONDUCTORES'!CX292="X",1,0)</f>
        <v>1</v>
      </c>
      <c r="CQ292" s="15">
        <f>IF('ENCUESTA CONDUCTORES'!CY292="X",1,0)</f>
        <v>0</v>
      </c>
      <c r="CR292" s="3">
        <f>+'ENCUESTA CONDUCTORES'!CZ292</f>
        <v>0</v>
      </c>
      <c r="CS292" s="49">
        <f>+'ENCUESTA CONDUCTORES'!DA292</f>
        <v>0</v>
      </c>
    </row>
    <row r="293" spans="2:97" x14ac:dyDescent="0.25">
      <c r="B293" s="14" t="str">
        <f>+'ENCUESTA CONDUCTORES'!D293</f>
        <v>C-304</v>
      </c>
      <c r="C293" s="15">
        <f>IF('ENCUESTA CONDUCTORES'!E293="X",1,0)</f>
        <v>0</v>
      </c>
      <c r="D293" s="15">
        <f>IF('ENCUESTA CONDUCTORES'!F293="X",1,0)</f>
        <v>0</v>
      </c>
      <c r="E293" s="15">
        <f>IF('ENCUESTA CONDUCTORES'!G293="X",1,0)</f>
        <v>0</v>
      </c>
      <c r="F293" s="15">
        <f>IF('ENCUESTA CONDUCTORES'!H293="X",1,0)</f>
        <v>1</v>
      </c>
      <c r="G293" s="15">
        <f>+'ENCUESTA CONDUCTORES'!I293</f>
        <v>46</v>
      </c>
      <c r="H293" s="15" t="str">
        <f>+'ENCUESTA CONDUCTORES'!J293</f>
        <v>M</v>
      </c>
      <c r="I293" s="15" t="str">
        <f>+'ENCUESTA CONDUCTORES'!K293</f>
        <v>SECUNDARIA</v>
      </c>
      <c r="J293" s="15" t="str">
        <f>+'ENCUESTA CONDUCTORES'!L293</f>
        <v>LEON, GTO</v>
      </c>
      <c r="K293" s="15" t="str">
        <f>+'ENCUESTA CONDUCTORES'!M293</f>
        <v>LEON</v>
      </c>
      <c r="L293" s="15" t="str">
        <f>+'ENCUESTA CONDUCTORES'!N293</f>
        <v>GUANAJUATO</v>
      </c>
      <c r="M293" s="15">
        <f>+'ENCUESTA CONDUCTORES'!O293</f>
        <v>22</v>
      </c>
      <c r="N293" s="15">
        <f>IF('ENCUESTA CONDUCTORES'!P293="X",1,0)</f>
        <v>0</v>
      </c>
      <c r="O293" s="15">
        <f>IF('ENCUESTA CONDUCTORES'!Q293="X",1,0)</f>
        <v>0</v>
      </c>
      <c r="P293" s="15">
        <f>IF('ENCUESTA CONDUCTORES'!R293="X",1,0)</f>
        <v>0</v>
      </c>
      <c r="Q293" s="15">
        <f>IF('ENCUESTA CONDUCTORES'!S293="X",1,0)</f>
        <v>1</v>
      </c>
      <c r="R293" s="15">
        <f>IF('ENCUESTA CONDUCTORES'!T293="X",1,0)</f>
        <v>0</v>
      </c>
      <c r="S293" s="15">
        <f>IF('ENCUESTA CONDUCTORES'!U293="X",1,0)</f>
        <v>1</v>
      </c>
      <c r="T293" s="15">
        <f>IF('ENCUESTA CONDUCTORES'!V293="X",1,0)</f>
        <v>0</v>
      </c>
      <c r="U293" s="15">
        <f>IF('ENCUESTA CONDUCTORES'!W293="X",1,0)</f>
        <v>0</v>
      </c>
      <c r="V293" s="15">
        <f>IF('ENCUESTA CONDUCTORES'!X293="X",1,0)</f>
        <v>0</v>
      </c>
      <c r="W293" s="15">
        <f>IF('ENCUESTA CONDUCTORES'!Y293="X",1,0)</f>
        <v>0</v>
      </c>
      <c r="X293" s="15">
        <f>IF('ENCUESTA CONDUCTORES'!Z293="X",1,0)</f>
        <v>0</v>
      </c>
      <c r="Y293" s="15">
        <f>+'ENCUESTA CONDUCTORES'!AG293</f>
        <v>0</v>
      </c>
      <c r="Z293" s="15">
        <f>+'ENCUESTA CONDUCTORES'!AH293</f>
        <v>2009</v>
      </c>
      <c r="AA293" s="1">
        <f>+'ENCUESTA CONDUCTORES'!AI293</f>
        <v>323892</v>
      </c>
      <c r="AB293" s="15">
        <f>IF('ENCUESTA CONDUCTORES'!AJ293="X",1,0)</f>
        <v>0</v>
      </c>
      <c r="AC293" s="15">
        <f>IF('ENCUESTA CONDUCTORES'!AK293="X",1,0)</f>
        <v>0</v>
      </c>
      <c r="AD293" s="15">
        <f>IF('ENCUESTA CONDUCTORES'!AL293="X",1,0)</f>
        <v>1</v>
      </c>
      <c r="AE293" s="15">
        <f>IF('ENCUESTA CONDUCTORES'!AM293="X",1,0)</f>
        <v>0</v>
      </c>
      <c r="AF293" s="15">
        <f>IF('ENCUESTA CONDUCTORES'!AN293="X",1,0)</f>
        <v>0</v>
      </c>
      <c r="AG293" s="15">
        <f>IF('ENCUESTA CONDUCTORES'!AO293="X",1,0)</f>
        <v>0</v>
      </c>
      <c r="AH293" s="15">
        <f>IF('ENCUESTA CONDUCTORES'!AP293="X",1,0)</f>
        <v>1</v>
      </c>
      <c r="AI293" s="15">
        <f>IF('ENCUESTA CONDUCTORES'!AQ293="X",1,0)</f>
        <v>0</v>
      </c>
      <c r="AJ293" s="15">
        <f>IF('ENCUESTA CONDUCTORES'!AR293="X",1,0)</f>
        <v>0</v>
      </c>
      <c r="AK293" s="15">
        <f>+'ENCUESTA CONDUCTORES'!AS293</f>
        <v>0</v>
      </c>
      <c r="AL293" s="15" t="str">
        <f>+'ENCUESTA CONDUCTORES'!AT293</f>
        <v>CUMMINS</v>
      </c>
      <c r="AM293" s="1">
        <f>+'ENCUESTA CONDUCTORES'!AU293</f>
        <v>8000</v>
      </c>
      <c r="AN293" s="48">
        <f>+'ENCUESTA CONDUCTORES'!AV293</f>
        <v>0.5</v>
      </c>
      <c r="AO293" s="15">
        <f>+'ENCUESTA CONDUCTORES'!AW293</f>
        <v>2.7</v>
      </c>
      <c r="AP293" s="15">
        <f>+'ENCUESTA CONDUCTORES'!AX293</f>
        <v>2.4</v>
      </c>
      <c r="AQ293" s="15">
        <f>+'ENCUESTA CONDUCTORES'!AY293</f>
        <v>2</v>
      </c>
      <c r="AR293" s="15">
        <f>+'ENCUESTA CONDUCTORES'!AZ293</f>
        <v>840</v>
      </c>
      <c r="AS293" s="15">
        <f>+'ENCUESTA CONDUCTORES'!BA293</f>
        <v>2100</v>
      </c>
      <c r="AT293" s="15">
        <f>IF('ENCUESTA CONDUCTORES'!BB293="X",1,0)</f>
        <v>1</v>
      </c>
      <c r="AU293" s="15">
        <f>IF('ENCUESTA CONDUCTORES'!BC293="X",1,0)</f>
        <v>1</v>
      </c>
      <c r="AV293" s="15">
        <f>IF('ENCUESTA CONDUCTORES'!BD293="X",1,0)</f>
        <v>0</v>
      </c>
      <c r="AW293" s="1">
        <f>+'ENCUESTA CONDUCTORES'!BE293</f>
        <v>18000</v>
      </c>
      <c r="AX293" s="1">
        <f>+'ENCUESTA CONDUCTORES'!BF293</f>
        <v>180000</v>
      </c>
      <c r="AY293" s="1">
        <f>+'ENCUESTA CONDUCTORES'!BG293</f>
        <v>24000</v>
      </c>
      <c r="AZ293" s="1">
        <f>+'ENCUESTA CONDUCTORES'!BH293</f>
        <v>120000</v>
      </c>
      <c r="BA293" s="1" t="str">
        <f>+'ENCUESTA CONDUCTORES'!BI293</f>
        <v>NO SABE</v>
      </c>
      <c r="BB293" s="15">
        <f>IF('ENCUESTA CONDUCTORES'!BJ293="X",1,0)</f>
        <v>0</v>
      </c>
      <c r="BC293" s="15">
        <f>IF('ENCUESTA CONDUCTORES'!BK293="X",1,0)</f>
        <v>1</v>
      </c>
      <c r="BD293" s="15">
        <f>IF('ENCUESTA CONDUCTORES'!BL293="X",1,0)</f>
        <v>0</v>
      </c>
      <c r="BE293" s="15">
        <f>IF('ENCUESTA CONDUCTORES'!BM293="X",1,0)</f>
        <v>0</v>
      </c>
      <c r="BF293" s="15">
        <f>IF('ENCUESTA CONDUCTORES'!BN293="X",1,0)</f>
        <v>1</v>
      </c>
      <c r="BG293" s="15">
        <f>IF('ENCUESTA CONDUCTORES'!BO293="X",1,0)</f>
        <v>0</v>
      </c>
      <c r="BH293" s="15">
        <f>IF('ENCUESTA CONDUCTORES'!BP293="X",1,0)</f>
        <v>0</v>
      </c>
      <c r="BI293" s="15">
        <f>IF('ENCUESTA CONDUCTORES'!BQ293="X",1,0)</f>
        <v>0</v>
      </c>
      <c r="BJ293" s="15">
        <f>IF('ENCUESTA CONDUCTORES'!BR293="X",1,0)</f>
        <v>0</v>
      </c>
      <c r="BK293" s="15">
        <f>+'ENCUESTA CONDUCTORES'!BS293</f>
        <v>0</v>
      </c>
      <c r="BL293" s="15">
        <f>IF('ENCUESTA CONDUCTORES'!BT293="X",1,0)</f>
        <v>0</v>
      </c>
      <c r="BM293" s="15">
        <f>IF('ENCUESTA CONDUCTORES'!BU293="X",1,0)</f>
        <v>1</v>
      </c>
      <c r="BN293" s="15">
        <f>IF('ENCUESTA CONDUCTORES'!BV293="X",1,0)</f>
        <v>0</v>
      </c>
      <c r="BO293" s="15">
        <f>IF('ENCUESTA CONDUCTORES'!BW293="X",1,0)</f>
        <v>0</v>
      </c>
      <c r="BP293" s="15">
        <f>+'ENCUESTA CONDUCTORES'!BX293</f>
        <v>1</v>
      </c>
      <c r="BQ293" s="15">
        <f>+'ENCUESTA CONDUCTORES'!BY293</f>
        <v>3</v>
      </c>
      <c r="BR293" s="15">
        <f>+'ENCUESTA CONDUCTORES'!BZ293</f>
        <v>2</v>
      </c>
      <c r="BS293" s="15">
        <f>+'ENCUESTA CONDUCTORES'!CA293</f>
        <v>0</v>
      </c>
      <c r="BT293" s="15">
        <f>IF('ENCUESTA CONDUCTORES'!CB293="X",1,0)</f>
        <v>1</v>
      </c>
      <c r="BU293" s="15">
        <f>IF('ENCUESTA CONDUCTORES'!CC293="X",1,0)</f>
        <v>0</v>
      </c>
      <c r="BV293" s="15">
        <f>IF('ENCUESTA CONDUCTORES'!CD293="X",1,0)</f>
        <v>0</v>
      </c>
      <c r="BW293" s="15">
        <f>IF('ENCUESTA CONDUCTORES'!CE293="X",1,0)</f>
        <v>0</v>
      </c>
      <c r="BX293" s="15">
        <f>IF('ENCUESTA CONDUCTORES'!CF293="X",1,0)</f>
        <v>0</v>
      </c>
      <c r="BY293" s="15">
        <f>IF('ENCUESTA CONDUCTORES'!CG293="X",1,0)</f>
        <v>0</v>
      </c>
      <c r="BZ293" s="15">
        <f>IF('ENCUESTA CONDUCTORES'!CH293="X",1,0)</f>
        <v>0</v>
      </c>
      <c r="CA293" s="15">
        <f>IF('ENCUESTA CONDUCTORES'!CI293="X",1,0)</f>
        <v>0</v>
      </c>
      <c r="CB293" s="15">
        <f>IF('ENCUESTA CONDUCTORES'!CJ293="X",1,0)</f>
        <v>0</v>
      </c>
      <c r="CC293" s="15">
        <f>IF('ENCUESTA CONDUCTORES'!CK293="X",1,0)</f>
        <v>1</v>
      </c>
      <c r="CD293" s="15">
        <f>IF('ENCUESTA CONDUCTORES'!CL293="X",1,0)</f>
        <v>0</v>
      </c>
      <c r="CE293" s="15">
        <f>IF('ENCUESTA CONDUCTORES'!CM293="X",1,0)</f>
        <v>0</v>
      </c>
      <c r="CF293" s="15">
        <f>+'ENCUESTA CONDUCTORES'!CN293</f>
        <v>0</v>
      </c>
      <c r="CG293" s="15">
        <f>IF('ENCUESTA CONDUCTORES'!CO293="X",1,0)</f>
        <v>0</v>
      </c>
      <c r="CH293" s="15" t="str">
        <f>+'ENCUESTA CONDUCTORES'!CP293</f>
        <v>NO SABE</v>
      </c>
      <c r="CI293" s="15" t="str">
        <f>+'ENCUESTA CONDUCTORES'!CQ293</f>
        <v>NO SABE</v>
      </c>
      <c r="CJ293" s="15">
        <f>IF('ENCUESTA CONDUCTORES'!CR293="X",1,0)</f>
        <v>0</v>
      </c>
      <c r="CK293" s="15">
        <f>IF('ENCUESTA CONDUCTORES'!CS293="X",1,0)</f>
        <v>0</v>
      </c>
      <c r="CL293" s="15">
        <f>IF('ENCUESTA CONDUCTORES'!CT293="X",1,0)</f>
        <v>0</v>
      </c>
      <c r="CM293" s="2" t="str">
        <f>+'ENCUESTA CONDUCTORES'!CU293</f>
        <v>PROGRAMA PARA REDUCCION DE ACCIDENTE</v>
      </c>
      <c r="CN293" s="15">
        <f>IF('ENCUESTA CONDUCTORES'!CV293="X",1,0)</f>
        <v>1</v>
      </c>
      <c r="CO293" s="15" t="str">
        <f>+'ENCUESTA CONDUCTORES'!CW293</f>
        <v>LA EMPRESA NOS CAPACITA</v>
      </c>
      <c r="CP293" s="15">
        <f>IF('ENCUESTA CONDUCTORES'!CX293="X",1,0)</f>
        <v>0</v>
      </c>
      <c r="CQ293" s="15">
        <f>IF('ENCUESTA CONDUCTORES'!CY293="X",1,0)</f>
        <v>0</v>
      </c>
      <c r="CR293" s="3">
        <f>+'ENCUESTA CONDUCTORES'!CZ293</f>
        <v>0</v>
      </c>
      <c r="CS293" s="49">
        <f>+'ENCUESTA CONDUCTORES'!DA293</f>
        <v>0</v>
      </c>
    </row>
    <row r="294" spans="2:97" x14ac:dyDescent="0.25">
      <c r="B294" s="14" t="str">
        <f>+'ENCUESTA CONDUCTORES'!D294</f>
        <v>C-305</v>
      </c>
      <c r="C294" s="15">
        <f>IF('ENCUESTA CONDUCTORES'!E294="X",1,0)</f>
        <v>0</v>
      </c>
      <c r="D294" s="15">
        <f>IF('ENCUESTA CONDUCTORES'!F294="X",1,0)</f>
        <v>0</v>
      </c>
      <c r="E294" s="15">
        <f>IF('ENCUESTA CONDUCTORES'!G294="X",1,0)</f>
        <v>1</v>
      </c>
      <c r="F294" s="15">
        <f>IF('ENCUESTA CONDUCTORES'!H294="X",1,0)</f>
        <v>0</v>
      </c>
      <c r="G294" s="15">
        <f>+'ENCUESTA CONDUCTORES'!I294</f>
        <v>36</v>
      </c>
      <c r="H294" s="15" t="str">
        <f>+'ENCUESTA CONDUCTORES'!J294</f>
        <v>M</v>
      </c>
      <c r="I294" s="15" t="str">
        <f>+'ENCUESTA CONDUCTORES'!K294</f>
        <v>SECUNDARIA</v>
      </c>
      <c r="J294" s="15" t="str">
        <f>+'ENCUESTA CONDUCTORES'!L294</f>
        <v>REYNOSA, TAMAULIPAS</v>
      </c>
      <c r="K294" s="15" t="str">
        <f>+'ENCUESTA CONDUCTORES'!M294</f>
        <v>REYNOSA</v>
      </c>
      <c r="L294" s="15" t="str">
        <f>+'ENCUESTA CONDUCTORES'!N294</f>
        <v>TAMAULIPAS</v>
      </c>
      <c r="M294" s="15">
        <f>+'ENCUESTA CONDUCTORES'!O294</f>
        <v>17</v>
      </c>
      <c r="N294" s="15">
        <f>IF('ENCUESTA CONDUCTORES'!P294="X",1,0)</f>
        <v>0</v>
      </c>
      <c r="O294" s="15">
        <f>IF('ENCUESTA CONDUCTORES'!Q294="X",1,0)</f>
        <v>0</v>
      </c>
      <c r="P294" s="15">
        <f>IF('ENCUESTA CONDUCTORES'!R294="X",1,0)</f>
        <v>0</v>
      </c>
      <c r="Q294" s="15">
        <f>IF('ENCUESTA CONDUCTORES'!S294="X",1,0)</f>
        <v>1</v>
      </c>
      <c r="R294" s="15">
        <f>IF('ENCUESTA CONDUCTORES'!T294="X",1,0)</f>
        <v>0</v>
      </c>
      <c r="S294" s="15">
        <f>IF('ENCUESTA CONDUCTORES'!U294="X",1,0)</f>
        <v>0</v>
      </c>
      <c r="T294" s="15">
        <f>IF('ENCUESTA CONDUCTORES'!V294="X",1,0)</f>
        <v>1</v>
      </c>
      <c r="U294" s="15">
        <f>IF('ENCUESTA CONDUCTORES'!W294="X",1,0)</f>
        <v>0</v>
      </c>
      <c r="V294" s="15">
        <f>IF('ENCUESTA CONDUCTORES'!X294="X",1,0)</f>
        <v>0</v>
      </c>
      <c r="W294" s="15">
        <f>IF('ENCUESTA CONDUCTORES'!Y294="X",1,0)</f>
        <v>0</v>
      </c>
      <c r="X294" s="15">
        <f>IF('ENCUESTA CONDUCTORES'!Z294="X",1,0)</f>
        <v>0</v>
      </c>
      <c r="Y294" s="15">
        <f>+'ENCUESTA CONDUCTORES'!AG294</f>
        <v>0</v>
      </c>
      <c r="Z294" s="15">
        <f>+'ENCUESTA CONDUCTORES'!AH294</f>
        <v>2007</v>
      </c>
      <c r="AA294" s="1">
        <f>+'ENCUESTA CONDUCTORES'!AI294</f>
        <v>536789</v>
      </c>
      <c r="AB294" s="15">
        <f>IF('ENCUESTA CONDUCTORES'!AJ294="X",1,0)</f>
        <v>0</v>
      </c>
      <c r="AC294" s="15">
        <f>IF('ENCUESTA CONDUCTORES'!AK294="X",1,0)</f>
        <v>0</v>
      </c>
      <c r="AD294" s="15">
        <f>IF('ENCUESTA CONDUCTORES'!AL294="X",1,0)</f>
        <v>1</v>
      </c>
      <c r="AE294" s="15">
        <f>IF('ENCUESTA CONDUCTORES'!AM294="X",1,0)</f>
        <v>0</v>
      </c>
      <c r="AF294" s="15">
        <f>IF('ENCUESTA CONDUCTORES'!AN294="X",1,0)</f>
        <v>0</v>
      </c>
      <c r="AG294" s="15">
        <f>IF('ENCUESTA CONDUCTORES'!AO294="X",1,0)</f>
        <v>0</v>
      </c>
      <c r="AH294" s="15">
        <f>IF('ENCUESTA CONDUCTORES'!AP294="X",1,0)</f>
        <v>1</v>
      </c>
      <c r="AI294" s="15">
        <f>IF('ENCUESTA CONDUCTORES'!AQ294="X",1,0)</f>
        <v>0</v>
      </c>
      <c r="AJ294" s="15">
        <f>IF('ENCUESTA CONDUCTORES'!AR294="X",1,0)</f>
        <v>0</v>
      </c>
      <c r="AK294" s="15">
        <f>+'ENCUESTA CONDUCTORES'!AS294</f>
        <v>0</v>
      </c>
      <c r="AL294" s="15" t="str">
        <f>+'ENCUESTA CONDUCTORES'!AT294</f>
        <v>DETROIT</v>
      </c>
      <c r="AM294" s="1">
        <f>+'ENCUESTA CONDUCTORES'!AU294</f>
        <v>8000</v>
      </c>
      <c r="AN294" s="48">
        <f>+'ENCUESTA CONDUCTORES'!AV294</f>
        <v>0.5</v>
      </c>
      <c r="AO294" s="15">
        <f>+'ENCUESTA CONDUCTORES'!AW294</f>
        <v>2.7</v>
      </c>
      <c r="AP294" s="15">
        <f>+'ENCUESTA CONDUCTORES'!AX294</f>
        <v>2.5</v>
      </c>
      <c r="AQ294" s="15">
        <f>+'ENCUESTA CONDUCTORES'!AY294</f>
        <v>2</v>
      </c>
      <c r="AR294" s="15">
        <f>+'ENCUESTA CONDUCTORES'!AZ294</f>
        <v>870</v>
      </c>
      <c r="AS294" s="15">
        <f>+'ENCUESTA CONDUCTORES'!BA294</f>
        <v>2250</v>
      </c>
      <c r="AT294" s="15">
        <f>IF('ENCUESTA CONDUCTORES'!BB294="X",1,0)</f>
        <v>1</v>
      </c>
      <c r="AU294" s="15">
        <f>IF('ENCUESTA CONDUCTORES'!BC294="X",1,0)</f>
        <v>0</v>
      </c>
      <c r="AV294" s="15">
        <f>IF('ENCUESTA CONDUCTORES'!BD294="X",1,0)</f>
        <v>0</v>
      </c>
      <c r="AW294" s="1">
        <f>+'ENCUESTA CONDUCTORES'!BE294</f>
        <v>24000</v>
      </c>
      <c r="AX294" s="1">
        <f>+'ENCUESTA CONDUCTORES'!BF294</f>
        <v>240000</v>
      </c>
      <c r="AY294" s="1">
        <f>+'ENCUESTA CONDUCTORES'!BG294</f>
        <v>24000</v>
      </c>
      <c r="AZ294" s="1">
        <f>+'ENCUESTA CONDUCTORES'!BH294</f>
        <v>120000</v>
      </c>
      <c r="BA294" s="1" t="str">
        <f>+'ENCUESTA CONDUCTORES'!BI294</f>
        <v>NO SABE</v>
      </c>
      <c r="BB294" s="15">
        <f>IF('ENCUESTA CONDUCTORES'!BJ294="X",1,0)</f>
        <v>1</v>
      </c>
      <c r="BC294" s="15">
        <f>IF('ENCUESTA CONDUCTORES'!BK294="X",1,0)</f>
        <v>0</v>
      </c>
      <c r="BD294" s="15">
        <f>IF('ENCUESTA CONDUCTORES'!BL294="X",1,0)</f>
        <v>0</v>
      </c>
      <c r="BE294" s="15">
        <f>IF('ENCUESTA CONDUCTORES'!BM294="X",1,0)</f>
        <v>0</v>
      </c>
      <c r="BF294" s="15">
        <f>IF('ENCUESTA CONDUCTORES'!BN294="X",1,0)</f>
        <v>0</v>
      </c>
      <c r="BG294" s="15">
        <f>IF('ENCUESTA CONDUCTORES'!BO294="X",1,0)</f>
        <v>0</v>
      </c>
      <c r="BH294" s="15">
        <f>IF('ENCUESTA CONDUCTORES'!BP294="X",1,0)</f>
        <v>0</v>
      </c>
      <c r="BI294" s="15">
        <f>IF('ENCUESTA CONDUCTORES'!BQ294="X",1,0)</f>
        <v>1</v>
      </c>
      <c r="BJ294" s="15">
        <f>IF('ENCUESTA CONDUCTORES'!BR294="X",1,0)</f>
        <v>0</v>
      </c>
      <c r="BK294" s="15">
        <f>+'ENCUESTA CONDUCTORES'!BS294</f>
        <v>0</v>
      </c>
      <c r="BL294" s="15">
        <f>IF('ENCUESTA CONDUCTORES'!BT294="X",1,0)</f>
        <v>0</v>
      </c>
      <c r="BM294" s="15">
        <f>IF('ENCUESTA CONDUCTORES'!BU294="X",1,0)</f>
        <v>1</v>
      </c>
      <c r="BN294" s="15">
        <f>IF('ENCUESTA CONDUCTORES'!BV294="X",1,0)</f>
        <v>0</v>
      </c>
      <c r="BO294" s="15">
        <f>IF('ENCUESTA CONDUCTORES'!BW294="X",1,0)</f>
        <v>0</v>
      </c>
      <c r="BP294" s="15">
        <f>+'ENCUESTA CONDUCTORES'!BX294</f>
        <v>1</v>
      </c>
      <c r="BQ294" s="15">
        <f>+'ENCUESTA CONDUCTORES'!BY294</f>
        <v>2</v>
      </c>
      <c r="BR294" s="15">
        <f>+'ENCUESTA CONDUCTORES'!BZ294</f>
        <v>3</v>
      </c>
      <c r="BS294" s="15">
        <f>+'ENCUESTA CONDUCTORES'!CA294</f>
        <v>0</v>
      </c>
      <c r="BT294" s="15">
        <f>IF('ENCUESTA CONDUCTORES'!CB294="X",1,0)</f>
        <v>0</v>
      </c>
      <c r="BU294" s="15">
        <f>IF('ENCUESTA CONDUCTORES'!CC294="X",1,0)</f>
        <v>1</v>
      </c>
      <c r="BV294" s="15">
        <f>IF('ENCUESTA CONDUCTORES'!CD294="X",1,0)</f>
        <v>0</v>
      </c>
      <c r="BW294" s="15">
        <f>IF('ENCUESTA CONDUCTORES'!CE294="X",1,0)</f>
        <v>0</v>
      </c>
      <c r="BX294" s="15">
        <f>IF('ENCUESTA CONDUCTORES'!CF294="X",1,0)</f>
        <v>0</v>
      </c>
      <c r="BY294" s="15">
        <f>IF('ENCUESTA CONDUCTORES'!CG294="X",1,0)</f>
        <v>0</v>
      </c>
      <c r="BZ294" s="15">
        <f>IF('ENCUESTA CONDUCTORES'!CH294="X",1,0)</f>
        <v>1</v>
      </c>
      <c r="CA294" s="15">
        <f>IF('ENCUESTA CONDUCTORES'!CI294="X",1,0)</f>
        <v>0</v>
      </c>
      <c r="CB294" s="15">
        <f>IF('ENCUESTA CONDUCTORES'!CJ294="X",1,0)</f>
        <v>0</v>
      </c>
      <c r="CC294" s="15">
        <f>IF('ENCUESTA CONDUCTORES'!CK294="X",1,0)</f>
        <v>1</v>
      </c>
      <c r="CD294" s="15">
        <f>IF('ENCUESTA CONDUCTORES'!CL294="X",1,0)</f>
        <v>0</v>
      </c>
      <c r="CE294" s="15">
        <f>IF('ENCUESTA CONDUCTORES'!CM294="X",1,0)</f>
        <v>0</v>
      </c>
      <c r="CF294" s="15">
        <f>+'ENCUESTA CONDUCTORES'!CN294</f>
        <v>0</v>
      </c>
      <c r="CG294" s="15">
        <f>IF('ENCUESTA CONDUCTORES'!CO294="X",1,0)</f>
        <v>0</v>
      </c>
      <c r="CH294" s="15" t="str">
        <f>+'ENCUESTA CONDUCTORES'!CP294</f>
        <v>NO SABE</v>
      </c>
      <c r="CI294" s="15" t="str">
        <f>+'ENCUESTA CONDUCTORES'!CQ294</f>
        <v>NO SABE</v>
      </c>
      <c r="CJ294" s="15">
        <f>IF('ENCUESTA CONDUCTORES'!CR294="X",1,0)</f>
        <v>0</v>
      </c>
      <c r="CK294" s="15">
        <f>IF('ENCUESTA CONDUCTORES'!CS294="X",1,0)</f>
        <v>0</v>
      </c>
      <c r="CL294" s="15">
        <f>IF('ENCUESTA CONDUCTORES'!CT294="X",1,0)</f>
        <v>0</v>
      </c>
      <c r="CM294" s="15">
        <f>+'ENCUESTA CONDUCTORES'!CU294</f>
        <v>0</v>
      </c>
      <c r="CN294" s="15">
        <f>IF('ENCUESTA CONDUCTORES'!CV294="X",1,0)</f>
        <v>0</v>
      </c>
      <c r="CO294" s="15">
        <f>+'ENCUESTA CONDUCTORES'!CW294</f>
        <v>0</v>
      </c>
      <c r="CP294" s="15">
        <f>IF('ENCUESTA CONDUCTORES'!CX294="X",1,0)</f>
        <v>1</v>
      </c>
      <c r="CQ294" s="15">
        <f>IF('ENCUESTA CONDUCTORES'!CY294="X",1,0)</f>
        <v>0</v>
      </c>
      <c r="CR294" s="3">
        <f>+'ENCUESTA CONDUCTORES'!CZ294</f>
        <v>0</v>
      </c>
      <c r="CS294" s="49">
        <f>+'ENCUESTA CONDUCTORES'!DA294</f>
        <v>0</v>
      </c>
    </row>
    <row r="295" spans="2:97" x14ac:dyDescent="0.25">
      <c r="B295" s="14" t="str">
        <f>+'ENCUESTA CONDUCTORES'!D295</f>
        <v>C-306</v>
      </c>
      <c r="C295" s="15">
        <f>IF('ENCUESTA CONDUCTORES'!E295="X",1,0)</f>
        <v>0</v>
      </c>
      <c r="D295" s="15">
        <f>IF('ENCUESTA CONDUCTORES'!F295="X",1,0)</f>
        <v>1</v>
      </c>
      <c r="E295" s="15">
        <f>IF('ENCUESTA CONDUCTORES'!G295="X",1,0)</f>
        <v>0</v>
      </c>
      <c r="F295" s="15">
        <f>IF('ENCUESTA CONDUCTORES'!H295="X",1,0)</f>
        <v>0</v>
      </c>
      <c r="G295" s="15">
        <f>+'ENCUESTA CONDUCTORES'!I295</f>
        <v>48</v>
      </c>
      <c r="H295" s="15" t="str">
        <f>+'ENCUESTA CONDUCTORES'!J295</f>
        <v>M</v>
      </c>
      <c r="I295" s="15" t="str">
        <f>+'ENCUESTA CONDUCTORES'!K295</f>
        <v>SECUNDARIA</v>
      </c>
      <c r="J295" s="15" t="str">
        <f>+'ENCUESTA CONDUCTORES'!L295</f>
        <v>MANZANILLO, COL.</v>
      </c>
      <c r="K295" s="15" t="str">
        <f>+'ENCUESTA CONDUCTORES'!M295</f>
        <v>MANZANILLO</v>
      </c>
      <c r="L295" s="15" t="str">
        <f>+'ENCUESTA CONDUCTORES'!N295</f>
        <v>COLIMA</v>
      </c>
      <c r="M295" s="15">
        <f>+'ENCUESTA CONDUCTORES'!O295</f>
        <v>29</v>
      </c>
      <c r="N295" s="15">
        <f>IF('ENCUESTA CONDUCTORES'!P295="X",1,0)</f>
        <v>0</v>
      </c>
      <c r="O295" s="15">
        <f>IF('ENCUESTA CONDUCTORES'!Q295="X",1,0)</f>
        <v>0</v>
      </c>
      <c r="P295" s="15">
        <f>IF('ENCUESTA CONDUCTORES'!R295="X",1,0)</f>
        <v>0</v>
      </c>
      <c r="Q295" s="15">
        <f>IF('ENCUESTA CONDUCTORES'!S295="X",1,0)</f>
        <v>1</v>
      </c>
      <c r="R295" s="15">
        <f>IF('ENCUESTA CONDUCTORES'!T295="X",1,0)</f>
        <v>0</v>
      </c>
      <c r="S295" s="15">
        <f>IF('ENCUESTA CONDUCTORES'!U295="X",1,0)</f>
        <v>0</v>
      </c>
      <c r="T295" s="15">
        <f>IF('ENCUESTA CONDUCTORES'!V295="X",1,0)</f>
        <v>0</v>
      </c>
      <c r="U295" s="15">
        <f>IF('ENCUESTA CONDUCTORES'!W295="X",1,0)</f>
        <v>0</v>
      </c>
      <c r="V295" s="15">
        <f>IF('ENCUESTA CONDUCTORES'!X295="X",1,0)</f>
        <v>0</v>
      </c>
      <c r="W295" s="15">
        <f>IF('ENCUESTA CONDUCTORES'!Y295="X",1,0)</f>
        <v>0</v>
      </c>
      <c r="X295" s="15">
        <f>IF('ENCUESTA CONDUCTORES'!Z295="X",1,0)</f>
        <v>0</v>
      </c>
      <c r="Y295" s="15">
        <f>+'ENCUESTA CONDUCTORES'!AG295</f>
        <v>0</v>
      </c>
      <c r="Z295" s="15">
        <f>+'ENCUESTA CONDUCTORES'!AH295</f>
        <v>2007</v>
      </c>
      <c r="AA295" s="1">
        <f>+'ENCUESTA CONDUCTORES'!AI295</f>
        <v>726430</v>
      </c>
      <c r="AB295" s="15">
        <f>IF('ENCUESTA CONDUCTORES'!AJ295="X",1,0)</f>
        <v>0</v>
      </c>
      <c r="AC295" s="15">
        <f>IF('ENCUESTA CONDUCTORES'!AK295="X",1,0)</f>
        <v>0</v>
      </c>
      <c r="AD295" s="15">
        <f>IF('ENCUESTA CONDUCTORES'!AL295="X",1,0)</f>
        <v>1</v>
      </c>
      <c r="AE295" s="15">
        <f>IF('ENCUESTA CONDUCTORES'!AM295="X",1,0)</f>
        <v>0</v>
      </c>
      <c r="AF295" s="15">
        <f>IF('ENCUESTA CONDUCTORES'!AN295="X",1,0)</f>
        <v>0</v>
      </c>
      <c r="AG295" s="15">
        <f>IF('ENCUESTA CONDUCTORES'!AO295="X",1,0)</f>
        <v>0</v>
      </c>
      <c r="AH295" s="15">
        <f>IF('ENCUESTA CONDUCTORES'!AP295="X",1,0)</f>
        <v>1</v>
      </c>
      <c r="AI295" s="15">
        <f>IF('ENCUESTA CONDUCTORES'!AQ295="X",1,0)</f>
        <v>0</v>
      </c>
      <c r="AJ295" s="15">
        <f>IF('ENCUESTA CONDUCTORES'!AR295="X",1,0)</f>
        <v>0</v>
      </c>
      <c r="AK295" s="15">
        <f>+'ENCUESTA CONDUCTORES'!AS295</f>
        <v>0</v>
      </c>
      <c r="AL295" s="15" t="str">
        <f>+'ENCUESTA CONDUCTORES'!AT295</f>
        <v>CUMMINS</v>
      </c>
      <c r="AM295" s="1">
        <f>+'ENCUESTA CONDUCTORES'!AU295</f>
        <v>10000</v>
      </c>
      <c r="AN295" s="48">
        <f>+'ENCUESTA CONDUCTORES'!AV295</f>
        <v>0.5</v>
      </c>
      <c r="AO295" s="15">
        <f>+'ENCUESTA CONDUCTORES'!AW295</f>
        <v>1.8</v>
      </c>
      <c r="AP295" s="15">
        <f>+'ENCUESTA CONDUCTORES'!AX295</f>
        <v>1.6</v>
      </c>
      <c r="AQ295" s="15">
        <f>+'ENCUESTA CONDUCTORES'!AY295</f>
        <v>3</v>
      </c>
      <c r="AR295" s="15">
        <f>+'ENCUESTA CONDUCTORES'!AZ295</f>
        <v>1180</v>
      </c>
      <c r="AS295" s="15">
        <f>+'ENCUESTA CONDUCTORES'!BA295</f>
        <v>2000</v>
      </c>
      <c r="AT295" s="15">
        <f>IF('ENCUESTA CONDUCTORES'!BB295="X",1,0)</f>
        <v>1</v>
      </c>
      <c r="AU295" s="15">
        <f>IF('ENCUESTA CONDUCTORES'!BC295="X",1,0)</f>
        <v>1</v>
      </c>
      <c r="AV295" s="15">
        <f>IF('ENCUESTA CONDUCTORES'!BD295="X",1,0)</f>
        <v>0</v>
      </c>
      <c r="AW295" s="1">
        <f>+'ENCUESTA CONDUCTORES'!BE295</f>
        <v>20000</v>
      </c>
      <c r="AX295" s="1">
        <f>+'ENCUESTA CONDUCTORES'!BF295</f>
        <v>240000</v>
      </c>
      <c r="AY295" s="1">
        <f>+'ENCUESTA CONDUCTORES'!BG295</f>
        <v>20000</v>
      </c>
      <c r="AZ295" s="1">
        <f>+'ENCUESTA CONDUCTORES'!BH295</f>
        <v>120000</v>
      </c>
      <c r="BA295" s="1" t="str">
        <f>+'ENCUESTA CONDUCTORES'!BI295</f>
        <v>NO SABE</v>
      </c>
      <c r="BB295" s="15">
        <f>IF('ENCUESTA CONDUCTORES'!BJ295="X",1,0)</f>
        <v>0</v>
      </c>
      <c r="BC295" s="15">
        <f>IF('ENCUESTA CONDUCTORES'!BK295="X",1,0)</f>
        <v>0</v>
      </c>
      <c r="BD295" s="15">
        <f>IF('ENCUESTA CONDUCTORES'!BL295="X",1,0)</f>
        <v>0</v>
      </c>
      <c r="BE295" s="15">
        <f>IF('ENCUESTA CONDUCTORES'!BM295="X",1,0)</f>
        <v>0</v>
      </c>
      <c r="BF295" s="15">
        <f>IF('ENCUESTA CONDUCTORES'!BN295="X",1,0)</f>
        <v>0</v>
      </c>
      <c r="BG295" s="15">
        <f>IF('ENCUESTA CONDUCTORES'!BO295="X",1,0)</f>
        <v>0</v>
      </c>
      <c r="BH295" s="15">
        <f>IF('ENCUESTA CONDUCTORES'!BP295="X",1,0)</f>
        <v>0</v>
      </c>
      <c r="BI295" s="15">
        <f>IF('ENCUESTA CONDUCTORES'!BQ295="X",1,0)</f>
        <v>0</v>
      </c>
      <c r="BJ295" s="15">
        <f>IF('ENCUESTA CONDUCTORES'!BR295="X",1,0)</f>
        <v>0</v>
      </c>
      <c r="BK295" s="15" t="str">
        <f>+'ENCUESTA CONDUCTORES'!BS295</f>
        <v>CONTENEDORES</v>
      </c>
      <c r="BL295" s="15">
        <f>IF('ENCUESTA CONDUCTORES'!BT295="X",1,0)</f>
        <v>0</v>
      </c>
      <c r="BM295" s="15">
        <f>IF('ENCUESTA CONDUCTORES'!BU295="X",1,0)</f>
        <v>0</v>
      </c>
      <c r="BN295" s="15">
        <f>IF('ENCUESTA CONDUCTORES'!BV295="X",1,0)</f>
        <v>1</v>
      </c>
      <c r="BO295" s="15">
        <f>IF('ENCUESTA CONDUCTORES'!BW295="X",1,0)</f>
        <v>0</v>
      </c>
      <c r="BP295" s="15">
        <f>+'ENCUESTA CONDUCTORES'!BX295</f>
        <v>1</v>
      </c>
      <c r="BQ295" s="15">
        <f>+'ENCUESTA CONDUCTORES'!BY295</f>
        <v>3</v>
      </c>
      <c r="BR295" s="15">
        <f>+'ENCUESTA CONDUCTORES'!BZ295</f>
        <v>2</v>
      </c>
      <c r="BS295" s="15">
        <f>+'ENCUESTA CONDUCTORES'!CA295</f>
        <v>0</v>
      </c>
      <c r="BT295" s="15">
        <f>IF('ENCUESTA CONDUCTORES'!CB295="X",1,0)</f>
        <v>1</v>
      </c>
      <c r="BU295" s="15">
        <f>IF('ENCUESTA CONDUCTORES'!CC295="X",1,0)</f>
        <v>0</v>
      </c>
      <c r="BV295" s="15">
        <f>IF('ENCUESTA CONDUCTORES'!CD295="X",1,0)</f>
        <v>0</v>
      </c>
      <c r="BW295" s="15">
        <f>IF('ENCUESTA CONDUCTORES'!CE295="X",1,0)</f>
        <v>0</v>
      </c>
      <c r="BX295" s="15">
        <f>IF('ENCUESTA CONDUCTORES'!CF295="X",1,0)</f>
        <v>0</v>
      </c>
      <c r="BY295" s="15">
        <f>IF('ENCUESTA CONDUCTORES'!CG295="X",1,0)</f>
        <v>0</v>
      </c>
      <c r="BZ295" s="15">
        <f>IF('ENCUESTA CONDUCTORES'!CH295="X",1,0)</f>
        <v>0</v>
      </c>
      <c r="CA295" s="15">
        <f>IF('ENCUESTA CONDUCTORES'!CI295="X",1,0)</f>
        <v>0</v>
      </c>
      <c r="CB295" s="15">
        <f>IF('ENCUESTA CONDUCTORES'!CJ295="X",1,0)</f>
        <v>0</v>
      </c>
      <c r="CC295" s="15">
        <f>IF('ENCUESTA CONDUCTORES'!CK295="X",1,0)</f>
        <v>1</v>
      </c>
      <c r="CD295" s="15">
        <f>IF('ENCUESTA CONDUCTORES'!CL295="X",1,0)</f>
        <v>0</v>
      </c>
      <c r="CE295" s="15">
        <f>IF('ENCUESTA CONDUCTORES'!CM295="X",1,0)</f>
        <v>0</v>
      </c>
      <c r="CF295" s="15">
        <f>+'ENCUESTA CONDUCTORES'!CN295</f>
        <v>0</v>
      </c>
      <c r="CG295" s="15">
        <f>IF('ENCUESTA CONDUCTORES'!CO295="X",1,0)</f>
        <v>0</v>
      </c>
      <c r="CH295" s="15" t="str">
        <f>+'ENCUESTA CONDUCTORES'!CP295</f>
        <v>NO SABE</v>
      </c>
      <c r="CI295" s="15" t="str">
        <f>+'ENCUESTA CONDUCTORES'!CQ295</f>
        <v>NO SABE</v>
      </c>
      <c r="CJ295" s="15">
        <f>IF('ENCUESTA CONDUCTORES'!CR295="X",1,0)</f>
        <v>1</v>
      </c>
      <c r="CK295" s="15">
        <f>IF('ENCUESTA CONDUCTORES'!CS295="X",1,0)</f>
        <v>0</v>
      </c>
      <c r="CL295" s="15">
        <f>IF('ENCUESTA CONDUCTORES'!CT295="X",1,0)</f>
        <v>0</v>
      </c>
      <c r="CM295" s="15">
        <f>+'ENCUESTA CONDUCTORES'!CU295</f>
        <v>0</v>
      </c>
      <c r="CN295" s="15">
        <f>IF('ENCUESTA CONDUCTORES'!CV295="X",1,0)</f>
        <v>0</v>
      </c>
      <c r="CO295" s="15">
        <f>+'ENCUESTA CONDUCTORES'!CW295</f>
        <v>0</v>
      </c>
      <c r="CP295" s="15">
        <f>IF('ENCUESTA CONDUCTORES'!CX295="X",1,0)</f>
        <v>1</v>
      </c>
      <c r="CQ295" s="15">
        <f>IF('ENCUESTA CONDUCTORES'!CY295="X",1,0)</f>
        <v>1</v>
      </c>
      <c r="CR295" s="3">
        <f>+'ENCUESTA CONDUCTORES'!CZ295</f>
        <v>0</v>
      </c>
      <c r="CS295" s="49">
        <f>+'ENCUESTA CONDUCTORES'!DA295</f>
        <v>0</v>
      </c>
    </row>
    <row r="296" spans="2:97" x14ac:dyDescent="0.25">
      <c r="B296" s="14" t="str">
        <f>+'ENCUESTA CONDUCTORES'!D296</f>
        <v>C-307</v>
      </c>
      <c r="C296" s="15">
        <f>IF('ENCUESTA CONDUCTORES'!E296="X",1,0)</f>
        <v>1</v>
      </c>
      <c r="D296" s="15">
        <f>IF('ENCUESTA CONDUCTORES'!F296="X",1,0)</f>
        <v>0</v>
      </c>
      <c r="E296" s="15">
        <f>IF('ENCUESTA CONDUCTORES'!G296="X",1,0)</f>
        <v>0</v>
      </c>
      <c r="F296" s="15">
        <f>IF('ENCUESTA CONDUCTORES'!H296="X",1,0)</f>
        <v>0</v>
      </c>
      <c r="G296" s="15">
        <f>+'ENCUESTA CONDUCTORES'!I296</f>
        <v>30</v>
      </c>
      <c r="H296" s="15" t="str">
        <f>+'ENCUESTA CONDUCTORES'!J296</f>
        <v>M</v>
      </c>
      <c r="I296" s="15" t="str">
        <f>+'ENCUESTA CONDUCTORES'!K296</f>
        <v>PRIMARIA</v>
      </c>
      <c r="J296" s="15" t="str">
        <f>+'ENCUESTA CONDUCTORES'!L296</f>
        <v>TEZIUTLAN, PUEBLA</v>
      </c>
      <c r="K296" s="15" t="str">
        <f>+'ENCUESTA CONDUCTORES'!M296</f>
        <v>TEZIUTLAN</v>
      </c>
      <c r="L296" s="15" t="str">
        <f>+'ENCUESTA CONDUCTORES'!N296</f>
        <v>PUEBLA</v>
      </c>
      <c r="M296" s="15">
        <f>+'ENCUESTA CONDUCTORES'!O296</f>
        <v>5</v>
      </c>
      <c r="N296" s="15">
        <f>IF('ENCUESTA CONDUCTORES'!P296="X",1,0)</f>
        <v>1</v>
      </c>
      <c r="O296" s="15">
        <f>IF('ENCUESTA CONDUCTORES'!Q296="X",1,0)</f>
        <v>0</v>
      </c>
      <c r="P296" s="15">
        <f>IF('ENCUESTA CONDUCTORES'!R296="X",1,0)</f>
        <v>0</v>
      </c>
      <c r="Q296" s="15">
        <f>IF('ENCUESTA CONDUCTORES'!S296="X",1,0)</f>
        <v>0</v>
      </c>
      <c r="R296" s="15">
        <f>IF('ENCUESTA CONDUCTORES'!T296="X",1,0)</f>
        <v>0</v>
      </c>
      <c r="S296" s="15">
        <f>IF('ENCUESTA CONDUCTORES'!U296="X",1,0)</f>
        <v>1</v>
      </c>
      <c r="T296" s="15">
        <f>IF('ENCUESTA CONDUCTORES'!V296="X",1,0)</f>
        <v>0</v>
      </c>
      <c r="U296" s="15">
        <f>IF('ENCUESTA CONDUCTORES'!W296="X",1,0)</f>
        <v>0</v>
      </c>
      <c r="V296" s="15">
        <f>IF('ENCUESTA CONDUCTORES'!X296="X",1,0)</f>
        <v>0</v>
      </c>
      <c r="W296" s="15">
        <f>IF('ENCUESTA CONDUCTORES'!Y296="X",1,0)</f>
        <v>0</v>
      </c>
      <c r="X296" s="15">
        <f>IF('ENCUESTA CONDUCTORES'!Z296="X",1,0)</f>
        <v>0</v>
      </c>
      <c r="Y296" s="15">
        <f>+'ENCUESTA CONDUCTORES'!AG296</f>
        <v>0</v>
      </c>
      <c r="Z296" s="15">
        <f>+'ENCUESTA CONDUCTORES'!AH296</f>
        <v>2005</v>
      </c>
      <c r="AA296" s="1">
        <f>+'ENCUESTA CONDUCTORES'!AI296</f>
        <v>471032</v>
      </c>
      <c r="AB296" s="15">
        <f>IF('ENCUESTA CONDUCTORES'!AJ296="X",1,0)</f>
        <v>1</v>
      </c>
      <c r="AC296" s="15">
        <f>IF('ENCUESTA CONDUCTORES'!AK296="X",1,0)</f>
        <v>0</v>
      </c>
      <c r="AD296" s="15">
        <f>IF('ENCUESTA CONDUCTORES'!AL296="X",1,0)</f>
        <v>0</v>
      </c>
      <c r="AE296" s="15">
        <f>IF('ENCUESTA CONDUCTORES'!AM296="X",1,0)</f>
        <v>0</v>
      </c>
      <c r="AF296" s="15">
        <f>IF('ENCUESTA CONDUCTORES'!AN296="X",1,0)</f>
        <v>0</v>
      </c>
      <c r="AG296" s="15">
        <f>IF('ENCUESTA CONDUCTORES'!AO296="X",1,0)</f>
        <v>0</v>
      </c>
      <c r="AH296" s="15">
        <f>IF('ENCUESTA CONDUCTORES'!AP296="X",1,0)</f>
        <v>1</v>
      </c>
      <c r="AI296" s="15">
        <f>IF('ENCUESTA CONDUCTORES'!AQ296="X",1,0)</f>
        <v>0</v>
      </c>
      <c r="AJ296" s="15">
        <f>IF('ENCUESTA CONDUCTORES'!AR296="X",1,0)</f>
        <v>0</v>
      </c>
      <c r="AK296" s="15">
        <f>+'ENCUESTA CONDUCTORES'!AS296</f>
        <v>0</v>
      </c>
      <c r="AL296" s="15" t="str">
        <f>+'ENCUESTA CONDUCTORES'!AT296</f>
        <v>CHEVROLET</v>
      </c>
      <c r="AM296" s="1">
        <f>+'ENCUESTA CONDUCTORES'!AU296</f>
        <v>5000</v>
      </c>
      <c r="AN296" s="48">
        <f>+'ENCUESTA CONDUCTORES'!AV296</f>
        <v>0.1</v>
      </c>
      <c r="AO296" s="15">
        <f>+'ENCUESTA CONDUCTORES'!AW296</f>
        <v>5</v>
      </c>
      <c r="AP296" s="15">
        <f>+'ENCUESTA CONDUCTORES'!AX296</f>
        <v>4.7</v>
      </c>
      <c r="AQ296" s="15">
        <f>+'ENCUESTA CONDUCTORES'!AY296</f>
        <v>2</v>
      </c>
      <c r="AR296" s="15">
        <f>+'ENCUESTA CONDUCTORES'!AZ296</f>
        <v>330</v>
      </c>
      <c r="AS296" s="15">
        <f>+'ENCUESTA CONDUCTORES'!BA296</f>
        <v>1600</v>
      </c>
      <c r="AT296" s="15">
        <f>IF('ENCUESTA CONDUCTORES'!BB296="X",1,0)</f>
        <v>0</v>
      </c>
      <c r="AU296" s="15">
        <f>IF('ENCUESTA CONDUCTORES'!BC296="X",1,0)</f>
        <v>0</v>
      </c>
      <c r="AV296" s="15">
        <f>IF('ENCUESTA CONDUCTORES'!BD296="X",1,0)</f>
        <v>0</v>
      </c>
      <c r="AW296" s="1">
        <f>+'ENCUESTA CONDUCTORES'!BE296</f>
        <v>20000</v>
      </c>
      <c r="AX296" s="1" t="str">
        <f>+'ENCUESTA CONDUCTORES'!BF296</f>
        <v>NO SABE</v>
      </c>
      <c r="AY296" s="1">
        <f>+'ENCUESTA CONDUCTORES'!BG296</f>
        <v>30000</v>
      </c>
      <c r="AZ296" s="1">
        <f>+'ENCUESTA CONDUCTORES'!BH296</f>
        <v>100000</v>
      </c>
      <c r="BA296" s="1" t="str">
        <f>+'ENCUESTA CONDUCTORES'!BI296</f>
        <v>NO SABE</v>
      </c>
      <c r="BB296" s="15">
        <f>IF('ENCUESTA CONDUCTORES'!BJ296="X",1,0)</f>
        <v>0</v>
      </c>
      <c r="BC296" s="15">
        <f>IF('ENCUESTA CONDUCTORES'!BK296="X",1,0)</f>
        <v>1</v>
      </c>
      <c r="BD296" s="15">
        <f>IF('ENCUESTA CONDUCTORES'!BL296="X",1,0)</f>
        <v>0</v>
      </c>
      <c r="BE296" s="15">
        <f>IF('ENCUESTA CONDUCTORES'!BM296="X",1,0)</f>
        <v>0</v>
      </c>
      <c r="BF296" s="15">
        <f>IF('ENCUESTA CONDUCTORES'!BN296="X",1,0)</f>
        <v>1</v>
      </c>
      <c r="BG296" s="15">
        <f>IF('ENCUESTA CONDUCTORES'!BO296="X",1,0)</f>
        <v>0</v>
      </c>
      <c r="BH296" s="15">
        <f>IF('ENCUESTA CONDUCTORES'!BP296="X",1,0)</f>
        <v>0</v>
      </c>
      <c r="BI296" s="15">
        <f>IF('ENCUESTA CONDUCTORES'!BQ296="X",1,0)</f>
        <v>0</v>
      </c>
      <c r="BJ296" s="15">
        <f>IF('ENCUESTA CONDUCTORES'!BR296="X",1,0)</f>
        <v>0</v>
      </c>
      <c r="BK296" s="15">
        <f>+'ENCUESTA CONDUCTORES'!BS296</f>
        <v>0</v>
      </c>
      <c r="BL296" s="15">
        <f>IF('ENCUESTA CONDUCTORES'!BT296="X",1,0)</f>
        <v>0</v>
      </c>
      <c r="BM296" s="15">
        <f>IF('ENCUESTA CONDUCTORES'!BU296="X",1,0)</f>
        <v>1</v>
      </c>
      <c r="BN296" s="15">
        <f>IF('ENCUESTA CONDUCTORES'!BV296="X",1,0)</f>
        <v>0</v>
      </c>
      <c r="BO296" s="15">
        <f>IF('ENCUESTA CONDUCTORES'!BW296="X",1,0)</f>
        <v>0</v>
      </c>
      <c r="BP296" s="15">
        <f>+'ENCUESTA CONDUCTORES'!BX296</f>
        <v>1</v>
      </c>
      <c r="BQ296" s="15">
        <f>+'ENCUESTA CONDUCTORES'!BY296</f>
        <v>2</v>
      </c>
      <c r="BR296" s="15">
        <f>+'ENCUESTA CONDUCTORES'!BZ296</f>
        <v>3</v>
      </c>
      <c r="BS296" s="15">
        <f>+'ENCUESTA CONDUCTORES'!CA296</f>
        <v>0</v>
      </c>
      <c r="BT296" s="15">
        <f>IF('ENCUESTA CONDUCTORES'!CB296="X",1,0)</f>
        <v>1</v>
      </c>
      <c r="BU296" s="15">
        <f>IF('ENCUESTA CONDUCTORES'!CC296="X",1,0)</f>
        <v>0</v>
      </c>
      <c r="BV296" s="15">
        <f>IF('ENCUESTA CONDUCTORES'!CD296="X",1,0)</f>
        <v>0</v>
      </c>
      <c r="BW296" s="15">
        <f>IF('ENCUESTA CONDUCTORES'!CE296="X",1,0)</f>
        <v>0</v>
      </c>
      <c r="BX296" s="15">
        <f>IF('ENCUESTA CONDUCTORES'!CF296="X",1,0)</f>
        <v>0</v>
      </c>
      <c r="BY296" s="15">
        <f>IF('ENCUESTA CONDUCTORES'!CG296="X",1,0)</f>
        <v>0</v>
      </c>
      <c r="BZ296" s="15">
        <f>IF('ENCUESTA CONDUCTORES'!CH296="X",1,0)</f>
        <v>0</v>
      </c>
      <c r="CA296" s="15">
        <f>IF('ENCUESTA CONDUCTORES'!CI296="X",1,0)</f>
        <v>0</v>
      </c>
      <c r="CB296" s="15">
        <f>IF('ENCUESTA CONDUCTORES'!CJ296="X",1,0)</f>
        <v>0</v>
      </c>
      <c r="CC296" s="15">
        <f>IF('ENCUESTA CONDUCTORES'!CK296="X",1,0)</f>
        <v>1</v>
      </c>
      <c r="CD296" s="15">
        <f>IF('ENCUESTA CONDUCTORES'!CL296="X",1,0)</f>
        <v>0</v>
      </c>
      <c r="CE296" s="15">
        <f>IF('ENCUESTA CONDUCTORES'!CM296="X",1,0)</f>
        <v>0</v>
      </c>
      <c r="CF296" s="15">
        <f>+'ENCUESTA CONDUCTORES'!CN296</f>
        <v>0</v>
      </c>
      <c r="CG296" s="15">
        <f>IF('ENCUESTA CONDUCTORES'!CO296="X",1,0)</f>
        <v>0</v>
      </c>
      <c r="CH296" s="15" t="str">
        <f>+'ENCUESTA CONDUCTORES'!CP296</f>
        <v>NO SABE</v>
      </c>
      <c r="CI296" s="15" t="str">
        <f>+'ENCUESTA CONDUCTORES'!CQ296</f>
        <v>NO SABE</v>
      </c>
      <c r="CJ296" s="15">
        <f>IF('ENCUESTA CONDUCTORES'!CR296="X",1,0)</f>
        <v>1</v>
      </c>
      <c r="CK296" s="15">
        <f>IF('ENCUESTA CONDUCTORES'!CS296="X",1,0)</f>
        <v>0</v>
      </c>
      <c r="CL296" s="15">
        <f>IF('ENCUESTA CONDUCTORES'!CT296="X",1,0)</f>
        <v>0</v>
      </c>
      <c r="CM296" s="15">
        <f>+'ENCUESTA CONDUCTORES'!CU296</f>
        <v>0</v>
      </c>
      <c r="CN296" s="15">
        <f>IF('ENCUESTA CONDUCTORES'!CV296="X",1,0)</f>
        <v>0</v>
      </c>
      <c r="CO296" s="15">
        <f>+'ENCUESTA CONDUCTORES'!CW296</f>
        <v>0</v>
      </c>
      <c r="CP296" s="15">
        <f>IF('ENCUESTA CONDUCTORES'!CX296="X",1,0)</f>
        <v>0</v>
      </c>
      <c r="CQ296" s="15">
        <f>IF('ENCUESTA CONDUCTORES'!CY296="X",1,0)</f>
        <v>1</v>
      </c>
      <c r="CR296" s="3">
        <f>+'ENCUESTA CONDUCTORES'!CZ296</f>
        <v>0</v>
      </c>
      <c r="CS296" s="49">
        <f>+'ENCUESTA CONDUCTORES'!DA296</f>
        <v>0</v>
      </c>
    </row>
    <row r="297" spans="2:97" x14ac:dyDescent="0.25">
      <c r="B297" s="14" t="str">
        <f>+'ENCUESTA CONDUCTORES'!D297</f>
        <v>C-308</v>
      </c>
      <c r="C297" s="15">
        <f>IF('ENCUESTA CONDUCTORES'!E297="X",1,0)</f>
        <v>0</v>
      </c>
      <c r="D297" s="15">
        <f>IF('ENCUESTA CONDUCTORES'!F297="X",1,0)</f>
        <v>1</v>
      </c>
      <c r="E297" s="15">
        <f>IF('ENCUESTA CONDUCTORES'!G297="X",1,0)</f>
        <v>0</v>
      </c>
      <c r="F297" s="15">
        <f>IF('ENCUESTA CONDUCTORES'!H297="X",1,0)</f>
        <v>0</v>
      </c>
      <c r="G297" s="15">
        <f>+'ENCUESTA CONDUCTORES'!I297</f>
        <v>28</v>
      </c>
      <c r="H297" s="15" t="str">
        <f>+'ENCUESTA CONDUCTORES'!J297</f>
        <v>M</v>
      </c>
      <c r="I297" s="15" t="str">
        <f>+'ENCUESTA CONDUCTORES'!K297</f>
        <v>MAESTRO</v>
      </c>
      <c r="J297" s="15" t="str">
        <f>+'ENCUESTA CONDUCTORES'!L297</f>
        <v>SAN LUIS POTOSI, SLP</v>
      </c>
      <c r="K297" s="15" t="str">
        <f>+'ENCUESTA CONDUCTORES'!M297</f>
        <v>SAN LUIS POTOSI</v>
      </c>
      <c r="L297" s="15" t="str">
        <f>+'ENCUESTA CONDUCTORES'!N297</f>
        <v>SAN LUIS POTOSI</v>
      </c>
      <c r="M297" s="15">
        <f>+'ENCUESTA CONDUCTORES'!O297</f>
        <v>4</v>
      </c>
      <c r="N297" s="15">
        <f>IF('ENCUESTA CONDUCTORES'!P297="X",1,0)</f>
        <v>0</v>
      </c>
      <c r="O297" s="15">
        <f>IF('ENCUESTA CONDUCTORES'!Q297="X",1,0)</f>
        <v>0</v>
      </c>
      <c r="P297" s="15">
        <f>IF('ENCUESTA CONDUCTORES'!R297="X",1,0)</f>
        <v>0</v>
      </c>
      <c r="Q297" s="15">
        <f>IF('ENCUESTA CONDUCTORES'!S297="X",1,0)</f>
        <v>1</v>
      </c>
      <c r="R297" s="15">
        <f>IF('ENCUESTA CONDUCTORES'!T297="X",1,0)</f>
        <v>0</v>
      </c>
      <c r="S297" s="15">
        <f>IF('ENCUESTA CONDUCTORES'!U297="X",1,0)</f>
        <v>1</v>
      </c>
      <c r="T297" s="15">
        <f>IF('ENCUESTA CONDUCTORES'!V297="X",1,0)</f>
        <v>0</v>
      </c>
      <c r="U297" s="15">
        <f>IF('ENCUESTA CONDUCTORES'!W297="X",1,0)</f>
        <v>0</v>
      </c>
      <c r="V297" s="15">
        <f>IF('ENCUESTA CONDUCTORES'!X297="X",1,0)</f>
        <v>0</v>
      </c>
      <c r="W297" s="15">
        <f>IF('ENCUESTA CONDUCTORES'!Y297="X",1,0)</f>
        <v>0</v>
      </c>
      <c r="X297" s="15">
        <f>IF('ENCUESTA CONDUCTORES'!Z297="X",1,0)</f>
        <v>0</v>
      </c>
      <c r="Y297" s="15">
        <f>+'ENCUESTA CONDUCTORES'!AG297</f>
        <v>0</v>
      </c>
      <c r="Z297" s="15">
        <f>+'ENCUESTA CONDUCTORES'!AH297</f>
        <v>2006</v>
      </c>
      <c r="AA297" s="1">
        <f>+'ENCUESTA CONDUCTORES'!AI297</f>
        <v>637902</v>
      </c>
      <c r="AB297" s="15">
        <f>IF('ENCUESTA CONDUCTORES'!AJ297="X",1,0)</f>
        <v>0</v>
      </c>
      <c r="AC297" s="15">
        <f>IF('ENCUESTA CONDUCTORES'!AK297="X",1,0)</f>
        <v>0</v>
      </c>
      <c r="AD297" s="15">
        <f>IF('ENCUESTA CONDUCTORES'!AL297="X",1,0)</f>
        <v>1</v>
      </c>
      <c r="AE297" s="15">
        <f>IF('ENCUESTA CONDUCTORES'!AM297="X",1,0)</f>
        <v>0</v>
      </c>
      <c r="AF297" s="15">
        <f>IF('ENCUESTA CONDUCTORES'!AN297="X",1,0)</f>
        <v>0</v>
      </c>
      <c r="AG297" s="15">
        <f>IF('ENCUESTA CONDUCTORES'!AO297="X",1,0)</f>
        <v>0</v>
      </c>
      <c r="AH297" s="15">
        <f>IF('ENCUESTA CONDUCTORES'!AP297="X",1,0)</f>
        <v>1</v>
      </c>
      <c r="AI297" s="15">
        <f>IF('ENCUESTA CONDUCTORES'!AQ297="X",1,0)</f>
        <v>0</v>
      </c>
      <c r="AJ297" s="15">
        <f>IF('ENCUESTA CONDUCTORES'!AR297="X",1,0)</f>
        <v>0</v>
      </c>
      <c r="AK297" s="15">
        <f>+'ENCUESTA CONDUCTORES'!AS297</f>
        <v>0</v>
      </c>
      <c r="AL297" s="15" t="str">
        <f>+'ENCUESTA CONDUCTORES'!AT297</f>
        <v>CUMMINS</v>
      </c>
      <c r="AM297" s="1">
        <f>+'ENCUESTA CONDUCTORES'!AU297</f>
        <v>8000</v>
      </c>
      <c r="AN297" s="48">
        <f>+'ENCUESTA CONDUCTORES'!AV297</f>
        <v>0.05</v>
      </c>
      <c r="AO297" s="15">
        <f>+'ENCUESTA CONDUCTORES'!AW297</f>
        <v>2.8</v>
      </c>
      <c r="AP297" s="15">
        <f>+'ENCUESTA CONDUCTORES'!AX297</f>
        <v>2.5</v>
      </c>
      <c r="AQ297" s="15">
        <f>+'ENCUESTA CONDUCTORES'!AY297</f>
        <v>2</v>
      </c>
      <c r="AR297" s="15">
        <f>+'ENCUESTA CONDUCTORES'!AZ297</f>
        <v>830</v>
      </c>
      <c r="AS297" s="15">
        <f>+'ENCUESTA CONDUCTORES'!BA297</f>
        <v>2250</v>
      </c>
      <c r="AT297" s="15">
        <f>IF('ENCUESTA CONDUCTORES'!BB297="X",1,0)</f>
        <v>1</v>
      </c>
      <c r="AU297" s="15">
        <f>IF('ENCUESTA CONDUCTORES'!BC297="X",1,0)</f>
        <v>0</v>
      </c>
      <c r="AV297" s="15">
        <f>IF('ENCUESTA CONDUCTORES'!BD297="X",1,0)</f>
        <v>0</v>
      </c>
      <c r="AW297" s="1">
        <f>+'ENCUESTA CONDUCTORES'!BE297</f>
        <v>24000</v>
      </c>
      <c r="AX297" s="1" t="str">
        <f>+'ENCUESTA CONDUCTORES'!BF297</f>
        <v>NO SABE</v>
      </c>
      <c r="AY297" s="1">
        <f>+'ENCUESTA CONDUCTORES'!BG297</f>
        <v>24000</v>
      </c>
      <c r="AZ297" s="1">
        <f>+'ENCUESTA CONDUCTORES'!BH297</f>
        <v>120000</v>
      </c>
      <c r="BA297" s="1" t="str">
        <f>+'ENCUESTA CONDUCTORES'!BI297</f>
        <v>NO SABE</v>
      </c>
      <c r="BB297" s="15">
        <f>IF('ENCUESTA CONDUCTORES'!BJ297="X",1,0)</f>
        <v>0</v>
      </c>
      <c r="BC297" s="15">
        <f>IF('ENCUESTA CONDUCTORES'!BK297="X",1,0)</f>
        <v>1</v>
      </c>
      <c r="BD297" s="15">
        <f>IF('ENCUESTA CONDUCTORES'!BL297="X",1,0)</f>
        <v>0</v>
      </c>
      <c r="BE297" s="15">
        <f>IF('ENCUESTA CONDUCTORES'!BM297="X",1,0)</f>
        <v>0</v>
      </c>
      <c r="BF297" s="15">
        <f>IF('ENCUESTA CONDUCTORES'!BN297="X",1,0)</f>
        <v>0</v>
      </c>
      <c r="BG297" s="15">
        <f>IF('ENCUESTA CONDUCTORES'!BO297="X",1,0)</f>
        <v>1</v>
      </c>
      <c r="BH297" s="15">
        <f>IF('ENCUESTA CONDUCTORES'!BP297="X",1,0)</f>
        <v>0</v>
      </c>
      <c r="BI297" s="15">
        <f>IF('ENCUESTA CONDUCTORES'!BQ297="X",1,0)</f>
        <v>0</v>
      </c>
      <c r="BJ297" s="15">
        <f>IF('ENCUESTA CONDUCTORES'!BR297="X",1,0)</f>
        <v>0</v>
      </c>
      <c r="BK297" s="15">
        <f>+'ENCUESTA CONDUCTORES'!BS297</f>
        <v>0</v>
      </c>
      <c r="BL297" s="15">
        <f>IF('ENCUESTA CONDUCTORES'!BT297="X",1,0)</f>
        <v>0</v>
      </c>
      <c r="BM297" s="15">
        <f>IF('ENCUESTA CONDUCTORES'!BU297="X",1,0)</f>
        <v>0</v>
      </c>
      <c r="BN297" s="15">
        <f>IF('ENCUESTA CONDUCTORES'!BV297="X",1,0)</f>
        <v>1</v>
      </c>
      <c r="BO297" s="15">
        <f>IF('ENCUESTA CONDUCTORES'!BW297="X",1,0)</f>
        <v>0</v>
      </c>
      <c r="BP297" s="15">
        <f>+'ENCUESTA CONDUCTORES'!BX297</f>
        <v>1</v>
      </c>
      <c r="BQ297" s="15">
        <f>+'ENCUESTA CONDUCTORES'!BY297</f>
        <v>3</v>
      </c>
      <c r="BR297" s="15">
        <f>+'ENCUESTA CONDUCTORES'!BZ297</f>
        <v>2</v>
      </c>
      <c r="BS297" s="15">
        <f>+'ENCUESTA CONDUCTORES'!CA297</f>
        <v>0</v>
      </c>
      <c r="BT297" s="15">
        <f>IF('ENCUESTA CONDUCTORES'!CB297="X",1,0)</f>
        <v>1</v>
      </c>
      <c r="BU297" s="15">
        <f>IF('ENCUESTA CONDUCTORES'!CC297="X",1,0)</f>
        <v>0</v>
      </c>
      <c r="BV297" s="15">
        <f>IF('ENCUESTA CONDUCTORES'!CD297="X",1,0)</f>
        <v>0</v>
      </c>
      <c r="BW297" s="15">
        <f>IF('ENCUESTA CONDUCTORES'!CE297="X",1,0)</f>
        <v>0</v>
      </c>
      <c r="BX297" s="15">
        <f>IF('ENCUESTA CONDUCTORES'!CF297="X",1,0)</f>
        <v>0</v>
      </c>
      <c r="BY297" s="15">
        <f>IF('ENCUESTA CONDUCTORES'!CG297="X",1,0)</f>
        <v>0</v>
      </c>
      <c r="BZ297" s="15">
        <f>IF('ENCUESTA CONDUCTORES'!CH297="X",1,0)</f>
        <v>0</v>
      </c>
      <c r="CA297" s="15">
        <f>IF('ENCUESTA CONDUCTORES'!CI297="X",1,0)</f>
        <v>0</v>
      </c>
      <c r="CB297" s="15">
        <f>IF('ENCUESTA CONDUCTORES'!CJ297="X",1,0)</f>
        <v>0</v>
      </c>
      <c r="CC297" s="15">
        <f>IF('ENCUESTA CONDUCTORES'!CK297="X",1,0)</f>
        <v>1</v>
      </c>
      <c r="CD297" s="15">
        <f>IF('ENCUESTA CONDUCTORES'!CL297="X",1,0)</f>
        <v>0</v>
      </c>
      <c r="CE297" s="15">
        <f>IF('ENCUESTA CONDUCTORES'!CM297="X",1,0)</f>
        <v>0</v>
      </c>
      <c r="CF297" s="15">
        <f>+'ENCUESTA CONDUCTORES'!CN297</f>
        <v>0</v>
      </c>
      <c r="CG297" s="15">
        <f>IF('ENCUESTA CONDUCTORES'!CO297="X",1,0)</f>
        <v>0</v>
      </c>
      <c r="CH297" s="15" t="str">
        <f>+'ENCUESTA CONDUCTORES'!CP297</f>
        <v>NO SABE</v>
      </c>
      <c r="CI297" s="15" t="str">
        <f>+'ENCUESTA CONDUCTORES'!CQ297</f>
        <v>NO SABE</v>
      </c>
      <c r="CJ297" s="15">
        <f>IF('ENCUESTA CONDUCTORES'!CR297="X",1,0)</f>
        <v>1</v>
      </c>
      <c r="CK297" s="15">
        <f>IF('ENCUESTA CONDUCTORES'!CS297="X",1,0)</f>
        <v>0</v>
      </c>
      <c r="CL297" s="15">
        <f>IF('ENCUESTA CONDUCTORES'!CT297="X",1,0)</f>
        <v>0</v>
      </c>
      <c r="CM297" s="15">
        <f>+'ENCUESTA CONDUCTORES'!CU297</f>
        <v>0</v>
      </c>
      <c r="CN297" s="15">
        <f>IF('ENCUESTA CONDUCTORES'!CV297="X",1,0)</f>
        <v>0</v>
      </c>
      <c r="CO297" s="15">
        <f>+'ENCUESTA CONDUCTORES'!CW297</f>
        <v>0</v>
      </c>
      <c r="CP297" s="15">
        <f>IF('ENCUESTA CONDUCTORES'!CX297="X",1,0)</f>
        <v>1</v>
      </c>
      <c r="CQ297" s="15">
        <f>IF('ENCUESTA CONDUCTORES'!CY297="X",1,0)</f>
        <v>0</v>
      </c>
      <c r="CR297" s="3">
        <f>+'ENCUESTA CONDUCTORES'!CZ297</f>
        <v>0</v>
      </c>
      <c r="CS297" s="49">
        <f>+'ENCUESTA CONDUCTORES'!DA297</f>
        <v>0</v>
      </c>
    </row>
    <row r="298" spans="2:97" x14ac:dyDescent="0.25">
      <c r="B298" s="14" t="str">
        <f>+'ENCUESTA CONDUCTORES'!D298</f>
        <v>C-309</v>
      </c>
      <c r="C298" s="15">
        <f>IF('ENCUESTA CONDUCTORES'!E298="X",1,0)</f>
        <v>0</v>
      </c>
      <c r="D298" s="15">
        <f>IF('ENCUESTA CONDUCTORES'!F298="X",1,0)</f>
        <v>0</v>
      </c>
      <c r="E298" s="15">
        <f>IF('ENCUESTA CONDUCTORES'!G298="X",1,0)</f>
        <v>1</v>
      </c>
      <c r="F298" s="15">
        <f>IF('ENCUESTA CONDUCTORES'!H298="X",1,0)</f>
        <v>0</v>
      </c>
      <c r="G298" s="15">
        <f>+'ENCUESTA CONDUCTORES'!I298</f>
        <v>41</v>
      </c>
      <c r="H298" s="15" t="str">
        <f>+'ENCUESTA CONDUCTORES'!J298</f>
        <v>M</v>
      </c>
      <c r="I298" s="15" t="str">
        <f>+'ENCUESTA CONDUCTORES'!K298</f>
        <v>PREPARATORIA</v>
      </c>
      <c r="J298" s="15" t="str">
        <f>+'ENCUESTA CONDUCTORES'!L298</f>
        <v>GUADALAJARA, JALISCO</v>
      </c>
      <c r="K298" s="15" t="str">
        <f>+'ENCUESTA CONDUCTORES'!M298</f>
        <v>GUADALAJARA</v>
      </c>
      <c r="L298" s="15" t="str">
        <f>+'ENCUESTA CONDUCTORES'!N298</f>
        <v>JALISCO</v>
      </c>
      <c r="M298" s="15">
        <f>+'ENCUESTA CONDUCTORES'!O298</f>
        <v>20</v>
      </c>
      <c r="N298" s="15">
        <f>IF('ENCUESTA CONDUCTORES'!P298="X",1,0)</f>
        <v>0</v>
      </c>
      <c r="O298" s="15">
        <f>IF('ENCUESTA CONDUCTORES'!Q298="X",1,0)</f>
        <v>0</v>
      </c>
      <c r="P298" s="15">
        <f>IF('ENCUESTA CONDUCTORES'!R298="X",1,0)</f>
        <v>0</v>
      </c>
      <c r="Q298" s="15">
        <f>IF('ENCUESTA CONDUCTORES'!S298="X",1,0)</f>
        <v>1</v>
      </c>
      <c r="R298" s="15">
        <f>IF('ENCUESTA CONDUCTORES'!T298="X",1,0)</f>
        <v>0</v>
      </c>
      <c r="S298" s="15">
        <f>IF('ENCUESTA CONDUCTORES'!U298="X",1,0)</f>
        <v>1</v>
      </c>
      <c r="T298" s="15">
        <f>IF('ENCUESTA CONDUCTORES'!V298="X",1,0)</f>
        <v>0</v>
      </c>
      <c r="U298" s="15">
        <f>IF('ENCUESTA CONDUCTORES'!W298="X",1,0)</f>
        <v>0</v>
      </c>
      <c r="V298" s="15">
        <f>IF('ENCUESTA CONDUCTORES'!X298="X",1,0)</f>
        <v>0</v>
      </c>
      <c r="W298" s="15">
        <f>IF('ENCUESTA CONDUCTORES'!Y298="X",1,0)</f>
        <v>0</v>
      </c>
      <c r="X298" s="15">
        <f>IF('ENCUESTA CONDUCTORES'!Z298="X",1,0)</f>
        <v>0</v>
      </c>
      <c r="Y298" s="15">
        <f>+'ENCUESTA CONDUCTORES'!AG298</f>
        <v>0</v>
      </c>
      <c r="Z298" s="15">
        <f>+'ENCUESTA CONDUCTORES'!AH298</f>
        <v>2005</v>
      </c>
      <c r="AA298" s="1">
        <f>+'ENCUESTA CONDUCTORES'!AI298</f>
        <v>630244</v>
      </c>
      <c r="AB298" s="15">
        <f>IF('ENCUESTA CONDUCTORES'!AJ298="X",1,0)</f>
        <v>0</v>
      </c>
      <c r="AC298" s="15">
        <f>IF('ENCUESTA CONDUCTORES'!AK298="X",1,0)</f>
        <v>0</v>
      </c>
      <c r="AD298" s="15">
        <f>IF('ENCUESTA CONDUCTORES'!AL298="X",1,0)</f>
        <v>1</v>
      </c>
      <c r="AE298" s="15">
        <f>IF('ENCUESTA CONDUCTORES'!AM298="X",1,0)</f>
        <v>0</v>
      </c>
      <c r="AF298" s="15">
        <f>IF('ENCUESTA CONDUCTORES'!AN298="X",1,0)</f>
        <v>0</v>
      </c>
      <c r="AG298" s="15">
        <f>IF('ENCUESTA CONDUCTORES'!AO298="X",1,0)</f>
        <v>0</v>
      </c>
      <c r="AH298" s="15">
        <f>IF('ENCUESTA CONDUCTORES'!AP298="X",1,0)</f>
        <v>1</v>
      </c>
      <c r="AI298" s="15">
        <f>IF('ENCUESTA CONDUCTORES'!AQ298="X",1,0)</f>
        <v>0</v>
      </c>
      <c r="AJ298" s="15">
        <f>IF('ENCUESTA CONDUCTORES'!AR298="X",1,0)</f>
        <v>0</v>
      </c>
      <c r="AK298" s="15">
        <f>+'ENCUESTA CONDUCTORES'!AS298</f>
        <v>0</v>
      </c>
      <c r="AL298" s="15" t="str">
        <f>+'ENCUESTA CONDUCTORES'!AT298</f>
        <v>DETROIT</v>
      </c>
      <c r="AM298" s="1">
        <f>+'ENCUESTA CONDUCTORES'!AU298</f>
        <v>8000</v>
      </c>
      <c r="AN298" s="48">
        <f>+'ENCUESTA CONDUCTORES'!AV298</f>
        <v>0.5</v>
      </c>
      <c r="AO298" s="15">
        <f>+'ENCUESTA CONDUCTORES'!AW298</f>
        <v>2.8</v>
      </c>
      <c r="AP298" s="15">
        <f>+'ENCUESTA CONDUCTORES'!AX298</f>
        <v>2.5</v>
      </c>
      <c r="AQ298" s="15">
        <f>+'ENCUESTA CONDUCTORES'!AY298</f>
        <v>2</v>
      </c>
      <c r="AR298" s="15">
        <f>+'ENCUESTA CONDUCTORES'!AZ298</f>
        <v>880</v>
      </c>
      <c r="AS298" s="15">
        <f>+'ENCUESTA CONDUCTORES'!BA298</f>
        <v>2300</v>
      </c>
      <c r="AT298" s="15">
        <f>IF('ENCUESTA CONDUCTORES'!BB298="X",1,0)</f>
        <v>1</v>
      </c>
      <c r="AU298" s="15">
        <f>IF('ENCUESTA CONDUCTORES'!BC298="X",1,0)</f>
        <v>1</v>
      </c>
      <c r="AV298" s="15">
        <f>IF('ENCUESTA CONDUCTORES'!BD298="X",1,0)</f>
        <v>0</v>
      </c>
      <c r="AW298" s="1">
        <f>+'ENCUESTA CONDUCTORES'!BE298</f>
        <v>18000</v>
      </c>
      <c r="AX298" s="1">
        <f>+'ENCUESTA CONDUCTORES'!BF298</f>
        <v>200000</v>
      </c>
      <c r="AY298" s="1">
        <f>+'ENCUESTA CONDUCTORES'!BG298</f>
        <v>25000</v>
      </c>
      <c r="AZ298" s="1">
        <f>+'ENCUESTA CONDUCTORES'!BH298</f>
        <v>100000</v>
      </c>
      <c r="BA298" s="1" t="str">
        <f>+'ENCUESTA CONDUCTORES'!BI298</f>
        <v>NO SABE</v>
      </c>
      <c r="BB298" s="15">
        <f>IF('ENCUESTA CONDUCTORES'!BJ298="X",1,0)</f>
        <v>0</v>
      </c>
      <c r="BC298" s="15">
        <f>IF('ENCUESTA CONDUCTORES'!BK298="X",1,0)</f>
        <v>1</v>
      </c>
      <c r="BD298" s="15">
        <f>IF('ENCUESTA CONDUCTORES'!BL298="X",1,0)</f>
        <v>0</v>
      </c>
      <c r="BE298" s="15">
        <f>IF('ENCUESTA CONDUCTORES'!BM298="X",1,0)</f>
        <v>0</v>
      </c>
      <c r="BF298" s="15">
        <f>IF('ENCUESTA CONDUCTORES'!BN298="X",1,0)</f>
        <v>1</v>
      </c>
      <c r="BG298" s="15">
        <f>IF('ENCUESTA CONDUCTORES'!BO298="X",1,0)</f>
        <v>0</v>
      </c>
      <c r="BH298" s="15">
        <f>IF('ENCUESTA CONDUCTORES'!BP298="X",1,0)</f>
        <v>0</v>
      </c>
      <c r="BI298" s="15">
        <f>IF('ENCUESTA CONDUCTORES'!BQ298="X",1,0)</f>
        <v>0</v>
      </c>
      <c r="BJ298" s="15">
        <f>IF('ENCUESTA CONDUCTORES'!BR298="X",1,0)</f>
        <v>0</v>
      </c>
      <c r="BK298" s="15">
        <f>+'ENCUESTA CONDUCTORES'!BS298</f>
        <v>0</v>
      </c>
      <c r="BL298" s="15">
        <f>IF('ENCUESTA CONDUCTORES'!BT298="X",1,0)</f>
        <v>0</v>
      </c>
      <c r="BM298" s="15">
        <f>IF('ENCUESTA CONDUCTORES'!BU298="X",1,0)</f>
        <v>0</v>
      </c>
      <c r="BN298" s="15">
        <f>IF('ENCUESTA CONDUCTORES'!BV298="X",1,0)</f>
        <v>1</v>
      </c>
      <c r="BO298" s="15">
        <f>IF('ENCUESTA CONDUCTORES'!BW298="X",1,0)</f>
        <v>0</v>
      </c>
      <c r="BP298" s="15">
        <f>+'ENCUESTA CONDUCTORES'!BX298</f>
        <v>1</v>
      </c>
      <c r="BQ298" s="15">
        <f>+'ENCUESTA CONDUCTORES'!BY298</f>
        <v>3</v>
      </c>
      <c r="BR298" s="15">
        <f>+'ENCUESTA CONDUCTORES'!BZ298</f>
        <v>2</v>
      </c>
      <c r="BS298" s="15">
        <f>+'ENCUESTA CONDUCTORES'!CA298</f>
        <v>0</v>
      </c>
      <c r="BT298" s="15">
        <f>IF('ENCUESTA CONDUCTORES'!CB298="X",1,0)</f>
        <v>1</v>
      </c>
      <c r="BU298" s="15">
        <f>IF('ENCUESTA CONDUCTORES'!CC298="X",1,0)</f>
        <v>0</v>
      </c>
      <c r="BV298" s="15">
        <f>IF('ENCUESTA CONDUCTORES'!CD298="X",1,0)</f>
        <v>0</v>
      </c>
      <c r="BW298" s="15">
        <f>IF('ENCUESTA CONDUCTORES'!CE298="X",1,0)</f>
        <v>0</v>
      </c>
      <c r="BX298" s="15">
        <f>IF('ENCUESTA CONDUCTORES'!CF298="X",1,0)</f>
        <v>0</v>
      </c>
      <c r="BY298" s="15">
        <f>IF('ENCUESTA CONDUCTORES'!CG298="X",1,0)</f>
        <v>0</v>
      </c>
      <c r="BZ298" s="15">
        <f>IF('ENCUESTA CONDUCTORES'!CH298="X",1,0)</f>
        <v>0</v>
      </c>
      <c r="CA298" s="15">
        <f>IF('ENCUESTA CONDUCTORES'!CI298="X",1,0)</f>
        <v>0</v>
      </c>
      <c r="CB298" s="15">
        <f>IF('ENCUESTA CONDUCTORES'!CJ298="X",1,0)</f>
        <v>0</v>
      </c>
      <c r="CC298" s="15">
        <f>IF('ENCUESTA CONDUCTORES'!CK298="X",1,0)</f>
        <v>1</v>
      </c>
      <c r="CD298" s="15">
        <f>IF('ENCUESTA CONDUCTORES'!CL298="X",1,0)</f>
        <v>0</v>
      </c>
      <c r="CE298" s="15">
        <f>IF('ENCUESTA CONDUCTORES'!CM298="X",1,0)</f>
        <v>0</v>
      </c>
      <c r="CF298" s="15">
        <f>+'ENCUESTA CONDUCTORES'!CN298</f>
        <v>0</v>
      </c>
      <c r="CG298" s="15">
        <f>IF('ENCUESTA CONDUCTORES'!CO298="X",1,0)</f>
        <v>0</v>
      </c>
      <c r="CH298" s="15" t="str">
        <f>+'ENCUESTA CONDUCTORES'!CP298</f>
        <v>NO SABE</v>
      </c>
      <c r="CI298" s="15" t="str">
        <f>+'ENCUESTA CONDUCTORES'!CQ298</f>
        <v>NO SABE</v>
      </c>
      <c r="CJ298" s="15">
        <f>IF('ENCUESTA CONDUCTORES'!CR298="X",1,0)</f>
        <v>1</v>
      </c>
      <c r="CK298" s="15">
        <f>IF('ENCUESTA CONDUCTORES'!CS298="X",1,0)</f>
        <v>0</v>
      </c>
      <c r="CL298" s="15">
        <f>IF('ENCUESTA CONDUCTORES'!CT298="X",1,0)</f>
        <v>0</v>
      </c>
      <c r="CM298" s="15">
        <f>+'ENCUESTA CONDUCTORES'!CU298</f>
        <v>0</v>
      </c>
      <c r="CN298" s="15">
        <f>IF('ENCUESTA CONDUCTORES'!CV298="X",1,0)</f>
        <v>0</v>
      </c>
      <c r="CO298" s="15">
        <f>+'ENCUESTA CONDUCTORES'!CW298</f>
        <v>0</v>
      </c>
      <c r="CP298" s="15">
        <f>IF('ENCUESTA CONDUCTORES'!CX298="X",1,0)</f>
        <v>0</v>
      </c>
      <c r="CQ298" s="15">
        <f>IF('ENCUESTA CONDUCTORES'!CY298="X",1,0)</f>
        <v>1</v>
      </c>
      <c r="CR298" s="3">
        <f>+'ENCUESTA CONDUCTORES'!CZ298</f>
        <v>0</v>
      </c>
      <c r="CS298" s="49">
        <f>+'ENCUESTA CONDUCTORES'!DA298</f>
        <v>0</v>
      </c>
    </row>
    <row r="299" spans="2:97" x14ac:dyDescent="0.25">
      <c r="B299" s="14" t="str">
        <f>+'ENCUESTA CONDUCTORES'!D299</f>
        <v>C-310</v>
      </c>
      <c r="C299" s="15">
        <f>IF('ENCUESTA CONDUCTORES'!E299="X",1,0)</f>
        <v>0</v>
      </c>
      <c r="D299" s="15">
        <f>IF('ENCUESTA CONDUCTORES'!F299="X",1,0)</f>
        <v>0</v>
      </c>
      <c r="E299" s="15">
        <f>IF('ENCUESTA CONDUCTORES'!G299="X",1,0)</f>
        <v>1</v>
      </c>
      <c r="F299" s="15">
        <f>IF('ENCUESTA CONDUCTORES'!H299="X",1,0)</f>
        <v>0</v>
      </c>
      <c r="G299" s="15">
        <f>+'ENCUESTA CONDUCTORES'!I299</f>
        <v>32</v>
      </c>
      <c r="H299" s="15" t="str">
        <f>+'ENCUESTA CONDUCTORES'!J299</f>
        <v>M</v>
      </c>
      <c r="I299" s="15" t="str">
        <f>+'ENCUESTA CONDUCTORES'!K299</f>
        <v>SECUNDARIA</v>
      </c>
      <c r="J299" s="15" t="str">
        <f>+'ENCUESTA CONDUCTORES'!L299</f>
        <v>ARMERIA, COLIMA</v>
      </c>
      <c r="K299" s="15" t="str">
        <f>+'ENCUESTA CONDUCTORES'!M299</f>
        <v>ARMERIA</v>
      </c>
      <c r="L299" s="15" t="str">
        <f>+'ENCUESTA CONDUCTORES'!N299</f>
        <v>COLIMA</v>
      </c>
      <c r="M299" s="15">
        <f>+'ENCUESTA CONDUCTORES'!O299</f>
        <v>7</v>
      </c>
      <c r="N299" s="15">
        <f>IF('ENCUESTA CONDUCTORES'!P299="X",1,0)</f>
        <v>0</v>
      </c>
      <c r="O299" s="15">
        <f>IF('ENCUESTA CONDUCTORES'!Q299="X",1,0)</f>
        <v>1</v>
      </c>
      <c r="P299" s="15">
        <f>IF('ENCUESTA CONDUCTORES'!R299="X",1,0)</f>
        <v>0</v>
      </c>
      <c r="Q299" s="15">
        <f>IF('ENCUESTA CONDUCTORES'!S299="X",1,0)</f>
        <v>0</v>
      </c>
      <c r="R299" s="15">
        <f>IF('ENCUESTA CONDUCTORES'!T299="X",1,0)</f>
        <v>0</v>
      </c>
      <c r="S299" s="15">
        <f>IF('ENCUESTA CONDUCTORES'!U299="X",1,0)</f>
        <v>0</v>
      </c>
      <c r="T299" s="15">
        <f>IF('ENCUESTA CONDUCTORES'!V299="X",1,0)</f>
        <v>0</v>
      </c>
      <c r="U299" s="15">
        <f>IF('ENCUESTA CONDUCTORES'!W299="X",1,0)</f>
        <v>0</v>
      </c>
      <c r="V299" s="15">
        <f>IF('ENCUESTA CONDUCTORES'!X299="X",1,0)</f>
        <v>0</v>
      </c>
      <c r="W299" s="15">
        <f>IF('ENCUESTA CONDUCTORES'!Y299="X",1,0)</f>
        <v>0</v>
      </c>
      <c r="X299" s="15">
        <f>IF('ENCUESTA CONDUCTORES'!Z299="X",1,0)</f>
        <v>0</v>
      </c>
      <c r="Y299" s="15">
        <f>+'ENCUESTA CONDUCTORES'!AG299</f>
        <v>0</v>
      </c>
      <c r="Z299" s="15">
        <f>+'ENCUESTA CONDUCTORES'!AH299</f>
        <v>1995</v>
      </c>
      <c r="AA299" s="1">
        <f>+'ENCUESTA CONDUCTORES'!AI299</f>
        <v>793611</v>
      </c>
      <c r="AB299" s="15">
        <f>IF('ENCUESTA CONDUCTORES'!AJ299="X",1,0)</f>
        <v>0</v>
      </c>
      <c r="AC299" s="15">
        <f>IF('ENCUESTA CONDUCTORES'!AK299="X",1,0)</f>
        <v>0</v>
      </c>
      <c r="AD299" s="15">
        <f>IF('ENCUESTA CONDUCTORES'!AL299="X",1,0)</f>
        <v>1</v>
      </c>
      <c r="AE299" s="15">
        <f>IF('ENCUESTA CONDUCTORES'!AM299="X",1,0)</f>
        <v>0</v>
      </c>
      <c r="AF299" s="15">
        <f>IF('ENCUESTA CONDUCTORES'!AN299="X",1,0)</f>
        <v>0</v>
      </c>
      <c r="AG299" s="15">
        <f>IF('ENCUESTA CONDUCTORES'!AO299="X",1,0)</f>
        <v>1</v>
      </c>
      <c r="AH299" s="15">
        <f>IF('ENCUESTA CONDUCTORES'!AP299="X",1,0)</f>
        <v>0</v>
      </c>
      <c r="AI299" s="15">
        <f>IF('ENCUESTA CONDUCTORES'!AQ299="X",1,0)</f>
        <v>0</v>
      </c>
      <c r="AJ299" s="15">
        <f>IF('ENCUESTA CONDUCTORES'!AR299="X",1,0)</f>
        <v>0</v>
      </c>
      <c r="AK299" s="15">
        <f>+'ENCUESTA CONDUCTORES'!AS299</f>
        <v>0</v>
      </c>
      <c r="AL299" s="15" t="str">
        <f>+'ENCUESTA CONDUCTORES'!AT299</f>
        <v>MERCEDES BENZ</v>
      </c>
      <c r="AM299" s="1">
        <f>+'ENCUESTA CONDUCTORES'!AU299</f>
        <v>5000</v>
      </c>
      <c r="AN299" s="48">
        <f>+'ENCUESTA CONDUCTORES'!AV299</f>
        <v>0.2</v>
      </c>
      <c r="AO299" s="15">
        <f>+'ENCUESTA CONDUCTORES'!AW299</f>
        <v>3.4</v>
      </c>
      <c r="AP299" s="15">
        <f>+'ENCUESTA CONDUCTORES'!AX299</f>
        <v>3</v>
      </c>
      <c r="AQ299" s="15">
        <f>+'ENCUESTA CONDUCTORES'!AY299</f>
        <v>2</v>
      </c>
      <c r="AR299" s="15">
        <f>+'ENCUESTA CONDUCTORES'!AZ299</f>
        <v>660</v>
      </c>
      <c r="AS299" s="15">
        <f>+'ENCUESTA CONDUCTORES'!BA299</f>
        <v>2100</v>
      </c>
      <c r="AT299" s="15">
        <f>IF('ENCUESTA CONDUCTORES'!BB299="X",1,0)</f>
        <v>0</v>
      </c>
      <c r="AU299" s="15">
        <f>IF('ENCUESTA CONDUCTORES'!BC299="X",1,0)</f>
        <v>0</v>
      </c>
      <c r="AV299" s="15">
        <f>IF('ENCUESTA CONDUCTORES'!BD299="X",1,0)</f>
        <v>0</v>
      </c>
      <c r="AW299" s="1">
        <f>+'ENCUESTA CONDUCTORES'!BE299</f>
        <v>30000</v>
      </c>
      <c r="AX299" s="1" t="str">
        <f>+'ENCUESTA CONDUCTORES'!BF299</f>
        <v>NO SABE</v>
      </c>
      <c r="AY299" s="1">
        <f>+'ENCUESTA CONDUCTORES'!BG299</f>
        <v>30000</v>
      </c>
      <c r="AZ299" s="1" t="str">
        <f>+'ENCUESTA CONDUCTORES'!BH299</f>
        <v>NO SABE</v>
      </c>
      <c r="BA299" s="1" t="str">
        <f>+'ENCUESTA CONDUCTORES'!BI299</f>
        <v>NO SABE</v>
      </c>
      <c r="BB299" s="15">
        <f>IF('ENCUESTA CONDUCTORES'!BJ299="X",1,0)</f>
        <v>1</v>
      </c>
      <c r="BC299" s="15">
        <f>IF('ENCUESTA CONDUCTORES'!BK299="X",1,0)</f>
        <v>0</v>
      </c>
      <c r="BD299" s="15">
        <f>IF('ENCUESTA CONDUCTORES'!BL299="X",1,0)</f>
        <v>0</v>
      </c>
      <c r="BE299" s="15">
        <f>IF('ENCUESTA CONDUCTORES'!BM299="X",1,0)</f>
        <v>0</v>
      </c>
      <c r="BF299" s="15">
        <f>IF('ENCUESTA CONDUCTORES'!BN299="X",1,0)</f>
        <v>0</v>
      </c>
      <c r="BG299" s="15">
        <f>IF('ENCUESTA CONDUCTORES'!BO299="X",1,0)</f>
        <v>0</v>
      </c>
      <c r="BH299" s="15">
        <f>IF('ENCUESTA CONDUCTORES'!BP299="X",1,0)</f>
        <v>0</v>
      </c>
      <c r="BI299" s="15">
        <f>IF('ENCUESTA CONDUCTORES'!BQ299="X",1,0)</f>
        <v>0</v>
      </c>
      <c r="BJ299" s="15">
        <f>IF('ENCUESTA CONDUCTORES'!BR299="X",1,0)</f>
        <v>0</v>
      </c>
      <c r="BK299" s="15">
        <f>+'ENCUESTA CONDUCTORES'!BS299</f>
        <v>0</v>
      </c>
      <c r="BL299" s="15">
        <f>IF('ENCUESTA CONDUCTORES'!BT299="X",1,0)</f>
        <v>0</v>
      </c>
      <c r="BM299" s="15">
        <f>IF('ENCUESTA CONDUCTORES'!BU299="X",1,0)</f>
        <v>0</v>
      </c>
      <c r="BN299" s="15">
        <f>IF('ENCUESTA CONDUCTORES'!BV299="X",1,0)</f>
        <v>1</v>
      </c>
      <c r="BO299" s="15">
        <f>IF('ENCUESTA CONDUCTORES'!BW299="X",1,0)</f>
        <v>0</v>
      </c>
      <c r="BP299" s="15">
        <f>+'ENCUESTA CONDUCTORES'!BX299</f>
        <v>1</v>
      </c>
      <c r="BQ299" s="15">
        <f>+'ENCUESTA CONDUCTORES'!BY299</f>
        <v>3</v>
      </c>
      <c r="BR299" s="15">
        <f>+'ENCUESTA CONDUCTORES'!BZ299</f>
        <v>2</v>
      </c>
      <c r="BS299" s="15">
        <f>+'ENCUESTA CONDUCTORES'!CA299</f>
        <v>0</v>
      </c>
      <c r="BT299" s="15">
        <f>IF('ENCUESTA CONDUCTORES'!CB299="X",1,0)</f>
        <v>1</v>
      </c>
      <c r="BU299" s="15">
        <f>IF('ENCUESTA CONDUCTORES'!CC299="X",1,0)</f>
        <v>0</v>
      </c>
      <c r="BV299" s="15">
        <f>IF('ENCUESTA CONDUCTORES'!CD299="X",1,0)</f>
        <v>0</v>
      </c>
      <c r="BW299" s="15">
        <f>IF('ENCUESTA CONDUCTORES'!CE299="X",1,0)</f>
        <v>0</v>
      </c>
      <c r="BX299" s="15">
        <f>IF('ENCUESTA CONDUCTORES'!CF299="X",1,0)</f>
        <v>0</v>
      </c>
      <c r="BY299" s="15">
        <f>IF('ENCUESTA CONDUCTORES'!CG299="X",1,0)</f>
        <v>0</v>
      </c>
      <c r="BZ299" s="15">
        <f>IF('ENCUESTA CONDUCTORES'!CH299="X",1,0)</f>
        <v>0</v>
      </c>
      <c r="CA299" s="15">
        <f>IF('ENCUESTA CONDUCTORES'!CI299="X",1,0)</f>
        <v>0</v>
      </c>
      <c r="CB299" s="15">
        <f>IF('ENCUESTA CONDUCTORES'!CJ299="X",1,0)</f>
        <v>0</v>
      </c>
      <c r="CC299" s="15">
        <f>IF('ENCUESTA CONDUCTORES'!CK299="X",1,0)</f>
        <v>1</v>
      </c>
      <c r="CD299" s="15">
        <f>IF('ENCUESTA CONDUCTORES'!CL299="X",1,0)</f>
        <v>0</v>
      </c>
      <c r="CE299" s="15">
        <f>IF('ENCUESTA CONDUCTORES'!CM299="X",1,0)</f>
        <v>0</v>
      </c>
      <c r="CF299" s="15">
        <f>+'ENCUESTA CONDUCTORES'!CN299</f>
        <v>0</v>
      </c>
      <c r="CG299" s="15">
        <f>IF('ENCUESTA CONDUCTORES'!CO299="X",1,0)</f>
        <v>0</v>
      </c>
      <c r="CH299" s="15" t="str">
        <f>+'ENCUESTA CONDUCTORES'!CP299</f>
        <v>NO SABE</v>
      </c>
      <c r="CI299" s="15" t="str">
        <f>+'ENCUESTA CONDUCTORES'!CQ299</f>
        <v>NO SABE</v>
      </c>
      <c r="CJ299" s="15">
        <f>IF('ENCUESTA CONDUCTORES'!CR299="X",1,0)</f>
        <v>1</v>
      </c>
      <c r="CK299" s="15">
        <f>IF('ENCUESTA CONDUCTORES'!CS299="X",1,0)</f>
        <v>0</v>
      </c>
      <c r="CL299" s="15">
        <f>IF('ENCUESTA CONDUCTORES'!CT299="X",1,0)</f>
        <v>0</v>
      </c>
      <c r="CM299" s="15">
        <f>+'ENCUESTA CONDUCTORES'!CU299</f>
        <v>0</v>
      </c>
      <c r="CN299" s="15">
        <f>IF('ENCUESTA CONDUCTORES'!CV299="X",1,0)</f>
        <v>1</v>
      </c>
      <c r="CO299" s="15" t="str">
        <f>+'ENCUESTA CONDUCTORES'!CW299</f>
        <v>NO TIENE TIEMPO</v>
      </c>
      <c r="CP299" s="15">
        <f>IF('ENCUESTA CONDUCTORES'!CX299="X",1,0)</f>
        <v>0</v>
      </c>
      <c r="CQ299" s="15">
        <f>IF('ENCUESTA CONDUCTORES'!CY299="X",1,0)</f>
        <v>0</v>
      </c>
      <c r="CR299" s="3">
        <f>+'ENCUESTA CONDUCTORES'!CZ299</f>
        <v>0</v>
      </c>
      <c r="CS299" s="49">
        <f>+'ENCUESTA CONDUCTORES'!DA299</f>
        <v>0</v>
      </c>
    </row>
    <row r="300" spans="2:97" x14ac:dyDescent="0.25">
      <c r="B300" s="14" t="str">
        <f>+'ENCUESTA CONDUCTORES'!D300</f>
        <v>C-311</v>
      </c>
      <c r="C300" s="15">
        <f>IF('ENCUESTA CONDUCTORES'!E300="X",1,0)</f>
        <v>0</v>
      </c>
      <c r="D300" s="15">
        <f>IF('ENCUESTA CONDUCTORES'!F300="X",1,0)</f>
        <v>0</v>
      </c>
      <c r="E300" s="15">
        <f>IF('ENCUESTA CONDUCTORES'!G300="X",1,0)</f>
        <v>1</v>
      </c>
      <c r="F300" s="15">
        <f>IF('ENCUESTA CONDUCTORES'!H300="X",1,0)</f>
        <v>0</v>
      </c>
      <c r="G300" s="15">
        <f>+'ENCUESTA CONDUCTORES'!I300</f>
        <v>53</v>
      </c>
      <c r="H300" s="15" t="str">
        <f>+'ENCUESTA CONDUCTORES'!J300</f>
        <v>M</v>
      </c>
      <c r="I300" s="15" t="str">
        <f>+'ENCUESTA CONDUCTORES'!K300</f>
        <v>SECUNDARIA</v>
      </c>
      <c r="J300" s="15" t="str">
        <f>+'ENCUESTA CONDUCTORES'!L300</f>
        <v>TALA, JALISCO</v>
      </c>
      <c r="K300" s="15" t="str">
        <f>+'ENCUESTA CONDUCTORES'!M300</f>
        <v xml:space="preserve">TALA </v>
      </c>
      <c r="L300" s="15" t="str">
        <f>+'ENCUESTA CONDUCTORES'!N300</f>
        <v>JALISCO</v>
      </c>
      <c r="M300" s="15">
        <f>+'ENCUESTA CONDUCTORES'!O300</f>
        <v>33</v>
      </c>
      <c r="N300" s="15">
        <f>IF('ENCUESTA CONDUCTORES'!P300="X",1,0)</f>
        <v>0</v>
      </c>
      <c r="O300" s="15">
        <f>IF('ENCUESTA CONDUCTORES'!Q300="X",1,0)</f>
        <v>0</v>
      </c>
      <c r="P300" s="15">
        <f>IF('ENCUESTA CONDUCTORES'!R300="X",1,0)</f>
        <v>0</v>
      </c>
      <c r="Q300" s="15">
        <f>IF('ENCUESTA CONDUCTORES'!S300="X",1,0)</f>
        <v>1</v>
      </c>
      <c r="R300" s="15">
        <f>IF('ENCUESTA CONDUCTORES'!T300="X",1,0)</f>
        <v>0</v>
      </c>
      <c r="S300" s="15">
        <f>IF('ENCUESTA CONDUCTORES'!U300="X",1,0)</f>
        <v>1</v>
      </c>
      <c r="T300" s="15">
        <f>IF('ENCUESTA CONDUCTORES'!V300="X",1,0)</f>
        <v>0</v>
      </c>
      <c r="U300" s="15">
        <f>IF('ENCUESTA CONDUCTORES'!W300="X",1,0)</f>
        <v>0</v>
      </c>
      <c r="V300" s="15">
        <f>IF('ENCUESTA CONDUCTORES'!X300="X",1,0)</f>
        <v>0</v>
      </c>
      <c r="W300" s="15">
        <f>IF('ENCUESTA CONDUCTORES'!Y300="X",1,0)</f>
        <v>0</v>
      </c>
      <c r="X300" s="15">
        <f>IF('ENCUESTA CONDUCTORES'!Z300="X",1,0)</f>
        <v>0</v>
      </c>
      <c r="Y300" s="15">
        <f>+'ENCUESTA CONDUCTORES'!AG300</f>
        <v>0</v>
      </c>
      <c r="Z300" s="15">
        <f>+'ENCUESTA CONDUCTORES'!AH300</f>
        <v>2001</v>
      </c>
      <c r="AA300" s="1">
        <f>+'ENCUESTA CONDUCTORES'!AI300</f>
        <v>868321</v>
      </c>
      <c r="AB300" s="15">
        <f>IF('ENCUESTA CONDUCTORES'!AJ300="X",1,0)</f>
        <v>0</v>
      </c>
      <c r="AC300" s="15">
        <f>IF('ENCUESTA CONDUCTORES'!AK300="X",1,0)</f>
        <v>0</v>
      </c>
      <c r="AD300" s="15">
        <f>IF('ENCUESTA CONDUCTORES'!AL300="X",1,0)</f>
        <v>1</v>
      </c>
      <c r="AE300" s="15">
        <f>IF('ENCUESTA CONDUCTORES'!AM300="X",1,0)</f>
        <v>0</v>
      </c>
      <c r="AF300" s="15">
        <f>IF('ENCUESTA CONDUCTORES'!AN300="X",1,0)</f>
        <v>0</v>
      </c>
      <c r="AG300" s="15">
        <f>IF('ENCUESTA CONDUCTORES'!AO300="X",1,0)</f>
        <v>1</v>
      </c>
      <c r="AH300" s="15">
        <f>IF('ENCUESTA CONDUCTORES'!AP300="X",1,0)</f>
        <v>0</v>
      </c>
      <c r="AI300" s="15">
        <f>IF('ENCUESTA CONDUCTORES'!AQ300="X",1,0)</f>
        <v>0</v>
      </c>
      <c r="AJ300" s="15">
        <f>IF('ENCUESTA CONDUCTORES'!AR300="X",1,0)</f>
        <v>0</v>
      </c>
      <c r="AK300" s="15">
        <f>+'ENCUESTA CONDUCTORES'!AS300</f>
        <v>0</v>
      </c>
      <c r="AL300" s="15" t="str">
        <f>+'ENCUESTA CONDUCTORES'!AT300</f>
        <v>CUMMINS</v>
      </c>
      <c r="AM300" s="1">
        <f>+'ENCUESTA CONDUCTORES'!AU300</f>
        <v>4000</v>
      </c>
      <c r="AN300" s="48">
        <f>+'ENCUESTA CONDUCTORES'!AV300</f>
        <v>0.2</v>
      </c>
      <c r="AO300" s="15">
        <f>+'ENCUESTA CONDUCTORES'!AW300</f>
        <v>2.7</v>
      </c>
      <c r="AP300" s="15">
        <f>+'ENCUESTA CONDUCTORES'!AX300</f>
        <v>2.4</v>
      </c>
      <c r="AQ300" s="15">
        <f>+'ENCUESTA CONDUCTORES'!AY300</f>
        <v>2</v>
      </c>
      <c r="AR300" s="15">
        <f>+'ENCUESTA CONDUCTORES'!AZ300</f>
        <v>850</v>
      </c>
      <c r="AS300" s="15">
        <f>+'ENCUESTA CONDUCTORES'!BA300</f>
        <v>2200</v>
      </c>
      <c r="AT300" s="15">
        <f>IF('ENCUESTA CONDUCTORES'!BB300="X",1,0)</f>
        <v>1</v>
      </c>
      <c r="AU300" s="15">
        <f>IF('ENCUESTA CONDUCTORES'!BC300="X",1,0)</f>
        <v>1</v>
      </c>
      <c r="AV300" s="15">
        <f>IF('ENCUESTA CONDUCTORES'!BD300="X",1,0)</f>
        <v>0</v>
      </c>
      <c r="AW300" s="1">
        <f>+'ENCUESTA CONDUCTORES'!BE300</f>
        <v>20000</v>
      </c>
      <c r="AX300" s="1" t="str">
        <f>+'ENCUESTA CONDUCTORES'!BF300</f>
        <v>NO SABE</v>
      </c>
      <c r="AY300" s="1">
        <f>+'ENCUESTA CONDUCTORES'!BG300</f>
        <v>20000</v>
      </c>
      <c r="AZ300" s="1">
        <f>+'ENCUESTA CONDUCTORES'!BH300</f>
        <v>100000</v>
      </c>
      <c r="BA300" s="1" t="str">
        <f>+'ENCUESTA CONDUCTORES'!BI300</f>
        <v>NO SABE</v>
      </c>
      <c r="BB300" s="15">
        <f>IF('ENCUESTA CONDUCTORES'!BJ300="X",1,0)</f>
        <v>0</v>
      </c>
      <c r="BC300" s="15">
        <f>IF('ENCUESTA CONDUCTORES'!BK300="X",1,0)</f>
        <v>1</v>
      </c>
      <c r="BD300" s="15">
        <f>IF('ENCUESTA CONDUCTORES'!BL300="X",1,0)</f>
        <v>0</v>
      </c>
      <c r="BE300" s="15">
        <f>IF('ENCUESTA CONDUCTORES'!BM300="X",1,0)</f>
        <v>0</v>
      </c>
      <c r="BF300" s="15">
        <f>IF('ENCUESTA CONDUCTORES'!BN300="X",1,0)</f>
        <v>0</v>
      </c>
      <c r="BG300" s="15">
        <f>IF('ENCUESTA CONDUCTORES'!BO300="X",1,0)</f>
        <v>0</v>
      </c>
      <c r="BH300" s="15">
        <f>IF('ENCUESTA CONDUCTORES'!BP300="X",1,0)</f>
        <v>0</v>
      </c>
      <c r="BI300" s="15">
        <f>IF('ENCUESTA CONDUCTORES'!BQ300="X",1,0)</f>
        <v>0</v>
      </c>
      <c r="BJ300" s="15">
        <f>IF('ENCUESTA CONDUCTORES'!BR300="X",1,0)</f>
        <v>0</v>
      </c>
      <c r="BK300" s="15">
        <f>+'ENCUESTA CONDUCTORES'!BS300</f>
        <v>0</v>
      </c>
      <c r="BL300" s="15">
        <f>IF('ENCUESTA CONDUCTORES'!BT300="X",1,0)</f>
        <v>0</v>
      </c>
      <c r="BM300" s="15">
        <f>IF('ENCUESTA CONDUCTORES'!BU300="X",1,0)</f>
        <v>1</v>
      </c>
      <c r="BN300" s="15">
        <f>IF('ENCUESTA CONDUCTORES'!BV300="X",1,0)</f>
        <v>0</v>
      </c>
      <c r="BO300" s="15">
        <f>IF('ENCUESTA CONDUCTORES'!BW300="X",1,0)</f>
        <v>0</v>
      </c>
      <c r="BP300" s="15">
        <f>+'ENCUESTA CONDUCTORES'!BX300</f>
        <v>1</v>
      </c>
      <c r="BQ300" s="15">
        <f>+'ENCUESTA CONDUCTORES'!BY300</f>
        <v>3</v>
      </c>
      <c r="BR300" s="15">
        <f>+'ENCUESTA CONDUCTORES'!BZ300</f>
        <v>2</v>
      </c>
      <c r="BS300" s="15">
        <f>+'ENCUESTA CONDUCTORES'!CA300</f>
        <v>0</v>
      </c>
      <c r="BT300" s="15">
        <f>IF('ENCUESTA CONDUCTORES'!CB300="X",1,0)</f>
        <v>1</v>
      </c>
      <c r="BU300" s="15">
        <f>IF('ENCUESTA CONDUCTORES'!CC300="X",1,0)</f>
        <v>0</v>
      </c>
      <c r="BV300" s="15">
        <f>IF('ENCUESTA CONDUCTORES'!CD300="X",1,0)</f>
        <v>0</v>
      </c>
      <c r="BW300" s="15">
        <f>IF('ENCUESTA CONDUCTORES'!CE300="X",1,0)</f>
        <v>0</v>
      </c>
      <c r="BX300" s="15">
        <f>IF('ENCUESTA CONDUCTORES'!CF300="X",1,0)</f>
        <v>0</v>
      </c>
      <c r="BY300" s="15">
        <f>IF('ENCUESTA CONDUCTORES'!CG300="X",1,0)</f>
        <v>0</v>
      </c>
      <c r="BZ300" s="15">
        <f>IF('ENCUESTA CONDUCTORES'!CH300="X",1,0)</f>
        <v>0</v>
      </c>
      <c r="CA300" s="15">
        <f>IF('ENCUESTA CONDUCTORES'!CI300="X",1,0)</f>
        <v>0</v>
      </c>
      <c r="CB300" s="15">
        <f>IF('ENCUESTA CONDUCTORES'!CJ300="X",1,0)</f>
        <v>0</v>
      </c>
      <c r="CC300" s="15">
        <f>IF('ENCUESTA CONDUCTORES'!CK300="X",1,0)</f>
        <v>1</v>
      </c>
      <c r="CD300" s="15">
        <f>IF('ENCUESTA CONDUCTORES'!CL300="X",1,0)</f>
        <v>0</v>
      </c>
      <c r="CE300" s="15">
        <f>IF('ENCUESTA CONDUCTORES'!CM300="X",1,0)</f>
        <v>0</v>
      </c>
      <c r="CF300" s="15">
        <f>+'ENCUESTA CONDUCTORES'!CN300</f>
        <v>0</v>
      </c>
      <c r="CG300" s="15">
        <f>IF('ENCUESTA CONDUCTORES'!CO300="X",1,0)</f>
        <v>0</v>
      </c>
      <c r="CH300" s="15" t="str">
        <f>+'ENCUESTA CONDUCTORES'!CP300</f>
        <v>NO SABE</v>
      </c>
      <c r="CI300" s="15" t="str">
        <f>+'ENCUESTA CONDUCTORES'!CQ300</f>
        <v>NO SABE</v>
      </c>
      <c r="CJ300" s="15">
        <f>IF('ENCUESTA CONDUCTORES'!CR300="X",1,0)</f>
        <v>1</v>
      </c>
      <c r="CK300" s="15">
        <f>IF('ENCUESTA CONDUCTORES'!CS300="X",1,0)</f>
        <v>0</v>
      </c>
      <c r="CL300" s="15">
        <f>IF('ENCUESTA CONDUCTORES'!CT300="X",1,0)</f>
        <v>0</v>
      </c>
      <c r="CM300" s="15">
        <f>+'ENCUESTA CONDUCTORES'!CU300</f>
        <v>0</v>
      </c>
      <c r="CN300" s="15">
        <f>IF('ENCUESTA CONDUCTORES'!CV300="X",1,0)</f>
        <v>0</v>
      </c>
      <c r="CO300" s="15">
        <f>+'ENCUESTA CONDUCTORES'!CW300</f>
        <v>0</v>
      </c>
      <c r="CP300" s="15">
        <f>IF('ENCUESTA CONDUCTORES'!CX300="X",1,0)</f>
        <v>0</v>
      </c>
      <c r="CQ300" s="15">
        <f>IF('ENCUESTA CONDUCTORES'!CY300="X",1,0)</f>
        <v>1</v>
      </c>
      <c r="CR300" s="3">
        <f>+'ENCUESTA CONDUCTORES'!CZ300</f>
        <v>0</v>
      </c>
      <c r="CS300" s="49">
        <f>+'ENCUESTA CONDUCTORES'!DA300</f>
        <v>0</v>
      </c>
    </row>
    <row r="301" spans="2:97" x14ac:dyDescent="0.25">
      <c r="B301" s="14" t="str">
        <f>+'ENCUESTA CONDUCTORES'!D301</f>
        <v>C-312</v>
      </c>
      <c r="C301" s="15">
        <f>IF('ENCUESTA CONDUCTORES'!E301="X",1,0)</f>
        <v>1</v>
      </c>
      <c r="D301" s="15">
        <f>IF('ENCUESTA CONDUCTORES'!F301="X",1,0)</f>
        <v>0</v>
      </c>
      <c r="E301" s="15">
        <f>IF('ENCUESTA CONDUCTORES'!G301="X",1,0)</f>
        <v>0</v>
      </c>
      <c r="F301" s="15">
        <f>IF('ENCUESTA CONDUCTORES'!H301="X",1,0)</f>
        <v>0</v>
      </c>
      <c r="G301" s="15">
        <f>+'ENCUESTA CONDUCTORES'!I301</f>
        <v>63</v>
      </c>
      <c r="H301" s="15" t="str">
        <f>+'ENCUESTA CONDUCTORES'!J301</f>
        <v>M</v>
      </c>
      <c r="I301" s="15" t="str">
        <f>+'ENCUESTA CONDUCTORES'!K301</f>
        <v>SIN ESTUDIOS</v>
      </c>
      <c r="J301" s="15" t="str">
        <f>+'ENCUESTA CONDUCTORES'!L301</f>
        <v>PUEBLA, PUE</v>
      </c>
      <c r="K301" s="15" t="str">
        <f>+'ENCUESTA CONDUCTORES'!M301</f>
        <v>PUEBLA</v>
      </c>
      <c r="L301" s="15" t="str">
        <f>+'ENCUESTA CONDUCTORES'!N301</f>
        <v>PUEBLA</v>
      </c>
      <c r="M301" s="15">
        <f>+'ENCUESTA CONDUCTORES'!O301</f>
        <v>40</v>
      </c>
      <c r="N301" s="15">
        <f>IF('ENCUESTA CONDUCTORES'!P301="X",1,0)</f>
        <v>0</v>
      </c>
      <c r="O301" s="15">
        <f>IF('ENCUESTA CONDUCTORES'!Q301="X",1,0)</f>
        <v>1</v>
      </c>
      <c r="P301" s="15">
        <f>IF('ENCUESTA CONDUCTORES'!R301="X",1,0)</f>
        <v>0</v>
      </c>
      <c r="Q301" s="15">
        <f>IF('ENCUESTA CONDUCTORES'!S301="X",1,0)</f>
        <v>0</v>
      </c>
      <c r="R301" s="15">
        <f>IF('ENCUESTA CONDUCTORES'!T301="X",1,0)</f>
        <v>0</v>
      </c>
      <c r="S301" s="15">
        <f>IF('ENCUESTA CONDUCTORES'!U301="X",1,0)</f>
        <v>0</v>
      </c>
      <c r="T301" s="15">
        <f>IF('ENCUESTA CONDUCTORES'!V301="X",1,0)</f>
        <v>0</v>
      </c>
      <c r="U301" s="15">
        <f>IF('ENCUESTA CONDUCTORES'!W301="X",1,0)</f>
        <v>0</v>
      </c>
      <c r="V301" s="15">
        <f>IF('ENCUESTA CONDUCTORES'!X301="X",1,0)</f>
        <v>0</v>
      </c>
      <c r="W301" s="15">
        <f>IF('ENCUESTA CONDUCTORES'!Y301="X",1,0)</f>
        <v>0</v>
      </c>
      <c r="X301" s="15">
        <f>IF('ENCUESTA CONDUCTORES'!Z301="X",1,0)</f>
        <v>0</v>
      </c>
      <c r="Y301" s="15">
        <f>+'ENCUESTA CONDUCTORES'!AG301</f>
        <v>0</v>
      </c>
      <c r="Z301" s="15">
        <f>+'ENCUESTA CONDUCTORES'!AH301</f>
        <v>1987</v>
      </c>
      <c r="AA301" s="1" t="str">
        <f>+'ENCUESTA CONDUCTORES'!AI301</f>
        <v>DAÑADO</v>
      </c>
      <c r="AB301" s="15">
        <f>IF('ENCUESTA CONDUCTORES'!AJ301="X",1,0)</f>
        <v>0</v>
      </c>
      <c r="AC301" s="15">
        <f>IF('ENCUESTA CONDUCTORES'!AK301="X",1,0)</f>
        <v>0</v>
      </c>
      <c r="AD301" s="15">
        <f>IF('ENCUESTA CONDUCTORES'!AL301="X",1,0)</f>
        <v>1</v>
      </c>
      <c r="AE301" s="15">
        <f>IF('ENCUESTA CONDUCTORES'!AM301="X",1,0)</f>
        <v>0</v>
      </c>
      <c r="AF301" s="15">
        <f>IF('ENCUESTA CONDUCTORES'!AN301="X",1,0)</f>
        <v>0</v>
      </c>
      <c r="AG301" s="15">
        <f>IF('ENCUESTA CONDUCTORES'!AO301="X",1,0)</f>
        <v>1</v>
      </c>
      <c r="AH301" s="15">
        <f>IF('ENCUESTA CONDUCTORES'!AP301="X",1,0)</f>
        <v>0</v>
      </c>
      <c r="AI301" s="15">
        <f>IF('ENCUESTA CONDUCTORES'!AQ301="X",1,0)</f>
        <v>0</v>
      </c>
      <c r="AJ301" s="15">
        <f>IF('ENCUESTA CONDUCTORES'!AR301="X",1,0)</f>
        <v>0</v>
      </c>
      <c r="AK301" s="15">
        <f>+'ENCUESTA CONDUCTORES'!AS301</f>
        <v>0</v>
      </c>
      <c r="AL301" s="15" t="str">
        <f>+'ENCUESTA CONDUCTORES'!AT301</f>
        <v>MERCEDES BENZ</v>
      </c>
      <c r="AM301" s="1">
        <f>+'ENCUESTA CONDUCTORES'!AU301</f>
        <v>6000</v>
      </c>
      <c r="AN301" s="48">
        <f>+'ENCUESTA CONDUCTORES'!AV301</f>
        <v>0.1</v>
      </c>
      <c r="AO301" s="15">
        <f>+'ENCUESTA CONDUCTORES'!AW301</f>
        <v>3.5</v>
      </c>
      <c r="AP301" s="15">
        <f>+'ENCUESTA CONDUCTORES'!AX301</f>
        <v>3</v>
      </c>
      <c r="AQ301" s="15">
        <f>+'ENCUESTA CONDUCTORES'!AY301</f>
        <v>2</v>
      </c>
      <c r="AR301" s="15">
        <f>+'ENCUESTA CONDUCTORES'!AZ301</f>
        <v>450</v>
      </c>
      <c r="AS301" s="15">
        <f>+'ENCUESTA CONDUCTORES'!BA301</f>
        <v>1500</v>
      </c>
      <c r="AT301" s="15">
        <f>IF('ENCUESTA CONDUCTORES'!BB301="X",1,0)</f>
        <v>0</v>
      </c>
      <c r="AU301" s="15">
        <f>IF('ENCUESTA CONDUCTORES'!BC301="X",1,0)</f>
        <v>0</v>
      </c>
      <c r="AV301" s="15">
        <f>IF('ENCUESTA CONDUCTORES'!BD301="X",1,0)</f>
        <v>0</v>
      </c>
      <c r="AW301" s="1">
        <f>+'ENCUESTA CONDUCTORES'!BE301</f>
        <v>30000</v>
      </c>
      <c r="AX301" s="1" t="str">
        <f>+'ENCUESTA CONDUCTORES'!BF301</f>
        <v>NO SABE</v>
      </c>
      <c r="AY301" s="1">
        <f>+'ENCUESTA CONDUCTORES'!BG301</f>
        <v>30000</v>
      </c>
      <c r="AZ301" s="1" t="str">
        <f>+'ENCUESTA CONDUCTORES'!BH301</f>
        <v>NO SABE</v>
      </c>
      <c r="BA301" s="1" t="str">
        <f>+'ENCUESTA CONDUCTORES'!BI301</f>
        <v>NO SABE</v>
      </c>
      <c r="BB301" s="15">
        <f>IF('ENCUESTA CONDUCTORES'!BJ301="X",1,0)</f>
        <v>1</v>
      </c>
      <c r="BC301" s="15">
        <f>IF('ENCUESTA CONDUCTORES'!BK301="X",1,0)</f>
        <v>0</v>
      </c>
      <c r="BD301" s="15">
        <f>IF('ENCUESTA CONDUCTORES'!BL301="X",1,0)</f>
        <v>0</v>
      </c>
      <c r="BE301" s="15">
        <f>IF('ENCUESTA CONDUCTORES'!BM301="X",1,0)</f>
        <v>0</v>
      </c>
      <c r="BF301" s="15">
        <f>IF('ENCUESTA CONDUCTORES'!BN301="X",1,0)</f>
        <v>0</v>
      </c>
      <c r="BG301" s="15">
        <f>IF('ENCUESTA CONDUCTORES'!BO301="X",1,0)</f>
        <v>1</v>
      </c>
      <c r="BH301" s="15">
        <f>IF('ENCUESTA CONDUCTORES'!BP301="X",1,0)</f>
        <v>0</v>
      </c>
      <c r="BI301" s="15">
        <f>IF('ENCUESTA CONDUCTORES'!BQ301="X",1,0)</f>
        <v>0</v>
      </c>
      <c r="BJ301" s="15">
        <f>IF('ENCUESTA CONDUCTORES'!BR301="X",1,0)</f>
        <v>0</v>
      </c>
      <c r="BK301" s="15">
        <f>+'ENCUESTA CONDUCTORES'!BS301</f>
        <v>0</v>
      </c>
      <c r="BL301" s="15">
        <f>IF('ENCUESTA CONDUCTORES'!BT301="X",1,0)</f>
        <v>1</v>
      </c>
      <c r="BM301" s="15">
        <f>IF('ENCUESTA CONDUCTORES'!BU301="X",1,0)</f>
        <v>0</v>
      </c>
      <c r="BN301" s="15">
        <f>IF('ENCUESTA CONDUCTORES'!BV301="X",1,0)</f>
        <v>0</v>
      </c>
      <c r="BO301" s="15">
        <f>IF('ENCUESTA CONDUCTORES'!BW301="X",1,0)</f>
        <v>0</v>
      </c>
      <c r="BP301" s="15">
        <f>+'ENCUESTA CONDUCTORES'!BX301</f>
        <v>3</v>
      </c>
      <c r="BQ301" s="15">
        <f>+'ENCUESTA CONDUCTORES'!BY301</f>
        <v>1</v>
      </c>
      <c r="BR301" s="15">
        <f>+'ENCUESTA CONDUCTORES'!BZ301</f>
        <v>2</v>
      </c>
      <c r="BS301" s="15">
        <f>+'ENCUESTA CONDUCTORES'!CA301</f>
        <v>0</v>
      </c>
      <c r="BT301" s="15">
        <f>IF('ENCUESTA CONDUCTORES'!CB301="X",1,0)</f>
        <v>1</v>
      </c>
      <c r="BU301" s="15">
        <f>IF('ENCUESTA CONDUCTORES'!CC301="X",1,0)</f>
        <v>0</v>
      </c>
      <c r="BV301" s="15">
        <f>IF('ENCUESTA CONDUCTORES'!CD301="X",1,0)</f>
        <v>0</v>
      </c>
      <c r="BW301" s="15">
        <f>IF('ENCUESTA CONDUCTORES'!CE301="X",1,0)</f>
        <v>0</v>
      </c>
      <c r="BX301" s="15">
        <f>IF('ENCUESTA CONDUCTORES'!CF301="X",1,0)</f>
        <v>0</v>
      </c>
      <c r="BY301" s="15">
        <f>IF('ENCUESTA CONDUCTORES'!CG301="X",1,0)</f>
        <v>0</v>
      </c>
      <c r="BZ301" s="15">
        <f>IF('ENCUESTA CONDUCTORES'!CH301="X",1,0)</f>
        <v>0</v>
      </c>
      <c r="CA301" s="15">
        <f>IF('ENCUESTA CONDUCTORES'!CI301="X",1,0)</f>
        <v>0</v>
      </c>
      <c r="CB301" s="15">
        <f>IF('ENCUESTA CONDUCTORES'!CJ301="X",1,0)</f>
        <v>0</v>
      </c>
      <c r="CC301" s="15">
        <f>IF('ENCUESTA CONDUCTORES'!CK301="X",1,0)</f>
        <v>1</v>
      </c>
      <c r="CD301" s="15">
        <f>IF('ENCUESTA CONDUCTORES'!CL301="X",1,0)</f>
        <v>0</v>
      </c>
      <c r="CE301" s="15">
        <f>IF('ENCUESTA CONDUCTORES'!CM301="X",1,0)</f>
        <v>0</v>
      </c>
      <c r="CF301" s="15">
        <f>+'ENCUESTA CONDUCTORES'!CN301</f>
        <v>0</v>
      </c>
      <c r="CG301" s="15">
        <f>IF('ENCUESTA CONDUCTORES'!CO301="X",1,0)</f>
        <v>0</v>
      </c>
      <c r="CH301" s="15" t="str">
        <f>+'ENCUESTA CONDUCTORES'!CP301</f>
        <v>NO SABE</v>
      </c>
      <c r="CI301" s="15" t="str">
        <f>+'ENCUESTA CONDUCTORES'!CQ301</f>
        <v>NO SABE</v>
      </c>
      <c r="CJ301" s="15">
        <f>IF('ENCUESTA CONDUCTORES'!CR301="X",1,0)</f>
        <v>1</v>
      </c>
      <c r="CK301" s="15">
        <f>IF('ENCUESTA CONDUCTORES'!CS301="X",1,0)</f>
        <v>0</v>
      </c>
      <c r="CL301" s="15">
        <f>IF('ENCUESTA CONDUCTORES'!CT301="X",1,0)</f>
        <v>0</v>
      </c>
      <c r="CM301" s="15">
        <f>+'ENCUESTA CONDUCTORES'!CU301</f>
        <v>0</v>
      </c>
      <c r="CN301" s="15">
        <f>IF('ENCUESTA CONDUCTORES'!CV301="X",1,0)</f>
        <v>1</v>
      </c>
      <c r="CO301" s="15" t="str">
        <f>+'ENCUESTA CONDUCTORES'!CW301</f>
        <v>NO TIENE TIEMPO</v>
      </c>
      <c r="CP301" s="15">
        <f>IF('ENCUESTA CONDUCTORES'!CX301="X",1,0)</f>
        <v>0</v>
      </c>
      <c r="CQ301" s="15">
        <f>IF('ENCUESTA CONDUCTORES'!CY301="X",1,0)</f>
        <v>0</v>
      </c>
      <c r="CR301" s="3">
        <f>+'ENCUESTA CONDUCTORES'!CZ301</f>
        <v>0</v>
      </c>
      <c r="CS301" s="49">
        <f>+'ENCUESTA CONDUCTORES'!DA301</f>
        <v>0</v>
      </c>
    </row>
    <row r="302" spans="2:97" x14ac:dyDescent="0.25">
      <c r="B302" s="14" t="str">
        <f>+'ENCUESTA CONDUCTORES'!D302</f>
        <v>C-313</v>
      </c>
      <c r="C302" s="15">
        <f>IF('ENCUESTA CONDUCTORES'!E302="X",1,0)</f>
        <v>0</v>
      </c>
      <c r="D302" s="15">
        <f>IF('ENCUESTA CONDUCTORES'!F302="X",1,0)</f>
        <v>0</v>
      </c>
      <c r="E302" s="15">
        <f>IF('ENCUESTA CONDUCTORES'!G302="X",1,0)</f>
        <v>0</v>
      </c>
      <c r="F302" s="15">
        <f>IF('ENCUESTA CONDUCTORES'!H302="X",1,0)</f>
        <v>1</v>
      </c>
      <c r="G302" s="15">
        <f>+'ENCUESTA CONDUCTORES'!I302</f>
        <v>28</v>
      </c>
      <c r="H302" s="15" t="str">
        <f>+'ENCUESTA CONDUCTORES'!J302</f>
        <v>M</v>
      </c>
      <c r="I302" s="15" t="str">
        <f>+'ENCUESTA CONDUCTORES'!K302</f>
        <v>PREPARATORIA</v>
      </c>
      <c r="J302" s="15" t="str">
        <f>+'ENCUESTA CONDUCTORES'!L302</f>
        <v>ORIZABA, VERACRUZ</v>
      </c>
      <c r="K302" s="15" t="str">
        <f>+'ENCUESTA CONDUCTORES'!M302</f>
        <v>ORIZABA</v>
      </c>
      <c r="L302" s="15" t="str">
        <f>+'ENCUESTA CONDUCTORES'!N302</f>
        <v>VERACRUZ</v>
      </c>
      <c r="M302" s="15">
        <f>+'ENCUESTA CONDUCTORES'!O302</f>
        <v>11</v>
      </c>
      <c r="N302" s="15">
        <f>IF('ENCUESTA CONDUCTORES'!P302="X",1,0)</f>
        <v>0</v>
      </c>
      <c r="O302" s="15">
        <f>IF('ENCUESTA CONDUCTORES'!Q302="X",1,0)</f>
        <v>0</v>
      </c>
      <c r="P302" s="15">
        <f>IF('ENCUESTA CONDUCTORES'!R302="X",1,0)</f>
        <v>0</v>
      </c>
      <c r="Q302" s="15">
        <f>IF('ENCUESTA CONDUCTORES'!S302="X",1,0)</f>
        <v>1</v>
      </c>
      <c r="R302" s="15">
        <f>IF('ENCUESTA CONDUCTORES'!T302="X",1,0)</f>
        <v>0</v>
      </c>
      <c r="S302" s="15">
        <f>IF('ENCUESTA CONDUCTORES'!U302="X",1,0)</f>
        <v>1</v>
      </c>
      <c r="T302" s="15">
        <f>IF('ENCUESTA CONDUCTORES'!V302="X",1,0)</f>
        <v>0</v>
      </c>
      <c r="U302" s="15">
        <f>IF('ENCUESTA CONDUCTORES'!W302="X",1,0)</f>
        <v>0</v>
      </c>
      <c r="V302" s="15">
        <f>IF('ENCUESTA CONDUCTORES'!X302="X",1,0)</f>
        <v>0</v>
      </c>
      <c r="W302" s="15">
        <f>IF('ENCUESTA CONDUCTORES'!Y302="X",1,0)</f>
        <v>0</v>
      </c>
      <c r="X302" s="15">
        <f>IF('ENCUESTA CONDUCTORES'!Z302="X",1,0)</f>
        <v>0</v>
      </c>
      <c r="Y302" s="15">
        <f>+'ENCUESTA CONDUCTORES'!AG302</f>
        <v>0</v>
      </c>
      <c r="Z302" s="15">
        <f>+'ENCUESTA CONDUCTORES'!AH302</f>
        <v>2007</v>
      </c>
      <c r="AA302" s="1">
        <f>+'ENCUESTA CONDUCTORES'!AI302</f>
        <v>598301</v>
      </c>
      <c r="AB302" s="15">
        <f>IF('ENCUESTA CONDUCTORES'!AJ302="X",1,0)</f>
        <v>0</v>
      </c>
      <c r="AC302" s="15">
        <f>IF('ENCUESTA CONDUCTORES'!AK302="X",1,0)</f>
        <v>0</v>
      </c>
      <c r="AD302" s="15">
        <f>IF('ENCUESTA CONDUCTORES'!AL302="X",1,0)</f>
        <v>1</v>
      </c>
      <c r="AE302" s="15">
        <f>IF('ENCUESTA CONDUCTORES'!AM302="X",1,0)</f>
        <v>0</v>
      </c>
      <c r="AF302" s="15">
        <f>IF('ENCUESTA CONDUCTORES'!AN302="X",1,0)</f>
        <v>0</v>
      </c>
      <c r="AG302" s="15">
        <f>IF('ENCUESTA CONDUCTORES'!AO302="X",1,0)</f>
        <v>0</v>
      </c>
      <c r="AH302" s="15">
        <f>IF('ENCUESTA CONDUCTORES'!AP302="X",1,0)</f>
        <v>1</v>
      </c>
      <c r="AI302" s="15">
        <f>IF('ENCUESTA CONDUCTORES'!AQ302="X",1,0)</f>
        <v>0</v>
      </c>
      <c r="AJ302" s="15">
        <f>IF('ENCUESTA CONDUCTORES'!AR302="X",1,0)</f>
        <v>0</v>
      </c>
      <c r="AK302" s="15">
        <f>+'ENCUESTA CONDUCTORES'!AS302</f>
        <v>0</v>
      </c>
      <c r="AL302" s="15" t="str">
        <f>+'ENCUESTA CONDUCTORES'!AT302</f>
        <v>CUMMINS</v>
      </c>
      <c r="AM302" s="1">
        <f>+'ENCUESTA CONDUCTORES'!AU302</f>
        <v>8000</v>
      </c>
      <c r="AN302" s="48">
        <f>+'ENCUESTA CONDUCTORES'!AV302</f>
        <v>0.05</v>
      </c>
      <c r="AO302" s="15">
        <f>+'ENCUESTA CONDUCTORES'!AW302</f>
        <v>2.7</v>
      </c>
      <c r="AP302" s="15">
        <f>+'ENCUESTA CONDUCTORES'!AX302</f>
        <v>2.5</v>
      </c>
      <c r="AQ302" s="15">
        <f>+'ENCUESTA CONDUCTORES'!AY302</f>
        <v>2</v>
      </c>
      <c r="AR302" s="15">
        <f>+'ENCUESTA CONDUCTORES'!AZ302</f>
        <v>960</v>
      </c>
      <c r="AS302" s="15">
        <f>+'ENCUESTA CONDUCTORES'!BA302</f>
        <v>2500</v>
      </c>
      <c r="AT302" s="15">
        <f>IF('ENCUESTA CONDUCTORES'!BB302="X",1,0)</f>
        <v>1</v>
      </c>
      <c r="AU302" s="15">
        <f>IF('ENCUESTA CONDUCTORES'!BC302="X",1,0)</f>
        <v>1</v>
      </c>
      <c r="AV302" s="15">
        <f>IF('ENCUESTA CONDUCTORES'!BD302="X",1,0)</f>
        <v>0</v>
      </c>
      <c r="AW302" s="1">
        <f>+'ENCUESTA CONDUCTORES'!BE302</f>
        <v>24000</v>
      </c>
      <c r="AX302" s="1">
        <f>+'ENCUESTA CONDUCTORES'!BF302</f>
        <v>200000</v>
      </c>
      <c r="AY302" s="1">
        <f>+'ENCUESTA CONDUCTORES'!BG302</f>
        <v>24000</v>
      </c>
      <c r="AZ302" s="1">
        <f>+'ENCUESTA CONDUCTORES'!BH302</f>
        <v>120000</v>
      </c>
      <c r="BA302" s="1" t="str">
        <f>+'ENCUESTA CONDUCTORES'!BI302</f>
        <v>NO SABE</v>
      </c>
      <c r="BB302" s="15">
        <f>IF('ENCUESTA CONDUCTORES'!BJ302="X",1,0)</f>
        <v>0</v>
      </c>
      <c r="BC302" s="15">
        <f>IF('ENCUESTA CONDUCTORES'!BK302="X",1,0)</f>
        <v>1</v>
      </c>
      <c r="BD302" s="15">
        <f>IF('ENCUESTA CONDUCTORES'!BL302="X",1,0)</f>
        <v>0</v>
      </c>
      <c r="BE302" s="15">
        <f>IF('ENCUESTA CONDUCTORES'!BM302="X",1,0)</f>
        <v>0</v>
      </c>
      <c r="BF302" s="15">
        <f>IF('ENCUESTA CONDUCTORES'!BN302="X",1,0)</f>
        <v>1</v>
      </c>
      <c r="BG302" s="15">
        <f>IF('ENCUESTA CONDUCTORES'!BO302="X",1,0)</f>
        <v>0</v>
      </c>
      <c r="BH302" s="15">
        <f>IF('ENCUESTA CONDUCTORES'!BP302="X",1,0)</f>
        <v>0</v>
      </c>
      <c r="BI302" s="15">
        <f>IF('ENCUESTA CONDUCTORES'!BQ302="X",1,0)</f>
        <v>0</v>
      </c>
      <c r="BJ302" s="15">
        <f>IF('ENCUESTA CONDUCTORES'!BR302="X",1,0)</f>
        <v>0</v>
      </c>
      <c r="BK302" s="15">
        <f>+'ENCUESTA CONDUCTORES'!BS302</f>
        <v>0</v>
      </c>
      <c r="BL302" s="15">
        <f>IF('ENCUESTA CONDUCTORES'!BT302="X",1,0)</f>
        <v>0</v>
      </c>
      <c r="BM302" s="15">
        <f>IF('ENCUESTA CONDUCTORES'!BU302="X",1,0)</f>
        <v>1</v>
      </c>
      <c r="BN302" s="15">
        <f>IF('ENCUESTA CONDUCTORES'!BV302="X",1,0)</f>
        <v>0</v>
      </c>
      <c r="BO302" s="15">
        <f>IF('ENCUESTA CONDUCTORES'!BW302="X",1,0)</f>
        <v>0</v>
      </c>
      <c r="BP302" s="15">
        <f>+'ENCUESTA CONDUCTORES'!BX302</f>
        <v>1</v>
      </c>
      <c r="BQ302" s="15">
        <f>+'ENCUESTA CONDUCTORES'!BY302</f>
        <v>3</v>
      </c>
      <c r="BR302" s="15">
        <f>+'ENCUESTA CONDUCTORES'!BZ302</f>
        <v>2</v>
      </c>
      <c r="BS302" s="15">
        <f>+'ENCUESTA CONDUCTORES'!CA302</f>
        <v>0</v>
      </c>
      <c r="BT302" s="15">
        <f>IF('ENCUESTA CONDUCTORES'!CB302="X",1,0)</f>
        <v>0</v>
      </c>
      <c r="BU302" s="15">
        <f>IF('ENCUESTA CONDUCTORES'!CC302="X",1,0)</f>
        <v>1</v>
      </c>
      <c r="BV302" s="15">
        <f>IF('ENCUESTA CONDUCTORES'!CD302="X",1,0)</f>
        <v>0</v>
      </c>
      <c r="BW302" s="15">
        <f>IF('ENCUESTA CONDUCTORES'!CE302="X",1,0)</f>
        <v>0</v>
      </c>
      <c r="BX302" s="15">
        <f>IF('ENCUESTA CONDUCTORES'!CF302="X",1,0)</f>
        <v>0</v>
      </c>
      <c r="BY302" s="15">
        <f>IF('ENCUESTA CONDUCTORES'!CG302="X",1,0)</f>
        <v>0</v>
      </c>
      <c r="BZ302" s="15">
        <f>IF('ENCUESTA CONDUCTORES'!CH302="X",1,0)</f>
        <v>1</v>
      </c>
      <c r="CA302" s="15">
        <f>IF('ENCUESTA CONDUCTORES'!CI302="X",1,0)</f>
        <v>0</v>
      </c>
      <c r="CB302" s="15">
        <f>IF('ENCUESTA CONDUCTORES'!CJ302="X",1,0)</f>
        <v>0</v>
      </c>
      <c r="CC302" s="15">
        <f>IF('ENCUESTA CONDUCTORES'!CK302="X",1,0)</f>
        <v>1</v>
      </c>
      <c r="CD302" s="15">
        <f>IF('ENCUESTA CONDUCTORES'!CL302="X",1,0)</f>
        <v>0</v>
      </c>
      <c r="CE302" s="15">
        <f>IF('ENCUESTA CONDUCTORES'!CM302="X",1,0)</f>
        <v>0</v>
      </c>
      <c r="CF302" s="15">
        <f>+'ENCUESTA CONDUCTORES'!CN302</f>
        <v>0</v>
      </c>
      <c r="CG302" s="15">
        <f>IF('ENCUESTA CONDUCTORES'!CO302="X",1,0)</f>
        <v>0</v>
      </c>
      <c r="CH302" s="15" t="str">
        <f>+'ENCUESTA CONDUCTORES'!CP302</f>
        <v>NO SABE</v>
      </c>
      <c r="CI302" s="15" t="str">
        <f>+'ENCUESTA CONDUCTORES'!CQ302</f>
        <v>NO SABE</v>
      </c>
      <c r="CJ302" s="15">
        <f>IF('ENCUESTA CONDUCTORES'!CR302="X",1,0)</f>
        <v>0</v>
      </c>
      <c r="CK302" s="15">
        <f>IF('ENCUESTA CONDUCTORES'!CS302="X",1,0)</f>
        <v>0</v>
      </c>
      <c r="CL302" s="15">
        <f>IF('ENCUESTA CONDUCTORES'!CT302="X",1,0)</f>
        <v>0</v>
      </c>
      <c r="CM302" s="15">
        <f>+'ENCUESTA CONDUCTORES'!CU302</f>
        <v>0</v>
      </c>
      <c r="CN302" s="15">
        <f>IF('ENCUESTA CONDUCTORES'!CV302="X",1,0)</f>
        <v>0</v>
      </c>
      <c r="CO302" s="15">
        <f>+'ENCUESTA CONDUCTORES'!CW302</f>
        <v>0</v>
      </c>
      <c r="CP302" s="15">
        <f>IF('ENCUESTA CONDUCTORES'!CX302="X",1,0)</f>
        <v>1</v>
      </c>
      <c r="CQ302" s="15">
        <f>IF('ENCUESTA CONDUCTORES'!CY302="X",1,0)</f>
        <v>0</v>
      </c>
      <c r="CR302" s="3">
        <f>+'ENCUESTA CONDUCTORES'!CZ302</f>
        <v>0</v>
      </c>
      <c r="CS302" s="49">
        <f>+'ENCUESTA CONDUCTORES'!DA302</f>
        <v>0</v>
      </c>
    </row>
    <row r="303" spans="2:97" x14ac:dyDescent="0.25">
      <c r="B303" s="14" t="str">
        <f>+'ENCUESTA CONDUCTORES'!D303</f>
        <v>C-314</v>
      </c>
      <c r="C303" s="15">
        <f>IF('ENCUESTA CONDUCTORES'!E303="X",1,0)</f>
        <v>0</v>
      </c>
      <c r="D303" s="15">
        <f>IF('ENCUESTA CONDUCTORES'!F303="X",1,0)</f>
        <v>1</v>
      </c>
      <c r="E303" s="15">
        <f>IF('ENCUESTA CONDUCTORES'!G303="X",1,0)</f>
        <v>0</v>
      </c>
      <c r="F303" s="15">
        <f>IF('ENCUESTA CONDUCTORES'!H303="X",1,0)</f>
        <v>0</v>
      </c>
      <c r="G303" s="15">
        <f>+'ENCUESTA CONDUCTORES'!I303</f>
        <v>42</v>
      </c>
      <c r="H303" s="15" t="str">
        <f>+'ENCUESTA CONDUCTORES'!J303</f>
        <v>M</v>
      </c>
      <c r="I303" s="15" t="str">
        <f>+'ENCUESTA CONDUCTORES'!K303</f>
        <v>SECUNDARIA</v>
      </c>
      <c r="J303" s="15" t="str">
        <f>+'ENCUESTA CONDUCTORES'!L303</f>
        <v>ARMERIA, COLIMA</v>
      </c>
      <c r="K303" s="15" t="str">
        <f>+'ENCUESTA CONDUCTORES'!M303</f>
        <v>ARMERIA</v>
      </c>
      <c r="L303" s="15" t="str">
        <f>+'ENCUESTA CONDUCTORES'!N303</f>
        <v>COLIMA</v>
      </c>
      <c r="M303" s="15">
        <f>+'ENCUESTA CONDUCTORES'!O303</f>
        <v>18</v>
      </c>
      <c r="N303" s="15">
        <f>IF('ENCUESTA CONDUCTORES'!P303="X",1,0)</f>
        <v>1</v>
      </c>
      <c r="O303" s="15">
        <f>IF('ENCUESTA CONDUCTORES'!Q303="X",1,0)</f>
        <v>0</v>
      </c>
      <c r="P303" s="15">
        <f>IF('ENCUESTA CONDUCTORES'!R303="X",1,0)</f>
        <v>0</v>
      </c>
      <c r="Q303" s="15">
        <f>IF('ENCUESTA CONDUCTORES'!S303="X",1,0)</f>
        <v>0</v>
      </c>
      <c r="R303" s="15">
        <f>IF('ENCUESTA CONDUCTORES'!T303="X",1,0)</f>
        <v>0</v>
      </c>
      <c r="S303" s="15">
        <f>IF('ENCUESTA CONDUCTORES'!U303="X",1,0)</f>
        <v>0</v>
      </c>
      <c r="T303" s="15">
        <f>IF('ENCUESTA CONDUCTORES'!V303="X",1,0)</f>
        <v>0</v>
      </c>
      <c r="U303" s="15">
        <f>IF('ENCUESTA CONDUCTORES'!W303="X",1,0)</f>
        <v>0</v>
      </c>
      <c r="V303" s="15">
        <f>IF('ENCUESTA CONDUCTORES'!X303="X",1,0)</f>
        <v>0</v>
      </c>
      <c r="W303" s="15">
        <f>IF('ENCUESTA CONDUCTORES'!Y303="X",1,0)</f>
        <v>0</v>
      </c>
      <c r="X303" s="15">
        <f>IF('ENCUESTA CONDUCTORES'!Z303="X",1,0)</f>
        <v>0</v>
      </c>
      <c r="Y303" s="15">
        <f>+'ENCUESTA CONDUCTORES'!AG303</f>
        <v>0</v>
      </c>
      <c r="Z303" s="15">
        <f>+'ENCUESTA CONDUCTORES'!AH303</f>
        <v>1997</v>
      </c>
      <c r="AA303" s="1">
        <f>+'ENCUESTA CONDUCTORES'!AI303</f>
        <v>1348215</v>
      </c>
      <c r="AB303" s="15">
        <f>IF('ENCUESTA CONDUCTORES'!AJ303="X",1,0)</f>
        <v>1</v>
      </c>
      <c r="AC303" s="15">
        <f>IF('ENCUESTA CONDUCTORES'!AK303="X",1,0)</f>
        <v>0</v>
      </c>
      <c r="AD303" s="15">
        <f>IF('ENCUESTA CONDUCTORES'!AL303="X",1,0)</f>
        <v>0</v>
      </c>
      <c r="AE303" s="15">
        <f>IF('ENCUESTA CONDUCTORES'!AM303="X",1,0)</f>
        <v>0</v>
      </c>
      <c r="AF303" s="15">
        <f>IF('ENCUESTA CONDUCTORES'!AN303="X",1,0)</f>
        <v>0</v>
      </c>
      <c r="AG303" s="15">
        <f>IF('ENCUESTA CONDUCTORES'!AO303="X",1,0)</f>
        <v>0</v>
      </c>
      <c r="AH303" s="15">
        <f>IF('ENCUESTA CONDUCTORES'!AP303="X",1,0)</f>
        <v>1</v>
      </c>
      <c r="AI303" s="15">
        <f>IF('ENCUESTA CONDUCTORES'!AQ303="X",1,0)</f>
        <v>0</v>
      </c>
      <c r="AJ303" s="15">
        <f>IF('ENCUESTA CONDUCTORES'!AR303="X",1,0)</f>
        <v>0</v>
      </c>
      <c r="AK303" s="15">
        <f>+'ENCUESTA CONDUCTORES'!AS303</f>
        <v>0</v>
      </c>
      <c r="AL303" s="15" t="str">
        <f>+'ENCUESTA CONDUCTORES'!AT303</f>
        <v>FORD</v>
      </c>
      <c r="AM303" s="1">
        <f>+'ENCUESTA CONDUCTORES'!AU303</f>
        <v>3000</v>
      </c>
      <c r="AN303" s="48">
        <f>+'ENCUESTA CONDUCTORES'!AV303</f>
        <v>0.1</v>
      </c>
      <c r="AO303" s="15">
        <f>+'ENCUESTA CONDUCTORES'!AW303</f>
        <v>4.9000000000000004</v>
      </c>
      <c r="AP303" s="15">
        <f>+'ENCUESTA CONDUCTORES'!AX303</f>
        <v>4</v>
      </c>
      <c r="AQ303" s="15">
        <f>+'ENCUESTA CONDUCTORES'!AY303</f>
        <v>2</v>
      </c>
      <c r="AR303" s="15">
        <f>+'ENCUESTA CONDUCTORES'!AZ303</f>
        <v>330</v>
      </c>
      <c r="AS303" s="15">
        <f>+'ENCUESTA CONDUCTORES'!BA303</f>
        <v>1500</v>
      </c>
      <c r="AT303" s="15">
        <f>IF('ENCUESTA CONDUCTORES'!BB303="X",1,0)</f>
        <v>0</v>
      </c>
      <c r="AU303" s="15">
        <f>IF('ENCUESTA CONDUCTORES'!BC303="X",1,0)</f>
        <v>0</v>
      </c>
      <c r="AV303" s="15">
        <f>IF('ENCUESTA CONDUCTORES'!BD303="X",1,0)</f>
        <v>0</v>
      </c>
      <c r="AW303" s="1">
        <f>+'ENCUESTA CONDUCTORES'!BE303</f>
        <v>30000</v>
      </c>
      <c r="AX303" s="1" t="str">
        <f>+'ENCUESTA CONDUCTORES'!BF303</f>
        <v>NO SABE</v>
      </c>
      <c r="AY303" s="1">
        <f>+'ENCUESTA CONDUCTORES'!BG303</f>
        <v>30000</v>
      </c>
      <c r="AZ303" s="1" t="str">
        <f>+'ENCUESTA CONDUCTORES'!BH303</f>
        <v>NO SABE</v>
      </c>
      <c r="BA303" s="1" t="str">
        <f>+'ENCUESTA CONDUCTORES'!BI303</f>
        <v>NO APLICA</v>
      </c>
      <c r="BB303" s="15">
        <f>IF('ENCUESTA CONDUCTORES'!BJ303="X",1,0)</f>
        <v>1</v>
      </c>
      <c r="BC303" s="15">
        <f>IF('ENCUESTA CONDUCTORES'!BK303="X",1,0)</f>
        <v>0</v>
      </c>
      <c r="BD303" s="15">
        <f>IF('ENCUESTA CONDUCTORES'!BL303="X",1,0)</f>
        <v>0</v>
      </c>
      <c r="BE303" s="15">
        <f>IF('ENCUESTA CONDUCTORES'!BM303="X",1,0)</f>
        <v>0</v>
      </c>
      <c r="BF303" s="15">
        <f>IF('ENCUESTA CONDUCTORES'!BN303="X",1,0)</f>
        <v>0</v>
      </c>
      <c r="BG303" s="15">
        <f>IF('ENCUESTA CONDUCTORES'!BO303="X",1,0)</f>
        <v>0</v>
      </c>
      <c r="BH303" s="15">
        <f>IF('ENCUESTA CONDUCTORES'!BP303="X",1,0)</f>
        <v>0</v>
      </c>
      <c r="BI303" s="15">
        <f>IF('ENCUESTA CONDUCTORES'!BQ303="X",1,0)</f>
        <v>0</v>
      </c>
      <c r="BJ303" s="15">
        <f>IF('ENCUESTA CONDUCTORES'!BR303="X",1,0)</f>
        <v>0</v>
      </c>
      <c r="BK303" s="15">
        <f>+'ENCUESTA CONDUCTORES'!BS303</f>
        <v>0</v>
      </c>
      <c r="BL303" s="15">
        <f>IF('ENCUESTA CONDUCTORES'!BT303="X",1,0)</f>
        <v>0</v>
      </c>
      <c r="BM303" s="15">
        <f>IF('ENCUESTA CONDUCTORES'!BU303="X",1,0)</f>
        <v>0</v>
      </c>
      <c r="BN303" s="15">
        <f>IF('ENCUESTA CONDUCTORES'!BV303="X",1,0)</f>
        <v>1</v>
      </c>
      <c r="BO303" s="15">
        <f>IF('ENCUESTA CONDUCTORES'!BW303="X",1,0)</f>
        <v>0</v>
      </c>
      <c r="BP303" s="15">
        <f>+'ENCUESTA CONDUCTORES'!BX303</f>
        <v>1</v>
      </c>
      <c r="BQ303" s="15">
        <f>+'ENCUESTA CONDUCTORES'!BY303</f>
        <v>3</v>
      </c>
      <c r="BR303" s="15">
        <f>+'ENCUESTA CONDUCTORES'!BZ303</f>
        <v>2</v>
      </c>
      <c r="BS303" s="15">
        <f>+'ENCUESTA CONDUCTORES'!CA303</f>
        <v>0</v>
      </c>
      <c r="BT303" s="15">
        <f>IF('ENCUESTA CONDUCTORES'!CB303="X",1,0)</f>
        <v>1</v>
      </c>
      <c r="BU303" s="15">
        <f>IF('ENCUESTA CONDUCTORES'!CC303="X",1,0)</f>
        <v>0</v>
      </c>
      <c r="BV303" s="15">
        <f>IF('ENCUESTA CONDUCTORES'!CD303="X",1,0)</f>
        <v>0</v>
      </c>
      <c r="BW303" s="15">
        <f>IF('ENCUESTA CONDUCTORES'!CE303="X",1,0)</f>
        <v>0</v>
      </c>
      <c r="BX303" s="15">
        <f>IF('ENCUESTA CONDUCTORES'!CF303="X",1,0)</f>
        <v>0</v>
      </c>
      <c r="BY303" s="15">
        <f>IF('ENCUESTA CONDUCTORES'!CG303="X",1,0)</f>
        <v>0</v>
      </c>
      <c r="BZ303" s="15">
        <f>IF('ENCUESTA CONDUCTORES'!CH303="X",1,0)</f>
        <v>0</v>
      </c>
      <c r="CA303" s="15">
        <f>IF('ENCUESTA CONDUCTORES'!CI303="X",1,0)</f>
        <v>0</v>
      </c>
      <c r="CB303" s="15">
        <f>IF('ENCUESTA CONDUCTORES'!CJ303="X",1,0)</f>
        <v>0</v>
      </c>
      <c r="CC303" s="15">
        <f>IF('ENCUESTA CONDUCTORES'!CK303="X",1,0)</f>
        <v>1</v>
      </c>
      <c r="CD303" s="15">
        <f>IF('ENCUESTA CONDUCTORES'!CL303="X",1,0)</f>
        <v>0</v>
      </c>
      <c r="CE303" s="15">
        <f>IF('ENCUESTA CONDUCTORES'!CM303="X",1,0)</f>
        <v>0</v>
      </c>
      <c r="CF303" s="15">
        <f>+'ENCUESTA CONDUCTORES'!CN303</f>
        <v>0</v>
      </c>
      <c r="CG303" s="15">
        <f>IF('ENCUESTA CONDUCTORES'!CO303="X",1,0)</f>
        <v>0</v>
      </c>
      <c r="CH303" s="15" t="str">
        <f>+'ENCUESTA CONDUCTORES'!CP303</f>
        <v>NO SABE</v>
      </c>
      <c r="CI303" s="15" t="str">
        <f>+'ENCUESTA CONDUCTORES'!CQ303</f>
        <v>NO SABE</v>
      </c>
      <c r="CJ303" s="15">
        <f>IF('ENCUESTA CONDUCTORES'!CR303="X",1,0)</f>
        <v>1</v>
      </c>
      <c r="CK303" s="15">
        <f>IF('ENCUESTA CONDUCTORES'!CS303="X",1,0)</f>
        <v>0</v>
      </c>
      <c r="CL303" s="15">
        <f>IF('ENCUESTA CONDUCTORES'!CT303="X",1,0)</f>
        <v>0</v>
      </c>
      <c r="CM303" s="15">
        <f>+'ENCUESTA CONDUCTORES'!CU303</f>
        <v>0</v>
      </c>
      <c r="CN303" s="15">
        <f>IF('ENCUESTA CONDUCTORES'!CV303="X",1,0)</f>
        <v>0</v>
      </c>
      <c r="CO303" s="15">
        <f>+'ENCUESTA CONDUCTORES'!CW303</f>
        <v>0</v>
      </c>
      <c r="CP303" s="15">
        <f>IF('ENCUESTA CONDUCTORES'!CX303="X",1,0)</f>
        <v>1</v>
      </c>
      <c r="CQ303" s="15">
        <f>IF('ENCUESTA CONDUCTORES'!CY303="X",1,0)</f>
        <v>1</v>
      </c>
      <c r="CR303" s="3">
        <f>+'ENCUESTA CONDUCTORES'!CZ303</f>
        <v>0</v>
      </c>
      <c r="CS303" s="49">
        <f>+'ENCUESTA CONDUCTORES'!DA303</f>
        <v>0</v>
      </c>
    </row>
    <row r="304" spans="2:97" x14ac:dyDescent="0.25">
      <c r="B304" s="14" t="str">
        <f>+'ENCUESTA CONDUCTORES'!D304</f>
        <v>C-315</v>
      </c>
      <c r="C304" s="15">
        <f>IF('ENCUESTA CONDUCTORES'!E304="X",1,0)</f>
        <v>0</v>
      </c>
      <c r="D304" s="15">
        <f>IF('ENCUESTA CONDUCTORES'!F304="X",1,0)</f>
        <v>0</v>
      </c>
      <c r="E304" s="15">
        <f>IF('ENCUESTA CONDUCTORES'!G304="X",1,0)</f>
        <v>1</v>
      </c>
      <c r="F304" s="15">
        <f>IF('ENCUESTA CONDUCTORES'!H304="X",1,0)</f>
        <v>0</v>
      </c>
      <c r="G304" s="15">
        <f>+'ENCUESTA CONDUCTORES'!I304</f>
        <v>36</v>
      </c>
      <c r="H304" s="15" t="str">
        <f>+'ENCUESTA CONDUCTORES'!J304</f>
        <v>M</v>
      </c>
      <c r="I304" s="15" t="str">
        <f>+'ENCUESTA CONDUCTORES'!K304</f>
        <v>PRIMARIA</v>
      </c>
      <c r="J304" s="15" t="str">
        <f>+'ENCUESTA CONDUCTORES'!L304</f>
        <v>CULIACAN, SINALOA</v>
      </c>
      <c r="K304" s="15" t="str">
        <f>+'ENCUESTA CONDUCTORES'!M304</f>
        <v>CULIACAN</v>
      </c>
      <c r="L304" s="15" t="str">
        <f>+'ENCUESTA CONDUCTORES'!N304</f>
        <v>SINALOA</v>
      </c>
      <c r="M304" s="15">
        <f>+'ENCUESTA CONDUCTORES'!O304</f>
        <v>15</v>
      </c>
      <c r="N304" s="15">
        <f>IF('ENCUESTA CONDUCTORES'!P304="X",1,0)</f>
        <v>0</v>
      </c>
      <c r="O304" s="15">
        <f>IF('ENCUESTA CONDUCTORES'!Q304="X",1,0)</f>
        <v>1</v>
      </c>
      <c r="P304" s="15">
        <f>IF('ENCUESTA CONDUCTORES'!R304="X",1,0)</f>
        <v>0</v>
      </c>
      <c r="Q304" s="15">
        <f>IF('ENCUESTA CONDUCTORES'!S304="X",1,0)</f>
        <v>0</v>
      </c>
      <c r="R304" s="15">
        <f>IF('ENCUESTA CONDUCTORES'!T304="X",1,0)</f>
        <v>0</v>
      </c>
      <c r="S304" s="15">
        <f>IF('ENCUESTA CONDUCTORES'!U304="X",1,0)</f>
        <v>0</v>
      </c>
      <c r="T304" s="15">
        <f>IF('ENCUESTA CONDUCTORES'!V304="X",1,0)</f>
        <v>0</v>
      </c>
      <c r="U304" s="15">
        <f>IF('ENCUESTA CONDUCTORES'!W304="X",1,0)</f>
        <v>0</v>
      </c>
      <c r="V304" s="15">
        <f>IF('ENCUESTA CONDUCTORES'!X304="X",1,0)</f>
        <v>0</v>
      </c>
      <c r="W304" s="15">
        <f>IF('ENCUESTA CONDUCTORES'!Y304="X",1,0)</f>
        <v>0</v>
      </c>
      <c r="X304" s="15">
        <f>IF('ENCUESTA CONDUCTORES'!Z304="X",1,0)</f>
        <v>0</v>
      </c>
      <c r="Y304" s="15">
        <f>+'ENCUESTA CONDUCTORES'!AG304</f>
        <v>0</v>
      </c>
      <c r="Z304" s="15">
        <f>+'ENCUESTA CONDUCTORES'!AH304</f>
        <v>1999</v>
      </c>
      <c r="AA304" s="1">
        <f>+'ENCUESTA CONDUCTORES'!AI304</f>
        <v>966412</v>
      </c>
      <c r="AB304" s="15">
        <f>IF('ENCUESTA CONDUCTORES'!AJ304="X",1,0)</f>
        <v>0</v>
      </c>
      <c r="AC304" s="15">
        <f>IF('ENCUESTA CONDUCTORES'!AK304="X",1,0)</f>
        <v>0</v>
      </c>
      <c r="AD304" s="15">
        <f>IF('ENCUESTA CONDUCTORES'!AL304="X",1,0)</f>
        <v>1</v>
      </c>
      <c r="AE304" s="15">
        <f>IF('ENCUESTA CONDUCTORES'!AM304="X",1,0)</f>
        <v>0</v>
      </c>
      <c r="AF304" s="15">
        <f>IF('ENCUESTA CONDUCTORES'!AN304="X",1,0)</f>
        <v>0</v>
      </c>
      <c r="AG304" s="15">
        <f>IF('ENCUESTA CONDUCTORES'!AO304="X",1,0)</f>
        <v>0</v>
      </c>
      <c r="AH304" s="15">
        <f>IF('ENCUESTA CONDUCTORES'!AP304="X",1,0)</f>
        <v>1</v>
      </c>
      <c r="AI304" s="15">
        <f>IF('ENCUESTA CONDUCTORES'!AQ304="X",1,0)</f>
        <v>0</v>
      </c>
      <c r="AJ304" s="15">
        <f>IF('ENCUESTA CONDUCTORES'!AR304="X",1,0)</f>
        <v>0</v>
      </c>
      <c r="AK304" s="15">
        <f>+'ENCUESTA CONDUCTORES'!AS304</f>
        <v>0</v>
      </c>
      <c r="AL304" s="15" t="str">
        <f>+'ENCUESTA CONDUCTORES'!AT304</f>
        <v>CUMMINS</v>
      </c>
      <c r="AM304" s="1">
        <f>+'ENCUESTA CONDUCTORES'!AU304</f>
        <v>8000</v>
      </c>
      <c r="AN304" s="48">
        <f>+'ENCUESTA CONDUCTORES'!AV304</f>
        <v>0.5</v>
      </c>
      <c r="AO304" s="15">
        <f>+'ENCUESTA CONDUCTORES'!AW304</f>
        <v>3.6</v>
      </c>
      <c r="AP304" s="15">
        <f>+'ENCUESTA CONDUCTORES'!AX304</f>
        <v>3</v>
      </c>
      <c r="AQ304" s="15">
        <f>+'ENCUESTA CONDUCTORES'!AY304</f>
        <v>2</v>
      </c>
      <c r="AR304" s="15">
        <f>+'ENCUESTA CONDUCTORES'!AZ304</f>
        <v>700</v>
      </c>
      <c r="AS304" s="15">
        <f>+'ENCUESTA CONDUCTORES'!BA304</f>
        <v>2400</v>
      </c>
      <c r="AT304" s="15">
        <f>IF('ENCUESTA CONDUCTORES'!BB304="X",1,0)</f>
        <v>1</v>
      </c>
      <c r="AU304" s="15">
        <f>IF('ENCUESTA CONDUCTORES'!BC304="X",1,0)</f>
        <v>0</v>
      </c>
      <c r="AV304" s="15">
        <f>IF('ENCUESTA CONDUCTORES'!BD304="X",1,0)</f>
        <v>0</v>
      </c>
      <c r="AW304" s="1" t="str">
        <f>+'ENCUESTA CONDUCTORES'!BE304</f>
        <v>NO CONTESTO</v>
      </c>
      <c r="AX304" s="1" t="str">
        <f>+'ENCUESTA CONDUCTORES'!BF304</f>
        <v>NO CONTESTO</v>
      </c>
      <c r="AY304" s="1" t="str">
        <f>+'ENCUESTA CONDUCTORES'!BG304</f>
        <v>NO CONTESTO</v>
      </c>
      <c r="AZ304" s="1" t="str">
        <f>+'ENCUESTA CONDUCTORES'!BH304</f>
        <v>NO CONTESTO</v>
      </c>
      <c r="BA304" s="1" t="str">
        <f>+'ENCUESTA CONDUCTORES'!BI304</f>
        <v>NO CONTESTO</v>
      </c>
      <c r="BB304" s="15">
        <f>IF('ENCUESTA CONDUCTORES'!BJ304="X",1,0)</f>
        <v>0</v>
      </c>
      <c r="BC304" s="15">
        <f>IF('ENCUESTA CONDUCTORES'!BK304="X",1,0)</f>
        <v>0</v>
      </c>
      <c r="BD304" s="15">
        <f>IF('ENCUESTA CONDUCTORES'!BL304="X",1,0)</f>
        <v>0</v>
      </c>
      <c r="BE304" s="15">
        <f>IF('ENCUESTA CONDUCTORES'!BM304="X",1,0)</f>
        <v>0</v>
      </c>
      <c r="BF304" s="15">
        <f>IF('ENCUESTA CONDUCTORES'!BN304="X",1,0)</f>
        <v>0</v>
      </c>
      <c r="BG304" s="15">
        <f>IF('ENCUESTA CONDUCTORES'!BO304="X",1,0)</f>
        <v>0</v>
      </c>
      <c r="BH304" s="15">
        <f>IF('ENCUESTA CONDUCTORES'!BP304="X",1,0)</f>
        <v>0</v>
      </c>
      <c r="BI304" s="15">
        <f>IF('ENCUESTA CONDUCTORES'!BQ304="X",1,0)</f>
        <v>0</v>
      </c>
      <c r="BJ304" s="15">
        <f>IF('ENCUESTA CONDUCTORES'!BR304="X",1,0)</f>
        <v>0</v>
      </c>
      <c r="BK304" s="15" t="str">
        <f>+'ENCUESTA CONDUCTORES'!BS304</f>
        <v>NO CONTESTO</v>
      </c>
      <c r="BL304" s="15">
        <f>IF('ENCUESTA CONDUCTORES'!BT304="X",1,0)</f>
        <v>0</v>
      </c>
      <c r="BM304" s="15">
        <f>IF('ENCUESTA CONDUCTORES'!BU304="X",1,0)</f>
        <v>0</v>
      </c>
      <c r="BN304" s="15">
        <f>IF('ENCUESTA CONDUCTORES'!BV304="X",1,0)</f>
        <v>0</v>
      </c>
      <c r="BO304" s="15">
        <f>IF('ENCUESTA CONDUCTORES'!BW304="X",1,0)</f>
        <v>0</v>
      </c>
      <c r="BP304" s="15" t="str">
        <f>+'ENCUESTA CONDUCTORES'!BX304</f>
        <v>NO CONTESTO</v>
      </c>
      <c r="BQ304" s="15" t="str">
        <f>+'ENCUESTA CONDUCTORES'!BY304</f>
        <v>NO CONTESTO</v>
      </c>
      <c r="BR304" s="15" t="str">
        <f>+'ENCUESTA CONDUCTORES'!BZ304</f>
        <v>NO CONTESTO</v>
      </c>
      <c r="BS304" s="15">
        <f>+'ENCUESTA CONDUCTORES'!CA304</f>
        <v>0</v>
      </c>
      <c r="BT304" s="15">
        <f>IF('ENCUESTA CONDUCTORES'!CB304="X",1,0)</f>
        <v>0</v>
      </c>
      <c r="BU304" s="15">
        <f>IF('ENCUESTA CONDUCTORES'!CC304="X",1,0)</f>
        <v>0</v>
      </c>
      <c r="BV304" s="15">
        <f>IF('ENCUESTA CONDUCTORES'!CD304="X",1,0)</f>
        <v>0</v>
      </c>
      <c r="BW304" s="15">
        <f>IF('ENCUESTA CONDUCTORES'!CE304="X",1,0)</f>
        <v>0</v>
      </c>
      <c r="BX304" s="15">
        <f>IF('ENCUESTA CONDUCTORES'!CF304="X",1,0)</f>
        <v>0</v>
      </c>
      <c r="BY304" s="15">
        <f>IF('ENCUESTA CONDUCTORES'!CG304="X",1,0)</f>
        <v>0</v>
      </c>
      <c r="BZ304" s="15">
        <f>IF('ENCUESTA CONDUCTORES'!CH304="X",1,0)</f>
        <v>0</v>
      </c>
      <c r="CA304" s="15">
        <f>IF('ENCUESTA CONDUCTORES'!CI304="X",1,0)</f>
        <v>0</v>
      </c>
      <c r="CB304" s="15">
        <f>IF('ENCUESTA CONDUCTORES'!CJ304="X",1,0)</f>
        <v>0</v>
      </c>
      <c r="CC304" s="15">
        <f>IF('ENCUESTA CONDUCTORES'!CK304="X",1,0)</f>
        <v>0</v>
      </c>
      <c r="CD304" s="15">
        <f>IF('ENCUESTA CONDUCTORES'!CL304="X",1,0)</f>
        <v>0</v>
      </c>
      <c r="CE304" s="15">
        <f>IF('ENCUESTA CONDUCTORES'!CM304="X",1,0)</f>
        <v>0</v>
      </c>
      <c r="CF304" s="15">
        <f>+'ENCUESTA CONDUCTORES'!CN304</f>
        <v>0</v>
      </c>
      <c r="CG304" s="15">
        <f>IF('ENCUESTA CONDUCTORES'!CO304="X",1,0)</f>
        <v>0</v>
      </c>
      <c r="CH304" s="15" t="str">
        <f>+'ENCUESTA CONDUCTORES'!CP304</f>
        <v>NO SABE</v>
      </c>
      <c r="CI304" s="15" t="str">
        <f>+'ENCUESTA CONDUCTORES'!CQ304</f>
        <v>NO SABE</v>
      </c>
      <c r="CJ304" s="15">
        <f>IF('ENCUESTA CONDUCTORES'!CR304="X",1,0)</f>
        <v>0</v>
      </c>
      <c r="CK304" s="15">
        <f>IF('ENCUESTA CONDUCTORES'!CS304="X",1,0)</f>
        <v>0</v>
      </c>
      <c r="CL304" s="15">
        <f>IF('ENCUESTA CONDUCTORES'!CT304="X",1,0)</f>
        <v>0</v>
      </c>
      <c r="CM304" s="15">
        <f>+'ENCUESTA CONDUCTORES'!CU304</f>
        <v>0</v>
      </c>
      <c r="CN304" s="15">
        <f>IF('ENCUESTA CONDUCTORES'!CV304="X",1,0)</f>
        <v>0</v>
      </c>
      <c r="CO304" s="15">
        <f>+'ENCUESTA CONDUCTORES'!CW304</f>
        <v>0</v>
      </c>
      <c r="CP304" s="15">
        <f>IF('ENCUESTA CONDUCTORES'!CX304="X",1,0)</f>
        <v>0</v>
      </c>
      <c r="CQ304" s="15">
        <f>IF('ENCUESTA CONDUCTORES'!CY304="X",1,0)</f>
        <v>0</v>
      </c>
      <c r="CR304" s="3">
        <f>+'ENCUESTA CONDUCTORES'!CZ304</f>
        <v>0</v>
      </c>
      <c r="CS304" s="49">
        <f>+'ENCUESTA CONDUCTORES'!DA304</f>
        <v>0</v>
      </c>
    </row>
    <row r="305" spans="2:97" x14ac:dyDescent="0.25">
      <c r="B305" s="14" t="str">
        <f>+'ENCUESTA CONDUCTORES'!D305</f>
        <v>C-316</v>
      </c>
      <c r="C305" s="15">
        <f>IF('ENCUESTA CONDUCTORES'!E305="X",1,0)</f>
        <v>0</v>
      </c>
      <c r="D305" s="15">
        <f>IF('ENCUESTA CONDUCTORES'!F305="X",1,0)</f>
        <v>0</v>
      </c>
      <c r="E305" s="15">
        <f>IF('ENCUESTA CONDUCTORES'!G305="X",1,0)</f>
        <v>0</v>
      </c>
      <c r="F305" s="15">
        <f>IF('ENCUESTA CONDUCTORES'!H305="X",1,0)</f>
        <v>1</v>
      </c>
      <c r="G305" s="15">
        <f>+'ENCUESTA CONDUCTORES'!I305</f>
        <v>28</v>
      </c>
      <c r="H305" s="15" t="str">
        <f>+'ENCUESTA CONDUCTORES'!J305</f>
        <v>M</v>
      </c>
      <c r="I305" s="15" t="str">
        <f>+'ENCUESTA CONDUCTORES'!K305</f>
        <v>SECUNDARIA</v>
      </c>
      <c r="J305" s="15" t="str">
        <f>+'ENCUESTA CONDUCTORES'!L305</f>
        <v>ZAPOPAN, JALISCO</v>
      </c>
      <c r="K305" s="15" t="str">
        <f>+'ENCUESTA CONDUCTORES'!M305</f>
        <v>ZAPOPAN</v>
      </c>
      <c r="L305" s="15" t="str">
        <f>+'ENCUESTA CONDUCTORES'!N305</f>
        <v>JALISCO</v>
      </c>
      <c r="M305" s="15">
        <f>+'ENCUESTA CONDUCTORES'!O305</f>
        <v>6</v>
      </c>
      <c r="N305" s="15">
        <f>IF('ENCUESTA CONDUCTORES'!P305="X",1,0)</f>
        <v>0</v>
      </c>
      <c r="O305" s="15">
        <f>IF('ENCUESTA CONDUCTORES'!Q305="X",1,0)</f>
        <v>0</v>
      </c>
      <c r="P305" s="15">
        <f>IF('ENCUESTA CONDUCTORES'!R305="X",1,0)</f>
        <v>0</v>
      </c>
      <c r="Q305" s="15">
        <f>IF('ENCUESTA CONDUCTORES'!S305="X",1,0)</f>
        <v>1</v>
      </c>
      <c r="R305" s="15">
        <f>IF('ENCUESTA CONDUCTORES'!T305="X",1,0)</f>
        <v>0</v>
      </c>
      <c r="S305" s="15">
        <f>IF('ENCUESTA CONDUCTORES'!U305="X",1,0)</f>
        <v>1</v>
      </c>
      <c r="T305" s="15">
        <f>IF('ENCUESTA CONDUCTORES'!V305="X",1,0)</f>
        <v>0</v>
      </c>
      <c r="U305" s="15">
        <f>IF('ENCUESTA CONDUCTORES'!W305="X",1,0)</f>
        <v>0</v>
      </c>
      <c r="V305" s="15">
        <f>IF('ENCUESTA CONDUCTORES'!X305="X",1,0)</f>
        <v>0</v>
      </c>
      <c r="W305" s="15">
        <f>IF('ENCUESTA CONDUCTORES'!Y305="X",1,0)</f>
        <v>0</v>
      </c>
      <c r="X305" s="15">
        <f>IF('ENCUESTA CONDUCTORES'!Z305="X",1,0)</f>
        <v>0</v>
      </c>
      <c r="Y305" s="15">
        <f>+'ENCUESTA CONDUCTORES'!AG305</f>
        <v>0</v>
      </c>
      <c r="Z305" s="15">
        <f>+'ENCUESTA CONDUCTORES'!AH305</f>
        <v>2004</v>
      </c>
      <c r="AA305" s="1">
        <f>+'ENCUESTA CONDUCTORES'!AI305</f>
        <v>874561</v>
      </c>
      <c r="AB305" s="15">
        <f>IF('ENCUESTA CONDUCTORES'!AJ305="X",1,0)</f>
        <v>0</v>
      </c>
      <c r="AC305" s="15">
        <f>IF('ENCUESTA CONDUCTORES'!AK305="X",1,0)</f>
        <v>0</v>
      </c>
      <c r="AD305" s="15">
        <f>IF('ENCUESTA CONDUCTORES'!AL305="X",1,0)</f>
        <v>1</v>
      </c>
      <c r="AE305" s="15">
        <f>IF('ENCUESTA CONDUCTORES'!AM305="X",1,0)</f>
        <v>0</v>
      </c>
      <c r="AF305" s="15">
        <f>IF('ENCUESTA CONDUCTORES'!AN305="X",1,0)</f>
        <v>0</v>
      </c>
      <c r="AG305" s="15">
        <f>IF('ENCUESTA CONDUCTORES'!AO305="X",1,0)</f>
        <v>0</v>
      </c>
      <c r="AH305" s="15">
        <f>IF('ENCUESTA CONDUCTORES'!AP305="X",1,0)</f>
        <v>1</v>
      </c>
      <c r="AI305" s="15">
        <f>IF('ENCUESTA CONDUCTORES'!AQ305="X",1,0)</f>
        <v>0</v>
      </c>
      <c r="AJ305" s="15">
        <f>IF('ENCUESTA CONDUCTORES'!AR305="X",1,0)</f>
        <v>0</v>
      </c>
      <c r="AK305" s="15">
        <f>+'ENCUESTA CONDUCTORES'!AS305</f>
        <v>0</v>
      </c>
      <c r="AL305" s="15" t="str">
        <f>+'ENCUESTA CONDUCTORES'!AT305</f>
        <v>DETROIT</v>
      </c>
      <c r="AM305" s="1">
        <f>+'ENCUESTA CONDUCTORES'!AU305</f>
        <v>10000</v>
      </c>
      <c r="AN305" s="48">
        <f>+'ENCUESTA CONDUCTORES'!AV305</f>
        <v>0.1</v>
      </c>
      <c r="AO305" s="15">
        <f>+'ENCUESTA CONDUCTORES'!AW305</f>
        <v>2.7</v>
      </c>
      <c r="AP305" s="15">
        <f>+'ENCUESTA CONDUCTORES'!AX305</f>
        <v>2.4</v>
      </c>
      <c r="AQ305" s="15">
        <f>+'ENCUESTA CONDUCTORES'!AY305</f>
        <v>2</v>
      </c>
      <c r="AR305" s="15">
        <f>+'ENCUESTA CONDUCTORES'!AZ305</f>
        <v>870</v>
      </c>
      <c r="AS305" s="15">
        <f>+'ENCUESTA CONDUCTORES'!BA305</f>
        <v>2250</v>
      </c>
      <c r="AT305" s="15">
        <f>IF('ENCUESTA CONDUCTORES'!BB305="X",1,0)</f>
        <v>1</v>
      </c>
      <c r="AU305" s="15">
        <f>IF('ENCUESTA CONDUCTORES'!BC305="X",1,0)</f>
        <v>0</v>
      </c>
      <c r="AV305" s="15">
        <f>IF('ENCUESTA CONDUCTORES'!BD305="X",1,0)</f>
        <v>0</v>
      </c>
      <c r="AW305" s="1">
        <f>+'ENCUESTA CONDUCTORES'!BE305</f>
        <v>18000</v>
      </c>
      <c r="AX305" s="1">
        <f>+'ENCUESTA CONDUCTORES'!BF305</f>
        <v>220000</v>
      </c>
      <c r="AY305" s="1">
        <f>+'ENCUESTA CONDUCTORES'!BG305</f>
        <v>36000</v>
      </c>
      <c r="AZ305" s="1">
        <f>+'ENCUESTA CONDUCTORES'!BH305</f>
        <v>140000</v>
      </c>
      <c r="BA305" s="1" t="str">
        <f>+'ENCUESTA CONDUCTORES'!BI305</f>
        <v>NO SABE</v>
      </c>
      <c r="BB305" s="15">
        <f>IF('ENCUESTA CONDUCTORES'!BJ305="X",1,0)</f>
        <v>0</v>
      </c>
      <c r="BC305" s="15">
        <f>IF('ENCUESTA CONDUCTORES'!BK305="X",1,0)</f>
        <v>1</v>
      </c>
      <c r="BD305" s="15">
        <f>IF('ENCUESTA CONDUCTORES'!BL305="X",1,0)</f>
        <v>0</v>
      </c>
      <c r="BE305" s="15">
        <f>IF('ENCUESTA CONDUCTORES'!BM305="X",1,0)</f>
        <v>0</v>
      </c>
      <c r="BF305" s="15">
        <f>IF('ENCUESTA CONDUCTORES'!BN305="X",1,0)</f>
        <v>1</v>
      </c>
      <c r="BG305" s="15">
        <f>IF('ENCUESTA CONDUCTORES'!BO305="X",1,0)</f>
        <v>0</v>
      </c>
      <c r="BH305" s="15">
        <f>IF('ENCUESTA CONDUCTORES'!BP305="X",1,0)</f>
        <v>1</v>
      </c>
      <c r="BI305" s="15">
        <f>IF('ENCUESTA CONDUCTORES'!BQ305="X",1,0)</f>
        <v>0</v>
      </c>
      <c r="BJ305" s="15">
        <f>IF('ENCUESTA CONDUCTORES'!BR305="X",1,0)</f>
        <v>0</v>
      </c>
      <c r="BK305" s="15">
        <f>+'ENCUESTA CONDUCTORES'!BS305</f>
        <v>0</v>
      </c>
      <c r="BL305" s="15">
        <f>IF('ENCUESTA CONDUCTORES'!BT305="X",1,0)</f>
        <v>0</v>
      </c>
      <c r="BM305" s="15">
        <f>IF('ENCUESTA CONDUCTORES'!BU305="X",1,0)</f>
        <v>1</v>
      </c>
      <c r="BN305" s="15">
        <f>IF('ENCUESTA CONDUCTORES'!BV305="X",1,0)</f>
        <v>0</v>
      </c>
      <c r="BO305" s="15">
        <f>IF('ENCUESTA CONDUCTORES'!BW305="X",1,0)</f>
        <v>0</v>
      </c>
      <c r="BP305" s="15">
        <f>+'ENCUESTA CONDUCTORES'!BX305</f>
        <v>1</v>
      </c>
      <c r="BQ305" s="15">
        <f>+'ENCUESTA CONDUCTORES'!BY305</f>
        <v>3</v>
      </c>
      <c r="BR305" s="15">
        <f>+'ENCUESTA CONDUCTORES'!BZ305</f>
        <v>2</v>
      </c>
      <c r="BS305" s="15">
        <f>+'ENCUESTA CONDUCTORES'!CA305</f>
        <v>0</v>
      </c>
      <c r="BT305" s="15">
        <f>IF('ENCUESTA CONDUCTORES'!CB305="X",1,0)</f>
        <v>1</v>
      </c>
      <c r="BU305" s="15">
        <f>IF('ENCUESTA CONDUCTORES'!CC305="X",1,0)</f>
        <v>0</v>
      </c>
      <c r="BV305" s="15">
        <f>IF('ENCUESTA CONDUCTORES'!CD305="X",1,0)</f>
        <v>0</v>
      </c>
      <c r="BW305" s="15">
        <f>IF('ENCUESTA CONDUCTORES'!CE305="X",1,0)</f>
        <v>0</v>
      </c>
      <c r="BX305" s="15">
        <f>IF('ENCUESTA CONDUCTORES'!CF305="X",1,0)</f>
        <v>0</v>
      </c>
      <c r="BY305" s="15">
        <f>IF('ENCUESTA CONDUCTORES'!CG305="X",1,0)</f>
        <v>0</v>
      </c>
      <c r="BZ305" s="15">
        <f>IF('ENCUESTA CONDUCTORES'!CH305="X",1,0)</f>
        <v>0</v>
      </c>
      <c r="CA305" s="15">
        <f>IF('ENCUESTA CONDUCTORES'!CI305="X",1,0)</f>
        <v>0</v>
      </c>
      <c r="CB305" s="15">
        <f>IF('ENCUESTA CONDUCTORES'!CJ305="X",1,0)</f>
        <v>0</v>
      </c>
      <c r="CC305" s="15">
        <f>IF('ENCUESTA CONDUCTORES'!CK305="X",1,0)</f>
        <v>1</v>
      </c>
      <c r="CD305" s="15">
        <f>IF('ENCUESTA CONDUCTORES'!CL305="X",1,0)</f>
        <v>0</v>
      </c>
      <c r="CE305" s="15">
        <f>IF('ENCUESTA CONDUCTORES'!CM305="X",1,0)</f>
        <v>0</v>
      </c>
      <c r="CF305" s="15">
        <f>+'ENCUESTA CONDUCTORES'!CN305</f>
        <v>0</v>
      </c>
      <c r="CG305" s="15">
        <f>IF('ENCUESTA CONDUCTORES'!CO305="X",1,0)</f>
        <v>0</v>
      </c>
      <c r="CH305" s="15" t="str">
        <f>+'ENCUESTA CONDUCTORES'!CP305</f>
        <v>NO SABE</v>
      </c>
      <c r="CI305" s="15" t="str">
        <f>+'ENCUESTA CONDUCTORES'!CQ305</f>
        <v>NO SABE</v>
      </c>
      <c r="CJ305" s="15">
        <f>IF('ENCUESTA CONDUCTORES'!CR305="X",1,0)</f>
        <v>1</v>
      </c>
      <c r="CK305" s="15">
        <f>IF('ENCUESTA CONDUCTORES'!CS305="X",1,0)</f>
        <v>0</v>
      </c>
      <c r="CL305" s="15">
        <f>IF('ENCUESTA CONDUCTORES'!CT305="X",1,0)</f>
        <v>0</v>
      </c>
      <c r="CM305" s="15">
        <f>+'ENCUESTA CONDUCTORES'!CU305</f>
        <v>0</v>
      </c>
      <c r="CN305" s="15">
        <f>IF('ENCUESTA CONDUCTORES'!CV305="X",1,0)</f>
        <v>0</v>
      </c>
      <c r="CO305" s="15">
        <f>+'ENCUESTA CONDUCTORES'!CW305</f>
        <v>0</v>
      </c>
      <c r="CP305" s="15">
        <f>IF('ENCUESTA CONDUCTORES'!CX305="X",1,0)</f>
        <v>1</v>
      </c>
      <c r="CQ305" s="15">
        <f>IF('ENCUESTA CONDUCTORES'!CY305="X",1,0)</f>
        <v>1</v>
      </c>
      <c r="CR305" s="3">
        <f>+'ENCUESTA CONDUCTORES'!CZ305</f>
        <v>0</v>
      </c>
      <c r="CS305" s="49">
        <f>+'ENCUESTA CONDUCTORES'!DA305</f>
        <v>0</v>
      </c>
    </row>
    <row r="306" spans="2:97" x14ac:dyDescent="0.25">
      <c r="B306" s="14" t="str">
        <f>+'ENCUESTA CONDUCTORES'!D306</f>
        <v>C-317</v>
      </c>
      <c r="C306" s="15">
        <f>IF('ENCUESTA CONDUCTORES'!E306="X",1,0)</f>
        <v>0</v>
      </c>
      <c r="D306" s="15">
        <f>IF('ENCUESTA CONDUCTORES'!F306="X",1,0)</f>
        <v>1</v>
      </c>
      <c r="E306" s="15">
        <f>IF('ENCUESTA CONDUCTORES'!G306="X",1,0)</f>
        <v>0</v>
      </c>
      <c r="F306" s="15">
        <f>IF('ENCUESTA CONDUCTORES'!H306="X",1,0)</f>
        <v>0</v>
      </c>
      <c r="G306" s="15">
        <f>+'ENCUESTA CONDUCTORES'!I306</f>
        <v>32</v>
      </c>
      <c r="H306" s="15" t="str">
        <f>+'ENCUESTA CONDUCTORES'!J306</f>
        <v>M</v>
      </c>
      <c r="I306" s="15" t="str">
        <f>+'ENCUESTA CONDUCTORES'!K306</f>
        <v>SIN ESTUDIOS</v>
      </c>
      <c r="J306" s="15" t="str">
        <f>+'ENCUESTA CONDUCTORES'!L306</f>
        <v>APIZACO, TLAXCALA</v>
      </c>
      <c r="K306" s="15" t="str">
        <f>+'ENCUESTA CONDUCTORES'!M306</f>
        <v>APIZACO</v>
      </c>
      <c r="L306" s="15" t="str">
        <f>+'ENCUESTA CONDUCTORES'!N306</f>
        <v>TLAXCALA</v>
      </c>
      <c r="M306" s="15">
        <f>+'ENCUESTA CONDUCTORES'!O306</f>
        <v>13</v>
      </c>
      <c r="N306" s="15">
        <f>IF('ENCUESTA CONDUCTORES'!P306="X",1,0)</f>
        <v>1</v>
      </c>
      <c r="O306" s="15">
        <f>IF('ENCUESTA CONDUCTORES'!Q306="X",1,0)</f>
        <v>0</v>
      </c>
      <c r="P306" s="15">
        <f>IF('ENCUESTA CONDUCTORES'!R306="X",1,0)</f>
        <v>0</v>
      </c>
      <c r="Q306" s="15">
        <f>IF('ENCUESTA CONDUCTORES'!S306="X",1,0)</f>
        <v>0</v>
      </c>
      <c r="R306" s="15">
        <f>IF('ENCUESTA CONDUCTORES'!T306="X",1,0)</f>
        <v>0</v>
      </c>
      <c r="S306" s="15">
        <f>IF('ENCUESTA CONDUCTORES'!U306="X",1,0)</f>
        <v>0</v>
      </c>
      <c r="T306" s="15">
        <f>IF('ENCUESTA CONDUCTORES'!V306="X",1,0)</f>
        <v>0</v>
      </c>
      <c r="U306" s="15">
        <f>IF('ENCUESTA CONDUCTORES'!W306="X",1,0)</f>
        <v>0</v>
      </c>
      <c r="V306" s="15">
        <f>IF('ENCUESTA CONDUCTORES'!X306="X",1,0)</f>
        <v>0</v>
      </c>
      <c r="W306" s="15">
        <f>IF('ENCUESTA CONDUCTORES'!Y306="X",1,0)</f>
        <v>0</v>
      </c>
      <c r="X306" s="15">
        <f>IF('ENCUESTA CONDUCTORES'!Z306="X",1,0)</f>
        <v>0</v>
      </c>
      <c r="Y306" s="15">
        <f>+'ENCUESTA CONDUCTORES'!AG306</f>
        <v>0</v>
      </c>
      <c r="Z306" s="15">
        <f>+'ENCUESTA CONDUCTORES'!AH306</f>
        <v>1985</v>
      </c>
      <c r="AA306" s="1" t="str">
        <f>+'ENCUESTA CONDUCTORES'!AI306</f>
        <v>NO SABE</v>
      </c>
      <c r="AB306" s="15">
        <f>IF('ENCUESTA CONDUCTORES'!AJ306="X",1,0)</f>
        <v>1</v>
      </c>
      <c r="AC306" s="15">
        <f>IF('ENCUESTA CONDUCTORES'!AK306="X",1,0)</f>
        <v>0</v>
      </c>
      <c r="AD306" s="15">
        <f>IF('ENCUESTA CONDUCTORES'!AL306="X",1,0)</f>
        <v>0</v>
      </c>
      <c r="AE306" s="15">
        <f>IF('ENCUESTA CONDUCTORES'!AM306="X",1,0)</f>
        <v>0</v>
      </c>
      <c r="AF306" s="15">
        <f>IF('ENCUESTA CONDUCTORES'!AN306="X",1,0)</f>
        <v>0</v>
      </c>
      <c r="AG306" s="15">
        <f>IF('ENCUESTA CONDUCTORES'!AO306="X",1,0)</f>
        <v>1</v>
      </c>
      <c r="AH306" s="15">
        <f>IF('ENCUESTA CONDUCTORES'!AP306="X",1,0)</f>
        <v>0</v>
      </c>
      <c r="AI306" s="15">
        <f>IF('ENCUESTA CONDUCTORES'!AQ306="X",1,0)</f>
        <v>0</v>
      </c>
      <c r="AJ306" s="15">
        <f>IF('ENCUESTA CONDUCTORES'!AR306="X",1,0)</f>
        <v>0</v>
      </c>
      <c r="AK306" s="15">
        <f>+'ENCUESTA CONDUCTORES'!AS306</f>
        <v>0</v>
      </c>
      <c r="AL306" s="15" t="str">
        <f>+'ENCUESTA CONDUCTORES'!AT306</f>
        <v>KODIAK</v>
      </c>
      <c r="AM306" s="1">
        <f>+'ENCUESTA CONDUCTORES'!AU306</f>
        <v>5000</v>
      </c>
      <c r="AN306" s="48">
        <f>+'ENCUESTA CONDUCTORES'!AV306</f>
        <v>0.3</v>
      </c>
      <c r="AO306" s="15">
        <f>+'ENCUESTA CONDUCTORES'!AW306</f>
        <v>4.8</v>
      </c>
      <c r="AP306" s="15">
        <f>+'ENCUESTA CONDUCTORES'!AX306</f>
        <v>4.0999999999999996</v>
      </c>
      <c r="AQ306" s="15">
        <f>+'ENCUESTA CONDUCTORES'!AY306</f>
        <v>2</v>
      </c>
      <c r="AR306" s="15">
        <f>+'ENCUESTA CONDUCTORES'!AZ306</f>
        <v>290</v>
      </c>
      <c r="AS306" s="15">
        <f>+'ENCUESTA CONDUCTORES'!BA306</f>
        <v>1300</v>
      </c>
      <c r="AT306" s="15">
        <f>IF('ENCUESTA CONDUCTORES'!BB306="X",1,0)</f>
        <v>0</v>
      </c>
      <c r="AU306" s="15">
        <f>IF('ENCUESTA CONDUCTORES'!BC306="X",1,0)</f>
        <v>0</v>
      </c>
      <c r="AV306" s="15">
        <f>IF('ENCUESTA CONDUCTORES'!BD306="X",1,0)</f>
        <v>0</v>
      </c>
      <c r="AW306" s="1">
        <f>+'ENCUESTA CONDUCTORES'!BE306</f>
        <v>30000</v>
      </c>
      <c r="AX306" s="1" t="str">
        <f>+'ENCUESTA CONDUCTORES'!BF306</f>
        <v>NO SABE</v>
      </c>
      <c r="AY306" s="1">
        <f>+'ENCUESTA CONDUCTORES'!BG306</f>
        <v>30000</v>
      </c>
      <c r="AZ306" s="1" t="str">
        <f>+'ENCUESTA CONDUCTORES'!BH306</f>
        <v>NO SABE</v>
      </c>
      <c r="BA306" s="1" t="str">
        <f>+'ENCUESTA CONDUCTORES'!BI306</f>
        <v>NO SABE</v>
      </c>
      <c r="BB306" s="15">
        <f>IF('ENCUESTA CONDUCTORES'!BJ306="X",1,0)</f>
        <v>1</v>
      </c>
      <c r="BC306" s="15">
        <f>IF('ENCUESTA CONDUCTORES'!BK306="X",1,0)</f>
        <v>0</v>
      </c>
      <c r="BD306" s="15">
        <f>IF('ENCUESTA CONDUCTORES'!BL306="X",1,0)</f>
        <v>0</v>
      </c>
      <c r="BE306" s="15">
        <f>IF('ENCUESTA CONDUCTORES'!BM306="X",1,0)</f>
        <v>0</v>
      </c>
      <c r="BF306" s="15">
        <f>IF('ENCUESTA CONDUCTORES'!BN306="X",1,0)</f>
        <v>0</v>
      </c>
      <c r="BG306" s="15">
        <f>IF('ENCUESTA CONDUCTORES'!BO306="X",1,0)</f>
        <v>1</v>
      </c>
      <c r="BH306" s="15">
        <f>IF('ENCUESTA CONDUCTORES'!BP306="X",1,0)</f>
        <v>0</v>
      </c>
      <c r="BI306" s="15">
        <f>IF('ENCUESTA CONDUCTORES'!BQ306="X",1,0)</f>
        <v>0</v>
      </c>
      <c r="BJ306" s="15">
        <f>IF('ENCUESTA CONDUCTORES'!BR306="X",1,0)</f>
        <v>0</v>
      </c>
      <c r="BK306" s="15">
        <f>+'ENCUESTA CONDUCTORES'!BS306</f>
        <v>0</v>
      </c>
      <c r="BL306" s="15">
        <f>IF('ENCUESTA CONDUCTORES'!BT306="X",1,0)</f>
        <v>0</v>
      </c>
      <c r="BM306" s="15">
        <f>IF('ENCUESTA CONDUCTORES'!BU306="X",1,0)</f>
        <v>0</v>
      </c>
      <c r="BN306" s="15">
        <f>IF('ENCUESTA CONDUCTORES'!BV306="X",1,0)</f>
        <v>1</v>
      </c>
      <c r="BO306" s="15">
        <f>IF('ENCUESTA CONDUCTORES'!BW306="X",1,0)</f>
        <v>0</v>
      </c>
      <c r="BP306" s="15">
        <f>+'ENCUESTA CONDUCTORES'!BX306</f>
        <v>3</v>
      </c>
      <c r="BQ306" s="15">
        <f>+'ENCUESTA CONDUCTORES'!BY306</f>
        <v>2</v>
      </c>
      <c r="BR306" s="15">
        <f>+'ENCUESTA CONDUCTORES'!BZ306</f>
        <v>1</v>
      </c>
      <c r="BS306" s="15">
        <f>+'ENCUESTA CONDUCTORES'!CA306</f>
        <v>0</v>
      </c>
      <c r="BT306" s="15">
        <f>IF('ENCUESTA CONDUCTORES'!CB306="X",1,0)</f>
        <v>1</v>
      </c>
      <c r="BU306" s="15">
        <f>IF('ENCUESTA CONDUCTORES'!CC306="X",1,0)</f>
        <v>0</v>
      </c>
      <c r="BV306" s="15">
        <f>IF('ENCUESTA CONDUCTORES'!CD306="X",1,0)</f>
        <v>0</v>
      </c>
      <c r="BW306" s="15">
        <f>IF('ENCUESTA CONDUCTORES'!CE306="X",1,0)</f>
        <v>0</v>
      </c>
      <c r="BX306" s="15">
        <f>IF('ENCUESTA CONDUCTORES'!CF306="X",1,0)</f>
        <v>0</v>
      </c>
      <c r="BY306" s="15">
        <f>IF('ENCUESTA CONDUCTORES'!CG306="X",1,0)</f>
        <v>0</v>
      </c>
      <c r="BZ306" s="15">
        <f>IF('ENCUESTA CONDUCTORES'!CH306="X",1,0)</f>
        <v>0</v>
      </c>
      <c r="CA306" s="15">
        <f>IF('ENCUESTA CONDUCTORES'!CI306="X",1,0)</f>
        <v>0</v>
      </c>
      <c r="CB306" s="15">
        <f>IF('ENCUESTA CONDUCTORES'!CJ306="X",1,0)</f>
        <v>0</v>
      </c>
      <c r="CC306" s="15">
        <f>IF('ENCUESTA CONDUCTORES'!CK306="X",1,0)</f>
        <v>1</v>
      </c>
      <c r="CD306" s="15">
        <f>IF('ENCUESTA CONDUCTORES'!CL306="X",1,0)</f>
        <v>0</v>
      </c>
      <c r="CE306" s="15">
        <f>IF('ENCUESTA CONDUCTORES'!CM306="X",1,0)</f>
        <v>0</v>
      </c>
      <c r="CF306" s="15">
        <f>+'ENCUESTA CONDUCTORES'!CN306</f>
        <v>0</v>
      </c>
      <c r="CG306" s="15">
        <f>IF('ENCUESTA CONDUCTORES'!CO306="X",1,0)</f>
        <v>0</v>
      </c>
      <c r="CH306" s="15" t="str">
        <f>+'ENCUESTA CONDUCTORES'!CP306</f>
        <v>NO SABE</v>
      </c>
      <c r="CI306" s="15" t="str">
        <f>+'ENCUESTA CONDUCTORES'!CQ306</f>
        <v>NO SABE</v>
      </c>
      <c r="CJ306" s="15">
        <f>IF('ENCUESTA CONDUCTORES'!CR306="X",1,0)</f>
        <v>1</v>
      </c>
      <c r="CK306" s="15">
        <f>IF('ENCUESTA CONDUCTORES'!CS306="X",1,0)</f>
        <v>0</v>
      </c>
      <c r="CL306" s="15">
        <f>IF('ENCUESTA CONDUCTORES'!CT306="X",1,0)</f>
        <v>0</v>
      </c>
      <c r="CM306" s="15">
        <f>+'ENCUESTA CONDUCTORES'!CU306</f>
        <v>0</v>
      </c>
      <c r="CN306" s="15">
        <f>IF('ENCUESTA CONDUCTORES'!CV306="X",1,0)</f>
        <v>1</v>
      </c>
      <c r="CO306" s="15" t="str">
        <f>+'ENCUESTA CONDUCTORES'!CW306</f>
        <v>NO TIENE TIEMPO</v>
      </c>
      <c r="CP306" s="15">
        <f>IF('ENCUESTA CONDUCTORES'!CX306="X",1,0)</f>
        <v>0</v>
      </c>
      <c r="CQ306" s="15">
        <f>IF('ENCUESTA CONDUCTORES'!CY306="X",1,0)</f>
        <v>0</v>
      </c>
      <c r="CR306" s="3">
        <f>+'ENCUESTA CONDUCTORES'!CZ306</f>
        <v>0</v>
      </c>
      <c r="CS306" s="49">
        <f>+'ENCUESTA CONDUCTORES'!DA306</f>
        <v>0</v>
      </c>
    </row>
    <row r="307" spans="2:97" x14ac:dyDescent="0.25">
      <c r="B307" s="14" t="str">
        <f>+'ENCUESTA CONDUCTORES'!D307</f>
        <v>C-318</v>
      </c>
      <c r="C307" s="15">
        <f>IF('ENCUESTA CONDUCTORES'!E307="X",1,0)</f>
        <v>0</v>
      </c>
      <c r="D307" s="15">
        <f>IF('ENCUESTA CONDUCTORES'!F307="X",1,0)</f>
        <v>0</v>
      </c>
      <c r="E307" s="15">
        <f>IF('ENCUESTA CONDUCTORES'!G307="X",1,0)</f>
        <v>1</v>
      </c>
      <c r="F307" s="15">
        <f>IF('ENCUESTA CONDUCTORES'!H307="X",1,0)</f>
        <v>0</v>
      </c>
      <c r="G307" s="15">
        <f>+'ENCUESTA CONDUCTORES'!I307</f>
        <v>41</v>
      </c>
      <c r="H307" s="15" t="str">
        <f>+'ENCUESTA CONDUCTORES'!J307</f>
        <v>M</v>
      </c>
      <c r="I307" s="15" t="str">
        <f>+'ENCUESTA CONDUCTORES'!K307</f>
        <v>PRIMARIA</v>
      </c>
      <c r="J307" s="15" t="str">
        <f>+'ENCUESTA CONDUCTORES'!L307</f>
        <v>PEROTE, VERACRUZ</v>
      </c>
      <c r="K307" s="15" t="str">
        <f>+'ENCUESTA CONDUCTORES'!M307</f>
        <v>PEROTE</v>
      </c>
      <c r="L307" s="15" t="str">
        <f>+'ENCUESTA CONDUCTORES'!N307</f>
        <v>VERACRUZ</v>
      </c>
      <c r="M307" s="15">
        <f>+'ENCUESTA CONDUCTORES'!O307</f>
        <v>19</v>
      </c>
      <c r="N307" s="15">
        <f>IF('ENCUESTA CONDUCTORES'!P307="X",1,0)</f>
        <v>0</v>
      </c>
      <c r="O307" s="15">
        <f>IF('ENCUESTA CONDUCTORES'!Q307="X",1,0)</f>
        <v>1</v>
      </c>
      <c r="P307" s="15">
        <f>IF('ENCUESTA CONDUCTORES'!R307="X",1,0)</f>
        <v>0</v>
      </c>
      <c r="Q307" s="15">
        <f>IF('ENCUESTA CONDUCTORES'!S307="X",1,0)</f>
        <v>0</v>
      </c>
      <c r="R307" s="15">
        <f>IF('ENCUESTA CONDUCTORES'!T307="X",1,0)</f>
        <v>0</v>
      </c>
      <c r="S307" s="15">
        <f>IF('ENCUESTA CONDUCTORES'!U307="X",1,0)</f>
        <v>0</v>
      </c>
      <c r="T307" s="15">
        <f>IF('ENCUESTA CONDUCTORES'!V307="X",1,0)</f>
        <v>0</v>
      </c>
      <c r="U307" s="15">
        <f>IF('ENCUESTA CONDUCTORES'!W307="X",1,0)</f>
        <v>0</v>
      </c>
      <c r="V307" s="15">
        <f>IF('ENCUESTA CONDUCTORES'!X307="X",1,0)</f>
        <v>0</v>
      </c>
      <c r="W307" s="15">
        <f>IF('ENCUESTA CONDUCTORES'!Y307="X",1,0)</f>
        <v>0</v>
      </c>
      <c r="X307" s="15">
        <f>IF('ENCUESTA CONDUCTORES'!Z307="X",1,0)</f>
        <v>0</v>
      </c>
      <c r="Y307" s="15">
        <f>+'ENCUESTA CONDUCTORES'!AG307</f>
        <v>0</v>
      </c>
      <c r="Z307" s="15">
        <f>+'ENCUESTA CONDUCTORES'!AH307</f>
        <v>1997</v>
      </c>
      <c r="AA307" s="1">
        <f>+'ENCUESTA CONDUCTORES'!AI307</f>
        <v>1083219</v>
      </c>
      <c r="AB307" s="15">
        <f>IF('ENCUESTA CONDUCTORES'!AJ307="X",1,0)</f>
        <v>0</v>
      </c>
      <c r="AC307" s="15">
        <f>IF('ENCUESTA CONDUCTORES'!AK307="X",1,0)</f>
        <v>0</v>
      </c>
      <c r="AD307" s="15">
        <f>IF('ENCUESTA CONDUCTORES'!AL307="X",1,0)</f>
        <v>1</v>
      </c>
      <c r="AE307" s="15">
        <f>IF('ENCUESTA CONDUCTORES'!AM307="X",1,0)</f>
        <v>0</v>
      </c>
      <c r="AF307" s="15">
        <f>IF('ENCUESTA CONDUCTORES'!AN307="X",1,0)</f>
        <v>0</v>
      </c>
      <c r="AG307" s="15">
        <f>IF('ENCUESTA CONDUCTORES'!AO307="X",1,0)</f>
        <v>0</v>
      </c>
      <c r="AH307" s="15">
        <f>IF('ENCUESTA CONDUCTORES'!AP307="X",1,0)</f>
        <v>1</v>
      </c>
      <c r="AI307" s="15">
        <f>IF('ENCUESTA CONDUCTORES'!AQ307="X",1,0)</f>
        <v>0</v>
      </c>
      <c r="AJ307" s="15">
        <f>IF('ENCUESTA CONDUCTORES'!AR307="X",1,0)</f>
        <v>0</v>
      </c>
      <c r="AK307" s="15">
        <f>+'ENCUESTA CONDUCTORES'!AS307</f>
        <v>0</v>
      </c>
      <c r="AL307" s="15" t="str">
        <f>+'ENCUESTA CONDUCTORES'!AT307</f>
        <v>CUMMINS</v>
      </c>
      <c r="AM307" s="1">
        <f>+'ENCUESTA CONDUCTORES'!AU307</f>
        <v>9000</v>
      </c>
      <c r="AN307" s="48">
        <f>+'ENCUESTA CONDUCTORES'!AV307</f>
        <v>0.5</v>
      </c>
      <c r="AO307" s="15">
        <f>+'ENCUESTA CONDUCTORES'!AW307</f>
        <v>3.4</v>
      </c>
      <c r="AP307" s="15">
        <f>+'ENCUESTA CONDUCTORES'!AX307</f>
        <v>2.9</v>
      </c>
      <c r="AQ307" s="15">
        <f>+'ENCUESTA CONDUCTORES'!AY307</f>
        <v>2</v>
      </c>
      <c r="AR307" s="15">
        <f>+'ENCUESTA CONDUCTORES'!AZ307</f>
        <v>910</v>
      </c>
      <c r="AS307" s="15">
        <f>+'ENCUESTA CONDUCTORES'!BA307</f>
        <v>3000</v>
      </c>
      <c r="AT307" s="15">
        <f>IF('ENCUESTA CONDUCTORES'!BB307="X",1,0)</f>
        <v>1</v>
      </c>
      <c r="AU307" s="15">
        <f>IF('ENCUESTA CONDUCTORES'!BC307="X",1,0)</f>
        <v>0</v>
      </c>
      <c r="AV307" s="15">
        <f>IF('ENCUESTA CONDUCTORES'!BD307="X",1,0)</f>
        <v>0</v>
      </c>
      <c r="AW307" s="1">
        <f>+'ENCUESTA CONDUCTORES'!BE307</f>
        <v>20000</v>
      </c>
      <c r="AX307" s="1" t="str">
        <f>+'ENCUESTA CONDUCTORES'!BF307</f>
        <v>NO SABE</v>
      </c>
      <c r="AY307" s="1">
        <f>+'ENCUESTA CONDUCTORES'!BG307</f>
        <v>20000</v>
      </c>
      <c r="AZ307" s="1">
        <f>+'ENCUESTA CONDUCTORES'!BH307</f>
        <v>120000</v>
      </c>
      <c r="BA307" s="1" t="str">
        <f>+'ENCUESTA CONDUCTORES'!BI307</f>
        <v>NO SABE</v>
      </c>
      <c r="BB307" s="15">
        <f>IF('ENCUESTA CONDUCTORES'!BJ307="X",1,0)</f>
        <v>1</v>
      </c>
      <c r="BC307" s="15">
        <f>IF('ENCUESTA CONDUCTORES'!BK307="X",1,0)</f>
        <v>1</v>
      </c>
      <c r="BD307" s="15">
        <f>IF('ENCUESTA CONDUCTORES'!BL307="X",1,0)</f>
        <v>0</v>
      </c>
      <c r="BE307" s="15">
        <f>IF('ENCUESTA CONDUCTORES'!BM307="X",1,0)</f>
        <v>0</v>
      </c>
      <c r="BF307" s="15">
        <f>IF('ENCUESTA CONDUCTORES'!BN307="X",1,0)</f>
        <v>0</v>
      </c>
      <c r="BG307" s="15">
        <f>IF('ENCUESTA CONDUCTORES'!BO307="X",1,0)</f>
        <v>1</v>
      </c>
      <c r="BH307" s="15">
        <f>IF('ENCUESTA CONDUCTORES'!BP307="X",1,0)</f>
        <v>0</v>
      </c>
      <c r="BI307" s="15">
        <f>IF('ENCUESTA CONDUCTORES'!BQ307="X",1,0)</f>
        <v>0</v>
      </c>
      <c r="BJ307" s="15">
        <f>IF('ENCUESTA CONDUCTORES'!BR307="X",1,0)</f>
        <v>0</v>
      </c>
      <c r="BK307" s="15">
        <f>+'ENCUESTA CONDUCTORES'!BS307</f>
        <v>0</v>
      </c>
      <c r="BL307" s="15">
        <f>IF('ENCUESTA CONDUCTORES'!BT307="X",1,0)</f>
        <v>0</v>
      </c>
      <c r="BM307" s="15">
        <f>IF('ENCUESTA CONDUCTORES'!BU307="X",1,0)</f>
        <v>0</v>
      </c>
      <c r="BN307" s="15">
        <f>IF('ENCUESTA CONDUCTORES'!BV307="X",1,0)</f>
        <v>1</v>
      </c>
      <c r="BO307" s="15">
        <f>IF('ENCUESTA CONDUCTORES'!BW307="X",1,0)</f>
        <v>0</v>
      </c>
      <c r="BP307" s="15">
        <f>+'ENCUESTA CONDUCTORES'!BX307</f>
        <v>1</v>
      </c>
      <c r="BQ307" s="15">
        <f>+'ENCUESTA CONDUCTORES'!BY307</f>
        <v>3</v>
      </c>
      <c r="BR307" s="15">
        <f>+'ENCUESTA CONDUCTORES'!BZ307</f>
        <v>2</v>
      </c>
      <c r="BS307" s="15">
        <f>+'ENCUESTA CONDUCTORES'!CA307</f>
        <v>0</v>
      </c>
      <c r="BT307" s="15">
        <f>IF('ENCUESTA CONDUCTORES'!CB307="X",1,0)</f>
        <v>1</v>
      </c>
      <c r="BU307" s="15">
        <f>IF('ENCUESTA CONDUCTORES'!CC307="X",1,0)</f>
        <v>0</v>
      </c>
      <c r="BV307" s="15">
        <f>IF('ENCUESTA CONDUCTORES'!CD307="X",1,0)</f>
        <v>0</v>
      </c>
      <c r="BW307" s="15">
        <f>IF('ENCUESTA CONDUCTORES'!CE307="X",1,0)</f>
        <v>0</v>
      </c>
      <c r="BX307" s="15">
        <f>IF('ENCUESTA CONDUCTORES'!CF307="X",1,0)</f>
        <v>0</v>
      </c>
      <c r="BY307" s="15">
        <f>IF('ENCUESTA CONDUCTORES'!CG307="X",1,0)</f>
        <v>0</v>
      </c>
      <c r="BZ307" s="15">
        <f>IF('ENCUESTA CONDUCTORES'!CH307="X",1,0)</f>
        <v>0</v>
      </c>
      <c r="CA307" s="15">
        <f>IF('ENCUESTA CONDUCTORES'!CI307="X",1,0)</f>
        <v>0</v>
      </c>
      <c r="CB307" s="15">
        <f>IF('ENCUESTA CONDUCTORES'!CJ307="X",1,0)</f>
        <v>0</v>
      </c>
      <c r="CC307" s="15">
        <f>IF('ENCUESTA CONDUCTORES'!CK307="X",1,0)</f>
        <v>1</v>
      </c>
      <c r="CD307" s="15">
        <f>IF('ENCUESTA CONDUCTORES'!CL307="X",1,0)</f>
        <v>0</v>
      </c>
      <c r="CE307" s="15">
        <f>IF('ENCUESTA CONDUCTORES'!CM307="X",1,0)</f>
        <v>0</v>
      </c>
      <c r="CF307" s="15">
        <f>+'ENCUESTA CONDUCTORES'!CN307</f>
        <v>0</v>
      </c>
      <c r="CG307" s="15">
        <f>IF('ENCUESTA CONDUCTORES'!CO307="X",1,0)</f>
        <v>0</v>
      </c>
      <c r="CH307" s="15" t="str">
        <f>+'ENCUESTA CONDUCTORES'!CP307</f>
        <v>NO SABE</v>
      </c>
      <c r="CI307" s="15" t="str">
        <f>+'ENCUESTA CONDUCTORES'!CQ307</f>
        <v>NO SABE</v>
      </c>
      <c r="CJ307" s="15">
        <f>IF('ENCUESTA CONDUCTORES'!CR307="X",1,0)</f>
        <v>1</v>
      </c>
      <c r="CK307" s="15">
        <f>IF('ENCUESTA CONDUCTORES'!CS307="X",1,0)</f>
        <v>0</v>
      </c>
      <c r="CL307" s="15">
        <f>IF('ENCUESTA CONDUCTORES'!CT307="X",1,0)</f>
        <v>0</v>
      </c>
      <c r="CM307" s="15">
        <f>+'ENCUESTA CONDUCTORES'!CU307</f>
        <v>0</v>
      </c>
      <c r="CN307" s="15">
        <f>IF('ENCUESTA CONDUCTORES'!CV307="X",1,0)</f>
        <v>0</v>
      </c>
      <c r="CO307" s="15">
        <f>+'ENCUESTA CONDUCTORES'!CW307</f>
        <v>0</v>
      </c>
      <c r="CP307" s="15">
        <f>IF('ENCUESTA CONDUCTORES'!CX307="X",1,0)</f>
        <v>1</v>
      </c>
      <c r="CQ307" s="15">
        <f>IF('ENCUESTA CONDUCTORES'!CY307="X",1,0)</f>
        <v>0</v>
      </c>
      <c r="CR307" s="3">
        <f>+'ENCUESTA CONDUCTORES'!CZ307</f>
        <v>0</v>
      </c>
      <c r="CS307" s="49">
        <f>+'ENCUESTA CONDUCTORES'!DA307</f>
        <v>0</v>
      </c>
    </row>
    <row r="308" spans="2:97" x14ac:dyDescent="0.25">
      <c r="B308" s="14" t="str">
        <f>+'ENCUESTA CONDUCTORES'!D308</f>
        <v>C-319</v>
      </c>
      <c r="C308" s="15">
        <f>IF('ENCUESTA CONDUCTORES'!E308="X",1,0)</f>
        <v>1</v>
      </c>
      <c r="D308" s="15">
        <f>IF('ENCUESTA CONDUCTORES'!F308="X",1,0)</f>
        <v>0</v>
      </c>
      <c r="E308" s="15">
        <f>IF('ENCUESTA CONDUCTORES'!G308="X",1,0)</f>
        <v>0</v>
      </c>
      <c r="F308" s="15">
        <f>IF('ENCUESTA CONDUCTORES'!H308="X",1,0)</f>
        <v>0</v>
      </c>
      <c r="G308" s="15">
        <f>+'ENCUESTA CONDUCTORES'!I308</f>
        <v>23</v>
      </c>
      <c r="H308" s="15" t="str">
        <f>+'ENCUESTA CONDUCTORES'!J308</f>
        <v>M</v>
      </c>
      <c r="I308" s="15" t="str">
        <f>+'ENCUESTA CONDUCTORES'!K308</f>
        <v>SECUNDARIA</v>
      </c>
      <c r="J308" s="15" t="str">
        <f>+'ENCUESTA CONDUCTORES'!L308</f>
        <v>PONCITLAN, JALISCO</v>
      </c>
      <c r="K308" s="15" t="str">
        <f>+'ENCUESTA CONDUCTORES'!M308</f>
        <v>PONCITLAN</v>
      </c>
      <c r="L308" s="15" t="str">
        <f>+'ENCUESTA CONDUCTORES'!N308</f>
        <v>JALISCO</v>
      </c>
      <c r="M308" s="15">
        <f>+'ENCUESTA CONDUCTORES'!O308</f>
        <v>2</v>
      </c>
      <c r="N308" s="15">
        <f>IF('ENCUESTA CONDUCTORES'!P308="X",1,0)</f>
        <v>0</v>
      </c>
      <c r="O308" s="15">
        <f>IF('ENCUESTA CONDUCTORES'!Q308="X",1,0)</f>
        <v>0</v>
      </c>
      <c r="P308" s="15">
        <f>IF('ENCUESTA CONDUCTORES'!R308="X",1,0)</f>
        <v>1</v>
      </c>
      <c r="Q308" s="15">
        <f>IF('ENCUESTA CONDUCTORES'!S308="X",1,0)</f>
        <v>0</v>
      </c>
      <c r="R308" s="15">
        <f>IF('ENCUESTA CONDUCTORES'!T308="X",1,0)</f>
        <v>0</v>
      </c>
      <c r="S308" s="15">
        <f>IF('ENCUESTA CONDUCTORES'!U308="X",1,0)</f>
        <v>0</v>
      </c>
      <c r="T308" s="15">
        <f>IF('ENCUESTA CONDUCTORES'!V308="X",1,0)</f>
        <v>0</v>
      </c>
      <c r="U308" s="15">
        <f>IF('ENCUESTA CONDUCTORES'!W308="X",1,0)</f>
        <v>0</v>
      </c>
      <c r="V308" s="15">
        <f>IF('ENCUESTA CONDUCTORES'!X308="X",1,0)</f>
        <v>0</v>
      </c>
      <c r="W308" s="15">
        <f>IF('ENCUESTA CONDUCTORES'!Y308="X",1,0)</f>
        <v>0</v>
      </c>
      <c r="X308" s="15">
        <f>IF('ENCUESTA CONDUCTORES'!Z308="X",1,0)</f>
        <v>0</v>
      </c>
      <c r="Y308" s="15">
        <f>+'ENCUESTA CONDUCTORES'!AG308</f>
        <v>0</v>
      </c>
      <c r="Z308" s="15">
        <f>+'ENCUESTA CONDUCTORES'!AH308</f>
        <v>1987</v>
      </c>
      <c r="AA308" s="1" t="str">
        <f>+'ENCUESTA CONDUCTORES'!AI308</f>
        <v>NO SABE</v>
      </c>
      <c r="AB308" s="15">
        <f>IF('ENCUESTA CONDUCTORES'!AJ308="X",1,0)</f>
        <v>1</v>
      </c>
      <c r="AC308" s="15">
        <f>IF('ENCUESTA CONDUCTORES'!AK308="X",1,0)</f>
        <v>0</v>
      </c>
      <c r="AD308" s="15">
        <f>IF('ENCUESTA CONDUCTORES'!AL308="X",1,0)</f>
        <v>0</v>
      </c>
      <c r="AE308" s="15">
        <f>IF('ENCUESTA CONDUCTORES'!AM308="X",1,0)</f>
        <v>0</v>
      </c>
      <c r="AF308" s="15">
        <f>IF('ENCUESTA CONDUCTORES'!AN308="X",1,0)</f>
        <v>0</v>
      </c>
      <c r="AG308" s="15">
        <f>IF('ENCUESTA CONDUCTORES'!AO308="X",1,0)</f>
        <v>0</v>
      </c>
      <c r="AH308" s="15">
        <f>IF('ENCUESTA CONDUCTORES'!AP308="X",1,0)</f>
        <v>0</v>
      </c>
      <c r="AI308" s="15">
        <f>IF('ENCUESTA CONDUCTORES'!AQ308="X",1,0)</f>
        <v>0</v>
      </c>
      <c r="AJ308" s="15">
        <f>IF('ENCUESTA CONDUCTORES'!AR308="X",1,0)</f>
        <v>0</v>
      </c>
      <c r="AK308" s="15">
        <f>+'ENCUESTA CONDUCTORES'!AS308</f>
        <v>0</v>
      </c>
      <c r="AL308" s="15" t="str">
        <f>+'ENCUESTA CONDUCTORES'!AT308</f>
        <v>FORD</v>
      </c>
      <c r="AM308" s="1">
        <f>+'ENCUESTA CONDUCTORES'!AU308</f>
        <v>6000</v>
      </c>
      <c r="AN308" s="48">
        <f>+'ENCUESTA CONDUCTORES'!AV308</f>
        <v>0.5</v>
      </c>
      <c r="AO308" s="15">
        <f>+'ENCUESTA CONDUCTORES'!AW308</f>
        <v>5</v>
      </c>
      <c r="AP308" s="15">
        <f>+'ENCUESTA CONDUCTORES'!AX308</f>
        <v>4.2</v>
      </c>
      <c r="AQ308" s="15">
        <f>+'ENCUESTA CONDUCTORES'!AY308</f>
        <v>2</v>
      </c>
      <c r="AR308" s="15">
        <f>+'ENCUESTA CONDUCTORES'!AZ308</f>
        <v>330</v>
      </c>
      <c r="AS308" s="15">
        <f>+'ENCUESTA CONDUCTORES'!BA308</f>
        <v>1500</v>
      </c>
      <c r="AT308" s="15">
        <f>IF('ENCUESTA CONDUCTORES'!BB308="X",1,0)</f>
        <v>0</v>
      </c>
      <c r="AU308" s="15">
        <f>IF('ENCUESTA CONDUCTORES'!BC308="X",1,0)</f>
        <v>0</v>
      </c>
      <c r="AV308" s="15">
        <f>IF('ENCUESTA CONDUCTORES'!BD308="X",1,0)</f>
        <v>0</v>
      </c>
      <c r="AW308" s="1">
        <f>+'ENCUESTA CONDUCTORES'!BE308</f>
        <v>16000</v>
      </c>
      <c r="AX308" s="1" t="str">
        <f>+'ENCUESTA CONDUCTORES'!BF308</f>
        <v>NO SABE</v>
      </c>
      <c r="AY308" s="1">
        <f>+'ENCUESTA CONDUCTORES'!BG308</f>
        <v>32000</v>
      </c>
      <c r="AZ308" s="1" t="str">
        <f>+'ENCUESTA CONDUCTORES'!BH308</f>
        <v>NO SABE</v>
      </c>
      <c r="BA308" s="1" t="str">
        <f>+'ENCUESTA CONDUCTORES'!BI308</f>
        <v>NO APLICA</v>
      </c>
      <c r="BB308" s="15">
        <f>IF('ENCUESTA CONDUCTORES'!BJ308="X",1,0)</f>
        <v>1</v>
      </c>
      <c r="BC308" s="15">
        <f>IF('ENCUESTA CONDUCTORES'!BK308="X",1,0)</f>
        <v>0</v>
      </c>
      <c r="BD308" s="15">
        <f>IF('ENCUESTA CONDUCTORES'!BL308="X",1,0)</f>
        <v>0</v>
      </c>
      <c r="BE308" s="15">
        <f>IF('ENCUESTA CONDUCTORES'!BM308="X",1,0)</f>
        <v>0</v>
      </c>
      <c r="BF308" s="15">
        <f>IF('ENCUESTA CONDUCTORES'!BN308="X",1,0)</f>
        <v>0</v>
      </c>
      <c r="BG308" s="15">
        <f>IF('ENCUESTA CONDUCTORES'!BO308="X",1,0)</f>
        <v>1</v>
      </c>
      <c r="BH308" s="15">
        <f>IF('ENCUESTA CONDUCTORES'!BP308="X",1,0)</f>
        <v>0</v>
      </c>
      <c r="BI308" s="15">
        <f>IF('ENCUESTA CONDUCTORES'!BQ308="X",1,0)</f>
        <v>0</v>
      </c>
      <c r="BJ308" s="15">
        <f>IF('ENCUESTA CONDUCTORES'!BR308="X",1,0)</f>
        <v>0</v>
      </c>
      <c r="BK308" s="15">
        <f>+'ENCUESTA CONDUCTORES'!BS308</f>
        <v>0</v>
      </c>
      <c r="BL308" s="15">
        <f>IF('ENCUESTA CONDUCTORES'!BT308="X",1,0)</f>
        <v>0</v>
      </c>
      <c r="BM308" s="15">
        <f>IF('ENCUESTA CONDUCTORES'!BU308="X",1,0)</f>
        <v>1</v>
      </c>
      <c r="BN308" s="15">
        <f>IF('ENCUESTA CONDUCTORES'!BV308="X",1,0)</f>
        <v>0</v>
      </c>
      <c r="BO308" s="15">
        <f>IF('ENCUESTA CONDUCTORES'!BW308="X",1,0)</f>
        <v>0</v>
      </c>
      <c r="BP308" s="15">
        <f>+'ENCUESTA CONDUCTORES'!BX308</f>
        <v>2</v>
      </c>
      <c r="BQ308" s="15">
        <f>+'ENCUESTA CONDUCTORES'!BY308</f>
        <v>1</v>
      </c>
      <c r="BR308" s="15">
        <f>+'ENCUESTA CONDUCTORES'!BZ308</f>
        <v>3</v>
      </c>
      <c r="BS308" s="15">
        <f>+'ENCUESTA CONDUCTORES'!CA308</f>
        <v>0</v>
      </c>
      <c r="BT308" s="15">
        <f>IF('ENCUESTA CONDUCTORES'!CB308="X",1,0)</f>
        <v>1</v>
      </c>
      <c r="BU308" s="15">
        <f>IF('ENCUESTA CONDUCTORES'!CC308="X",1,0)</f>
        <v>0</v>
      </c>
      <c r="BV308" s="15">
        <f>IF('ENCUESTA CONDUCTORES'!CD308="X",1,0)</f>
        <v>0</v>
      </c>
      <c r="BW308" s="15">
        <f>IF('ENCUESTA CONDUCTORES'!CE308="X",1,0)</f>
        <v>0</v>
      </c>
      <c r="BX308" s="15">
        <f>IF('ENCUESTA CONDUCTORES'!CF308="X",1,0)</f>
        <v>0</v>
      </c>
      <c r="BY308" s="15">
        <f>IF('ENCUESTA CONDUCTORES'!CG308="X",1,0)</f>
        <v>0</v>
      </c>
      <c r="BZ308" s="15">
        <f>IF('ENCUESTA CONDUCTORES'!CH308="X",1,0)</f>
        <v>0</v>
      </c>
      <c r="CA308" s="15">
        <f>IF('ENCUESTA CONDUCTORES'!CI308="X",1,0)</f>
        <v>0</v>
      </c>
      <c r="CB308" s="15">
        <f>IF('ENCUESTA CONDUCTORES'!CJ308="X",1,0)</f>
        <v>0</v>
      </c>
      <c r="CC308" s="15">
        <f>IF('ENCUESTA CONDUCTORES'!CK308="X",1,0)</f>
        <v>1</v>
      </c>
      <c r="CD308" s="15">
        <f>IF('ENCUESTA CONDUCTORES'!CL308="X",1,0)</f>
        <v>0</v>
      </c>
      <c r="CE308" s="15">
        <f>IF('ENCUESTA CONDUCTORES'!CM308="X",1,0)</f>
        <v>0</v>
      </c>
      <c r="CF308" s="15">
        <f>+'ENCUESTA CONDUCTORES'!CN308</f>
        <v>0</v>
      </c>
      <c r="CG308" s="15">
        <f>IF('ENCUESTA CONDUCTORES'!CO308="X",1,0)</f>
        <v>0</v>
      </c>
      <c r="CH308" s="15" t="str">
        <f>+'ENCUESTA CONDUCTORES'!CP308</f>
        <v>NO SABE</v>
      </c>
      <c r="CI308" s="15" t="str">
        <f>+'ENCUESTA CONDUCTORES'!CQ308</f>
        <v>NO SABE</v>
      </c>
      <c r="CJ308" s="15">
        <f>IF('ENCUESTA CONDUCTORES'!CR308="X",1,0)</f>
        <v>1</v>
      </c>
      <c r="CK308" s="15">
        <f>IF('ENCUESTA CONDUCTORES'!CS308="X",1,0)</f>
        <v>0</v>
      </c>
      <c r="CL308" s="15">
        <f>IF('ENCUESTA CONDUCTORES'!CT308="X",1,0)</f>
        <v>0</v>
      </c>
      <c r="CM308" s="15">
        <f>+'ENCUESTA CONDUCTORES'!CU308</f>
        <v>0</v>
      </c>
      <c r="CN308" s="15">
        <f>IF('ENCUESTA CONDUCTORES'!CV308="X",1,0)</f>
        <v>0</v>
      </c>
      <c r="CO308" s="15">
        <f>+'ENCUESTA CONDUCTORES'!CW308</f>
        <v>0</v>
      </c>
      <c r="CP308" s="15">
        <f>IF('ENCUESTA CONDUCTORES'!CX308="X",1,0)</f>
        <v>1</v>
      </c>
      <c r="CQ308" s="15">
        <f>IF('ENCUESTA CONDUCTORES'!CY308="X",1,0)</f>
        <v>0</v>
      </c>
      <c r="CR308" s="3">
        <f>+'ENCUESTA CONDUCTORES'!CZ308</f>
        <v>0</v>
      </c>
      <c r="CS308" s="49">
        <f>+'ENCUESTA CONDUCTORES'!DA308</f>
        <v>0</v>
      </c>
    </row>
    <row r="309" spans="2:97" x14ac:dyDescent="0.25">
      <c r="B309" s="56" t="str">
        <f>+'ENCUESTA CONDUCTORES'!D309</f>
        <v>C-320</v>
      </c>
      <c r="C309" s="15">
        <f>IF('ENCUESTA CONDUCTORES'!E309="X",1,0)</f>
        <v>0</v>
      </c>
      <c r="D309" s="15">
        <f>IF('ENCUESTA CONDUCTORES'!F309="X",1,0)</f>
        <v>0</v>
      </c>
      <c r="E309" s="15">
        <f>IF('ENCUESTA CONDUCTORES'!G309="X",1,0)</f>
        <v>1</v>
      </c>
      <c r="F309" s="15">
        <f>IF('ENCUESTA CONDUCTORES'!H309="X",1,0)</f>
        <v>0</v>
      </c>
      <c r="G309" s="15">
        <f>+'ENCUESTA CONDUCTORES'!I309</f>
        <v>42</v>
      </c>
      <c r="H309" s="15" t="str">
        <f>+'ENCUESTA CONDUCTORES'!J309</f>
        <v>M</v>
      </c>
      <c r="I309" s="15" t="str">
        <f>+'ENCUESTA CONDUCTORES'!K309</f>
        <v>PRIMARIA</v>
      </c>
      <c r="J309" s="15" t="str">
        <f>+'ENCUESTA CONDUCTORES'!L309</f>
        <v>CABORCA, SONORA</v>
      </c>
      <c r="K309" s="15" t="str">
        <f>+'ENCUESTA CONDUCTORES'!M309</f>
        <v>CABORCA</v>
      </c>
      <c r="L309" s="15" t="str">
        <f>+'ENCUESTA CONDUCTORES'!N309</f>
        <v>SONORA</v>
      </c>
      <c r="M309" s="15">
        <f>+'ENCUESTA CONDUCTORES'!O309</f>
        <v>23</v>
      </c>
      <c r="N309" s="15">
        <f>IF('ENCUESTA CONDUCTORES'!P309="X",1,0)</f>
        <v>0</v>
      </c>
      <c r="O309" s="15">
        <f>IF('ENCUESTA CONDUCTORES'!Q309="X",1,0)</f>
        <v>0</v>
      </c>
      <c r="P309" s="15">
        <f>IF('ENCUESTA CONDUCTORES'!R309="X",1,0)</f>
        <v>0</v>
      </c>
      <c r="Q309" s="15">
        <f>IF('ENCUESTA CONDUCTORES'!S309="X",1,0)</f>
        <v>1</v>
      </c>
      <c r="R309" s="15">
        <f>IF('ENCUESTA CONDUCTORES'!T309="X",1,0)</f>
        <v>0</v>
      </c>
      <c r="S309" s="15">
        <f>IF('ENCUESTA CONDUCTORES'!U309="X",1,0)</f>
        <v>1</v>
      </c>
      <c r="T309" s="15">
        <f>IF('ENCUESTA CONDUCTORES'!V309="X",1,0)</f>
        <v>0</v>
      </c>
      <c r="U309" s="15">
        <f>IF('ENCUESTA CONDUCTORES'!W309="X",1,0)</f>
        <v>0</v>
      </c>
      <c r="V309" s="15">
        <f>IF('ENCUESTA CONDUCTORES'!X309="X",1,0)</f>
        <v>0</v>
      </c>
      <c r="W309" s="15">
        <f>IF('ENCUESTA CONDUCTORES'!Y309="X",1,0)</f>
        <v>0</v>
      </c>
      <c r="X309" s="15">
        <f>IF('ENCUESTA CONDUCTORES'!Z309="X",1,0)</f>
        <v>0</v>
      </c>
      <c r="Y309" s="15">
        <f>+'ENCUESTA CONDUCTORES'!AG309</f>
        <v>0</v>
      </c>
      <c r="Z309" s="15">
        <f>+'ENCUESTA CONDUCTORES'!AH309</f>
        <v>2007</v>
      </c>
      <c r="AA309" s="1">
        <f>+'ENCUESTA CONDUCTORES'!AI309</f>
        <v>763821</v>
      </c>
      <c r="AB309" s="15">
        <f>IF('ENCUESTA CONDUCTORES'!AJ309="X",1,0)</f>
        <v>0</v>
      </c>
      <c r="AC309" s="15">
        <f>IF('ENCUESTA CONDUCTORES'!AK309="X",1,0)</f>
        <v>0</v>
      </c>
      <c r="AD309" s="15">
        <f>IF('ENCUESTA CONDUCTORES'!AL309="X",1,0)</f>
        <v>1</v>
      </c>
      <c r="AE309" s="15">
        <f>IF('ENCUESTA CONDUCTORES'!AM309="X",1,0)</f>
        <v>0</v>
      </c>
      <c r="AF309" s="15">
        <f>IF('ENCUESTA CONDUCTORES'!AN309="X",1,0)</f>
        <v>0</v>
      </c>
      <c r="AG309" s="15">
        <f>IF('ENCUESTA CONDUCTORES'!AO309="X",1,0)</f>
        <v>0</v>
      </c>
      <c r="AH309" s="15">
        <f>IF('ENCUESTA CONDUCTORES'!AP309="X",1,0)</f>
        <v>1</v>
      </c>
      <c r="AI309" s="15">
        <f>IF('ENCUESTA CONDUCTORES'!AQ309="X",1,0)</f>
        <v>0</v>
      </c>
      <c r="AJ309" s="15">
        <f>IF('ENCUESTA CONDUCTORES'!AR309="X",1,0)</f>
        <v>0</v>
      </c>
      <c r="AK309" s="15">
        <f>+'ENCUESTA CONDUCTORES'!AS309</f>
        <v>0</v>
      </c>
      <c r="AL309" s="15" t="str">
        <f>+'ENCUESTA CONDUCTORES'!AT309</f>
        <v>DETROIT</v>
      </c>
      <c r="AM309" s="1">
        <f>+'ENCUESTA CONDUCTORES'!AU309</f>
        <v>10000</v>
      </c>
      <c r="AN309" s="48">
        <f>+'ENCUESTA CONDUCTORES'!AV309</f>
        <v>0.05</v>
      </c>
      <c r="AO309" s="15">
        <f>+'ENCUESTA CONDUCTORES'!AW309</f>
        <v>2.8</v>
      </c>
      <c r="AP309" s="15">
        <f>+'ENCUESTA CONDUCTORES'!AX309</f>
        <v>2.5</v>
      </c>
      <c r="AQ309" s="15">
        <f>+'ENCUESTA CONDUCTORES'!AY309</f>
        <v>2</v>
      </c>
      <c r="AR309" s="15">
        <f>+'ENCUESTA CONDUCTORES'!AZ309</f>
        <v>1080</v>
      </c>
      <c r="AS309" s="15">
        <f>+'ENCUESTA CONDUCTORES'!BA309</f>
        <v>2800</v>
      </c>
      <c r="AT309" s="15">
        <f>IF('ENCUESTA CONDUCTORES'!BB309="X",1,0)</f>
        <v>1</v>
      </c>
      <c r="AU309" s="15">
        <f>IF('ENCUESTA CONDUCTORES'!BC309="X",1,0)</f>
        <v>0</v>
      </c>
      <c r="AV309" s="15">
        <f>IF('ENCUESTA CONDUCTORES'!BD309="X",1,0)</f>
        <v>0</v>
      </c>
      <c r="AW309" s="1">
        <f>+'ENCUESTA CONDUCTORES'!BE309</f>
        <v>20000</v>
      </c>
      <c r="AX309" s="1">
        <f>+'ENCUESTA CONDUCTORES'!BF309</f>
        <v>200000</v>
      </c>
      <c r="AY309" s="1">
        <f>+'ENCUESTA CONDUCTORES'!BG309</f>
        <v>20000</v>
      </c>
      <c r="AZ309" s="1">
        <f>+'ENCUESTA CONDUCTORES'!BH309</f>
        <v>120000</v>
      </c>
      <c r="BA309" s="1" t="str">
        <f>+'ENCUESTA CONDUCTORES'!BI309</f>
        <v>NO SABE</v>
      </c>
      <c r="BB309" s="15">
        <f>IF('ENCUESTA CONDUCTORES'!BJ309="X",1,0)</f>
        <v>0</v>
      </c>
      <c r="BC309" s="15">
        <f>IF('ENCUESTA CONDUCTORES'!BK309="X",1,0)</f>
        <v>1</v>
      </c>
      <c r="BD309" s="15">
        <f>IF('ENCUESTA CONDUCTORES'!BL309="X",1,0)</f>
        <v>0</v>
      </c>
      <c r="BE309" s="15">
        <f>IF('ENCUESTA CONDUCTORES'!BM309="X",1,0)</f>
        <v>1</v>
      </c>
      <c r="BF309" s="15">
        <f>IF('ENCUESTA CONDUCTORES'!BN309="X",1,0)</f>
        <v>1</v>
      </c>
      <c r="BG309" s="15">
        <f>IF('ENCUESTA CONDUCTORES'!BO309="X",1,0)</f>
        <v>1</v>
      </c>
      <c r="BH309" s="15">
        <f>IF('ENCUESTA CONDUCTORES'!BP309="X",1,0)</f>
        <v>1</v>
      </c>
      <c r="BI309" s="15">
        <f>IF('ENCUESTA CONDUCTORES'!BQ309="X",1,0)</f>
        <v>0</v>
      </c>
      <c r="BJ309" s="15">
        <f>IF('ENCUESTA CONDUCTORES'!BR309="X",1,0)</f>
        <v>0</v>
      </c>
      <c r="BK309" s="15">
        <f>+'ENCUESTA CONDUCTORES'!BS309</f>
        <v>0</v>
      </c>
      <c r="BL309" s="15">
        <f>IF('ENCUESTA CONDUCTORES'!BT309="X",1,0)</f>
        <v>0</v>
      </c>
      <c r="BM309" s="15">
        <f>IF('ENCUESTA CONDUCTORES'!BU309="X",1,0)</f>
        <v>1</v>
      </c>
      <c r="BN309" s="15">
        <f>IF('ENCUESTA CONDUCTORES'!BV309="X",1,0)</f>
        <v>0</v>
      </c>
      <c r="BO309" s="15">
        <f>IF('ENCUESTA CONDUCTORES'!BW309="X",1,0)</f>
        <v>0</v>
      </c>
      <c r="BP309" s="15">
        <f>+'ENCUESTA CONDUCTORES'!BX309</f>
        <v>3</v>
      </c>
      <c r="BQ309" s="15">
        <f>+'ENCUESTA CONDUCTORES'!BY309</f>
        <v>2</v>
      </c>
      <c r="BR309" s="15">
        <f>+'ENCUESTA CONDUCTORES'!BZ309</f>
        <v>1</v>
      </c>
      <c r="BS309" s="15">
        <f>+'ENCUESTA CONDUCTORES'!CA309</f>
        <v>0</v>
      </c>
      <c r="BT309" s="15">
        <f>IF('ENCUESTA CONDUCTORES'!CB309="X",1,0)</f>
        <v>1</v>
      </c>
      <c r="BU309" s="15">
        <f>IF('ENCUESTA CONDUCTORES'!CC309="X",1,0)</f>
        <v>0</v>
      </c>
      <c r="BV309" s="15">
        <f>IF('ENCUESTA CONDUCTORES'!CD309="X",1,0)</f>
        <v>0</v>
      </c>
      <c r="BW309" s="15">
        <f>IF('ENCUESTA CONDUCTORES'!CE309="X",1,0)</f>
        <v>0</v>
      </c>
      <c r="BX309" s="15">
        <f>IF('ENCUESTA CONDUCTORES'!CF309="X",1,0)</f>
        <v>0</v>
      </c>
      <c r="BY309" s="15">
        <f>IF('ENCUESTA CONDUCTORES'!CG309="X",1,0)</f>
        <v>0</v>
      </c>
      <c r="BZ309" s="15">
        <f>IF('ENCUESTA CONDUCTORES'!CH309="X",1,0)</f>
        <v>0</v>
      </c>
      <c r="CA309" s="15">
        <f>IF('ENCUESTA CONDUCTORES'!CI309="X",1,0)</f>
        <v>0</v>
      </c>
      <c r="CB309" s="15">
        <f>IF('ENCUESTA CONDUCTORES'!CJ309="X",1,0)</f>
        <v>0</v>
      </c>
      <c r="CC309" s="15">
        <f>IF('ENCUESTA CONDUCTORES'!CK309="X",1,0)</f>
        <v>1</v>
      </c>
      <c r="CD309" s="15">
        <f>IF('ENCUESTA CONDUCTORES'!CL309="X",1,0)</f>
        <v>0</v>
      </c>
      <c r="CE309" s="15">
        <f>IF('ENCUESTA CONDUCTORES'!CM309="X",1,0)</f>
        <v>0</v>
      </c>
      <c r="CF309" s="15">
        <f>+'ENCUESTA CONDUCTORES'!CN309</f>
        <v>0</v>
      </c>
      <c r="CG309" s="15">
        <f>IF('ENCUESTA CONDUCTORES'!CO309="X",1,0)</f>
        <v>0</v>
      </c>
      <c r="CH309" s="15" t="str">
        <f>+'ENCUESTA CONDUCTORES'!CP309</f>
        <v>NO SABE</v>
      </c>
      <c r="CI309" s="15" t="str">
        <f>+'ENCUESTA CONDUCTORES'!CQ309</f>
        <v>NO SABE</v>
      </c>
      <c r="CJ309" s="15">
        <f>IF('ENCUESTA CONDUCTORES'!CR309="X",1,0)</f>
        <v>1</v>
      </c>
      <c r="CK309" s="15">
        <f>IF('ENCUESTA CONDUCTORES'!CS309="X",1,0)</f>
        <v>0</v>
      </c>
      <c r="CL309" s="15">
        <f>IF('ENCUESTA CONDUCTORES'!CT309="X",1,0)</f>
        <v>0</v>
      </c>
      <c r="CM309" s="15">
        <f>+'ENCUESTA CONDUCTORES'!CU309</f>
        <v>0</v>
      </c>
      <c r="CN309" s="15">
        <f>IF('ENCUESTA CONDUCTORES'!CV309="X",1,0)</f>
        <v>0</v>
      </c>
      <c r="CO309" s="15">
        <f>+'ENCUESTA CONDUCTORES'!CW309</f>
        <v>0</v>
      </c>
      <c r="CP309" s="15">
        <f>IF('ENCUESTA CONDUCTORES'!CX309="X",1,0)</f>
        <v>1</v>
      </c>
      <c r="CQ309" s="15">
        <f>IF('ENCUESTA CONDUCTORES'!CY309="X",1,0)</f>
        <v>0</v>
      </c>
      <c r="CR309" s="3">
        <f>+'ENCUESTA CONDUCTORES'!CZ309</f>
        <v>0</v>
      </c>
      <c r="CS309" s="49">
        <f>+'ENCUESTA CONDUCTORES'!DA309</f>
        <v>0</v>
      </c>
    </row>
    <row r="310" spans="2:97" x14ac:dyDescent="0.25">
      <c r="B310" s="14" t="str">
        <f>+'ENCUESTA CONDUCTORES'!D310</f>
        <v>C-321</v>
      </c>
      <c r="C310" s="15">
        <f>IF('ENCUESTA CONDUCTORES'!E310="X",1,0)</f>
        <v>0</v>
      </c>
      <c r="D310" s="15">
        <f>IF('ENCUESTA CONDUCTORES'!F310="X",1,0)</f>
        <v>1</v>
      </c>
      <c r="E310" s="15">
        <f>IF('ENCUESTA CONDUCTORES'!G310="X",1,0)</f>
        <v>0</v>
      </c>
      <c r="F310" s="15">
        <f>IF('ENCUESTA CONDUCTORES'!H310="X",1,0)</f>
        <v>0</v>
      </c>
      <c r="G310" s="15">
        <f>+'ENCUESTA CONDUCTORES'!I310</f>
        <v>39</v>
      </c>
      <c r="H310" s="15" t="str">
        <f>+'ENCUESTA CONDUCTORES'!J310</f>
        <v>M</v>
      </c>
      <c r="I310" s="15" t="str">
        <f>+'ENCUESTA CONDUCTORES'!K310</f>
        <v>SECUNDARIA</v>
      </c>
      <c r="J310" s="15" t="str">
        <f>+'ENCUESTA CONDUCTORES'!L310</f>
        <v>ZAPOPAN, JALISCO</v>
      </c>
      <c r="K310" s="15" t="str">
        <f>+'ENCUESTA CONDUCTORES'!M310</f>
        <v>ZAPOPAN</v>
      </c>
      <c r="L310" s="15" t="str">
        <f>+'ENCUESTA CONDUCTORES'!N310</f>
        <v>JALISCO</v>
      </c>
      <c r="M310" s="15">
        <f>+'ENCUESTA CONDUCTORES'!O310</f>
        <v>12</v>
      </c>
      <c r="N310" s="15">
        <f>IF('ENCUESTA CONDUCTORES'!P310="X",1,0)</f>
        <v>0</v>
      </c>
      <c r="O310" s="15">
        <f>IF('ENCUESTA CONDUCTORES'!Q310="X",1,0)</f>
        <v>1</v>
      </c>
      <c r="P310" s="15">
        <f>IF('ENCUESTA CONDUCTORES'!R310="X",1,0)</f>
        <v>0</v>
      </c>
      <c r="Q310" s="15">
        <f>IF('ENCUESTA CONDUCTORES'!S310="X",1,0)</f>
        <v>0</v>
      </c>
      <c r="R310" s="15">
        <f>IF('ENCUESTA CONDUCTORES'!T310="X",1,0)</f>
        <v>0</v>
      </c>
      <c r="S310" s="15">
        <f>IF('ENCUESTA CONDUCTORES'!U310="X",1,0)</f>
        <v>1</v>
      </c>
      <c r="T310" s="15">
        <f>IF('ENCUESTA CONDUCTORES'!V310="X",1,0)</f>
        <v>0</v>
      </c>
      <c r="U310" s="15">
        <f>IF('ENCUESTA CONDUCTORES'!W310="X",1,0)</f>
        <v>0</v>
      </c>
      <c r="V310" s="15">
        <f>IF('ENCUESTA CONDUCTORES'!X310="X",1,0)</f>
        <v>0</v>
      </c>
      <c r="W310" s="15">
        <f>IF('ENCUESTA CONDUCTORES'!Y310="X",1,0)</f>
        <v>0</v>
      </c>
      <c r="X310" s="15">
        <f>IF('ENCUESTA CONDUCTORES'!Z310="X",1,0)</f>
        <v>0</v>
      </c>
      <c r="Y310" s="15">
        <f>+'ENCUESTA CONDUCTORES'!AG310</f>
        <v>0</v>
      </c>
      <c r="Z310" s="15">
        <f>+'ENCUESTA CONDUCTORES'!AH310</f>
        <v>2003</v>
      </c>
      <c r="AA310" s="1">
        <f>+'ENCUESTA CONDUCTORES'!AI310</f>
        <v>793680</v>
      </c>
      <c r="AB310" s="15">
        <f>IF('ENCUESTA CONDUCTORES'!AJ310="X",1,0)</f>
        <v>0</v>
      </c>
      <c r="AC310" s="15">
        <f>IF('ENCUESTA CONDUCTORES'!AK310="X",1,0)</f>
        <v>0</v>
      </c>
      <c r="AD310" s="15">
        <f>IF('ENCUESTA CONDUCTORES'!AL310="X",1,0)</f>
        <v>1</v>
      </c>
      <c r="AE310" s="15">
        <f>IF('ENCUESTA CONDUCTORES'!AM310="X",1,0)</f>
        <v>0</v>
      </c>
      <c r="AF310" s="15">
        <f>IF('ENCUESTA CONDUCTORES'!AN310="X",1,0)</f>
        <v>0</v>
      </c>
      <c r="AG310" s="15">
        <f>IF('ENCUESTA CONDUCTORES'!AO310="X",1,0)</f>
        <v>0</v>
      </c>
      <c r="AH310" s="15">
        <f>IF('ENCUESTA CONDUCTORES'!AP310="X",1,0)</f>
        <v>0</v>
      </c>
      <c r="AI310" s="15">
        <f>IF('ENCUESTA CONDUCTORES'!AQ310="X",1,0)</f>
        <v>0</v>
      </c>
      <c r="AJ310" s="15">
        <f>IF('ENCUESTA CONDUCTORES'!AR310="X",1,0)</f>
        <v>0</v>
      </c>
      <c r="AK310" s="15">
        <f>+'ENCUESTA CONDUCTORES'!AS310</f>
        <v>0</v>
      </c>
      <c r="AL310" s="15" t="str">
        <f>+'ENCUESTA CONDUCTORES'!AT310</f>
        <v>INTERNATIONAL</v>
      </c>
      <c r="AM310" s="1">
        <f>+'ENCUESTA CONDUCTORES'!AU310</f>
        <v>7500</v>
      </c>
      <c r="AN310" s="48">
        <f>+'ENCUESTA CONDUCTORES'!AV310</f>
        <v>0.1</v>
      </c>
      <c r="AO310" s="15">
        <f>+'ENCUESTA CONDUCTORES'!AW310</f>
        <v>3.6</v>
      </c>
      <c r="AP310" s="15">
        <f>+'ENCUESTA CONDUCTORES'!AX310</f>
        <v>3.1</v>
      </c>
      <c r="AQ310" s="15">
        <f>+'ENCUESTA CONDUCTORES'!AY310</f>
        <v>2</v>
      </c>
      <c r="AR310" s="15">
        <f>+'ENCUESTA CONDUCTORES'!AZ310</f>
        <v>710</v>
      </c>
      <c r="AS310" s="15">
        <f>+'ENCUESTA CONDUCTORES'!BA310</f>
        <v>2400</v>
      </c>
      <c r="AT310" s="15">
        <f>IF('ENCUESTA CONDUCTORES'!BB310="X",1,0)</f>
        <v>1</v>
      </c>
      <c r="AU310" s="15">
        <f>IF('ENCUESTA CONDUCTORES'!BC310="X",1,0)</f>
        <v>0</v>
      </c>
      <c r="AV310" s="15">
        <f>IF('ENCUESTA CONDUCTORES'!BD310="X",1,0)</f>
        <v>0</v>
      </c>
      <c r="AW310" s="1">
        <f>+'ENCUESTA CONDUCTORES'!BE310</f>
        <v>15000</v>
      </c>
      <c r="AX310" s="1">
        <f>+'ENCUESTA CONDUCTORES'!BF310</f>
        <v>210000</v>
      </c>
      <c r="AY310" s="1">
        <f>+'ENCUESTA CONDUCTORES'!BG310</f>
        <v>30000</v>
      </c>
      <c r="AZ310" s="1">
        <f>+'ENCUESTA CONDUCTORES'!BH310</f>
        <v>135000</v>
      </c>
      <c r="BA310" s="1" t="str">
        <f>+'ENCUESTA CONDUCTORES'!BI310</f>
        <v>NO SABE</v>
      </c>
      <c r="BB310" s="15">
        <f>IF('ENCUESTA CONDUCTORES'!BJ310="X",1,0)</f>
        <v>0</v>
      </c>
      <c r="BC310" s="15">
        <f>IF('ENCUESTA CONDUCTORES'!BK310="X",1,0)</f>
        <v>1</v>
      </c>
      <c r="BD310" s="15">
        <f>IF('ENCUESTA CONDUCTORES'!BL310="X",1,0)</f>
        <v>0</v>
      </c>
      <c r="BE310" s="15">
        <f>IF('ENCUESTA CONDUCTORES'!BM310="X",1,0)</f>
        <v>0</v>
      </c>
      <c r="BF310" s="15">
        <f>IF('ENCUESTA CONDUCTORES'!BN310="X",1,0)</f>
        <v>0</v>
      </c>
      <c r="BG310" s="15">
        <f>IF('ENCUESTA CONDUCTORES'!BO310="X",1,0)</f>
        <v>1</v>
      </c>
      <c r="BH310" s="15">
        <f>IF('ENCUESTA CONDUCTORES'!BP310="X",1,0)</f>
        <v>0</v>
      </c>
      <c r="BI310" s="15">
        <f>IF('ENCUESTA CONDUCTORES'!BQ310="X",1,0)</f>
        <v>0</v>
      </c>
      <c r="BJ310" s="15">
        <f>IF('ENCUESTA CONDUCTORES'!BR310="X",1,0)</f>
        <v>0</v>
      </c>
      <c r="BK310" s="15">
        <f>+'ENCUESTA CONDUCTORES'!BS310</f>
        <v>0</v>
      </c>
      <c r="BL310" s="15">
        <f>IF('ENCUESTA CONDUCTORES'!BT310="X",1,0)</f>
        <v>0</v>
      </c>
      <c r="BM310" s="15">
        <f>IF('ENCUESTA CONDUCTORES'!BU310="X",1,0)</f>
        <v>0</v>
      </c>
      <c r="BN310" s="15">
        <f>IF('ENCUESTA CONDUCTORES'!BV310="X",1,0)</f>
        <v>1</v>
      </c>
      <c r="BO310" s="15">
        <f>IF('ENCUESTA CONDUCTORES'!BW310="X",1,0)</f>
        <v>0</v>
      </c>
      <c r="BP310" s="15">
        <f>+'ENCUESTA CONDUCTORES'!BX310</f>
        <v>3</v>
      </c>
      <c r="BQ310" s="15">
        <f>+'ENCUESTA CONDUCTORES'!BY310</f>
        <v>2</v>
      </c>
      <c r="BR310" s="15">
        <f>+'ENCUESTA CONDUCTORES'!BZ310</f>
        <v>1</v>
      </c>
      <c r="BS310" s="15">
        <f>+'ENCUESTA CONDUCTORES'!CA310</f>
        <v>0</v>
      </c>
      <c r="BT310" s="15">
        <f>IF('ENCUESTA CONDUCTORES'!CB310="X",1,0)</f>
        <v>1</v>
      </c>
      <c r="BU310" s="15">
        <f>IF('ENCUESTA CONDUCTORES'!CC310="X",1,0)</f>
        <v>0</v>
      </c>
      <c r="BV310" s="15">
        <f>IF('ENCUESTA CONDUCTORES'!CD310="X",1,0)</f>
        <v>0</v>
      </c>
      <c r="BW310" s="15">
        <f>IF('ENCUESTA CONDUCTORES'!CE310="X",1,0)</f>
        <v>0</v>
      </c>
      <c r="BX310" s="15">
        <f>IF('ENCUESTA CONDUCTORES'!CF310="X",1,0)</f>
        <v>0</v>
      </c>
      <c r="BY310" s="15">
        <f>IF('ENCUESTA CONDUCTORES'!CG310="X",1,0)</f>
        <v>0</v>
      </c>
      <c r="BZ310" s="15">
        <f>IF('ENCUESTA CONDUCTORES'!CH310="X",1,0)</f>
        <v>0</v>
      </c>
      <c r="CA310" s="15">
        <f>IF('ENCUESTA CONDUCTORES'!CI310="X",1,0)</f>
        <v>0</v>
      </c>
      <c r="CB310" s="15">
        <f>IF('ENCUESTA CONDUCTORES'!CJ310="X",1,0)</f>
        <v>0</v>
      </c>
      <c r="CC310" s="15">
        <f>IF('ENCUESTA CONDUCTORES'!CK310="X",1,0)</f>
        <v>1</v>
      </c>
      <c r="CD310" s="15">
        <f>IF('ENCUESTA CONDUCTORES'!CL310="X",1,0)</f>
        <v>0</v>
      </c>
      <c r="CE310" s="15">
        <f>IF('ENCUESTA CONDUCTORES'!CM310="X",1,0)</f>
        <v>0</v>
      </c>
      <c r="CF310" s="15">
        <f>+'ENCUESTA CONDUCTORES'!CN310</f>
        <v>0</v>
      </c>
      <c r="CG310" s="15">
        <f>IF('ENCUESTA CONDUCTORES'!CO310="X",1,0)</f>
        <v>0</v>
      </c>
      <c r="CH310" s="15" t="str">
        <f>+'ENCUESTA CONDUCTORES'!CP310</f>
        <v>NO SABE</v>
      </c>
      <c r="CI310" s="15" t="str">
        <f>+'ENCUESTA CONDUCTORES'!CQ310</f>
        <v>NO SABE</v>
      </c>
      <c r="CJ310" s="15">
        <f>IF('ENCUESTA CONDUCTORES'!CR310="X",1,0)</f>
        <v>1</v>
      </c>
      <c r="CK310" s="15">
        <f>IF('ENCUESTA CONDUCTORES'!CS310="X",1,0)</f>
        <v>0</v>
      </c>
      <c r="CL310" s="15">
        <f>IF('ENCUESTA CONDUCTORES'!CT310="X",1,0)</f>
        <v>0</v>
      </c>
      <c r="CM310" s="15">
        <f>+'ENCUESTA CONDUCTORES'!CU310</f>
        <v>0</v>
      </c>
      <c r="CN310" s="15">
        <f>IF('ENCUESTA CONDUCTORES'!CV310="X",1,0)</f>
        <v>0</v>
      </c>
      <c r="CO310" s="15">
        <f>+'ENCUESTA CONDUCTORES'!CW310</f>
        <v>0</v>
      </c>
      <c r="CP310" s="15">
        <f>IF('ENCUESTA CONDUCTORES'!CX310="X",1,0)</f>
        <v>0</v>
      </c>
      <c r="CQ310" s="15">
        <f>IF('ENCUESTA CONDUCTORES'!CY310="X",1,0)</f>
        <v>1</v>
      </c>
      <c r="CR310" s="3">
        <f>+'ENCUESTA CONDUCTORES'!CZ310</f>
        <v>0</v>
      </c>
      <c r="CS310" s="49">
        <f>+'ENCUESTA CONDUCTORES'!DA310</f>
        <v>0</v>
      </c>
    </row>
    <row r="311" spans="2:97" x14ac:dyDescent="0.25">
      <c r="B311" s="14" t="str">
        <f>+'ENCUESTA CONDUCTORES'!D311</f>
        <v>C-322</v>
      </c>
      <c r="C311" s="15">
        <f>IF('ENCUESTA CONDUCTORES'!E311="X",1,0)</f>
        <v>0</v>
      </c>
      <c r="D311" s="15">
        <f>IF('ENCUESTA CONDUCTORES'!F311="X",1,0)</f>
        <v>0</v>
      </c>
      <c r="E311" s="15">
        <f>IF('ENCUESTA CONDUCTORES'!G311="X",1,0)</f>
        <v>1</v>
      </c>
      <c r="F311" s="15">
        <f>IF('ENCUESTA CONDUCTORES'!H311="X",1,0)</f>
        <v>0</v>
      </c>
      <c r="G311" s="15">
        <f>+'ENCUESTA CONDUCTORES'!I311</f>
        <v>31</v>
      </c>
      <c r="H311" s="15" t="str">
        <f>+'ENCUESTA CONDUCTORES'!J311</f>
        <v>M</v>
      </c>
      <c r="I311" s="15" t="str">
        <f>+'ENCUESTA CONDUCTORES'!K311</f>
        <v>PREPARATORIA</v>
      </c>
      <c r="J311" s="15" t="str">
        <f>+'ENCUESTA CONDUCTORES'!L311</f>
        <v>GUASAVE, SINALOA</v>
      </c>
      <c r="K311" s="15" t="str">
        <f>+'ENCUESTA CONDUCTORES'!M311</f>
        <v>GUASAVE</v>
      </c>
      <c r="L311" s="15" t="str">
        <f>+'ENCUESTA CONDUCTORES'!N311</f>
        <v>SINALOA</v>
      </c>
      <c r="M311" s="15">
        <f>+'ENCUESTA CONDUCTORES'!O311</f>
        <v>10</v>
      </c>
      <c r="N311" s="15">
        <f>IF('ENCUESTA CONDUCTORES'!P311="X",1,0)</f>
        <v>0</v>
      </c>
      <c r="O311" s="15">
        <f>IF('ENCUESTA CONDUCTORES'!Q311="X",1,0)</f>
        <v>0</v>
      </c>
      <c r="P311" s="15">
        <f>IF('ENCUESTA CONDUCTORES'!R311="X",1,0)</f>
        <v>0</v>
      </c>
      <c r="Q311" s="15">
        <f>IF('ENCUESTA CONDUCTORES'!S311="X",1,0)</f>
        <v>1</v>
      </c>
      <c r="R311" s="15">
        <f>IF('ENCUESTA CONDUCTORES'!T311="X",1,0)</f>
        <v>0</v>
      </c>
      <c r="S311" s="15">
        <f>IF('ENCUESTA CONDUCTORES'!U311="X",1,0)</f>
        <v>1</v>
      </c>
      <c r="T311" s="15">
        <f>IF('ENCUESTA CONDUCTORES'!V311="X",1,0)</f>
        <v>0</v>
      </c>
      <c r="U311" s="15">
        <f>IF('ENCUESTA CONDUCTORES'!W311="X",1,0)</f>
        <v>0</v>
      </c>
      <c r="V311" s="15">
        <f>IF('ENCUESTA CONDUCTORES'!X311="X",1,0)</f>
        <v>0</v>
      </c>
      <c r="W311" s="15">
        <f>IF('ENCUESTA CONDUCTORES'!Y311="X",1,0)</f>
        <v>0</v>
      </c>
      <c r="X311" s="15">
        <f>IF('ENCUESTA CONDUCTORES'!Z311="X",1,0)</f>
        <v>0</v>
      </c>
      <c r="Y311" s="15">
        <f>+'ENCUESTA CONDUCTORES'!AG311</f>
        <v>0</v>
      </c>
      <c r="Z311" s="15">
        <f>+'ENCUESTA CONDUCTORES'!AH311</f>
        <v>2007</v>
      </c>
      <c r="AA311" s="1">
        <f>+'ENCUESTA CONDUCTORES'!AI311</f>
        <v>820406</v>
      </c>
      <c r="AB311" s="15">
        <f>IF('ENCUESTA CONDUCTORES'!AJ311="X",1,0)</f>
        <v>0</v>
      </c>
      <c r="AC311" s="15">
        <f>IF('ENCUESTA CONDUCTORES'!AK311="X",1,0)</f>
        <v>0</v>
      </c>
      <c r="AD311" s="15">
        <f>IF('ENCUESTA CONDUCTORES'!AL311="X",1,0)</f>
        <v>1</v>
      </c>
      <c r="AE311" s="15">
        <f>IF('ENCUESTA CONDUCTORES'!AM311="X",1,0)</f>
        <v>0</v>
      </c>
      <c r="AF311" s="15">
        <f>IF('ENCUESTA CONDUCTORES'!AN311="X",1,0)</f>
        <v>0</v>
      </c>
      <c r="AG311" s="15">
        <f>IF('ENCUESTA CONDUCTORES'!AO311="X",1,0)</f>
        <v>0</v>
      </c>
      <c r="AH311" s="15">
        <f>IF('ENCUESTA CONDUCTORES'!AP311="X",1,0)</f>
        <v>1</v>
      </c>
      <c r="AI311" s="15">
        <f>IF('ENCUESTA CONDUCTORES'!AQ311="X",1,0)</f>
        <v>0</v>
      </c>
      <c r="AJ311" s="15">
        <f>IF('ENCUESTA CONDUCTORES'!AR311="X",1,0)</f>
        <v>0</v>
      </c>
      <c r="AK311" s="15">
        <f>+'ENCUESTA CONDUCTORES'!AS311</f>
        <v>0</v>
      </c>
      <c r="AL311" s="15" t="str">
        <f>+'ENCUESTA CONDUCTORES'!AT311</f>
        <v>CUMMINS</v>
      </c>
      <c r="AM311" s="1">
        <f>+'ENCUESTA CONDUCTORES'!AU311</f>
        <v>10000</v>
      </c>
      <c r="AN311" s="48">
        <f>+'ENCUESTA CONDUCTORES'!AV311</f>
        <v>0.1</v>
      </c>
      <c r="AO311" s="15">
        <f>+'ENCUESTA CONDUCTORES'!AW311</f>
        <v>2.7</v>
      </c>
      <c r="AP311" s="15">
        <f>+'ENCUESTA CONDUCTORES'!AX311</f>
        <v>2.4</v>
      </c>
      <c r="AQ311" s="15">
        <f>+'ENCUESTA CONDUCTORES'!AY311</f>
        <v>2</v>
      </c>
      <c r="AR311" s="15">
        <f>+'ENCUESTA CONDUCTORES'!AZ311</f>
        <v>920</v>
      </c>
      <c r="AS311" s="15">
        <f>+'ENCUESTA CONDUCTORES'!BA311</f>
        <v>2400</v>
      </c>
      <c r="AT311" s="15">
        <f>IF('ENCUESTA CONDUCTORES'!BB311="X",1,0)</f>
        <v>1</v>
      </c>
      <c r="AU311" s="15">
        <f>IF('ENCUESTA CONDUCTORES'!BC311="X",1,0)</f>
        <v>1</v>
      </c>
      <c r="AV311" s="15">
        <f>IF('ENCUESTA CONDUCTORES'!BD311="X",1,0)</f>
        <v>0</v>
      </c>
      <c r="AW311" s="1">
        <f>+'ENCUESTA CONDUCTORES'!BE311</f>
        <v>20000</v>
      </c>
      <c r="AX311" s="1">
        <f>+'ENCUESTA CONDUCTORES'!BF311</f>
        <v>200000</v>
      </c>
      <c r="AY311" s="1">
        <f>+'ENCUESTA CONDUCTORES'!BG311</f>
        <v>20000</v>
      </c>
      <c r="AZ311" s="1">
        <f>+'ENCUESTA CONDUCTORES'!BH311</f>
        <v>120000</v>
      </c>
      <c r="BA311" s="1" t="str">
        <f>+'ENCUESTA CONDUCTORES'!BI311</f>
        <v>NO SABE</v>
      </c>
      <c r="BB311" s="15">
        <f>IF('ENCUESTA CONDUCTORES'!BJ311="X",1,0)</f>
        <v>0</v>
      </c>
      <c r="BC311" s="15">
        <f>IF('ENCUESTA CONDUCTORES'!BK311="X",1,0)</f>
        <v>0</v>
      </c>
      <c r="BD311" s="15">
        <f>IF('ENCUESTA CONDUCTORES'!BL311="X",1,0)</f>
        <v>0</v>
      </c>
      <c r="BE311" s="15">
        <f>IF('ENCUESTA CONDUCTORES'!BM311="X",1,0)</f>
        <v>0</v>
      </c>
      <c r="BF311" s="15">
        <f>IF('ENCUESTA CONDUCTORES'!BN311="X",1,0)</f>
        <v>1</v>
      </c>
      <c r="BG311" s="15">
        <f>IF('ENCUESTA CONDUCTORES'!BO311="X",1,0)</f>
        <v>0</v>
      </c>
      <c r="BH311" s="15">
        <f>IF('ENCUESTA CONDUCTORES'!BP311="X",1,0)</f>
        <v>1</v>
      </c>
      <c r="BI311" s="15">
        <f>IF('ENCUESTA CONDUCTORES'!BQ311="X",1,0)</f>
        <v>0</v>
      </c>
      <c r="BJ311" s="15">
        <f>IF('ENCUESTA CONDUCTORES'!BR311="X",1,0)</f>
        <v>0</v>
      </c>
      <c r="BK311" s="15">
        <f>+'ENCUESTA CONDUCTORES'!BS311</f>
        <v>0</v>
      </c>
      <c r="BL311" s="15">
        <f>IF('ENCUESTA CONDUCTORES'!BT311="X",1,0)</f>
        <v>0</v>
      </c>
      <c r="BM311" s="15">
        <f>IF('ENCUESTA CONDUCTORES'!BU311="X",1,0)</f>
        <v>0</v>
      </c>
      <c r="BN311" s="15">
        <f>IF('ENCUESTA CONDUCTORES'!BV311="X",1,0)</f>
        <v>1</v>
      </c>
      <c r="BO311" s="15">
        <f>IF('ENCUESTA CONDUCTORES'!BW311="X",1,0)</f>
        <v>0</v>
      </c>
      <c r="BP311" s="15">
        <f>+'ENCUESTA CONDUCTORES'!BX311</f>
        <v>1</v>
      </c>
      <c r="BQ311" s="15">
        <f>+'ENCUESTA CONDUCTORES'!BY311</f>
        <v>2</v>
      </c>
      <c r="BR311" s="15">
        <f>+'ENCUESTA CONDUCTORES'!BZ311</f>
        <v>3</v>
      </c>
      <c r="BS311" s="15">
        <f>+'ENCUESTA CONDUCTORES'!CA311</f>
        <v>0</v>
      </c>
      <c r="BT311" s="15">
        <f>IF('ENCUESTA CONDUCTORES'!CB311="X",1,0)</f>
        <v>1</v>
      </c>
      <c r="BU311" s="15">
        <f>IF('ENCUESTA CONDUCTORES'!CC311="X",1,0)</f>
        <v>0</v>
      </c>
      <c r="BV311" s="15">
        <f>IF('ENCUESTA CONDUCTORES'!CD311="X",1,0)</f>
        <v>0</v>
      </c>
      <c r="BW311" s="15">
        <f>IF('ENCUESTA CONDUCTORES'!CE311="X",1,0)</f>
        <v>0</v>
      </c>
      <c r="BX311" s="15">
        <f>IF('ENCUESTA CONDUCTORES'!CF311="X",1,0)</f>
        <v>0</v>
      </c>
      <c r="BY311" s="15">
        <f>IF('ENCUESTA CONDUCTORES'!CG311="X",1,0)</f>
        <v>0</v>
      </c>
      <c r="BZ311" s="15">
        <f>IF('ENCUESTA CONDUCTORES'!CH311="X",1,0)</f>
        <v>0</v>
      </c>
      <c r="CA311" s="15">
        <f>IF('ENCUESTA CONDUCTORES'!CI311="X",1,0)</f>
        <v>0</v>
      </c>
      <c r="CB311" s="15">
        <f>IF('ENCUESTA CONDUCTORES'!CJ311="X",1,0)</f>
        <v>0</v>
      </c>
      <c r="CC311" s="15">
        <f>IF('ENCUESTA CONDUCTORES'!CK311="X",1,0)</f>
        <v>1</v>
      </c>
      <c r="CD311" s="15">
        <f>IF('ENCUESTA CONDUCTORES'!CL311="X",1,0)</f>
        <v>0</v>
      </c>
      <c r="CE311" s="15">
        <f>IF('ENCUESTA CONDUCTORES'!CM311="X",1,0)</f>
        <v>0</v>
      </c>
      <c r="CF311" s="15">
        <f>+'ENCUESTA CONDUCTORES'!CN311</f>
        <v>0</v>
      </c>
      <c r="CG311" s="15">
        <f>IF('ENCUESTA CONDUCTORES'!CO311="X",1,0)</f>
        <v>0</v>
      </c>
      <c r="CH311" s="15" t="str">
        <f>+'ENCUESTA CONDUCTORES'!CP311</f>
        <v>NO SABE</v>
      </c>
      <c r="CI311" s="15" t="str">
        <f>+'ENCUESTA CONDUCTORES'!CQ311</f>
        <v>NO SABE</v>
      </c>
      <c r="CJ311" s="15">
        <f>IF('ENCUESTA CONDUCTORES'!CR311="X",1,0)</f>
        <v>0</v>
      </c>
      <c r="CK311" s="15">
        <f>IF('ENCUESTA CONDUCTORES'!CS311="X",1,0)</f>
        <v>0</v>
      </c>
      <c r="CL311" s="15">
        <f>IF('ENCUESTA CONDUCTORES'!CT311="X",1,0)</f>
        <v>1</v>
      </c>
      <c r="CM311" s="15">
        <f>+'ENCUESTA CONDUCTORES'!CU311</f>
        <v>0</v>
      </c>
      <c r="CN311" s="15">
        <f>IF('ENCUESTA CONDUCTORES'!CV311="X",1,0)</f>
        <v>0</v>
      </c>
      <c r="CO311" s="15">
        <f>+'ENCUESTA CONDUCTORES'!CW311</f>
        <v>0</v>
      </c>
      <c r="CP311" s="15">
        <f>IF('ENCUESTA CONDUCTORES'!CX311="X",1,0)</f>
        <v>1</v>
      </c>
      <c r="CQ311" s="15">
        <f>IF('ENCUESTA CONDUCTORES'!CY311="X",1,0)</f>
        <v>0</v>
      </c>
      <c r="CR311" s="3">
        <f>+'ENCUESTA CONDUCTORES'!CZ311</f>
        <v>0</v>
      </c>
      <c r="CS311" s="49">
        <f>+'ENCUESTA CONDUCTORES'!DA311</f>
        <v>0</v>
      </c>
    </row>
    <row r="312" spans="2:97" x14ac:dyDescent="0.25">
      <c r="B312" s="14" t="str">
        <f>+'ENCUESTA CONDUCTORES'!D312</f>
        <v>C-323</v>
      </c>
      <c r="C312" s="15">
        <f>IF('ENCUESTA CONDUCTORES'!E312="X",1,0)</f>
        <v>0</v>
      </c>
      <c r="D312" s="15">
        <f>IF('ENCUESTA CONDUCTORES'!F312="X",1,0)</f>
        <v>0</v>
      </c>
      <c r="E312" s="15">
        <f>IF('ENCUESTA CONDUCTORES'!G312="X",1,0)</f>
        <v>1</v>
      </c>
      <c r="F312" s="15">
        <f>IF('ENCUESTA CONDUCTORES'!H312="X",1,0)</f>
        <v>0</v>
      </c>
      <c r="G312" s="15">
        <f>+'ENCUESTA CONDUCTORES'!I312</f>
        <v>54</v>
      </c>
      <c r="H312" s="15" t="str">
        <f>+'ENCUESTA CONDUCTORES'!J312</f>
        <v>M</v>
      </c>
      <c r="I312" s="15" t="str">
        <f>+'ENCUESTA CONDUCTORES'!K312</f>
        <v>PRIMARIA</v>
      </c>
      <c r="J312" s="15" t="str">
        <f>+'ENCUESTA CONDUCTORES'!L312</f>
        <v>CUAUTITLAN, EDO. MEX.</v>
      </c>
      <c r="K312" s="15" t="str">
        <f>+'ENCUESTA CONDUCTORES'!M312</f>
        <v>CUAUTITLÁN</v>
      </c>
      <c r="L312" s="15" t="str">
        <f>+'ENCUESTA CONDUCTORES'!N312</f>
        <v>EDO. MEX.</v>
      </c>
      <c r="M312" s="15">
        <f>+'ENCUESTA CONDUCTORES'!O312</f>
        <v>30</v>
      </c>
      <c r="N312" s="15">
        <f>IF('ENCUESTA CONDUCTORES'!P312="X",1,0)</f>
        <v>0</v>
      </c>
      <c r="O312" s="15">
        <f>IF('ENCUESTA CONDUCTORES'!Q312="X",1,0)</f>
        <v>0</v>
      </c>
      <c r="P312" s="15">
        <f>IF('ENCUESTA CONDUCTORES'!R312="X",1,0)</f>
        <v>0</v>
      </c>
      <c r="Q312" s="15">
        <f>IF('ENCUESTA CONDUCTORES'!S312="X",1,0)</f>
        <v>1</v>
      </c>
      <c r="R312" s="15">
        <f>IF('ENCUESTA CONDUCTORES'!T312="X",1,0)</f>
        <v>0</v>
      </c>
      <c r="S312" s="15">
        <f>IF('ENCUESTA CONDUCTORES'!U312="X",1,0)</f>
        <v>0</v>
      </c>
      <c r="T312" s="15">
        <f>IF('ENCUESTA CONDUCTORES'!V312="X",1,0)</f>
        <v>0</v>
      </c>
      <c r="U312" s="15">
        <f>IF('ENCUESTA CONDUCTORES'!W312="X",1,0)</f>
        <v>0</v>
      </c>
      <c r="V312" s="15">
        <f>IF('ENCUESTA CONDUCTORES'!X312="X",1,0)</f>
        <v>0</v>
      </c>
      <c r="W312" s="15">
        <f>IF('ENCUESTA CONDUCTORES'!Y312="X",1,0)</f>
        <v>0</v>
      </c>
      <c r="X312" s="15">
        <f>IF('ENCUESTA CONDUCTORES'!Z312="X",1,0)</f>
        <v>0</v>
      </c>
      <c r="Y312" s="15">
        <f>+'ENCUESTA CONDUCTORES'!AG312</f>
        <v>0</v>
      </c>
      <c r="Z312" s="15">
        <f>+'ENCUESTA CONDUCTORES'!AH312</f>
        <v>2007</v>
      </c>
      <c r="AA312" s="1">
        <f>+'ENCUESTA CONDUCTORES'!AI312</f>
        <v>693802</v>
      </c>
      <c r="AB312" s="15">
        <f>IF('ENCUESTA CONDUCTORES'!AJ312="X",1,0)</f>
        <v>0</v>
      </c>
      <c r="AC312" s="15">
        <f>IF('ENCUESTA CONDUCTORES'!AK312="X",1,0)</f>
        <v>0</v>
      </c>
      <c r="AD312" s="15">
        <f>IF('ENCUESTA CONDUCTORES'!AL312="X",1,0)</f>
        <v>1</v>
      </c>
      <c r="AE312" s="15">
        <f>IF('ENCUESTA CONDUCTORES'!AM312="X",1,0)</f>
        <v>0</v>
      </c>
      <c r="AF312" s="15">
        <f>IF('ENCUESTA CONDUCTORES'!AN312="X",1,0)</f>
        <v>0</v>
      </c>
      <c r="AG312" s="15">
        <f>IF('ENCUESTA CONDUCTORES'!AO312="X",1,0)</f>
        <v>0</v>
      </c>
      <c r="AH312" s="15">
        <f>IF('ENCUESTA CONDUCTORES'!AP312="X",1,0)</f>
        <v>1</v>
      </c>
      <c r="AI312" s="15">
        <f>IF('ENCUESTA CONDUCTORES'!AQ312="X",1,0)</f>
        <v>0</v>
      </c>
      <c r="AJ312" s="15">
        <f>IF('ENCUESTA CONDUCTORES'!AR312="X",1,0)</f>
        <v>0</v>
      </c>
      <c r="AK312" s="15">
        <f>+'ENCUESTA CONDUCTORES'!AS312</f>
        <v>0</v>
      </c>
      <c r="AL312" s="15" t="str">
        <f>+'ENCUESTA CONDUCTORES'!AT312</f>
        <v>CUMMINS</v>
      </c>
      <c r="AM312" s="1">
        <f>+'ENCUESTA CONDUCTORES'!AU312</f>
        <v>10000</v>
      </c>
      <c r="AN312" s="48">
        <f>+'ENCUESTA CONDUCTORES'!AV312</f>
        <v>0.5</v>
      </c>
      <c r="AO312" s="15">
        <f>+'ENCUESTA CONDUCTORES'!AW312</f>
        <v>1.7</v>
      </c>
      <c r="AP312" s="15">
        <f>+'ENCUESTA CONDUCTORES'!AX312</f>
        <v>1.5</v>
      </c>
      <c r="AQ312" s="15">
        <f>+'ENCUESTA CONDUCTORES'!AY312</f>
        <v>3</v>
      </c>
      <c r="AR312" s="15">
        <f>+'ENCUESTA CONDUCTORES'!AZ312</f>
        <v>1100</v>
      </c>
      <c r="AS312" s="15">
        <f>+'ENCUESTA CONDUCTORES'!BA312</f>
        <v>1800</v>
      </c>
      <c r="AT312" s="15">
        <f>IF('ENCUESTA CONDUCTORES'!BB312="X",1,0)</f>
        <v>1</v>
      </c>
      <c r="AU312" s="15">
        <f>IF('ENCUESTA CONDUCTORES'!BC312="X",1,0)</f>
        <v>1</v>
      </c>
      <c r="AV312" s="15">
        <f>IF('ENCUESTA CONDUCTORES'!BD312="X",1,0)</f>
        <v>0</v>
      </c>
      <c r="AW312" s="1">
        <f>+'ENCUESTA CONDUCTORES'!BE312</f>
        <v>15000</v>
      </c>
      <c r="AX312" s="1" t="str">
        <f>+'ENCUESTA CONDUCTORES'!BF312</f>
        <v>NO SABE</v>
      </c>
      <c r="AY312" s="1">
        <f>+'ENCUESTA CONDUCTORES'!BG312</f>
        <v>30000</v>
      </c>
      <c r="AZ312" s="1">
        <f>+'ENCUESTA CONDUCTORES'!BH312</f>
        <v>120000</v>
      </c>
      <c r="BA312" s="1" t="str">
        <f>+'ENCUESTA CONDUCTORES'!BI312</f>
        <v>NO SABE</v>
      </c>
      <c r="BB312" s="15">
        <f>IF('ENCUESTA CONDUCTORES'!BJ312="X",1,0)</f>
        <v>0</v>
      </c>
      <c r="BC312" s="15">
        <f>IF('ENCUESTA CONDUCTORES'!BK312="X",1,0)</f>
        <v>0</v>
      </c>
      <c r="BD312" s="15">
        <f>IF('ENCUESTA CONDUCTORES'!BL312="X",1,0)</f>
        <v>0</v>
      </c>
      <c r="BE312" s="15">
        <f>IF('ENCUESTA CONDUCTORES'!BM312="X",1,0)</f>
        <v>0</v>
      </c>
      <c r="BF312" s="15">
        <f>IF('ENCUESTA CONDUCTORES'!BN312="X",1,0)</f>
        <v>0</v>
      </c>
      <c r="BG312" s="15">
        <f>IF('ENCUESTA CONDUCTORES'!BO312="X",1,0)</f>
        <v>0</v>
      </c>
      <c r="BH312" s="15">
        <f>IF('ENCUESTA CONDUCTORES'!BP312="X",1,0)</f>
        <v>0</v>
      </c>
      <c r="BI312" s="15">
        <f>IF('ENCUESTA CONDUCTORES'!BQ312="X",1,0)</f>
        <v>0</v>
      </c>
      <c r="BJ312" s="15">
        <f>IF('ENCUESTA CONDUCTORES'!BR312="X",1,0)</f>
        <v>0</v>
      </c>
      <c r="BK312" s="15" t="str">
        <f>+'ENCUESTA CONDUCTORES'!BS312</f>
        <v>CONTENEDORES</v>
      </c>
      <c r="BL312" s="15">
        <f>IF('ENCUESTA CONDUCTORES'!BT312="X",1,0)</f>
        <v>0</v>
      </c>
      <c r="BM312" s="15">
        <f>IF('ENCUESTA CONDUCTORES'!BU312="X",1,0)</f>
        <v>1</v>
      </c>
      <c r="BN312" s="15">
        <f>IF('ENCUESTA CONDUCTORES'!BV312="X",1,0)</f>
        <v>0</v>
      </c>
      <c r="BO312" s="15">
        <f>IF('ENCUESTA CONDUCTORES'!BW312="X",1,0)</f>
        <v>0</v>
      </c>
      <c r="BP312" s="15">
        <f>+'ENCUESTA CONDUCTORES'!BX312</f>
        <v>1</v>
      </c>
      <c r="BQ312" s="15">
        <f>+'ENCUESTA CONDUCTORES'!BY312</f>
        <v>2</v>
      </c>
      <c r="BR312" s="15">
        <f>+'ENCUESTA CONDUCTORES'!BZ312</f>
        <v>3</v>
      </c>
      <c r="BS312" s="15">
        <f>+'ENCUESTA CONDUCTORES'!CA312</f>
        <v>0</v>
      </c>
      <c r="BT312" s="15">
        <f>IF('ENCUESTA CONDUCTORES'!CB312="X",1,0)</f>
        <v>1</v>
      </c>
      <c r="BU312" s="15">
        <f>IF('ENCUESTA CONDUCTORES'!CC312="X",1,0)</f>
        <v>0</v>
      </c>
      <c r="BV312" s="15">
        <f>IF('ENCUESTA CONDUCTORES'!CD312="X",1,0)</f>
        <v>0</v>
      </c>
      <c r="BW312" s="15">
        <f>IF('ENCUESTA CONDUCTORES'!CE312="X",1,0)</f>
        <v>0</v>
      </c>
      <c r="BX312" s="15">
        <f>IF('ENCUESTA CONDUCTORES'!CF312="X",1,0)</f>
        <v>0</v>
      </c>
      <c r="BY312" s="15">
        <f>IF('ENCUESTA CONDUCTORES'!CG312="X",1,0)</f>
        <v>0</v>
      </c>
      <c r="BZ312" s="15">
        <f>IF('ENCUESTA CONDUCTORES'!CH312="X",1,0)</f>
        <v>0</v>
      </c>
      <c r="CA312" s="15">
        <f>IF('ENCUESTA CONDUCTORES'!CI312="X",1,0)</f>
        <v>0</v>
      </c>
      <c r="CB312" s="15">
        <f>IF('ENCUESTA CONDUCTORES'!CJ312="X",1,0)</f>
        <v>0</v>
      </c>
      <c r="CC312" s="15">
        <f>IF('ENCUESTA CONDUCTORES'!CK312="X",1,0)</f>
        <v>1</v>
      </c>
      <c r="CD312" s="15">
        <f>IF('ENCUESTA CONDUCTORES'!CL312="X",1,0)</f>
        <v>0</v>
      </c>
      <c r="CE312" s="15">
        <f>IF('ENCUESTA CONDUCTORES'!CM312="X",1,0)</f>
        <v>0</v>
      </c>
      <c r="CF312" s="15">
        <f>+'ENCUESTA CONDUCTORES'!CN312</f>
        <v>0</v>
      </c>
      <c r="CG312" s="15">
        <f>IF('ENCUESTA CONDUCTORES'!CO312="X",1,0)</f>
        <v>0</v>
      </c>
      <c r="CH312" s="15" t="str">
        <f>+'ENCUESTA CONDUCTORES'!CP312</f>
        <v>NO SABE</v>
      </c>
      <c r="CI312" s="15" t="str">
        <f>+'ENCUESTA CONDUCTORES'!CQ312</f>
        <v>NO SABE</v>
      </c>
      <c r="CJ312" s="15">
        <f>IF('ENCUESTA CONDUCTORES'!CR312="X",1,0)</f>
        <v>1</v>
      </c>
      <c r="CK312" s="15">
        <f>IF('ENCUESTA CONDUCTORES'!CS312="X",1,0)</f>
        <v>0</v>
      </c>
      <c r="CL312" s="15">
        <f>IF('ENCUESTA CONDUCTORES'!CT312="X",1,0)</f>
        <v>0</v>
      </c>
      <c r="CM312" s="15">
        <f>+'ENCUESTA CONDUCTORES'!CU312</f>
        <v>0</v>
      </c>
      <c r="CN312" s="15">
        <f>IF('ENCUESTA CONDUCTORES'!CV312="X",1,0)</f>
        <v>0</v>
      </c>
      <c r="CO312" s="15">
        <f>+'ENCUESTA CONDUCTORES'!CW312</f>
        <v>0</v>
      </c>
      <c r="CP312" s="15">
        <f>IF('ENCUESTA CONDUCTORES'!CX312="X",1,0)</f>
        <v>1</v>
      </c>
      <c r="CQ312" s="15">
        <f>IF('ENCUESTA CONDUCTORES'!CY312="X",1,0)</f>
        <v>0</v>
      </c>
      <c r="CR312" s="3">
        <f>+'ENCUESTA CONDUCTORES'!CZ312</f>
        <v>0</v>
      </c>
      <c r="CS312" s="49">
        <f>+'ENCUESTA CONDUCTORES'!DA312</f>
        <v>0</v>
      </c>
    </row>
    <row r="313" spans="2:97" x14ac:dyDescent="0.25">
      <c r="B313" s="14" t="str">
        <f>+'ENCUESTA CONDUCTORES'!D313</f>
        <v>C-324</v>
      </c>
      <c r="C313" s="15">
        <f>IF('ENCUESTA CONDUCTORES'!E313="X",1,0)</f>
        <v>0</v>
      </c>
      <c r="D313" s="15">
        <f>IF('ENCUESTA CONDUCTORES'!F313="X",1,0)</f>
        <v>0</v>
      </c>
      <c r="E313" s="15">
        <f>IF('ENCUESTA CONDUCTORES'!G313="X",1,0)</f>
        <v>1</v>
      </c>
      <c r="F313" s="15">
        <f>IF('ENCUESTA CONDUCTORES'!H313="X",1,0)</f>
        <v>0</v>
      </c>
      <c r="G313" s="15">
        <f>+'ENCUESTA CONDUCTORES'!I313</f>
        <v>44</v>
      </c>
      <c r="H313" s="15" t="str">
        <f>+'ENCUESTA CONDUCTORES'!J313</f>
        <v>M</v>
      </c>
      <c r="I313" s="15" t="str">
        <f>+'ENCUESTA CONDUCTORES'!K313</f>
        <v>SECUNDARIA</v>
      </c>
      <c r="J313" s="15" t="str">
        <f>+'ENCUESTA CONDUCTORES'!L313</f>
        <v>CD. CAMARGO, CHIHUAHUA</v>
      </c>
      <c r="K313" s="15" t="str">
        <f>+'ENCUESTA CONDUCTORES'!M313</f>
        <v>CD. CAMARGO</v>
      </c>
      <c r="L313" s="15" t="str">
        <f>+'ENCUESTA CONDUCTORES'!N313</f>
        <v>CHIHUAHUA</v>
      </c>
      <c r="M313" s="15">
        <f>+'ENCUESTA CONDUCTORES'!O313</f>
        <v>20</v>
      </c>
      <c r="N313" s="15">
        <f>IF('ENCUESTA CONDUCTORES'!P313="X",1,0)</f>
        <v>0</v>
      </c>
      <c r="O313" s="15">
        <f>IF('ENCUESTA CONDUCTORES'!Q313="X",1,0)</f>
        <v>1</v>
      </c>
      <c r="P313" s="15">
        <f>IF('ENCUESTA CONDUCTORES'!R313="X",1,0)</f>
        <v>0</v>
      </c>
      <c r="Q313" s="15">
        <f>IF('ENCUESTA CONDUCTORES'!S313="X",1,0)</f>
        <v>0</v>
      </c>
      <c r="R313" s="15">
        <f>IF('ENCUESTA CONDUCTORES'!T313="X",1,0)</f>
        <v>0</v>
      </c>
      <c r="S313" s="15">
        <f>IF('ENCUESTA CONDUCTORES'!U313="X",1,0)</f>
        <v>1</v>
      </c>
      <c r="T313" s="15">
        <f>IF('ENCUESTA CONDUCTORES'!V313="X",1,0)</f>
        <v>0</v>
      </c>
      <c r="U313" s="15">
        <f>IF('ENCUESTA CONDUCTORES'!W313="X",1,0)</f>
        <v>0</v>
      </c>
      <c r="V313" s="15">
        <f>IF('ENCUESTA CONDUCTORES'!X313="X",1,0)</f>
        <v>0</v>
      </c>
      <c r="W313" s="15">
        <f>IF('ENCUESTA CONDUCTORES'!Y313="X",1,0)</f>
        <v>0</v>
      </c>
      <c r="X313" s="15">
        <f>IF('ENCUESTA CONDUCTORES'!Z313="X",1,0)</f>
        <v>0</v>
      </c>
      <c r="Y313" s="15">
        <f>+'ENCUESTA CONDUCTORES'!AG313</f>
        <v>0</v>
      </c>
      <c r="Z313" s="15">
        <f>+'ENCUESTA CONDUCTORES'!AH313</f>
        <v>2000</v>
      </c>
      <c r="AA313" s="1" t="str">
        <f>+'ENCUESTA CONDUCTORES'!AI313</f>
        <v>NO SABE</v>
      </c>
      <c r="AB313" s="15">
        <f>IF('ENCUESTA CONDUCTORES'!AJ313="X",1,0)</f>
        <v>0</v>
      </c>
      <c r="AC313" s="15">
        <f>IF('ENCUESTA CONDUCTORES'!AK313="X",1,0)</f>
        <v>0</v>
      </c>
      <c r="AD313" s="15">
        <f>IF('ENCUESTA CONDUCTORES'!AL313="X",1,0)</f>
        <v>1</v>
      </c>
      <c r="AE313" s="15">
        <f>IF('ENCUESTA CONDUCTORES'!AM313="X",1,0)</f>
        <v>0</v>
      </c>
      <c r="AF313" s="15">
        <f>IF('ENCUESTA CONDUCTORES'!AN313="X",1,0)</f>
        <v>0</v>
      </c>
      <c r="AG313" s="15">
        <f>IF('ENCUESTA CONDUCTORES'!AO313="X",1,0)</f>
        <v>1</v>
      </c>
      <c r="AH313" s="15">
        <f>IF('ENCUESTA CONDUCTORES'!AP313="X",1,0)</f>
        <v>0</v>
      </c>
      <c r="AI313" s="15">
        <f>IF('ENCUESTA CONDUCTORES'!AQ313="X",1,0)</f>
        <v>0</v>
      </c>
      <c r="AJ313" s="15">
        <f>IF('ENCUESTA CONDUCTORES'!AR313="X",1,0)</f>
        <v>0</v>
      </c>
      <c r="AK313" s="15">
        <f>+'ENCUESTA CONDUCTORES'!AS313</f>
        <v>0</v>
      </c>
      <c r="AL313" s="15" t="str">
        <f>+'ENCUESTA CONDUCTORES'!AT313</f>
        <v>CUMMINS</v>
      </c>
      <c r="AM313" s="1">
        <f>+'ENCUESTA CONDUCTORES'!AU313</f>
        <v>8500</v>
      </c>
      <c r="AN313" s="48">
        <f>+'ENCUESTA CONDUCTORES'!AV313</f>
        <v>0.1</v>
      </c>
      <c r="AO313" s="15">
        <f>+'ENCUESTA CONDUCTORES'!AW313</f>
        <v>3.6</v>
      </c>
      <c r="AP313" s="15">
        <f>+'ENCUESTA CONDUCTORES'!AX313</f>
        <v>3.1</v>
      </c>
      <c r="AQ313" s="15">
        <f>+'ENCUESTA CONDUCTORES'!AY313</f>
        <v>2</v>
      </c>
      <c r="AR313" s="15">
        <f>+'ENCUESTA CONDUCTORES'!AZ313</f>
        <v>790</v>
      </c>
      <c r="AS313" s="15">
        <f>+'ENCUESTA CONDUCTORES'!BA313</f>
        <v>2700</v>
      </c>
      <c r="AT313" s="15">
        <f>IF('ENCUESTA CONDUCTORES'!BB313="X",1,0)</f>
        <v>1</v>
      </c>
      <c r="AU313" s="15">
        <f>IF('ENCUESTA CONDUCTORES'!BC313="X",1,0)</f>
        <v>0</v>
      </c>
      <c r="AV313" s="15">
        <f>IF('ENCUESTA CONDUCTORES'!BD313="X",1,0)</f>
        <v>0</v>
      </c>
      <c r="AW313" s="1">
        <f>+'ENCUESTA CONDUCTORES'!BE313</f>
        <v>18000</v>
      </c>
      <c r="AX313" s="1">
        <f>+'ENCUESTA CONDUCTORES'!BF313</f>
        <v>200000</v>
      </c>
      <c r="AY313" s="1">
        <f>+'ENCUESTA CONDUCTORES'!BG313</f>
        <v>24000</v>
      </c>
      <c r="AZ313" s="1">
        <f>+'ENCUESTA CONDUCTORES'!BH313</f>
        <v>100000</v>
      </c>
      <c r="BA313" s="1" t="str">
        <f>+'ENCUESTA CONDUCTORES'!BI313</f>
        <v>NO SABE</v>
      </c>
      <c r="BB313" s="15">
        <f>IF('ENCUESTA CONDUCTORES'!BJ313="X",1,0)</f>
        <v>1</v>
      </c>
      <c r="BC313" s="15">
        <f>IF('ENCUESTA CONDUCTORES'!BK313="X",1,0)</f>
        <v>1</v>
      </c>
      <c r="BD313" s="15">
        <f>IF('ENCUESTA CONDUCTORES'!BL313="X",1,0)</f>
        <v>0</v>
      </c>
      <c r="BE313" s="15">
        <f>IF('ENCUESTA CONDUCTORES'!BM313="X",1,0)</f>
        <v>0</v>
      </c>
      <c r="BF313" s="15">
        <f>IF('ENCUESTA CONDUCTORES'!BN313="X",1,0)</f>
        <v>1</v>
      </c>
      <c r="BG313" s="15">
        <f>IF('ENCUESTA CONDUCTORES'!BO313="X",1,0)</f>
        <v>0</v>
      </c>
      <c r="BH313" s="15">
        <f>IF('ENCUESTA CONDUCTORES'!BP313="X",1,0)</f>
        <v>0</v>
      </c>
      <c r="BI313" s="15">
        <f>IF('ENCUESTA CONDUCTORES'!BQ313="X",1,0)</f>
        <v>0</v>
      </c>
      <c r="BJ313" s="15">
        <f>IF('ENCUESTA CONDUCTORES'!BR313="X",1,0)</f>
        <v>0</v>
      </c>
      <c r="BK313" s="15">
        <f>+'ENCUESTA CONDUCTORES'!BS313</f>
        <v>0</v>
      </c>
      <c r="BL313" s="15">
        <f>IF('ENCUESTA CONDUCTORES'!BT313="X",1,0)</f>
        <v>1</v>
      </c>
      <c r="BM313" s="15">
        <f>IF('ENCUESTA CONDUCTORES'!BU313="X",1,0)</f>
        <v>0</v>
      </c>
      <c r="BN313" s="15">
        <f>IF('ENCUESTA CONDUCTORES'!BV313="X",1,0)</f>
        <v>0</v>
      </c>
      <c r="BO313" s="15">
        <f>IF('ENCUESTA CONDUCTORES'!BW313="X",1,0)</f>
        <v>0</v>
      </c>
      <c r="BP313" s="15">
        <f>+'ENCUESTA CONDUCTORES'!BX313</f>
        <v>2</v>
      </c>
      <c r="BQ313" s="15">
        <f>+'ENCUESTA CONDUCTORES'!BY313</f>
        <v>3</v>
      </c>
      <c r="BR313" s="15">
        <f>+'ENCUESTA CONDUCTORES'!BZ313</f>
        <v>1</v>
      </c>
      <c r="BS313" s="15">
        <f>+'ENCUESTA CONDUCTORES'!CA313</f>
        <v>0</v>
      </c>
      <c r="BT313" s="15">
        <f>IF('ENCUESTA CONDUCTORES'!CB313="X",1,0)</f>
        <v>1</v>
      </c>
      <c r="BU313" s="15">
        <f>IF('ENCUESTA CONDUCTORES'!CC313="X",1,0)</f>
        <v>0</v>
      </c>
      <c r="BV313" s="15">
        <f>IF('ENCUESTA CONDUCTORES'!CD313="X",1,0)</f>
        <v>0</v>
      </c>
      <c r="BW313" s="15">
        <f>IF('ENCUESTA CONDUCTORES'!CE313="X",1,0)</f>
        <v>0</v>
      </c>
      <c r="BX313" s="15">
        <f>IF('ENCUESTA CONDUCTORES'!CF313="X",1,0)</f>
        <v>0</v>
      </c>
      <c r="BY313" s="15">
        <f>IF('ENCUESTA CONDUCTORES'!CG313="X",1,0)</f>
        <v>0</v>
      </c>
      <c r="BZ313" s="15">
        <f>IF('ENCUESTA CONDUCTORES'!CH313="X",1,0)</f>
        <v>0</v>
      </c>
      <c r="CA313" s="15">
        <f>IF('ENCUESTA CONDUCTORES'!CI313="X",1,0)</f>
        <v>0</v>
      </c>
      <c r="CB313" s="15">
        <f>IF('ENCUESTA CONDUCTORES'!CJ313="X",1,0)</f>
        <v>0</v>
      </c>
      <c r="CC313" s="15">
        <f>IF('ENCUESTA CONDUCTORES'!CK313="X",1,0)</f>
        <v>1</v>
      </c>
      <c r="CD313" s="15">
        <f>IF('ENCUESTA CONDUCTORES'!CL313="X",1,0)</f>
        <v>0</v>
      </c>
      <c r="CE313" s="15">
        <f>IF('ENCUESTA CONDUCTORES'!CM313="X",1,0)</f>
        <v>0</v>
      </c>
      <c r="CF313" s="15">
        <f>+'ENCUESTA CONDUCTORES'!CN313</f>
        <v>0</v>
      </c>
      <c r="CG313" s="15">
        <f>IF('ENCUESTA CONDUCTORES'!CO313="X",1,0)</f>
        <v>0</v>
      </c>
      <c r="CH313" s="15" t="str">
        <f>+'ENCUESTA CONDUCTORES'!CP313</f>
        <v>NO SABE</v>
      </c>
      <c r="CI313" s="15" t="str">
        <f>+'ENCUESTA CONDUCTORES'!CQ313</f>
        <v>NO SABE</v>
      </c>
      <c r="CJ313" s="15">
        <f>IF('ENCUESTA CONDUCTORES'!CR313="X",1,0)</f>
        <v>1</v>
      </c>
      <c r="CK313" s="15">
        <f>IF('ENCUESTA CONDUCTORES'!CS313="X",1,0)</f>
        <v>0</v>
      </c>
      <c r="CL313" s="15">
        <f>IF('ENCUESTA CONDUCTORES'!CT313="X",1,0)</f>
        <v>0</v>
      </c>
      <c r="CM313" s="15">
        <f>+'ENCUESTA CONDUCTORES'!CU313</f>
        <v>0</v>
      </c>
      <c r="CN313" s="15">
        <f>IF('ENCUESTA CONDUCTORES'!CV313="X",1,0)</f>
        <v>0</v>
      </c>
      <c r="CO313" s="15">
        <f>+'ENCUESTA CONDUCTORES'!CW313</f>
        <v>0</v>
      </c>
      <c r="CP313" s="15">
        <f>IF('ENCUESTA CONDUCTORES'!CX313="X",1,0)</f>
        <v>1</v>
      </c>
      <c r="CQ313" s="15">
        <f>IF('ENCUESTA CONDUCTORES'!CY313="X",1,0)</f>
        <v>0</v>
      </c>
      <c r="CR313" s="3">
        <f>+'ENCUESTA CONDUCTORES'!CZ313</f>
        <v>0</v>
      </c>
      <c r="CS313" s="49">
        <f>+'ENCUESTA CONDUCTORES'!DA313</f>
        <v>0</v>
      </c>
    </row>
    <row r="314" spans="2:97" x14ac:dyDescent="0.25">
      <c r="B314" s="14" t="str">
        <f>+'ENCUESTA CONDUCTORES'!D314</f>
        <v>C-325</v>
      </c>
      <c r="C314" s="15">
        <f>IF('ENCUESTA CONDUCTORES'!E314="X",1,0)</f>
        <v>0</v>
      </c>
      <c r="D314" s="15">
        <f>IF('ENCUESTA CONDUCTORES'!F314="X",1,0)</f>
        <v>0</v>
      </c>
      <c r="E314" s="15">
        <f>IF('ENCUESTA CONDUCTORES'!G314="X",1,0)</f>
        <v>1</v>
      </c>
      <c r="F314" s="15">
        <f>IF('ENCUESTA CONDUCTORES'!H314="X",1,0)</f>
        <v>0</v>
      </c>
      <c r="G314" s="15">
        <f>+'ENCUESTA CONDUCTORES'!I314</f>
        <v>27</v>
      </c>
      <c r="H314" s="15" t="str">
        <f>+'ENCUESTA CONDUCTORES'!J314</f>
        <v>M</v>
      </c>
      <c r="I314" s="15" t="str">
        <f>+'ENCUESTA CONDUCTORES'!K314</f>
        <v>PRIMARIA</v>
      </c>
      <c r="J314" s="15" t="str">
        <f>+'ENCUESTA CONDUCTORES'!L314</f>
        <v>SANTIAGO IXCUINTLA, NAYARIT</v>
      </c>
      <c r="K314" s="15" t="str">
        <f>+'ENCUESTA CONDUCTORES'!M314</f>
        <v>SANTIAGO IXCUINTLA</v>
      </c>
      <c r="L314" s="15" t="str">
        <f>+'ENCUESTA CONDUCTORES'!N314</f>
        <v>NAYARIT</v>
      </c>
      <c r="M314" s="15">
        <f>+'ENCUESTA CONDUCTORES'!O314</f>
        <v>8</v>
      </c>
      <c r="N314" s="15">
        <f>IF('ENCUESTA CONDUCTORES'!P314="X",1,0)</f>
        <v>1</v>
      </c>
      <c r="O314" s="15">
        <f>IF('ENCUESTA CONDUCTORES'!Q314="X",1,0)</f>
        <v>0</v>
      </c>
      <c r="P314" s="15">
        <f>IF('ENCUESTA CONDUCTORES'!R314="X",1,0)</f>
        <v>0</v>
      </c>
      <c r="Q314" s="15">
        <f>IF('ENCUESTA CONDUCTORES'!S314="X",1,0)</f>
        <v>0</v>
      </c>
      <c r="R314" s="15">
        <f>IF('ENCUESTA CONDUCTORES'!T314="X",1,0)</f>
        <v>0</v>
      </c>
      <c r="S314" s="15">
        <f>IF('ENCUESTA CONDUCTORES'!U314="X",1,0)</f>
        <v>0</v>
      </c>
      <c r="T314" s="15">
        <f>IF('ENCUESTA CONDUCTORES'!V314="X",1,0)</f>
        <v>0</v>
      </c>
      <c r="U314" s="15">
        <f>IF('ENCUESTA CONDUCTORES'!W314="X",1,0)</f>
        <v>0</v>
      </c>
      <c r="V314" s="15">
        <f>IF('ENCUESTA CONDUCTORES'!X314="X",1,0)</f>
        <v>0</v>
      </c>
      <c r="W314" s="15">
        <f>IF('ENCUESTA CONDUCTORES'!Y314="X",1,0)</f>
        <v>0</v>
      </c>
      <c r="X314" s="15">
        <f>IF('ENCUESTA CONDUCTORES'!Z314="X",1,0)</f>
        <v>0</v>
      </c>
      <c r="Y314" s="15">
        <f>+'ENCUESTA CONDUCTORES'!AG314</f>
        <v>0</v>
      </c>
      <c r="Z314" s="15">
        <f>+'ENCUESTA CONDUCTORES'!AH314</f>
        <v>1985</v>
      </c>
      <c r="AA314" s="1" t="str">
        <f>+'ENCUESTA CONDUCTORES'!AI314</f>
        <v>NO SABE</v>
      </c>
      <c r="AB314" s="15">
        <f>IF('ENCUESTA CONDUCTORES'!AJ314="X",1,0)</f>
        <v>1</v>
      </c>
      <c r="AC314" s="15">
        <f>IF('ENCUESTA CONDUCTORES'!AK314="X",1,0)</f>
        <v>0</v>
      </c>
      <c r="AD314" s="15">
        <f>IF('ENCUESTA CONDUCTORES'!AL314="X",1,0)</f>
        <v>0</v>
      </c>
      <c r="AE314" s="15">
        <f>IF('ENCUESTA CONDUCTORES'!AM314="X",1,0)</f>
        <v>0</v>
      </c>
      <c r="AF314" s="15">
        <f>IF('ENCUESTA CONDUCTORES'!AN314="X",1,0)</f>
        <v>0</v>
      </c>
      <c r="AG314" s="15">
        <f>IF('ENCUESTA CONDUCTORES'!AO314="X",1,0)</f>
        <v>0</v>
      </c>
      <c r="AH314" s="15">
        <f>IF('ENCUESTA CONDUCTORES'!AP314="X",1,0)</f>
        <v>0</v>
      </c>
      <c r="AI314" s="15">
        <f>IF('ENCUESTA CONDUCTORES'!AQ314="X",1,0)</f>
        <v>0</v>
      </c>
      <c r="AJ314" s="15">
        <f>IF('ENCUESTA CONDUCTORES'!AR314="X",1,0)</f>
        <v>0</v>
      </c>
      <c r="AK314" s="15">
        <f>+'ENCUESTA CONDUCTORES'!AS314</f>
        <v>0</v>
      </c>
      <c r="AL314" s="15" t="str">
        <f>+'ENCUESTA CONDUCTORES'!AT314</f>
        <v>KODIAK</v>
      </c>
      <c r="AM314" s="1">
        <f>+'ENCUESTA CONDUCTORES'!AU314</f>
        <v>7000</v>
      </c>
      <c r="AN314" s="48">
        <f>+'ENCUESTA CONDUCTORES'!AV314</f>
        <v>0.3</v>
      </c>
      <c r="AO314" s="15">
        <f>+'ENCUESTA CONDUCTORES'!AW314</f>
        <v>4.9000000000000004</v>
      </c>
      <c r="AP314" s="15">
        <f>+'ENCUESTA CONDUCTORES'!AX314</f>
        <v>4</v>
      </c>
      <c r="AQ314" s="15">
        <f>+'ENCUESTA CONDUCTORES'!AY314</f>
        <v>2</v>
      </c>
      <c r="AR314" s="15">
        <f>+'ENCUESTA CONDUCTORES'!AZ314</f>
        <v>310</v>
      </c>
      <c r="AS314" s="15">
        <f>+'ENCUESTA CONDUCTORES'!BA314</f>
        <v>1400</v>
      </c>
      <c r="AT314" s="15">
        <f>IF('ENCUESTA CONDUCTORES'!BB314="X",1,0)</f>
        <v>0</v>
      </c>
      <c r="AU314" s="15">
        <f>IF('ENCUESTA CONDUCTORES'!BC314="X",1,0)</f>
        <v>0</v>
      </c>
      <c r="AV314" s="15">
        <f>IF('ENCUESTA CONDUCTORES'!BD314="X",1,0)</f>
        <v>0</v>
      </c>
      <c r="AW314" s="1">
        <f>+'ENCUESTA CONDUCTORES'!BE314</f>
        <v>14000</v>
      </c>
      <c r="AX314" s="1" t="str">
        <f>+'ENCUESTA CONDUCTORES'!BF314</f>
        <v>NO SABE</v>
      </c>
      <c r="AY314" s="1">
        <f>+'ENCUESTA CONDUCTORES'!BG314</f>
        <v>28000</v>
      </c>
      <c r="AZ314" s="1" t="str">
        <f>+'ENCUESTA CONDUCTORES'!BH314</f>
        <v>NO SABE</v>
      </c>
      <c r="BA314" s="1" t="str">
        <f>+'ENCUESTA CONDUCTORES'!BI314</f>
        <v>NO SABE</v>
      </c>
      <c r="BB314" s="15">
        <f>IF('ENCUESTA CONDUCTORES'!BJ314="X",1,0)</f>
        <v>1</v>
      </c>
      <c r="BC314" s="15">
        <f>IF('ENCUESTA CONDUCTORES'!BK314="X",1,0)</f>
        <v>0</v>
      </c>
      <c r="BD314" s="15">
        <f>IF('ENCUESTA CONDUCTORES'!BL314="X",1,0)</f>
        <v>0</v>
      </c>
      <c r="BE314" s="15">
        <f>IF('ENCUESTA CONDUCTORES'!BM314="X",1,0)</f>
        <v>0</v>
      </c>
      <c r="BF314" s="15">
        <f>IF('ENCUESTA CONDUCTORES'!BN314="X",1,0)</f>
        <v>0</v>
      </c>
      <c r="BG314" s="15">
        <f>IF('ENCUESTA CONDUCTORES'!BO314="X",1,0)</f>
        <v>1</v>
      </c>
      <c r="BH314" s="15">
        <f>IF('ENCUESTA CONDUCTORES'!BP314="X",1,0)</f>
        <v>0</v>
      </c>
      <c r="BI314" s="15">
        <f>IF('ENCUESTA CONDUCTORES'!BQ314="X",1,0)</f>
        <v>0</v>
      </c>
      <c r="BJ314" s="15">
        <f>IF('ENCUESTA CONDUCTORES'!BR314="X",1,0)</f>
        <v>0</v>
      </c>
      <c r="BK314" s="15">
        <f>+'ENCUESTA CONDUCTORES'!BS314</f>
        <v>0</v>
      </c>
      <c r="BL314" s="15">
        <f>IF('ENCUESTA CONDUCTORES'!BT314="X",1,0)</f>
        <v>0</v>
      </c>
      <c r="BM314" s="15">
        <f>IF('ENCUESTA CONDUCTORES'!BU314="X",1,0)</f>
        <v>1</v>
      </c>
      <c r="BN314" s="15">
        <f>IF('ENCUESTA CONDUCTORES'!BV314="X",1,0)</f>
        <v>0</v>
      </c>
      <c r="BO314" s="15">
        <f>IF('ENCUESTA CONDUCTORES'!BW314="X",1,0)</f>
        <v>0</v>
      </c>
      <c r="BP314" s="15">
        <f>+'ENCUESTA CONDUCTORES'!BX314</f>
        <v>2</v>
      </c>
      <c r="BQ314" s="15">
        <f>+'ENCUESTA CONDUCTORES'!BY314</f>
        <v>3</v>
      </c>
      <c r="BR314" s="15">
        <f>+'ENCUESTA CONDUCTORES'!BZ314</f>
        <v>1</v>
      </c>
      <c r="BS314" s="15">
        <f>+'ENCUESTA CONDUCTORES'!CA314</f>
        <v>0</v>
      </c>
      <c r="BT314" s="15">
        <f>IF('ENCUESTA CONDUCTORES'!CB314="X",1,0)</f>
        <v>1</v>
      </c>
      <c r="BU314" s="15">
        <f>IF('ENCUESTA CONDUCTORES'!CC314="X",1,0)</f>
        <v>0</v>
      </c>
      <c r="BV314" s="15">
        <f>IF('ENCUESTA CONDUCTORES'!CD314="X",1,0)</f>
        <v>0</v>
      </c>
      <c r="BW314" s="15">
        <f>IF('ENCUESTA CONDUCTORES'!CE314="X",1,0)</f>
        <v>0</v>
      </c>
      <c r="BX314" s="15">
        <f>IF('ENCUESTA CONDUCTORES'!CF314="X",1,0)</f>
        <v>0</v>
      </c>
      <c r="BY314" s="15">
        <f>IF('ENCUESTA CONDUCTORES'!CG314="X",1,0)</f>
        <v>0</v>
      </c>
      <c r="BZ314" s="15">
        <f>IF('ENCUESTA CONDUCTORES'!CH314="X",1,0)</f>
        <v>0</v>
      </c>
      <c r="CA314" s="15">
        <f>IF('ENCUESTA CONDUCTORES'!CI314="X",1,0)</f>
        <v>0</v>
      </c>
      <c r="CB314" s="15">
        <f>IF('ENCUESTA CONDUCTORES'!CJ314="X",1,0)</f>
        <v>0</v>
      </c>
      <c r="CC314" s="15">
        <f>IF('ENCUESTA CONDUCTORES'!CK314="X",1,0)</f>
        <v>1</v>
      </c>
      <c r="CD314" s="15">
        <f>IF('ENCUESTA CONDUCTORES'!CL314="X",1,0)</f>
        <v>0</v>
      </c>
      <c r="CE314" s="15">
        <f>IF('ENCUESTA CONDUCTORES'!CM314="X",1,0)</f>
        <v>0</v>
      </c>
      <c r="CF314" s="15">
        <f>+'ENCUESTA CONDUCTORES'!CN314</f>
        <v>0</v>
      </c>
      <c r="CG314" s="15">
        <f>IF('ENCUESTA CONDUCTORES'!CO314="X",1,0)</f>
        <v>0</v>
      </c>
      <c r="CH314" s="15" t="str">
        <f>+'ENCUESTA CONDUCTORES'!CP314</f>
        <v>NO SABE</v>
      </c>
      <c r="CI314" s="15" t="str">
        <f>+'ENCUESTA CONDUCTORES'!CQ314</f>
        <v>NO SABE</v>
      </c>
      <c r="CJ314" s="15">
        <f>IF('ENCUESTA CONDUCTORES'!CR314="X",1,0)</f>
        <v>1</v>
      </c>
      <c r="CK314" s="15">
        <f>IF('ENCUESTA CONDUCTORES'!CS314="X",1,0)</f>
        <v>0</v>
      </c>
      <c r="CL314" s="15">
        <f>IF('ENCUESTA CONDUCTORES'!CT314="X",1,0)</f>
        <v>0</v>
      </c>
      <c r="CM314" s="15">
        <f>+'ENCUESTA CONDUCTORES'!CU314</f>
        <v>0</v>
      </c>
      <c r="CN314" s="15">
        <f>IF('ENCUESTA CONDUCTORES'!CV314="X",1,0)</f>
        <v>0</v>
      </c>
      <c r="CO314" s="15">
        <f>+'ENCUESTA CONDUCTORES'!CW314</f>
        <v>0</v>
      </c>
      <c r="CP314" s="15">
        <f>IF('ENCUESTA CONDUCTORES'!CX314="X",1,0)</f>
        <v>1</v>
      </c>
      <c r="CQ314" s="15">
        <f>IF('ENCUESTA CONDUCTORES'!CY314="X",1,0)</f>
        <v>0</v>
      </c>
      <c r="CR314" s="3">
        <f>+'ENCUESTA CONDUCTORES'!CZ314</f>
        <v>0</v>
      </c>
      <c r="CS314" s="49">
        <f>+'ENCUESTA CONDUCTORES'!DA314</f>
        <v>0</v>
      </c>
    </row>
    <row r="315" spans="2:97" x14ac:dyDescent="0.25">
      <c r="B315" s="14" t="str">
        <f>+'ENCUESTA CONDUCTORES'!D315</f>
        <v>C-326</v>
      </c>
      <c r="C315" s="15">
        <f>IF('ENCUESTA CONDUCTORES'!E315="X",1,0)</f>
        <v>0</v>
      </c>
      <c r="D315" s="15">
        <f>IF('ENCUESTA CONDUCTORES'!F315="X",1,0)</f>
        <v>0</v>
      </c>
      <c r="E315" s="15">
        <f>IF('ENCUESTA CONDUCTORES'!G315="X",1,0)</f>
        <v>0</v>
      </c>
      <c r="F315" s="15">
        <f>IF('ENCUESTA CONDUCTORES'!H315="X",1,0)</f>
        <v>1</v>
      </c>
      <c r="G315" s="15">
        <f>+'ENCUESTA CONDUCTORES'!I315</f>
        <v>56</v>
      </c>
      <c r="H315" s="15" t="str">
        <f>+'ENCUESTA CONDUCTORES'!J315</f>
        <v>M</v>
      </c>
      <c r="I315" s="15" t="str">
        <f>+'ENCUESTA CONDUCTORES'!K315</f>
        <v>SECUNDARIA</v>
      </c>
      <c r="J315" s="15" t="str">
        <f>+'ENCUESTA CONDUCTORES'!L315</f>
        <v>CORTAZAR, GTO.</v>
      </c>
      <c r="K315" s="15" t="str">
        <f>+'ENCUESTA CONDUCTORES'!M315</f>
        <v>CORTAZAR</v>
      </c>
      <c r="L315" s="15" t="str">
        <f>+'ENCUESTA CONDUCTORES'!N315</f>
        <v>GUANAJUATO</v>
      </c>
      <c r="M315" s="15">
        <f>+'ENCUESTA CONDUCTORES'!O315</f>
        <v>30</v>
      </c>
      <c r="N315" s="15">
        <f>IF('ENCUESTA CONDUCTORES'!P315="X",1,0)</f>
        <v>0</v>
      </c>
      <c r="O315" s="15">
        <f>IF('ENCUESTA CONDUCTORES'!Q315="X",1,0)</f>
        <v>0</v>
      </c>
      <c r="P315" s="15">
        <f>IF('ENCUESTA CONDUCTORES'!R315="X",1,0)</f>
        <v>0</v>
      </c>
      <c r="Q315" s="15">
        <f>IF('ENCUESTA CONDUCTORES'!S315="X",1,0)</f>
        <v>1</v>
      </c>
      <c r="R315" s="15">
        <f>IF('ENCUESTA CONDUCTORES'!T315="X",1,0)</f>
        <v>0</v>
      </c>
      <c r="S315" s="15">
        <f>IF('ENCUESTA CONDUCTORES'!U315="X",1,0)</f>
        <v>0</v>
      </c>
      <c r="T315" s="15">
        <f>IF('ENCUESTA CONDUCTORES'!V315="X",1,0)</f>
        <v>0</v>
      </c>
      <c r="U315" s="15">
        <f>IF('ENCUESTA CONDUCTORES'!W315="X",1,0)</f>
        <v>0</v>
      </c>
      <c r="V315" s="15">
        <f>IF('ENCUESTA CONDUCTORES'!X315="X",1,0)</f>
        <v>0</v>
      </c>
      <c r="W315" s="15">
        <f>IF('ENCUESTA CONDUCTORES'!Y315="X",1,0)</f>
        <v>1</v>
      </c>
      <c r="X315" s="15">
        <f>IF('ENCUESTA CONDUCTORES'!Z315="X",1,0)</f>
        <v>0</v>
      </c>
      <c r="Y315" s="15">
        <f>+'ENCUESTA CONDUCTORES'!AG315</f>
        <v>0</v>
      </c>
      <c r="Z315" s="15">
        <f>+'ENCUESTA CONDUCTORES'!AH315</f>
        <v>2008</v>
      </c>
      <c r="AA315" s="1">
        <f>+'ENCUESTA CONDUCTORES'!AI315</f>
        <v>568900</v>
      </c>
      <c r="AB315" s="15">
        <f>IF('ENCUESTA CONDUCTORES'!AJ315="X",1,0)</f>
        <v>0</v>
      </c>
      <c r="AC315" s="15">
        <f>IF('ENCUESTA CONDUCTORES'!AK315="X",1,0)</f>
        <v>0</v>
      </c>
      <c r="AD315" s="15">
        <f>IF('ENCUESTA CONDUCTORES'!AL315="X",1,0)</f>
        <v>1</v>
      </c>
      <c r="AE315" s="15">
        <f>IF('ENCUESTA CONDUCTORES'!AM315="X",1,0)</f>
        <v>0</v>
      </c>
      <c r="AF315" s="15">
        <f>IF('ENCUESTA CONDUCTORES'!AN315="X",1,0)</f>
        <v>0</v>
      </c>
      <c r="AG315" s="15">
        <f>IF('ENCUESTA CONDUCTORES'!AO315="X",1,0)</f>
        <v>0</v>
      </c>
      <c r="AH315" s="15">
        <f>IF('ENCUESTA CONDUCTORES'!AP315="X",1,0)</f>
        <v>1</v>
      </c>
      <c r="AI315" s="15">
        <f>IF('ENCUESTA CONDUCTORES'!AQ315="X",1,0)</f>
        <v>0</v>
      </c>
      <c r="AJ315" s="15">
        <f>IF('ENCUESTA CONDUCTORES'!AR315="X",1,0)</f>
        <v>0</v>
      </c>
      <c r="AK315" s="15">
        <f>+'ENCUESTA CONDUCTORES'!AS315</f>
        <v>0</v>
      </c>
      <c r="AL315" s="15" t="str">
        <f>+'ENCUESTA CONDUCTORES'!AT315</f>
        <v>CUMMINS</v>
      </c>
      <c r="AM315" s="1">
        <f>+'ENCUESTA CONDUCTORES'!AU315</f>
        <v>10000</v>
      </c>
      <c r="AN315" s="48">
        <f>+'ENCUESTA CONDUCTORES'!AV315</f>
        <v>0.5</v>
      </c>
      <c r="AO315" s="15">
        <f>+'ENCUESTA CONDUCTORES'!AW315</f>
        <v>1.6</v>
      </c>
      <c r="AP315" s="15">
        <f>+'ENCUESTA CONDUCTORES'!AX315</f>
        <v>1.4</v>
      </c>
      <c r="AQ315" s="15">
        <f>+'ENCUESTA CONDUCTORES'!AY315</f>
        <v>3</v>
      </c>
      <c r="AR315" s="15">
        <f>+'ENCUESTA CONDUCTORES'!AZ315</f>
        <v>1200</v>
      </c>
      <c r="AS315" s="15">
        <f>+'ENCUESTA CONDUCTORES'!BA315</f>
        <v>1800</v>
      </c>
      <c r="AT315" s="15">
        <f>IF('ENCUESTA CONDUCTORES'!BB315="X",1,0)</f>
        <v>1</v>
      </c>
      <c r="AU315" s="15">
        <f>IF('ENCUESTA CONDUCTORES'!BC315="X",1,0)</f>
        <v>1</v>
      </c>
      <c r="AV315" s="15">
        <f>IF('ENCUESTA CONDUCTORES'!BD315="X",1,0)</f>
        <v>0</v>
      </c>
      <c r="AW315" s="1">
        <f>+'ENCUESTA CONDUCTORES'!BE315</f>
        <v>18000</v>
      </c>
      <c r="AX315" s="1">
        <f>+'ENCUESTA CONDUCTORES'!BF315</f>
        <v>180000</v>
      </c>
      <c r="AY315" s="1">
        <f>+'ENCUESTA CONDUCTORES'!BG315</f>
        <v>26000</v>
      </c>
      <c r="AZ315" s="1">
        <f>+'ENCUESTA CONDUCTORES'!BH315</f>
        <v>120000</v>
      </c>
      <c r="BA315" s="1" t="str">
        <f>+'ENCUESTA CONDUCTORES'!BI315</f>
        <v>NO SABE</v>
      </c>
      <c r="BB315" s="15">
        <f>IF('ENCUESTA CONDUCTORES'!BJ315="X",1,0)</f>
        <v>0</v>
      </c>
      <c r="BC315" s="15">
        <f>IF('ENCUESTA CONDUCTORES'!BK315="X",1,0)</f>
        <v>0</v>
      </c>
      <c r="BD315" s="15">
        <f>IF('ENCUESTA CONDUCTORES'!BL315="X",1,0)</f>
        <v>1</v>
      </c>
      <c r="BE315" s="15">
        <f>IF('ENCUESTA CONDUCTORES'!BM315="X",1,0)</f>
        <v>0</v>
      </c>
      <c r="BF315" s="15">
        <f>IF('ENCUESTA CONDUCTORES'!BN315="X",1,0)</f>
        <v>0</v>
      </c>
      <c r="BG315" s="15">
        <f>IF('ENCUESTA CONDUCTORES'!BO315="X",1,0)</f>
        <v>0</v>
      </c>
      <c r="BH315" s="15">
        <f>IF('ENCUESTA CONDUCTORES'!BP315="X",1,0)</f>
        <v>0</v>
      </c>
      <c r="BI315" s="15">
        <f>IF('ENCUESTA CONDUCTORES'!BQ315="X",1,0)</f>
        <v>0</v>
      </c>
      <c r="BJ315" s="15">
        <f>IF('ENCUESTA CONDUCTORES'!BR315="X",1,0)</f>
        <v>1</v>
      </c>
      <c r="BK315" s="15">
        <f>+'ENCUESTA CONDUCTORES'!BS315</f>
        <v>0</v>
      </c>
      <c r="BL315" s="15">
        <f>IF('ENCUESTA CONDUCTORES'!BT315="X",1,0)</f>
        <v>0</v>
      </c>
      <c r="BM315" s="15">
        <f>IF('ENCUESTA CONDUCTORES'!BU315="X",1,0)</f>
        <v>1</v>
      </c>
      <c r="BN315" s="15">
        <f>IF('ENCUESTA CONDUCTORES'!BV315="X",1,0)</f>
        <v>0</v>
      </c>
      <c r="BO315" s="15">
        <f>IF('ENCUESTA CONDUCTORES'!BW315="X",1,0)</f>
        <v>0</v>
      </c>
      <c r="BP315" s="15">
        <f>+'ENCUESTA CONDUCTORES'!BX315</f>
        <v>1</v>
      </c>
      <c r="BQ315" s="15">
        <f>+'ENCUESTA CONDUCTORES'!BY315</f>
        <v>3</v>
      </c>
      <c r="BR315" s="15">
        <f>+'ENCUESTA CONDUCTORES'!BZ315</f>
        <v>2</v>
      </c>
      <c r="BS315" s="15">
        <f>+'ENCUESTA CONDUCTORES'!CA315</f>
        <v>0</v>
      </c>
      <c r="BT315" s="15">
        <f>IF('ENCUESTA CONDUCTORES'!CB315="X",1,0)</f>
        <v>0</v>
      </c>
      <c r="BU315" s="15">
        <f>IF('ENCUESTA CONDUCTORES'!CC315="X",1,0)</f>
        <v>1</v>
      </c>
      <c r="BV315" s="15">
        <f>IF('ENCUESTA CONDUCTORES'!CD315="X",1,0)</f>
        <v>1</v>
      </c>
      <c r="BW315" s="15">
        <f>IF('ENCUESTA CONDUCTORES'!CE315="X",1,0)</f>
        <v>0</v>
      </c>
      <c r="BX315" s="15">
        <f>IF('ENCUESTA CONDUCTORES'!CF315="X",1,0)</f>
        <v>0</v>
      </c>
      <c r="BY315" s="15">
        <f>IF('ENCUESTA CONDUCTORES'!CG315="X",1,0)</f>
        <v>0</v>
      </c>
      <c r="BZ315" s="15">
        <f>IF('ENCUESTA CONDUCTORES'!CH315="X",1,0)</f>
        <v>0</v>
      </c>
      <c r="CA315" s="15">
        <f>IF('ENCUESTA CONDUCTORES'!CI315="X",1,0)</f>
        <v>0</v>
      </c>
      <c r="CB315" s="15">
        <f>IF('ENCUESTA CONDUCTORES'!CJ315="X",1,0)</f>
        <v>0</v>
      </c>
      <c r="CC315" s="15">
        <f>IF('ENCUESTA CONDUCTORES'!CK315="X",1,0)</f>
        <v>1</v>
      </c>
      <c r="CD315" s="15">
        <f>IF('ENCUESTA CONDUCTORES'!CL315="X",1,0)</f>
        <v>0</v>
      </c>
      <c r="CE315" s="15">
        <f>IF('ENCUESTA CONDUCTORES'!CM315="X",1,0)</f>
        <v>0</v>
      </c>
      <c r="CF315" s="15">
        <f>+'ENCUESTA CONDUCTORES'!CN315</f>
        <v>0</v>
      </c>
      <c r="CG315" s="15">
        <f>IF('ENCUESTA CONDUCTORES'!CO315="X",1,0)</f>
        <v>0</v>
      </c>
      <c r="CH315" s="15" t="str">
        <f>+'ENCUESTA CONDUCTORES'!CP315</f>
        <v>NO SABE</v>
      </c>
      <c r="CI315" s="15" t="str">
        <f>+'ENCUESTA CONDUCTORES'!CQ315</f>
        <v>NO SABE</v>
      </c>
      <c r="CJ315" s="15">
        <f>IF('ENCUESTA CONDUCTORES'!CR315="X",1,0)</f>
        <v>0</v>
      </c>
      <c r="CK315" s="15">
        <f>IF('ENCUESTA CONDUCTORES'!CS315="X",1,0)</f>
        <v>0</v>
      </c>
      <c r="CL315" s="15">
        <f>IF('ENCUESTA CONDUCTORES'!CT315="X",1,0)</f>
        <v>0</v>
      </c>
      <c r="CM315" s="15" t="str">
        <f>+'ENCUESTA CONDUCTORES'!CU315</f>
        <v>CONTINGENCIA QUIMICA</v>
      </c>
      <c r="CN315" s="15">
        <f>IF('ENCUESTA CONDUCTORES'!CV315="X",1,0)</f>
        <v>1</v>
      </c>
      <c r="CO315" s="15" t="str">
        <f>+'ENCUESTA CONDUCTORES'!CW315</f>
        <v>LOS DAN EN LA EMPRESA</v>
      </c>
      <c r="CP315" s="15">
        <f>IF('ENCUESTA CONDUCTORES'!CX315="X",1,0)</f>
        <v>0</v>
      </c>
      <c r="CQ315" s="15">
        <f>IF('ENCUESTA CONDUCTORES'!CY315="X",1,0)</f>
        <v>0</v>
      </c>
      <c r="CR315" s="3">
        <f>+'ENCUESTA CONDUCTORES'!CZ315</f>
        <v>0</v>
      </c>
      <c r="CS315" s="49">
        <f>+'ENCUESTA CONDUCTORES'!DA315</f>
        <v>0</v>
      </c>
    </row>
    <row r="316" spans="2:97" x14ac:dyDescent="0.25">
      <c r="B316" s="14" t="str">
        <f>+'ENCUESTA CONDUCTORES'!D316</f>
        <v>C-327</v>
      </c>
      <c r="C316" s="15">
        <f>IF('ENCUESTA CONDUCTORES'!E316="X",1,0)</f>
        <v>0</v>
      </c>
      <c r="D316" s="15">
        <f>IF('ENCUESTA CONDUCTORES'!F316="X",1,0)</f>
        <v>1</v>
      </c>
      <c r="E316" s="15">
        <f>IF('ENCUESTA CONDUCTORES'!G316="X",1,0)</f>
        <v>0</v>
      </c>
      <c r="F316" s="15">
        <f>IF('ENCUESTA CONDUCTORES'!H316="X",1,0)</f>
        <v>0</v>
      </c>
      <c r="G316" s="15">
        <f>+'ENCUESTA CONDUCTORES'!I316</f>
        <v>29</v>
      </c>
      <c r="H316" s="15" t="str">
        <f>+'ENCUESTA CONDUCTORES'!J316</f>
        <v>M</v>
      </c>
      <c r="I316" s="15" t="str">
        <f>+'ENCUESTA CONDUCTORES'!K316</f>
        <v>SECUNDARIA</v>
      </c>
      <c r="J316" s="15" t="str">
        <f>+'ENCUESTA CONDUCTORES'!L316</f>
        <v>SAN JUAN DEL RÍO, QRO.</v>
      </c>
      <c r="K316" s="15" t="str">
        <f>+'ENCUESTA CONDUCTORES'!M316</f>
        <v>SAN JUAN DEL RÍO</v>
      </c>
      <c r="L316" s="15" t="str">
        <f>+'ENCUESTA CONDUCTORES'!N316</f>
        <v>QUERÉTARO</v>
      </c>
      <c r="M316" s="15">
        <f>+'ENCUESTA CONDUCTORES'!O316</f>
        <v>10</v>
      </c>
      <c r="N316" s="15">
        <f>IF('ENCUESTA CONDUCTORES'!P316="X",1,0)</f>
        <v>0</v>
      </c>
      <c r="O316" s="15">
        <f>IF('ENCUESTA CONDUCTORES'!Q316="X",1,0)</f>
        <v>0</v>
      </c>
      <c r="P316" s="15">
        <f>IF('ENCUESTA CONDUCTORES'!R316="X",1,0)</f>
        <v>0</v>
      </c>
      <c r="Q316" s="15">
        <f>IF('ENCUESTA CONDUCTORES'!S316="X",1,0)</f>
        <v>1</v>
      </c>
      <c r="R316" s="15">
        <f>IF('ENCUESTA CONDUCTORES'!T316="X",1,0)</f>
        <v>0</v>
      </c>
      <c r="S316" s="15">
        <f>IF('ENCUESTA CONDUCTORES'!U316="X",1,0)</f>
        <v>1</v>
      </c>
      <c r="T316" s="15">
        <f>IF('ENCUESTA CONDUCTORES'!V316="X",1,0)</f>
        <v>0</v>
      </c>
      <c r="U316" s="15">
        <f>IF('ENCUESTA CONDUCTORES'!W316="X",1,0)</f>
        <v>0</v>
      </c>
      <c r="V316" s="15">
        <f>IF('ENCUESTA CONDUCTORES'!X316="X",1,0)</f>
        <v>0</v>
      </c>
      <c r="W316" s="15">
        <f>IF('ENCUESTA CONDUCTORES'!Y316="X",1,0)</f>
        <v>0</v>
      </c>
      <c r="X316" s="15">
        <f>IF('ENCUESTA CONDUCTORES'!Z316="X",1,0)</f>
        <v>0</v>
      </c>
      <c r="Y316" s="15">
        <f>+'ENCUESTA CONDUCTORES'!AG316</f>
        <v>0</v>
      </c>
      <c r="Z316" s="15">
        <f>+'ENCUESTA CONDUCTORES'!AH316</f>
        <v>2008</v>
      </c>
      <c r="AA316" s="1">
        <f>+'ENCUESTA CONDUCTORES'!AI316</f>
        <v>520861</v>
      </c>
      <c r="AB316" s="15">
        <f>IF('ENCUESTA CONDUCTORES'!AJ316="X",1,0)</f>
        <v>0</v>
      </c>
      <c r="AC316" s="15">
        <f>IF('ENCUESTA CONDUCTORES'!AK316="X",1,0)</f>
        <v>0</v>
      </c>
      <c r="AD316" s="15">
        <f>IF('ENCUESTA CONDUCTORES'!AL316="X",1,0)</f>
        <v>1</v>
      </c>
      <c r="AE316" s="15">
        <f>IF('ENCUESTA CONDUCTORES'!AM316="X",1,0)</f>
        <v>0</v>
      </c>
      <c r="AF316" s="15">
        <f>IF('ENCUESTA CONDUCTORES'!AN316="X",1,0)</f>
        <v>0</v>
      </c>
      <c r="AG316" s="15">
        <f>IF('ENCUESTA CONDUCTORES'!AO316="X",1,0)</f>
        <v>0</v>
      </c>
      <c r="AH316" s="15">
        <f>IF('ENCUESTA CONDUCTORES'!AP316="X",1,0)</f>
        <v>1</v>
      </c>
      <c r="AI316" s="15">
        <f>IF('ENCUESTA CONDUCTORES'!AQ316="X",1,0)</f>
        <v>0</v>
      </c>
      <c r="AJ316" s="15">
        <f>IF('ENCUESTA CONDUCTORES'!AR316="X",1,0)</f>
        <v>0</v>
      </c>
      <c r="AK316" s="15">
        <f>+'ENCUESTA CONDUCTORES'!AS316</f>
        <v>0</v>
      </c>
      <c r="AL316" s="15" t="str">
        <f>+'ENCUESTA CONDUCTORES'!AT316</f>
        <v>DETROIT</v>
      </c>
      <c r="AM316" s="1">
        <f>+'ENCUESTA CONDUCTORES'!AU316</f>
        <v>9000</v>
      </c>
      <c r="AN316" s="48">
        <f>+'ENCUESTA CONDUCTORES'!AV316</f>
        <v>0.1</v>
      </c>
      <c r="AO316" s="15">
        <f>+'ENCUESTA CONDUCTORES'!AW316</f>
        <v>2.7</v>
      </c>
      <c r="AP316" s="15">
        <f>+'ENCUESTA CONDUCTORES'!AX316</f>
        <v>2.4</v>
      </c>
      <c r="AQ316" s="15">
        <f>+'ENCUESTA CONDUCTORES'!AY316</f>
        <v>2</v>
      </c>
      <c r="AR316" s="15">
        <f>+'ENCUESTA CONDUCTORES'!AZ316</f>
        <v>850</v>
      </c>
      <c r="AS316" s="15">
        <f>+'ENCUESTA CONDUCTORES'!BA316</f>
        <v>2200</v>
      </c>
      <c r="AT316" s="15">
        <f>IF('ENCUESTA CONDUCTORES'!BB316="X",1,0)</f>
        <v>1</v>
      </c>
      <c r="AU316" s="15">
        <f>IF('ENCUESTA CONDUCTORES'!BC316="X",1,0)</f>
        <v>0</v>
      </c>
      <c r="AV316" s="15">
        <f>IF('ENCUESTA CONDUCTORES'!BD316="X",1,0)</f>
        <v>0</v>
      </c>
      <c r="AW316" s="1">
        <f>+'ENCUESTA CONDUCTORES'!BE316</f>
        <v>18000</v>
      </c>
      <c r="AX316" s="1">
        <f>+'ENCUESTA CONDUCTORES'!BF316</f>
        <v>200000</v>
      </c>
      <c r="AY316" s="1">
        <f>+'ENCUESTA CONDUCTORES'!BG316</f>
        <v>36000</v>
      </c>
      <c r="AZ316" s="1">
        <f>+'ENCUESTA CONDUCTORES'!BH316</f>
        <v>108000</v>
      </c>
      <c r="BA316" s="1" t="str">
        <f>+'ENCUESTA CONDUCTORES'!BI316</f>
        <v>NO SABE</v>
      </c>
      <c r="BB316" s="15">
        <f>IF('ENCUESTA CONDUCTORES'!BJ316="X",1,0)</f>
        <v>0</v>
      </c>
      <c r="BC316" s="15">
        <f>IF('ENCUESTA CONDUCTORES'!BK316="X",1,0)</f>
        <v>0</v>
      </c>
      <c r="BD316" s="15">
        <f>IF('ENCUESTA CONDUCTORES'!BL316="X",1,0)</f>
        <v>1</v>
      </c>
      <c r="BE316" s="15">
        <f>IF('ENCUESTA CONDUCTORES'!BM316="X",1,0)</f>
        <v>0</v>
      </c>
      <c r="BF316" s="15">
        <f>IF('ENCUESTA CONDUCTORES'!BN316="X",1,0)</f>
        <v>1</v>
      </c>
      <c r="BG316" s="15">
        <f>IF('ENCUESTA CONDUCTORES'!BO316="X",1,0)</f>
        <v>0</v>
      </c>
      <c r="BH316" s="15">
        <f>IF('ENCUESTA CONDUCTORES'!BP316="X",1,0)</f>
        <v>0</v>
      </c>
      <c r="BI316" s="15">
        <f>IF('ENCUESTA CONDUCTORES'!BQ316="X",1,0)</f>
        <v>0</v>
      </c>
      <c r="BJ316" s="15">
        <f>IF('ENCUESTA CONDUCTORES'!BR316="X",1,0)</f>
        <v>1</v>
      </c>
      <c r="BK316" s="15">
        <f>+'ENCUESTA CONDUCTORES'!BS316</f>
        <v>0</v>
      </c>
      <c r="BL316" s="15">
        <f>IF('ENCUESTA CONDUCTORES'!BT316="X",1,0)</f>
        <v>0</v>
      </c>
      <c r="BM316" s="15">
        <f>IF('ENCUESTA CONDUCTORES'!BU316="X",1,0)</f>
        <v>0</v>
      </c>
      <c r="BN316" s="15">
        <f>IF('ENCUESTA CONDUCTORES'!BV316="X",1,0)</f>
        <v>1</v>
      </c>
      <c r="BO316" s="15">
        <f>IF('ENCUESTA CONDUCTORES'!BW316="X",1,0)</f>
        <v>0</v>
      </c>
      <c r="BP316" s="15">
        <f>+'ENCUESTA CONDUCTORES'!BX316</f>
        <v>1</v>
      </c>
      <c r="BQ316" s="15">
        <f>+'ENCUESTA CONDUCTORES'!BY316</f>
        <v>2</v>
      </c>
      <c r="BR316" s="15">
        <f>+'ENCUESTA CONDUCTORES'!BZ316</f>
        <v>3</v>
      </c>
      <c r="BS316" s="15">
        <f>+'ENCUESTA CONDUCTORES'!CA316</f>
        <v>0</v>
      </c>
      <c r="BT316" s="15">
        <f>IF('ENCUESTA CONDUCTORES'!CB316="X",1,0)</f>
        <v>1</v>
      </c>
      <c r="BU316" s="15">
        <f>IF('ENCUESTA CONDUCTORES'!CC316="X",1,0)</f>
        <v>0</v>
      </c>
      <c r="BV316" s="15">
        <f>IF('ENCUESTA CONDUCTORES'!CD316="X",1,0)</f>
        <v>0</v>
      </c>
      <c r="BW316" s="15">
        <f>IF('ENCUESTA CONDUCTORES'!CE316="X",1,0)</f>
        <v>0</v>
      </c>
      <c r="BX316" s="15">
        <f>IF('ENCUESTA CONDUCTORES'!CF316="X",1,0)</f>
        <v>0</v>
      </c>
      <c r="BY316" s="15">
        <f>IF('ENCUESTA CONDUCTORES'!CG316="X",1,0)</f>
        <v>0</v>
      </c>
      <c r="BZ316" s="15">
        <f>IF('ENCUESTA CONDUCTORES'!CH316="X",1,0)</f>
        <v>0</v>
      </c>
      <c r="CA316" s="15">
        <f>IF('ENCUESTA CONDUCTORES'!CI316="X",1,0)</f>
        <v>0</v>
      </c>
      <c r="CB316" s="15">
        <f>IF('ENCUESTA CONDUCTORES'!CJ316="X",1,0)</f>
        <v>0</v>
      </c>
      <c r="CC316" s="15">
        <f>IF('ENCUESTA CONDUCTORES'!CK316="X",1,0)</f>
        <v>1</v>
      </c>
      <c r="CD316" s="15">
        <f>IF('ENCUESTA CONDUCTORES'!CL316="X",1,0)</f>
        <v>0</v>
      </c>
      <c r="CE316" s="15">
        <f>IF('ENCUESTA CONDUCTORES'!CM316="X",1,0)</f>
        <v>0</v>
      </c>
      <c r="CF316" s="15">
        <f>+'ENCUESTA CONDUCTORES'!CN316</f>
        <v>0</v>
      </c>
      <c r="CG316" s="15">
        <f>IF('ENCUESTA CONDUCTORES'!CO316="X",1,0)</f>
        <v>0</v>
      </c>
      <c r="CH316" s="15" t="str">
        <f>+'ENCUESTA CONDUCTORES'!CP316</f>
        <v>NO SABE</v>
      </c>
      <c r="CI316" s="15" t="str">
        <f>+'ENCUESTA CONDUCTORES'!CQ316</f>
        <v>NO SABE</v>
      </c>
      <c r="CJ316" s="15">
        <f>IF('ENCUESTA CONDUCTORES'!CR316="X",1,0)</f>
        <v>0</v>
      </c>
      <c r="CK316" s="15">
        <f>IF('ENCUESTA CONDUCTORES'!CS316="X",1,0)</f>
        <v>0</v>
      </c>
      <c r="CL316" s="15">
        <f>IF('ENCUESTA CONDUCTORES'!CT316="X",1,0)</f>
        <v>1</v>
      </c>
      <c r="CM316" s="15">
        <f>+'ENCUESTA CONDUCTORES'!CU316</f>
        <v>0</v>
      </c>
      <c r="CN316" s="15">
        <f>IF('ENCUESTA CONDUCTORES'!CV316="X",1,0)</f>
        <v>0</v>
      </c>
      <c r="CO316" s="15">
        <f>+'ENCUESTA CONDUCTORES'!CW316</f>
        <v>0</v>
      </c>
      <c r="CP316" s="15">
        <f>IF('ENCUESTA CONDUCTORES'!CX316="X",1,0)</f>
        <v>1</v>
      </c>
      <c r="CQ316" s="15">
        <f>IF('ENCUESTA CONDUCTORES'!CY316="X",1,0)</f>
        <v>0</v>
      </c>
      <c r="CR316" s="3">
        <f>+'ENCUESTA CONDUCTORES'!CZ316</f>
        <v>0</v>
      </c>
      <c r="CS316" s="49">
        <f>+'ENCUESTA CONDUCTORES'!DA316</f>
        <v>0</v>
      </c>
    </row>
    <row r="317" spans="2:97" x14ac:dyDescent="0.25">
      <c r="B317" s="14" t="str">
        <f>+'ENCUESTA CONDUCTORES'!D317</f>
        <v>C-328</v>
      </c>
      <c r="C317" s="15">
        <f>IF('ENCUESTA CONDUCTORES'!E317="X",1,0)</f>
        <v>0</v>
      </c>
      <c r="D317" s="15">
        <f>IF('ENCUESTA CONDUCTORES'!F317="X",1,0)</f>
        <v>0</v>
      </c>
      <c r="E317" s="15">
        <f>IF('ENCUESTA CONDUCTORES'!G317="X",1,0)</f>
        <v>1</v>
      </c>
      <c r="F317" s="15">
        <f>IF('ENCUESTA CONDUCTORES'!H317="X",1,0)</f>
        <v>0</v>
      </c>
      <c r="G317" s="15">
        <f>+'ENCUESTA CONDUCTORES'!I317</f>
        <v>36</v>
      </c>
      <c r="H317" s="15" t="str">
        <f>+'ENCUESTA CONDUCTORES'!J317</f>
        <v>M</v>
      </c>
      <c r="I317" s="15" t="str">
        <f>+'ENCUESTA CONDUCTORES'!K317</f>
        <v>SECUNDARIA</v>
      </c>
      <c r="J317" s="15" t="str">
        <f>+'ENCUESTA CONDUCTORES'!L317</f>
        <v>MONTERREY, NVO. LEON</v>
      </c>
      <c r="K317" s="15" t="str">
        <f>+'ENCUESTA CONDUCTORES'!M317</f>
        <v>MONTERREY</v>
      </c>
      <c r="L317" s="15" t="str">
        <f>+'ENCUESTA CONDUCTORES'!N317</f>
        <v>NVO. LEON</v>
      </c>
      <c r="M317" s="15">
        <f>+'ENCUESTA CONDUCTORES'!O317</f>
        <v>15</v>
      </c>
      <c r="N317" s="15">
        <f>IF('ENCUESTA CONDUCTORES'!P317="X",1,0)</f>
        <v>0</v>
      </c>
      <c r="O317" s="15">
        <f>IF('ENCUESTA CONDUCTORES'!Q317="X",1,0)</f>
        <v>1</v>
      </c>
      <c r="P317" s="15">
        <f>IF('ENCUESTA CONDUCTORES'!R317="X",1,0)</f>
        <v>0</v>
      </c>
      <c r="Q317" s="15">
        <f>IF('ENCUESTA CONDUCTORES'!S317="X",1,0)</f>
        <v>0</v>
      </c>
      <c r="R317" s="15">
        <f>IF('ENCUESTA CONDUCTORES'!T317="X",1,0)</f>
        <v>0</v>
      </c>
      <c r="S317" s="15">
        <f>IF('ENCUESTA CONDUCTORES'!U317="X",1,0)</f>
        <v>1</v>
      </c>
      <c r="T317" s="15">
        <f>IF('ENCUESTA CONDUCTORES'!V317="X",1,0)</f>
        <v>0</v>
      </c>
      <c r="U317" s="15">
        <f>IF('ENCUESTA CONDUCTORES'!W317="X",1,0)</f>
        <v>0</v>
      </c>
      <c r="V317" s="15">
        <f>IF('ENCUESTA CONDUCTORES'!X317="X",1,0)</f>
        <v>0</v>
      </c>
      <c r="W317" s="15">
        <f>IF('ENCUESTA CONDUCTORES'!Y317="X",1,0)</f>
        <v>0</v>
      </c>
      <c r="X317" s="15">
        <f>IF('ENCUESTA CONDUCTORES'!Z317="X",1,0)</f>
        <v>0</v>
      </c>
      <c r="Y317" s="15">
        <f>+'ENCUESTA CONDUCTORES'!AG317</f>
        <v>0</v>
      </c>
      <c r="Z317" s="15">
        <f>+'ENCUESTA CONDUCTORES'!AH317</f>
        <v>2004</v>
      </c>
      <c r="AA317" s="1">
        <f>+'ENCUESTA CONDUCTORES'!AI317</f>
        <v>736415</v>
      </c>
      <c r="AB317" s="15">
        <f>IF('ENCUESTA CONDUCTORES'!AJ317="X",1,0)</f>
        <v>0</v>
      </c>
      <c r="AC317" s="15">
        <f>IF('ENCUESTA CONDUCTORES'!AK317="X",1,0)</f>
        <v>0</v>
      </c>
      <c r="AD317" s="15">
        <f>IF('ENCUESTA CONDUCTORES'!AL317="X",1,0)</f>
        <v>1</v>
      </c>
      <c r="AE317" s="15">
        <f>IF('ENCUESTA CONDUCTORES'!AM317="X",1,0)</f>
        <v>0</v>
      </c>
      <c r="AF317" s="15">
        <f>IF('ENCUESTA CONDUCTORES'!AN317="X",1,0)</f>
        <v>0</v>
      </c>
      <c r="AG317" s="15">
        <f>IF('ENCUESTA CONDUCTORES'!AO317="X",1,0)</f>
        <v>0</v>
      </c>
      <c r="AH317" s="15">
        <f>IF('ENCUESTA CONDUCTORES'!AP317="X",1,0)</f>
        <v>1</v>
      </c>
      <c r="AI317" s="15">
        <f>IF('ENCUESTA CONDUCTORES'!AQ317="X",1,0)</f>
        <v>0</v>
      </c>
      <c r="AJ317" s="15">
        <f>IF('ENCUESTA CONDUCTORES'!AR317="X",1,0)</f>
        <v>0</v>
      </c>
      <c r="AK317" s="15">
        <f>+'ENCUESTA CONDUCTORES'!AS317</f>
        <v>0</v>
      </c>
      <c r="AL317" s="15" t="str">
        <f>+'ENCUESTA CONDUCTORES'!AT317</f>
        <v>CUMMINS</v>
      </c>
      <c r="AM317" s="1">
        <f>+'ENCUESTA CONDUCTORES'!AU317</f>
        <v>8000</v>
      </c>
      <c r="AN317" s="48">
        <f>+'ENCUESTA CONDUCTORES'!AV317</f>
        <v>0.1</v>
      </c>
      <c r="AO317" s="15">
        <f>+'ENCUESTA CONDUCTORES'!AW317</f>
        <v>3.6</v>
      </c>
      <c r="AP317" s="15">
        <f>+'ENCUESTA CONDUCTORES'!AX317</f>
        <v>3.1</v>
      </c>
      <c r="AQ317" s="15">
        <f>+'ENCUESTA CONDUCTORES'!AY317</f>
        <v>2</v>
      </c>
      <c r="AR317" s="15">
        <f>+'ENCUESTA CONDUCTORES'!AZ317</f>
        <v>790</v>
      </c>
      <c r="AS317" s="15">
        <f>+'ENCUESTA CONDUCTORES'!BA317</f>
        <v>2700</v>
      </c>
      <c r="AT317" s="15">
        <f>IF('ENCUESTA CONDUCTORES'!BB317="X",1,0)</f>
        <v>1</v>
      </c>
      <c r="AU317" s="15">
        <f>IF('ENCUESTA CONDUCTORES'!BC317="X",1,0)</f>
        <v>1</v>
      </c>
      <c r="AV317" s="15">
        <f>IF('ENCUESTA CONDUCTORES'!BD317="X",1,0)</f>
        <v>0</v>
      </c>
      <c r="AW317" s="1">
        <f>+'ENCUESTA CONDUCTORES'!BE317</f>
        <v>16000</v>
      </c>
      <c r="AX317" s="1">
        <f>+'ENCUESTA CONDUCTORES'!BF317</f>
        <v>150000</v>
      </c>
      <c r="AY317" s="1">
        <f>+'ENCUESTA CONDUCTORES'!BG317</f>
        <v>32000</v>
      </c>
      <c r="AZ317" s="1">
        <f>+'ENCUESTA CONDUCTORES'!BH317</f>
        <v>100000</v>
      </c>
      <c r="BA317" s="1" t="str">
        <f>+'ENCUESTA CONDUCTORES'!BI317</f>
        <v>NO SABE</v>
      </c>
      <c r="BB317" s="15">
        <f>IF('ENCUESTA CONDUCTORES'!BJ317="X",1,0)</f>
        <v>0</v>
      </c>
      <c r="BC317" s="15">
        <f>IF('ENCUESTA CONDUCTORES'!BK317="X",1,0)</f>
        <v>0</v>
      </c>
      <c r="BD317" s="15">
        <f>IF('ENCUESTA CONDUCTORES'!BL317="X",1,0)</f>
        <v>1</v>
      </c>
      <c r="BE317" s="15">
        <f>IF('ENCUESTA CONDUCTORES'!BM317="X",1,0)</f>
        <v>0</v>
      </c>
      <c r="BF317" s="15">
        <f>IF('ENCUESTA CONDUCTORES'!BN317="X",1,0)</f>
        <v>1</v>
      </c>
      <c r="BG317" s="15">
        <f>IF('ENCUESTA CONDUCTORES'!BO317="X",1,0)</f>
        <v>0</v>
      </c>
      <c r="BH317" s="15">
        <f>IF('ENCUESTA CONDUCTORES'!BP317="X",1,0)</f>
        <v>0</v>
      </c>
      <c r="BI317" s="15">
        <f>IF('ENCUESTA CONDUCTORES'!BQ317="X",1,0)</f>
        <v>0</v>
      </c>
      <c r="BJ317" s="15">
        <f>IF('ENCUESTA CONDUCTORES'!BR317="X",1,0)</f>
        <v>1</v>
      </c>
      <c r="BK317" s="15">
        <f>+'ENCUESTA CONDUCTORES'!BS317</f>
        <v>0</v>
      </c>
      <c r="BL317" s="15">
        <f>IF('ENCUESTA CONDUCTORES'!BT317="X",1,0)</f>
        <v>0</v>
      </c>
      <c r="BM317" s="15">
        <f>IF('ENCUESTA CONDUCTORES'!BU317="X",1,0)</f>
        <v>0</v>
      </c>
      <c r="BN317" s="15">
        <f>IF('ENCUESTA CONDUCTORES'!BV317="X",1,0)</f>
        <v>1</v>
      </c>
      <c r="BO317" s="15">
        <f>IF('ENCUESTA CONDUCTORES'!BW317="X",1,0)</f>
        <v>0</v>
      </c>
      <c r="BP317" s="15">
        <f>+'ENCUESTA CONDUCTORES'!BX317</f>
        <v>1</v>
      </c>
      <c r="BQ317" s="15">
        <f>+'ENCUESTA CONDUCTORES'!BY317</f>
        <v>3</v>
      </c>
      <c r="BR317" s="15">
        <f>+'ENCUESTA CONDUCTORES'!BZ317</f>
        <v>2</v>
      </c>
      <c r="BS317" s="15">
        <f>+'ENCUESTA CONDUCTORES'!CA317</f>
        <v>0</v>
      </c>
      <c r="BT317" s="15">
        <f>IF('ENCUESTA CONDUCTORES'!CB317="X",1,0)</f>
        <v>1</v>
      </c>
      <c r="BU317" s="15">
        <f>IF('ENCUESTA CONDUCTORES'!CC317="X",1,0)</f>
        <v>0</v>
      </c>
      <c r="BV317" s="15">
        <f>IF('ENCUESTA CONDUCTORES'!CD317="X",1,0)</f>
        <v>0</v>
      </c>
      <c r="BW317" s="15">
        <f>IF('ENCUESTA CONDUCTORES'!CE317="X",1,0)</f>
        <v>0</v>
      </c>
      <c r="BX317" s="15">
        <f>IF('ENCUESTA CONDUCTORES'!CF317="X",1,0)</f>
        <v>0</v>
      </c>
      <c r="BY317" s="15">
        <f>IF('ENCUESTA CONDUCTORES'!CG317="X",1,0)</f>
        <v>0</v>
      </c>
      <c r="BZ317" s="15">
        <f>IF('ENCUESTA CONDUCTORES'!CH317="X",1,0)</f>
        <v>0</v>
      </c>
      <c r="CA317" s="15">
        <f>IF('ENCUESTA CONDUCTORES'!CI317="X",1,0)</f>
        <v>0</v>
      </c>
      <c r="CB317" s="15">
        <f>IF('ENCUESTA CONDUCTORES'!CJ317="X",1,0)</f>
        <v>0</v>
      </c>
      <c r="CC317" s="15">
        <f>IF('ENCUESTA CONDUCTORES'!CK317="X",1,0)</f>
        <v>1</v>
      </c>
      <c r="CD317" s="15">
        <f>IF('ENCUESTA CONDUCTORES'!CL317="X",1,0)</f>
        <v>0</v>
      </c>
      <c r="CE317" s="15">
        <f>IF('ENCUESTA CONDUCTORES'!CM317="X",1,0)</f>
        <v>0</v>
      </c>
      <c r="CF317" s="15">
        <f>+'ENCUESTA CONDUCTORES'!CN317</f>
        <v>0</v>
      </c>
      <c r="CG317" s="15">
        <f>IF('ENCUESTA CONDUCTORES'!CO317="X",1,0)</f>
        <v>0</v>
      </c>
      <c r="CH317" s="15" t="str">
        <f>+'ENCUESTA CONDUCTORES'!CP317</f>
        <v>NO SABE</v>
      </c>
      <c r="CI317" s="15" t="str">
        <f>+'ENCUESTA CONDUCTORES'!CQ317</f>
        <v>NO SABE</v>
      </c>
      <c r="CJ317" s="15">
        <f>IF('ENCUESTA CONDUCTORES'!CR317="X",1,0)</f>
        <v>1</v>
      </c>
      <c r="CK317" s="15">
        <f>IF('ENCUESTA CONDUCTORES'!CS317="X",1,0)</f>
        <v>0</v>
      </c>
      <c r="CL317" s="15">
        <f>IF('ENCUESTA CONDUCTORES'!CT317="X",1,0)</f>
        <v>0</v>
      </c>
      <c r="CM317" s="15">
        <f>+'ENCUESTA CONDUCTORES'!CU317</f>
        <v>0</v>
      </c>
      <c r="CN317" s="15">
        <f>IF('ENCUESTA CONDUCTORES'!CV317="X",1,0)</f>
        <v>0</v>
      </c>
      <c r="CO317" s="15">
        <f>+'ENCUESTA CONDUCTORES'!CW317</f>
        <v>0</v>
      </c>
      <c r="CP317" s="15">
        <f>IF('ENCUESTA CONDUCTORES'!CX317="X",1,0)</f>
        <v>1</v>
      </c>
      <c r="CQ317" s="15">
        <f>IF('ENCUESTA CONDUCTORES'!CY317="X",1,0)</f>
        <v>0</v>
      </c>
      <c r="CR317" s="3">
        <f>+'ENCUESTA CONDUCTORES'!CZ317</f>
        <v>0</v>
      </c>
      <c r="CS317" s="49">
        <f>+'ENCUESTA CONDUCTORES'!DA317</f>
        <v>0</v>
      </c>
    </row>
    <row r="318" spans="2:97" x14ac:dyDescent="0.25">
      <c r="B318" s="14" t="str">
        <f>+'ENCUESTA CONDUCTORES'!D318</f>
        <v>C-329</v>
      </c>
      <c r="C318" s="15">
        <f>IF('ENCUESTA CONDUCTORES'!E318="X",1,0)</f>
        <v>0</v>
      </c>
      <c r="D318" s="15">
        <f>IF('ENCUESTA CONDUCTORES'!F318="X",1,0)</f>
        <v>0</v>
      </c>
      <c r="E318" s="15">
        <f>IF('ENCUESTA CONDUCTORES'!G318="X",1,0)</f>
        <v>1</v>
      </c>
      <c r="F318" s="15">
        <f>IF('ENCUESTA CONDUCTORES'!H318="X",1,0)</f>
        <v>0</v>
      </c>
      <c r="G318" s="15">
        <f>+'ENCUESTA CONDUCTORES'!I318</f>
        <v>47</v>
      </c>
      <c r="H318" s="15" t="str">
        <f>+'ENCUESTA CONDUCTORES'!J318</f>
        <v>M</v>
      </c>
      <c r="I318" s="15" t="str">
        <f>+'ENCUESTA CONDUCTORES'!K318</f>
        <v>SECUNDARIA</v>
      </c>
      <c r="J318" s="15" t="str">
        <f>+'ENCUESTA CONDUCTORES'!L318</f>
        <v>ACTOPAN, HIDALGO</v>
      </c>
      <c r="K318" s="15" t="str">
        <f>+'ENCUESTA CONDUCTORES'!M318</f>
        <v>ACTOPAN</v>
      </c>
      <c r="L318" s="15" t="str">
        <f>+'ENCUESTA CONDUCTORES'!N318</f>
        <v>HIDALGO</v>
      </c>
      <c r="M318" s="15">
        <f>+'ENCUESTA CONDUCTORES'!O318</f>
        <v>20</v>
      </c>
      <c r="N318" s="15">
        <f>IF('ENCUESTA CONDUCTORES'!P318="X",1,0)</f>
        <v>0</v>
      </c>
      <c r="O318" s="15">
        <f>IF('ENCUESTA CONDUCTORES'!Q318="X",1,0)</f>
        <v>1</v>
      </c>
      <c r="P318" s="15">
        <f>IF('ENCUESTA CONDUCTORES'!R318="X",1,0)</f>
        <v>0</v>
      </c>
      <c r="Q318" s="15">
        <f>IF('ENCUESTA CONDUCTORES'!S318="X",1,0)</f>
        <v>0</v>
      </c>
      <c r="R318" s="15">
        <f>IF('ENCUESTA CONDUCTORES'!T318="X",1,0)</f>
        <v>0</v>
      </c>
      <c r="S318" s="15">
        <f>IF('ENCUESTA CONDUCTORES'!U318="X",1,0)</f>
        <v>0</v>
      </c>
      <c r="T318" s="15">
        <f>IF('ENCUESTA CONDUCTORES'!V318="X",1,0)</f>
        <v>0</v>
      </c>
      <c r="U318" s="15">
        <f>IF('ENCUESTA CONDUCTORES'!W318="X",1,0)</f>
        <v>0</v>
      </c>
      <c r="V318" s="15">
        <f>IF('ENCUESTA CONDUCTORES'!X318="X",1,0)</f>
        <v>0</v>
      </c>
      <c r="W318" s="15">
        <f>IF('ENCUESTA CONDUCTORES'!Y318="X",1,0)</f>
        <v>0</v>
      </c>
      <c r="X318" s="15">
        <f>IF('ENCUESTA CONDUCTORES'!Z318="X",1,0)</f>
        <v>0</v>
      </c>
      <c r="Y318" s="15">
        <f>+'ENCUESTA CONDUCTORES'!AG318</f>
        <v>0</v>
      </c>
      <c r="Z318" s="15">
        <f>+'ENCUESTA CONDUCTORES'!AH318</f>
        <v>1997</v>
      </c>
      <c r="AA318" s="1" t="str">
        <f>+'ENCUESTA CONDUCTORES'!AI318</f>
        <v>NO SABE</v>
      </c>
      <c r="AB318" s="15">
        <f>IF('ENCUESTA CONDUCTORES'!AJ318="X",1,0)</f>
        <v>0</v>
      </c>
      <c r="AC318" s="15">
        <f>IF('ENCUESTA CONDUCTORES'!AK318="X",1,0)</f>
        <v>0</v>
      </c>
      <c r="AD318" s="15">
        <f>IF('ENCUESTA CONDUCTORES'!AL318="X",1,0)</f>
        <v>1</v>
      </c>
      <c r="AE318" s="15">
        <f>IF('ENCUESTA CONDUCTORES'!AM318="X",1,0)</f>
        <v>0</v>
      </c>
      <c r="AF318" s="15">
        <f>IF('ENCUESTA CONDUCTORES'!AN318="X",1,0)</f>
        <v>0</v>
      </c>
      <c r="AG318" s="15">
        <f>IF('ENCUESTA CONDUCTORES'!AO318="X",1,0)</f>
        <v>0</v>
      </c>
      <c r="AH318" s="15">
        <f>IF('ENCUESTA CONDUCTORES'!AP318="X",1,0)</f>
        <v>1</v>
      </c>
      <c r="AI318" s="15">
        <f>IF('ENCUESTA CONDUCTORES'!AQ318="X",1,0)</f>
        <v>0</v>
      </c>
      <c r="AJ318" s="15">
        <f>IF('ENCUESTA CONDUCTORES'!AR318="X",1,0)</f>
        <v>0</v>
      </c>
      <c r="AK318" s="15">
        <f>+'ENCUESTA CONDUCTORES'!AS318</f>
        <v>0</v>
      </c>
      <c r="AL318" s="15" t="str">
        <f>+'ENCUESTA CONDUCTORES'!AT318</f>
        <v>CUMMINS</v>
      </c>
      <c r="AM318" s="1">
        <f>+'ENCUESTA CONDUCTORES'!AU318</f>
        <v>7000</v>
      </c>
      <c r="AN318" s="48">
        <f>+'ENCUESTA CONDUCTORES'!AV318</f>
        <v>0.1</v>
      </c>
      <c r="AO318" s="15">
        <f>+'ENCUESTA CONDUCTORES'!AW318</f>
        <v>3.6</v>
      </c>
      <c r="AP318" s="15">
        <f>+'ENCUESTA CONDUCTORES'!AX318</f>
        <v>3</v>
      </c>
      <c r="AQ318" s="15">
        <f>+'ENCUESTA CONDUCTORES'!AY318</f>
        <v>2</v>
      </c>
      <c r="AR318" s="15">
        <f>+'ENCUESTA CONDUCTORES'!AZ318</f>
        <v>1120</v>
      </c>
      <c r="AS318" s="15">
        <f>+'ENCUESTA CONDUCTORES'!BA318</f>
        <v>2700</v>
      </c>
      <c r="AT318" s="15">
        <f>IF('ENCUESTA CONDUCTORES'!BB318="X",1,0)</f>
        <v>1</v>
      </c>
      <c r="AU318" s="15">
        <f>IF('ENCUESTA CONDUCTORES'!BC318="X",1,0)</f>
        <v>0</v>
      </c>
      <c r="AV318" s="15">
        <f>IF('ENCUESTA CONDUCTORES'!BD318="X",1,0)</f>
        <v>0</v>
      </c>
      <c r="AW318" s="1">
        <f>+'ENCUESTA CONDUCTORES'!BE318</f>
        <v>15000</v>
      </c>
      <c r="AX318" s="1" t="str">
        <f>+'ENCUESTA CONDUCTORES'!BF318</f>
        <v>NO SABE</v>
      </c>
      <c r="AY318" s="1">
        <f>+'ENCUESTA CONDUCTORES'!BG318</f>
        <v>30000</v>
      </c>
      <c r="AZ318" s="1" t="str">
        <f>+'ENCUESTA CONDUCTORES'!BH318</f>
        <v>NO SABE</v>
      </c>
      <c r="BA318" s="1" t="str">
        <f>+'ENCUESTA CONDUCTORES'!BI318</f>
        <v>NO SABE</v>
      </c>
      <c r="BB318" s="15">
        <f>IF('ENCUESTA CONDUCTORES'!BJ318="X",1,0)</f>
        <v>1</v>
      </c>
      <c r="BC318" s="15">
        <f>IF('ENCUESTA CONDUCTORES'!BK318="X",1,0)</f>
        <v>0</v>
      </c>
      <c r="BD318" s="15">
        <f>IF('ENCUESTA CONDUCTORES'!BL318="X",1,0)</f>
        <v>0</v>
      </c>
      <c r="BE318" s="15">
        <f>IF('ENCUESTA CONDUCTORES'!BM318="X",1,0)</f>
        <v>0</v>
      </c>
      <c r="BF318" s="15">
        <f>IF('ENCUESTA CONDUCTORES'!BN318="X",1,0)</f>
        <v>0</v>
      </c>
      <c r="BG318" s="15">
        <f>IF('ENCUESTA CONDUCTORES'!BO318="X",1,0)</f>
        <v>1</v>
      </c>
      <c r="BH318" s="15">
        <f>IF('ENCUESTA CONDUCTORES'!BP318="X",1,0)</f>
        <v>0</v>
      </c>
      <c r="BI318" s="15">
        <f>IF('ENCUESTA CONDUCTORES'!BQ318="X",1,0)</f>
        <v>0</v>
      </c>
      <c r="BJ318" s="15">
        <f>IF('ENCUESTA CONDUCTORES'!BR318="X",1,0)</f>
        <v>0</v>
      </c>
      <c r="BK318" s="15">
        <f>+'ENCUESTA CONDUCTORES'!BS318</f>
        <v>0</v>
      </c>
      <c r="BL318" s="15">
        <f>IF('ENCUESTA CONDUCTORES'!BT318="X",1,0)</f>
        <v>0</v>
      </c>
      <c r="BM318" s="15">
        <f>IF('ENCUESTA CONDUCTORES'!BU318="X",1,0)</f>
        <v>1</v>
      </c>
      <c r="BN318" s="15">
        <f>IF('ENCUESTA CONDUCTORES'!BV318="X",1,0)</f>
        <v>0</v>
      </c>
      <c r="BO318" s="15">
        <f>IF('ENCUESTA CONDUCTORES'!BW318="X",1,0)</f>
        <v>0</v>
      </c>
      <c r="BP318" s="15">
        <f>+'ENCUESTA CONDUCTORES'!BX318</f>
        <v>2</v>
      </c>
      <c r="BQ318" s="15">
        <f>+'ENCUESTA CONDUCTORES'!BY318</f>
        <v>3</v>
      </c>
      <c r="BR318" s="15">
        <f>+'ENCUESTA CONDUCTORES'!BZ318</f>
        <v>1</v>
      </c>
      <c r="BS318" s="15">
        <f>+'ENCUESTA CONDUCTORES'!CA318</f>
        <v>0</v>
      </c>
      <c r="BT318" s="15">
        <f>IF('ENCUESTA CONDUCTORES'!CB318="X",1,0)</f>
        <v>1</v>
      </c>
      <c r="BU318" s="15">
        <f>IF('ENCUESTA CONDUCTORES'!CC318="X",1,0)</f>
        <v>0</v>
      </c>
      <c r="BV318" s="15">
        <f>IF('ENCUESTA CONDUCTORES'!CD318="X",1,0)</f>
        <v>0</v>
      </c>
      <c r="BW318" s="15">
        <f>IF('ENCUESTA CONDUCTORES'!CE318="X",1,0)</f>
        <v>0</v>
      </c>
      <c r="BX318" s="15">
        <f>IF('ENCUESTA CONDUCTORES'!CF318="X",1,0)</f>
        <v>0</v>
      </c>
      <c r="BY318" s="15">
        <f>IF('ENCUESTA CONDUCTORES'!CG318="X",1,0)</f>
        <v>0</v>
      </c>
      <c r="BZ318" s="15">
        <f>IF('ENCUESTA CONDUCTORES'!CH318="X",1,0)</f>
        <v>0</v>
      </c>
      <c r="CA318" s="15">
        <f>IF('ENCUESTA CONDUCTORES'!CI318="X",1,0)</f>
        <v>0</v>
      </c>
      <c r="CB318" s="15">
        <f>IF('ENCUESTA CONDUCTORES'!CJ318="X",1,0)</f>
        <v>0</v>
      </c>
      <c r="CC318" s="15">
        <f>IF('ENCUESTA CONDUCTORES'!CK318="X",1,0)</f>
        <v>1</v>
      </c>
      <c r="CD318" s="15">
        <f>IF('ENCUESTA CONDUCTORES'!CL318="X",1,0)</f>
        <v>0</v>
      </c>
      <c r="CE318" s="15">
        <f>IF('ENCUESTA CONDUCTORES'!CM318="X",1,0)</f>
        <v>0</v>
      </c>
      <c r="CF318" s="15">
        <f>+'ENCUESTA CONDUCTORES'!CN318</f>
        <v>0</v>
      </c>
      <c r="CG318" s="15">
        <f>IF('ENCUESTA CONDUCTORES'!CO318="X",1,0)</f>
        <v>0</v>
      </c>
      <c r="CH318" s="15" t="str">
        <f>+'ENCUESTA CONDUCTORES'!CP318</f>
        <v>NO SABE</v>
      </c>
      <c r="CI318" s="15" t="str">
        <f>+'ENCUESTA CONDUCTORES'!CQ318</f>
        <v>NO SABE</v>
      </c>
      <c r="CJ318" s="15">
        <f>IF('ENCUESTA CONDUCTORES'!CR318="X",1,0)</f>
        <v>1</v>
      </c>
      <c r="CK318" s="15">
        <f>IF('ENCUESTA CONDUCTORES'!CS318="X",1,0)</f>
        <v>0</v>
      </c>
      <c r="CL318" s="15">
        <f>IF('ENCUESTA CONDUCTORES'!CT318="X",1,0)</f>
        <v>0</v>
      </c>
      <c r="CM318" s="15">
        <f>+'ENCUESTA CONDUCTORES'!CU318</f>
        <v>0</v>
      </c>
      <c r="CN318" s="15">
        <f>IF('ENCUESTA CONDUCTORES'!CV318="X",1,0)</f>
        <v>0</v>
      </c>
      <c r="CO318" s="15">
        <f>+'ENCUESTA CONDUCTORES'!CW318</f>
        <v>0</v>
      </c>
      <c r="CP318" s="15">
        <f>IF('ENCUESTA CONDUCTORES'!CX318="X",1,0)</f>
        <v>0</v>
      </c>
      <c r="CQ318" s="15">
        <f>IF('ENCUESTA CONDUCTORES'!CY318="X",1,0)</f>
        <v>1</v>
      </c>
      <c r="CR318" s="3">
        <f>+'ENCUESTA CONDUCTORES'!CZ318</f>
        <v>0</v>
      </c>
      <c r="CS318" s="49">
        <f>+'ENCUESTA CONDUCTORES'!DA318</f>
        <v>0</v>
      </c>
    </row>
    <row r="319" spans="2:97" x14ac:dyDescent="0.25">
      <c r="B319" s="14" t="str">
        <f>+'ENCUESTA CONDUCTORES'!D319</f>
        <v>C-330</v>
      </c>
      <c r="C319" s="15">
        <f>IF('ENCUESTA CONDUCTORES'!E319="X",1,0)</f>
        <v>0</v>
      </c>
      <c r="D319" s="15">
        <f>IF('ENCUESTA CONDUCTORES'!F319="X",1,0)</f>
        <v>1</v>
      </c>
      <c r="E319" s="15">
        <f>IF('ENCUESTA CONDUCTORES'!G319="X",1,0)</f>
        <v>0</v>
      </c>
      <c r="F319" s="15">
        <f>IF('ENCUESTA CONDUCTORES'!H319="X",1,0)</f>
        <v>0</v>
      </c>
      <c r="G319" s="15">
        <f>+'ENCUESTA CONDUCTORES'!I319</f>
        <v>40</v>
      </c>
      <c r="H319" s="15" t="str">
        <f>+'ENCUESTA CONDUCTORES'!J319</f>
        <v>M</v>
      </c>
      <c r="I319" s="15" t="str">
        <f>+'ENCUESTA CONDUCTORES'!K319</f>
        <v>SECUNDARIA</v>
      </c>
      <c r="J319" s="15" t="str">
        <f>+'ENCUESTA CONDUCTORES'!L319</f>
        <v>GUADALAJARA, JALISCO</v>
      </c>
      <c r="K319" s="15" t="str">
        <f>+'ENCUESTA CONDUCTORES'!M319</f>
        <v>GUADALAJARA</v>
      </c>
      <c r="L319" s="15" t="str">
        <f>+'ENCUESTA CONDUCTORES'!N319</f>
        <v>JALISCO</v>
      </c>
      <c r="M319" s="15">
        <f>+'ENCUESTA CONDUCTORES'!O319</f>
        <v>21</v>
      </c>
      <c r="N319" s="15">
        <f>IF('ENCUESTA CONDUCTORES'!P319="X",1,0)</f>
        <v>1</v>
      </c>
      <c r="O319" s="15">
        <f>IF('ENCUESTA CONDUCTORES'!Q319="X",1,0)</f>
        <v>0</v>
      </c>
      <c r="P319" s="15">
        <f>IF('ENCUESTA CONDUCTORES'!R319="X",1,0)</f>
        <v>0</v>
      </c>
      <c r="Q319" s="15">
        <f>IF('ENCUESTA CONDUCTORES'!S319="X",1,0)</f>
        <v>0</v>
      </c>
      <c r="R319" s="15">
        <f>IF('ENCUESTA CONDUCTORES'!T319="X",1,0)</f>
        <v>0</v>
      </c>
      <c r="S319" s="15">
        <f>IF('ENCUESTA CONDUCTORES'!U319="X",1,0)</f>
        <v>1</v>
      </c>
      <c r="T319" s="15">
        <f>IF('ENCUESTA CONDUCTORES'!V319="X",1,0)</f>
        <v>0</v>
      </c>
      <c r="U319" s="15">
        <f>IF('ENCUESTA CONDUCTORES'!W319="X",1,0)</f>
        <v>0</v>
      </c>
      <c r="V319" s="15">
        <f>IF('ENCUESTA CONDUCTORES'!X319="X",1,0)</f>
        <v>0</v>
      </c>
      <c r="W319" s="15">
        <f>IF('ENCUESTA CONDUCTORES'!Y319="X",1,0)</f>
        <v>0</v>
      </c>
      <c r="X319" s="15">
        <f>IF('ENCUESTA CONDUCTORES'!Z319="X",1,0)</f>
        <v>0</v>
      </c>
      <c r="Y319" s="15">
        <f>+'ENCUESTA CONDUCTORES'!AG319</f>
        <v>0</v>
      </c>
      <c r="Z319" s="15">
        <f>+'ENCUESTA CONDUCTORES'!AH319</f>
        <v>2004</v>
      </c>
      <c r="AA319" s="1">
        <f>+'ENCUESTA CONDUCTORES'!AI319</f>
        <v>836114</v>
      </c>
      <c r="AB319" s="15">
        <f>IF('ENCUESTA CONDUCTORES'!AJ319="X",1,0)</f>
        <v>0</v>
      </c>
      <c r="AC319" s="15">
        <f>IF('ENCUESTA CONDUCTORES'!AK319="X",1,0)</f>
        <v>0</v>
      </c>
      <c r="AD319" s="15">
        <f>IF('ENCUESTA CONDUCTORES'!AL319="X",1,0)</f>
        <v>1</v>
      </c>
      <c r="AE319" s="15">
        <f>IF('ENCUESTA CONDUCTORES'!AM319="X",1,0)</f>
        <v>0</v>
      </c>
      <c r="AF319" s="15">
        <f>IF('ENCUESTA CONDUCTORES'!AN319="X",1,0)</f>
        <v>0</v>
      </c>
      <c r="AG319" s="15">
        <f>IF('ENCUESTA CONDUCTORES'!AO319="X",1,0)</f>
        <v>0</v>
      </c>
      <c r="AH319" s="15">
        <f>IF('ENCUESTA CONDUCTORES'!AP319="X",1,0)</f>
        <v>1</v>
      </c>
      <c r="AI319" s="15">
        <f>IF('ENCUESTA CONDUCTORES'!AQ319="X",1,0)</f>
        <v>0</v>
      </c>
      <c r="AJ319" s="15">
        <f>IF('ENCUESTA CONDUCTORES'!AR319="X",1,0)</f>
        <v>0</v>
      </c>
      <c r="AK319" s="15">
        <f>+'ENCUESTA CONDUCTORES'!AS319</f>
        <v>0</v>
      </c>
      <c r="AL319" s="15" t="str">
        <f>+'ENCUESTA CONDUCTORES'!AT319</f>
        <v>CUMMINS</v>
      </c>
      <c r="AM319" s="1">
        <f>+'ENCUESTA CONDUCTORES'!AU319</f>
        <v>8000</v>
      </c>
      <c r="AN319" s="48">
        <f>+'ENCUESTA CONDUCTORES'!AV319</f>
        <v>0.5</v>
      </c>
      <c r="AO319" s="15">
        <f>+'ENCUESTA CONDUCTORES'!AW319</f>
        <v>5</v>
      </c>
      <c r="AP319" s="15">
        <f>+'ENCUESTA CONDUCTORES'!AX319</f>
        <v>4.2</v>
      </c>
      <c r="AQ319" s="15">
        <f>+'ENCUESTA CONDUCTORES'!AY319</f>
        <v>2</v>
      </c>
      <c r="AR319" s="15">
        <f>+'ENCUESTA CONDUCTORES'!AZ319</f>
        <v>550</v>
      </c>
      <c r="AS319" s="15">
        <f>+'ENCUESTA CONDUCTORES'!BA319</f>
        <v>2500</v>
      </c>
      <c r="AT319" s="15">
        <f>IF('ENCUESTA CONDUCTORES'!BB319="X",1,0)</f>
        <v>1</v>
      </c>
      <c r="AU319" s="15">
        <f>IF('ENCUESTA CONDUCTORES'!BC319="X",1,0)</f>
        <v>0</v>
      </c>
      <c r="AV319" s="15">
        <f>IF('ENCUESTA CONDUCTORES'!BD319="X",1,0)</f>
        <v>0</v>
      </c>
      <c r="AW319" s="1">
        <f>+'ENCUESTA CONDUCTORES'!BE319</f>
        <v>16000</v>
      </c>
      <c r="AX319" s="1" t="str">
        <f>+'ENCUESTA CONDUCTORES'!BF319</f>
        <v>NO SABE</v>
      </c>
      <c r="AY319" s="1">
        <f>+'ENCUESTA CONDUCTORES'!BG319</f>
        <v>32000</v>
      </c>
      <c r="AZ319" s="1">
        <f>+'ENCUESTA CONDUCTORES'!BH319</f>
        <v>100000</v>
      </c>
      <c r="BA319" s="1" t="str">
        <f>+'ENCUESTA CONDUCTORES'!BI319</f>
        <v>NO SABE</v>
      </c>
      <c r="BB319" s="15">
        <f>IF('ENCUESTA CONDUCTORES'!BJ319="X",1,0)</f>
        <v>0</v>
      </c>
      <c r="BC319" s="15">
        <f>IF('ENCUESTA CONDUCTORES'!BK319="X",1,0)</f>
        <v>0</v>
      </c>
      <c r="BD319" s="15">
        <f>IF('ENCUESTA CONDUCTORES'!BL319="X",1,0)</f>
        <v>1</v>
      </c>
      <c r="BE319" s="15">
        <f>IF('ENCUESTA CONDUCTORES'!BM319="X",1,0)</f>
        <v>0</v>
      </c>
      <c r="BF319" s="15">
        <f>IF('ENCUESTA CONDUCTORES'!BN319="X",1,0)</f>
        <v>0</v>
      </c>
      <c r="BG319" s="15">
        <f>IF('ENCUESTA CONDUCTORES'!BO319="X",1,0)</f>
        <v>0</v>
      </c>
      <c r="BH319" s="15">
        <f>IF('ENCUESTA CONDUCTORES'!BP319="X",1,0)</f>
        <v>0</v>
      </c>
      <c r="BI319" s="15">
        <f>IF('ENCUESTA CONDUCTORES'!BQ319="X",1,0)</f>
        <v>0</v>
      </c>
      <c r="BJ319" s="15">
        <f>IF('ENCUESTA CONDUCTORES'!BR319="X",1,0)</f>
        <v>1</v>
      </c>
      <c r="BK319" s="15">
        <f>+'ENCUESTA CONDUCTORES'!BS319</f>
        <v>0</v>
      </c>
      <c r="BL319" s="15">
        <f>IF('ENCUESTA CONDUCTORES'!BT319="X",1,0)</f>
        <v>0</v>
      </c>
      <c r="BM319" s="15">
        <f>IF('ENCUESTA CONDUCTORES'!BU319="X",1,0)</f>
        <v>1</v>
      </c>
      <c r="BN319" s="15">
        <f>IF('ENCUESTA CONDUCTORES'!BV319="X",1,0)</f>
        <v>0</v>
      </c>
      <c r="BO319" s="15">
        <f>IF('ENCUESTA CONDUCTORES'!BW319="X",1,0)</f>
        <v>0</v>
      </c>
      <c r="BP319" s="15">
        <f>+'ENCUESTA CONDUCTORES'!BX319</f>
        <v>1</v>
      </c>
      <c r="BQ319" s="15">
        <f>+'ENCUESTA CONDUCTORES'!BY319</f>
        <v>3</v>
      </c>
      <c r="BR319" s="15">
        <f>+'ENCUESTA CONDUCTORES'!BZ319</f>
        <v>2</v>
      </c>
      <c r="BS319" s="15">
        <f>+'ENCUESTA CONDUCTORES'!CA319</f>
        <v>0</v>
      </c>
      <c r="BT319" s="15">
        <f>IF('ENCUESTA CONDUCTORES'!CB319="X",1,0)</f>
        <v>1</v>
      </c>
      <c r="BU319" s="15">
        <f>IF('ENCUESTA CONDUCTORES'!CC319="X",1,0)</f>
        <v>0</v>
      </c>
      <c r="BV319" s="15">
        <f>IF('ENCUESTA CONDUCTORES'!CD319="X",1,0)</f>
        <v>0</v>
      </c>
      <c r="BW319" s="15">
        <f>IF('ENCUESTA CONDUCTORES'!CE319="X",1,0)</f>
        <v>0</v>
      </c>
      <c r="BX319" s="15">
        <f>IF('ENCUESTA CONDUCTORES'!CF319="X",1,0)</f>
        <v>0</v>
      </c>
      <c r="BY319" s="15">
        <f>IF('ENCUESTA CONDUCTORES'!CG319="X",1,0)</f>
        <v>0</v>
      </c>
      <c r="BZ319" s="15">
        <f>IF('ENCUESTA CONDUCTORES'!CH319="X",1,0)</f>
        <v>0</v>
      </c>
      <c r="CA319" s="15">
        <f>IF('ENCUESTA CONDUCTORES'!CI319="X",1,0)</f>
        <v>0</v>
      </c>
      <c r="CB319" s="15">
        <f>IF('ENCUESTA CONDUCTORES'!CJ319="X",1,0)</f>
        <v>0</v>
      </c>
      <c r="CC319" s="15">
        <f>IF('ENCUESTA CONDUCTORES'!CK319="X",1,0)</f>
        <v>1</v>
      </c>
      <c r="CD319" s="15">
        <f>IF('ENCUESTA CONDUCTORES'!CL319="X",1,0)</f>
        <v>0</v>
      </c>
      <c r="CE319" s="15">
        <f>IF('ENCUESTA CONDUCTORES'!CM319="X",1,0)</f>
        <v>0</v>
      </c>
      <c r="CF319" s="15">
        <f>+'ENCUESTA CONDUCTORES'!CN319</f>
        <v>0</v>
      </c>
      <c r="CG319" s="15">
        <f>IF('ENCUESTA CONDUCTORES'!CO319="X",1,0)</f>
        <v>0</v>
      </c>
      <c r="CH319" s="15" t="str">
        <f>+'ENCUESTA CONDUCTORES'!CP319</f>
        <v>NO SABE</v>
      </c>
      <c r="CI319" s="15" t="str">
        <f>+'ENCUESTA CONDUCTORES'!CQ319</f>
        <v>NO SABE</v>
      </c>
      <c r="CJ319" s="15">
        <f>IF('ENCUESTA CONDUCTORES'!CR319="X",1,0)</f>
        <v>1</v>
      </c>
      <c r="CK319" s="15">
        <f>IF('ENCUESTA CONDUCTORES'!CS319="X",1,0)</f>
        <v>0</v>
      </c>
      <c r="CL319" s="15">
        <f>IF('ENCUESTA CONDUCTORES'!CT319="X",1,0)</f>
        <v>0</v>
      </c>
      <c r="CM319" s="15">
        <f>+'ENCUESTA CONDUCTORES'!CU319</f>
        <v>0</v>
      </c>
      <c r="CN319" s="15">
        <f>IF('ENCUESTA CONDUCTORES'!CV319="X",1,0)</f>
        <v>0</v>
      </c>
      <c r="CO319" s="15">
        <f>+'ENCUESTA CONDUCTORES'!CW319</f>
        <v>0</v>
      </c>
      <c r="CP319" s="15">
        <f>IF('ENCUESTA CONDUCTORES'!CX319="X",1,0)</f>
        <v>1</v>
      </c>
      <c r="CQ319" s="15">
        <f>IF('ENCUESTA CONDUCTORES'!CY319="X",1,0)</f>
        <v>0</v>
      </c>
      <c r="CR319" s="3">
        <f>+'ENCUESTA CONDUCTORES'!CZ319</f>
        <v>0</v>
      </c>
      <c r="CS319" s="49">
        <f>+'ENCUESTA CONDUCTORES'!DA319</f>
        <v>0</v>
      </c>
    </row>
    <row r="320" spans="2:97" x14ac:dyDescent="0.25">
      <c r="B320" s="14" t="str">
        <f>+'ENCUESTA CONDUCTORES'!D320</f>
        <v>C-331</v>
      </c>
      <c r="C320" s="15">
        <f>IF('ENCUESTA CONDUCTORES'!E320="X",1,0)</f>
        <v>0</v>
      </c>
      <c r="D320" s="15">
        <f>IF('ENCUESTA CONDUCTORES'!F320="X",1,0)</f>
        <v>0</v>
      </c>
      <c r="E320" s="15">
        <f>IF('ENCUESTA CONDUCTORES'!G320="X",1,0)</f>
        <v>1</v>
      </c>
      <c r="F320" s="15">
        <f>IF('ENCUESTA CONDUCTORES'!H320="X",1,0)</f>
        <v>0</v>
      </c>
      <c r="G320" s="15">
        <f>+'ENCUESTA CONDUCTORES'!I320</f>
        <v>39</v>
      </c>
      <c r="H320" s="15" t="str">
        <f>+'ENCUESTA CONDUCTORES'!J320</f>
        <v>M</v>
      </c>
      <c r="I320" s="15" t="str">
        <f>+'ENCUESTA CONDUCTORES'!K320</f>
        <v>PREPARATORIA</v>
      </c>
      <c r="J320" s="15" t="str">
        <f>+'ENCUESTA CONDUCTORES'!L320</f>
        <v>CD. VALLES, SLP</v>
      </c>
      <c r="K320" s="15" t="str">
        <f>+'ENCUESTA CONDUCTORES'!M320</f>
        <v>CD. VALLES</v>
      </c>
      <c r="L320" s="15" t="str">
        <f>+'ENCUESTA CONDUCTORES'!N320</f>
        <v>SAN LUIS POTOSI</v>
      </c>
      <c r="M320" s="15">
        <f>+'ENCUESTA CONDUCTORES'!O320</f>
        <v>19</v>
      </c>
      <c r="N320" s="15">
        <f>IF('ENCUESTA CONDUCTORES'!P320="X",1,0)</f>
        <v>0</v>
      </c>
      <c r="O320" s="15">
        <f>IF('ENCUESTA CONDUCTORES'!Q320="X",1,0)</f>
        <v>1</v>
      </c>
      <c r="P320" s="15">
        <f>IF('ENCUESTA CONDUCTORES'!R320="X",1,0)</f>
        <v>0</v>
      </c>
      <c r="Q320" s="15">
        <f>IF('ENCUESTA CONDUCTORES'!S320="X",1,0)</f>
        <v>0</v>
      </c>
      <c r="R320" s="15">
        <f>IF('ENCUESTA CONDUCTORES'!T320="X",1,0)</f>
        <v>0</v>
      </c>
      <c r="S320" s="15">
        <f>IF('ENCUESTA CONDUCTORES'!U320="X",1,0)</f>
        <v>1</v>
      </c>
      <c r="T320" s="15">
        <f>IF('ENCUESTA CONDUCTORES'!V320="X",1,0)</f>
        <v>0</v>
      </c>
      <c r="U320" s="15">
        <f>IF('ENCUESTA CONDUCTORES'!W320="X",1,0)</f>
        <v>0</v>
      </c>
      <c r="V320" s="15">
        <f>IF('ENCUESTA CONDUCTORES'!X320="X",1,0)</f>
        <v>0</v>
      </c>
      <c r="W320" s="15">
        <f>IF('ENCUESTA CONDUCTORES'!Y320="X",1,0)</f>
        <v>0</v>
      </c>
      <c r="X320" s="15">
        <f>IF('ENCUESTA CONDUCTORES'!Z320="X",1,0)</f>
        <v>0</v>
      </c>
      <c r="Y320" s="15">
        <f>+'ENCUESTA CONDUCTORES'!AG320</f>
        <v>0</v>
      </c>
      <c r="Z320" s="15">
        <f>+'ENCUESTA CONDUCTORES'!AH320</f>
        <v>2002</v>
      </c>
      <c r="AA320" s="1">
        <f>+'ENCUESTA CONDUCTORES'!AI320</f>
        <v>927620</v>
      </c>
      <c r="AB320" s="15">
        <f>IF('ENCUESTA CONDUCTORES'!AJ320="X",1,0)</f>
        <v>0</v>
      </c>
      <c r="AC320" s="15">
        <f>IF('ENCUESTA CONDUCTORES'!AK320="X",1,0)</f>
        <v>0</v>
      </c>
      <c r="AD320" s="15">
        <f>IF('ENCUESTA CONDUCTORES'!AL320="X",1,0)</f>
        <v>1</v>
      </c>
      <c r="AE320" s="15">
        <f>IF('ENCUESTA CONDUCTORES'!AM320="X",1,0)</f>
        <v>0</v>
      </c>
      <c r="AF320" s="15">
        <f>IF('ENCUESTA CONDUCTORES'!AN320="X",1,0)</f>
        <v>0</v>
      </c>
      <c r="AG320" s="15">
        <f>IF('ENCUESTA CONDUCTORES'!AO320="X",1,0)</f>
        <v>0</v>
      </c>
      <c r="AH320" s="15">
        <f>IF('ENCUESTA CONDUCTORES'!AP320="X",1,0)</f>
        <v>1</v>
      </c>
      <c r="AI320" s="15">
        <f>IF('ENCUESTA CONDUCTORES'!AQ320="X",1,0)</f>
        <v>0</v>
      </c>
      <c r="AJ320" s="15">
        <f>IF('ENCUESTA CONDUCTORES'!AR320="X",1,0)</f>
        <v>0</v>
      </c>
      <c r="AK320" s="15">
        <f>+'ENCUESTA CONDUCTORES'!AS320</f>
        <v>0</v>
      </c>
      <c r="AL320" s="15" t="str">
        <f>+'ENCUESTA CONDUCTORES'!AT320</f>
        <v>CUMMINS</v>
      </c>
      <c r="AM320" s="1">
        <f>+'ENCUESTA CONDUCTORES'!AU320</f>
        <v>8000</v>
      </c>
      <c r="AN320" s="48">
        <f>+'ENCUESTA CONDUCTORES'!AV320</f>
        <v>0.3</v>
      </c>
      <c r="AO320" s="15">
        <f>+'ENCUESTA CONDUCTORES'!AW320</f>
        <v>3.7</v>
      </c>
      <c r="AP320" s="15">
        <f>+'ENCUESTA CONDUCTORES'!AX320</f>
        <v>3.2</v>
      </c>
      <c r="AQ320" s="15">
        <f>+'ENCUESTA CONDUCTORES'!AY320</f>
        <v>2</v>
      </c>
      <c r="AR320" s="15">
        <f>+'ENCUESTA CONDUCTORES'!AZ320</f>
        <v>710</v>
      </c>
      <c r="AS320" s="15">
        <f>+'ENCUESTA CONDUCTORES'!BA320</f>
        <v>2500</v>
      </c>
      <c r="AT320" s="15">
        <f>IF('ENCUESTA CONDUCTORES'!BB320="X",1,0)</f>
        <v>1</v>
      </c>
      <c r="AU320" s="15">
        <f>IF('ENCUESTA CONDUCTORES'!BC320="X",1,0)</f>
        <v>1</v>
      </c>
      <c r="AV320" s="15">
        <f>IF('ENCUESTA CONDUCTORES'!BD320="X",1,0)</f>
        <v>0</v>
      </c>
      <c r="AW320" s="1">
        <f>+'ENCUESTA CONDUCTORES'!BE320</f>
        <v>20000</v>
      </c>
      <c r="AX320" s="1">
        <f>+'ENCUESTA CONDUCTORES'!BF320</f>
        <v>200000</v>
      </c>
      <c r="AY320" s="1">
        <f>+'ENCUESTA CONDUCTORES'!BG320</f>
        <v>20000</v>
      </c>
      <c r="AZ320" s="1">
        <f>+'ENCUESTA CONDUCTORES'!BH320</f>
        <v>100000</v>
      </c>
      <c r="BA320" s="1" t="str">
        <f>+'ENCUESTA CONDUCTORES'!BI320</f>
        <v>NO SABE</v>
      </c>
      <c r="BB320" s="15">
        <f>IF('ENCUESTA CONDUCTORES'!BJ320="X",1,0)</f>
        <v>0</v>
      </c>
      <c r="BC320" s="15">
        <f>IF('ENCUESTA CONDUCTORES'!BK320="X",1,0)</f>
        <v>0</v>
      </c>
      <c r="BD320" s="15">
        <f>IF('ENCUESTA CONDUCTORES'!BL320="X",1,0)</f>
        <v>1</v>
      </c>
      <c r="BE320" s="15">
        <f>IF('ENCUESTA CONDUCTORES'!BM320="X",1,0)</f>
        <v>0</v>
      </c>
      <c r="BF320" s="15">
        <f>IF('ENCUESTA CONDUCTORES'!BN320="X",1,0)</f>
        <v>0</v>
      </c>
      <c r="BG320" s="15">
        <f>IF('ENCUESTA CONDUCTORES'!BO320="X",1,0)</f>
        <v>0</v>
      </c>
      <c r="BH320" s="15">
        <f>IF('ENCUESTA CONDUCTORES'!BP320="X",1,0)</f>
        <v>0</v>
      </c>
      <c r="BI320" s="15">
        <f>IF('ENCUESTA CONDUCTORES'!BQ320="X",1,0)</f>
        <v>0</v>
      </c>
      <c r="BJ320" s="15">
        <f>IF('ENCUESTA CONDUCTORES'!BR320="X",1,0)</f>
        <v>1</v>
      </c>
      <c r="BK320" s="15">
        <f>+'ENCUESTA CONDUCTORES'!BS320</f>
        <v>0</v>
      </c>
      <c r="BL320" s="15">
        <f>IF('ENCUESTA CONDUCTORES'!BT320="X",1,0)</f>
        <v>0</v>
      </c>
      <c r="BM320" s="15">
        <f>IF('ENCUESTA CONDUCTORES'!BU320="X",1,0)</f>
        <v>0</v>
      </c>
      <c r="BN320" s="15">
        <f>IF('ENCUESTA CONDUCTORES'!BV320="X",1,0)</f>
        <v>1</v>
      </c>
      <c r="BO320" s="15">
        <f>IF('ENCUESTA CONDUCTORES'!BW320="X",1,0)</f>
        <v>0</v>
      </c>
      <c r="BP320" s="15">
        <f>+'ENCUESTA CONDUCTORES'!BX320</f>
        <v>1</v>
      </c>
      <c r="BQ320" s="15">
        <f>+'ENCUESTA CONDUCTORES'!BY320</f>
        <v>3</v>
      </c>
      <c r="BR320" s="15">
        <f>+'ENCUESTA CONDUCTORES'!BZ320</f>
        <v>2</v>
      </c>
      <c r="BS320" s="15">
        <f>+'ENCUESTA CONDUCTORES'!CA320</f>
        <v>0</v>
      </c>
      <c r="BT320" s="15">
        <f>IF('ENCUESTA CONDUCTORES'!CB320="X",1,0)</f>
        <v>1</v>
      </c>
      <c r="BU320" s="15">
        <f>IF('ENCUESTA CONDUCTORES'!CC320="X",1,0)</f>
        <v>0</v>
      </c>
      <c r="BV320" s="15">
        <f>IF('ENCUESTA CONDUCTORES'!CD320="X",1,0)</f>
        <v>0</v>
      </c>
      <c r="BW320" s="15">
        <f>IF('ENCUESTA CONDUCTORES'!CE320="X",1,0)</f>
        <v>0</v>
      </c>
      <c r="BX320" s="15">
        <f>IF('ENCUESTA CONDUCTORES'!CF320="X",1,0)</f>
        <v>0</v>
      </c>
      <c r="BY320" s="15">
        <f>IF('ENCUESTA CONDUCTORES'!CG320="X",1,0)</f>
        <v>0</v>
      </c>
      <c r="BZ320" s="15">
        <f>IF('ENCUESTA CONDUCTORES'!CH320="X",1,0)</f>
        <v>0</v>
      </c>
      <c r="CA320" s="15">
        <f>IF('ENCUESTA CONDUCTORES'!CI320="X",1,0)</f>
        <v>0</v>
      </c>
      <c r="CB320" s="15">
        <f>IF('ENCUESTA CONDUCTORES'!CJ320="X",1,0)</f>
        <v>0</v>
      </c>
      <c r="CC320" s="15">
        <f>IF('ENCUESTA CONDUCTORES'!CK320="X",1,0)</f>
        <v>1</v>
      </c>
      <c r="CD320" s="15">
        <f>IF('ENCUESTA CONDUCTORES'!CL320="X",1,0)</f>
        <v>0</v>
      </c>
      <c r="CE320" s="15">
        <f>IF('ENCUESTA CONDUCTORES'!CM320="X",1,0)</f>
        <v>0</v>
      </c>
      <c r="CF320" s="15">
        <f>+'ENCUESTA CONDUCTORES'!CN320</f>
        <v>0</v>
      </c>
      <c r="CG320" s="15">
        <f>IF('ENCUESTA CONDUCTORES'!CO320="X",1,0)</f>
        <v>0</v>
      </c>
      <c r="CH320" s="15" t="str">
        <f>+'ENCUESTA CONDUCTORES'!CP320</f>
        <v>NO SABE</v>
      </c>
      <c r="CI320" s="15" t="str">
        <f>+'ENCUESTA CONDUCTORES'!CQ320</f>
        <v>NO SABE</v>
      </c>
      <c r="CJ320" s="15">
        <f>IF('ENCUESTA CONDUCTORES'!CR320="X",1,0)</f>
        <v>0</v>
      </c>
      <c r="CK320" s="15">
        <f>IF('ENCUESTA CONDUCTORES'!CS320="X",1,0)</f>
        <v>0</v>
      </c>
      <c r="CL320" s="15">
        <f>IF('ENCUESTA CONDUCTORES'!CT320="X",1,0)</f>
        <v>0</v>
      </c>
      <c r="CM320" s="15" t="str">
        <f>+'ENCUESTA CONDUCTORES'!CU320</f>
        <v>CONTINGENCIA AMBIENTAL</v>
      </c>
      <c r="CN320" s="15">
        <f>IF('ENCUESTA CONDUCTORES'!CV320="X",1,0)</f>
        <v>1</v>
      </c>
      <c r="CO320" s="15" t="str">
        <f>+'ENCUESTA CONDUCTORES'!CW320</f>
        <v>NO SIRVEN</v>
      </c>
      <c r="CP320" s="15">
        <f>IF('ENCUESTA CONDUCTORES'!CX320="X",1,0)</f>
        <v>0</v>
      </c>
      <c r="CQ320" s="15">
        <f>IF('ENCUESTA CONDUCTORES'!CY320="X",1,0)</f>
        <v>0</v>
      </c>
      <c r="CR320" s="3">
        <f>+'ENCUESTA CONDUCTORES'!CZ320</f>
        <v>0</v>
      </c>
      <c r="CS320" s="49">
        <f>+'ENCUESTA CONDUCTORES'!DA320</f>
        <v>0</v>
      </c>
    </row>
    <row r="321" spans="2:97" x14ac:dyDescent="0.25">
      <c r="B321" s="14" t="str">
        <f>+'ENCUESTA CONDUCTORES'!D321</f>
        <v>C-332</v>
      </c>
      <c r="C321" s="15">
        <f>IF('ENCUESTA CONDUCTORES'!E321="X",1,0)</f>
        <v>0</v>
      </c>
      <c r="D321" s="15">
        <f>IF('ENCUESTA CONDUCTORES'!F321="X",1,0)</f>
        <v>0</v>
      </c>
      <c r="E321" s="15">
        <f>IF('ENCUESTA CONDUCTORES'!G321="X",1,0)</f>
        <v>1</v>
      </c>
      <c r="F321" s="15">
        <f>IF('ENCUESTA CONDUCTORES'!H321="X",1,0)</f>
        <v>0</v>
      </c>
      <c r="G321" s="15">
        <f>+'ENCUESTA CONDUCTORES'!I321</f>
        <v>46</v>
      </c>
      <c r="H321" s="15" t="str">
        <f>+'ENCUESTA CONDUCTORES'!J321</f>
        <v>M</v>
      </c>
      <c r="I321" s="15" t="str">
        <f>+'ENCUESTA CONDUCTORES'!K321</f>
        <v>SECUNDARIA</v>
      </c>
      <c r="J321" s="15" t="str">
        <f>+'ENCUESTA CONDUCTORES'!L321</f>
        <v>CULIACAN, SINALOA</v>
      </c>
      <c r="K321" s="15" t="str">
        <f>+'ENCUESTA CONDUCTORES'!M321</f>
        <v>CULIACAN</v>
      </c>
      <c r="L321" s="15" t="str">
        <f>+'ENCUESTA CONDUCTORES'!N321</f>
        <v>SINALOA</v>
      </c>
      <c r="M321" s="15">
        <f>+'ENCUESTA CONDUCTORES'!O321</f>
        <v>25</v>
      </c>
      <c r="N321" s="15">
        <f>IF('ENCUESTA CONDUCTORES'!P321="X",1,0)</f>
        <v>0</v>
      </c>
      <c r="O321" s="15">
        <f>IF('ENCUESTA CONDUCTORES'!Q321="X",1,0)</f>
        <v>0</v>
      </c>
      <c r="P321" s="15">
        <f>IF('ENCUESTA CONDUCTORES'!R321="X",1,0)</f>
        <v>0</v>
      </c>
      <c r="Q321" s="15">
        <f>IF('ENCUESTA CONDUCTORES'!S321="X",1,0)</f>
        <v>1</v>
      </c>
      <c r="R321" s="15">
        <f>IF('ENCUESTA CONDUCTORES'!T321="X",1,0)</f>
        <v>0</v>
      </c>
      <c r="S321" s="15">
        <f>IF('ENCUESTA CONDUCTORES'!U321="X",1,0)</f>
        <v>0</v>
      </c>
      <c r="T321" s="15">
        <f>IF('ENCUESTA CONDUCTORES'!V321="X",1,0)</f>
        <v>0</v>
      </c>
      <c r="U321" s="15">
        <f>IF('ENCUESTA CONDUCTORES'!W321="X",1,0)</f>
        <v>0</v>
      </c>
      <c r="V321" s="15">
        <f>IF('ENCUESTA CONDUCTORES'!X321="X",1,0)</f>
        <v>0</v>
      </c>
      <c r="W321" s="15">
        <f>IF('ENCUESTA CONDUCTORES'!Y321="X",1,0)</f>
        <v>0</v>
      </c>
      <c r="X321" s="15">
        <f>IF('ENCUESTA CONDUCTORES'!Z321="X",1,0)</f>
        <v>0</v>
      </c>
      <c r="Y321" s="15">
        <f>+'ENCUESTA CONDUCTORES'!AG321</f>
        <v>0</v>
      </c>
      <c r="Z321" s="15">
        <f>+'ENCUESTA CONDUCTORES'!AH321</f>
        <v>2006</v>
      </c>
      <c r="AA321" s="1">
        <f>+'ENCUESTA CONDUCTORES'!AI321</f>
        <v>815927</v>
      </c>
      <c r="AB321" s="15">
        <f>IF('ENCUESTA CONDUCTORES'!AJ321="X",1,0)</f>
        <v>0</v>
      </c>
      <c r="AC321" s="15">
        <f>IF('ENCUESTA CONDUCTORES'!AK321="X",1,0)</f>
        <v>0</v>
      </c>
      <c r="AD321" s="15">
        <f>IF('ENCUESTA CONDUCTORES'!AL321="X",1,0)</f>
        <v>1</v>
      </c>
      <c r="AE321" s="15">
        <f>IF('ENCUESTA CONDUCTORES'!AM321="X",1,0)</f>
        <v>0</v>
      </c>
      <c r="AF321" s="15">
        <f>IF('ENCUESTA CONDUCTORES'!AN321="X",1,0)</f>
        <v>0</v>
      </c>
      <c r="AG321" s="15">
        <f>IF('ENCUESTA CONDUCTORES'!AO321="X",1,0)</f>
        <v>0</v>
      </c>
      <c r="AH321" s="15">
        <f>IF('ENCUESTA CONDUCTORES'!AP321="X",1,0)</f>
        <v>1</v>
      </c>
      <c r="AI321" s="15">
        <f>IF('ENCUESTA CONDUCTORES'!AQ321="X",1,0)</f>
        <v>0</v>
      </c>
      <c r="AJ321" s="15">
        <f>IF('ENCUESTA CONDUCTORES'!AR321="X",1,0)</f>
        <v>0</v>
      </c>
      <c r="AK321" s="15">
        <f>+'ENCUESTA CONDUCTORES'!AS321</f>
        <v>0</v>
      </c>
      <c r="AL321" s="15" t="str">
        <f>+'ENCUESTA CONDUCTORES'!AT321</f>
        <v>CUMMINS</v>
      </c>
      <c r="AM321" s="1">
        <f>+'ENCUESTA CONDUCTORES'!AU321</f>
        <v>10000</v>
      </c>
      <c r="AN321" s="48">
        <f>+'ENCUESTA CONDUCTORES'!AV321</f>
        <v>0.2</v>
      </c>
      <c r="AO321" s="15">
        <f>+'ENCUESTA CONDUCTORES'!AW321</f>
        <v>2.7</v>
      </c>
      <c r="AP321" s="15">
        <f>+'ENCUESTA CONDUCTORES'!AX321</f>
        <v>2.2999999999999998</v>
      </c>
      <c r="AQ321" s="15">
        <f>+'ENCUESTA CONDUCTORES'!AY321</f>
        <v>2</v>
      </c>
      <c r="AR321" s="15">
        <f>+'ENCUESTA CONDUCTORES'!AZ321</f>
        <v>1000</v>
      </c>
      <c r="AS321" s="15">
        <f>+'ENCUESTA CONDUCTORES'!BA321</f>
        <v>2500</v>
      </c>
      <c r="AT321" s="15">
        <f>IF('ENCUESTA CONDUCTORES'!BB321="X",1,0)</f>
        <v>1</v>
      </c>
      <c r="AU321" s="15">
        <f>IF('ENCUESTA CONDUCTORES'!BC321="X",1,0)</f>
        <v>0</v>
      </c>
      <c r="AV321" s="15">
        <f>IF('ENCUESTA CONDUCTORES'!BD321="X",1,0)</f>
        <v>0</v>
      </c>
      <c r="AW321" s="1">
        <f>+'ENCUESTA CONDUCTORES'!BE321</f>
        <v>20000</v>
      </c>
      <c r="AX321" s="1" t="str">
        <f>+'ENCUESTA CONDUCTORES'!BF321</f>
        <v>NO SABE</v>
      </c>
      <c r="AY321" s="1">
        <f>+'ENCUESTA CONDUCTORES'!BG321</f>
        <v>20000</v>
      </c>
      <c r="AZ321" s="1" t="str">
        <f>+'ENCUESTA CONDUCTORES'!BH321</f>
        <v>NO SABE</v>
      </c>
      <c r="BA321" s="1" t="str">
        <f>+'ENCUESTA CONDUCTORES'!BI321</f>
        <v>NO SABE</v>
      </c>
      <c r="BB321" s="15">
        <f>IF('ENCUESTA CONDUCTORES'!BJ321="X",1,0)</f>
        <v>0</v>
      </c>
      <c r="BC321" s="15">
        <f>IF('ENCUESTA CONDUCTORES'!BK321="X",1,0)</f>
        <v>0</v>
      </c>
      <c r="BD321" s="15">
        <f>IF('ENCUESTA CONDUCTORES'!BL321="X",1,0)</f>
        <v>0</v>
      </c>
      <c r="BE321" s="15">
        <f>IF('ENCUESTA CONDUCTORES'!BM321="X",1,0)</f>
        <v>0</v>
      </c>
      <c r="BF321" s="15">
        <f>IF('ENCUESTA CONDUCTORES'!BN321="X",1,0)</f>
        <v>0</v>
      </c>
      <c r="BG321" s="15">
        <f>IF('ENCUESTA CONDUCTORES'!BO321="X",1,0)</f>
        <v>1</v>
      </c>
      <c r="BH321" s="15">
        <f>IF('ENCUESTA CONDUCTORES'!BP321="X",1,0)</f>
        <v>0</v>
      </c>
      <c r="BI321" s="15">
        <f>IF('ENCUESTA CONDUCTORES'!BQ321="X",1,0)</f>
        <v>0</v>
      </c>
      <c r="BJ321" s="15">
        <f>IF('ENCUESTA CONDUCTORES'!BR321="X",1,0)</f>
        <v>0</v>
      </c>
      <c r="BK321" s="15">
        <f>+'ENCUESTA CONDUCTORES'!BS321</f>
        <v>0</v>
      </c>
      <c r="BL321" s="15">
        <f>IF('ENCUESTA CONDUCTORES'!BT321="X",1,0)</f>
        <v>0</v>
      </c>
      <c r="BM321" s="15">
        <f>IF('ENCUESTA CONDUCTORES'!BU321="X",1,0)</f>
        <v>1</v>
      </c>
      <c r="BN321" s="15">
        <f>IF('ENCUESTA CONDUCTORES'!BV321="X",1,0)</f>
        <v>0</v>
      </c>
      <c r="BO321" s="15">
        <f>IF('ENCUESTA CONDUCTORES'!BW321="X",1,0)</f>
        <v>0</v>
      </c>
      <c r="BP321" s="15">
        <f>+'ENCUESTA CONDUCTORES'!BX321</f>
        <v>3</v>
      </c>
      <c r="BQ321" s="15">
        <f>+'ENCUESTA CONDUCTORES'!BY321</f>
        <v>1</v>
      </c>
      <c r="BR321" s="15">
        <f>+'ENCUESTA CONDUCTORES'!BZ321</f>
        <v>2</v>
      </c>
      <c r="BS321" s="15">
        <f>+'ENCUESTA CONDUCTORES'!CA321</f>
        <v>0</v>
      </c>
      <c r="BT321" s="15">
        <f>IF('ENCUESTA CONDUCTORES'!CB321="X",1,0)</f>
        <v>1</v>
      </c>
      <c r="BU321" s="15">
        <f>IF('ENCUESTA CONDUCTORES'!CC321="X",1,0)</f>
        <v>0</v>
      </c>
      <c r="BV321" s="15">
        <f>IF('ENCUESTA CONDUCTORES'!CD321="X",1,0)</f>
        <v>0</v>
      </c>
      <c r="BW321" s="15">
        <f>IF('ENCUESTA CONDUCTORES'!CE321="X",1,0)</f>
        <v>0</v>
      </c>
      <c r="BX321" s="15">
        <f>IF('ENCUESTA CONDUCTORES'!CF321="X",1,0)</f>
        <v>0</v>
      </c>
      <c r="BY321" s="15">
        <f>IF('ENCUESTA CONDUCTORES'!CG321="X",1,0)</f>
        <v>0</v>
      </c>
      <c r="BZ321" s="15">
        <f>IF('ENCUESTA CONDUCTORES'!CH321="X",1,0)</f>
        <v>0</v>
      </c>
      <c r="CA321" s="15">
        <f>IF('ENCUESTA CONDUCTORES'!CI321="X",1,0)</f>
        <v>0</v>
      </c>
      <c r="CB321" s="15">
        <f>IF('ENCUESTA CONDUCTORES'!CJ321="X",1,0)</f>
        <v>0</v>
      </c>
      <c r="CC321" s="15">
        <f>IF('ENCUESTA CONDUCTORES'!CK321="X",1,0)</f>
        <v>1</v>
      </c>
      <c r="CD321" s="15">
        <f>IF('ENCUESTA CONDUCTORES'!CL321="X",1,0)</f>
        <v>0</v>
      </c>
      <c r="CE321" s="15">
        <f>IF('ENCUESTA CONDUCTORES'!CM321="X",1,0)</f>
        <v>0</v>
      </c>
      <c r="CF321" s="15">
        <f>+'ENCUESTA CONDUCTORES'!CN321</f>
        <v>0</v>
      </c>
      <c r="CG321" s="15">
        <f>IF('ENCUESTA CONDUCTORES'!CO321="X",1,0)</f>
        <v>0</v>
      </c>
      <c r="CH321" s="15" t="str">
        <f>+'ENCUESTA CONDUCTORES'!CP321</f>
        <v>NO SABE</v>
      </c>
      <c r="CI321" s="15" t="str">
        <f>+'ENCUESTA CONDUCTORES'!CQ321</f>
        <v>NO SABE</v>
      </c>
      <c r="CJ321" s="15">
        <f>IF('ENCUESTA CONDUCTORES'!CR321="X",1,0)</f>
        <v>1</v>
      </c>
      <c r="CK321" s="15">
        <f>IF('ENCUESTA CONDUCTORES'!CS321="X",1,0)</f>
        <v>0</v>
      </c>
      <c r="CL321" s="15">
        <f>IF('ENCUESTA CONDUCTORES'!CT321="X",1,0)</f>
        <v>0</v>
      </c>
      <c r="CM321" s="15">
        <f>+'ENCUESTA CONDUCTORES'!CU321</f>
        <v>0</v>
      </c>
      <c r="CN321" s="15">
        <f>IF('ENCUESTA CONDUCTORES'!CV321="X",1,0)</f>
        <v>1</v>
      </c>
      <c r="CO321" s="15" t="str">
        <f>+'ENCUESTA CONDUCTORES'!CW321</f>
        <v>NO TIENE TIEMPO</v>
      </c>
      <c r="CP321" s="15">
        <f>IF('ENCUESTA CONDUCTORES'!CX321="X",1,0)</f>
        <v>0</v>
      </c>
      <c r="CQ321" s="15">
        <f>IF('ENCUESTA CONDUCTORES'!CY321="X",1,0)</f>
        <v>0</v>
      </c>
      <c r="CR321" s="3">
        <f>+'ENCUESTA CONDUCTORES'!CZ321</f>
        <v>0</v>
      </c>
      <c r="CS321" s="49">
        <f>+'ENCUESTA CONDUCTORES'!DA321</f>
        <v>0</v>
      </c>
    </row>
    <row r="322" spans="2:97" x14ac:dyDescent="0.25">
      <c r="B322" s="14" t="str">
        <f>+'ENCUESTA CONDUCTORES'!D322</f>
        <v>C-333</v>
      </c>
      <c r="C322" s="15">
        <f>IF('ENCUESTA CONDUCTORES'!E322="X",1,0)</f>
        <v>0</v>
      </c>
      <c r="D322" s="15">
        <f>IF('ENCUESTA CONDUCTORES'!F322="X",1,0)</f>
        <v>0</v>
      </c>
      <c r="E322" s="15">
        <f>IF('ENCUESTA CONDUCTORES'!G322="X",1,0)</f>
        <v>0</v>
      </c>
      <c r="F322" s="15">
        <f>IF('ENCUESTA CONDUCTORES'!H322="X",1,0)</f>
        <v>1</v>
      </c>
      <c r="G322" s="15">
        <f>+'ENCUESTA CONDUCTORES'!I322</f>
        <v>48</v>
      </c>
      <c r="H322" s="15" t="str">
        <f>+'ENCUESTA CONDUCTORES'!J322</f>
        <v>M</v>
      </c>
      <c r="I322" s="15" t="str">
        <f>+'ENCUESTA CONDUCTORES'!K322</f>
        <v>PRIMARIA</v>
      </c>
      <c r="J322" s="15" t="str">
        <f>+'ENCUESTA CONDUCTORES'!L322</f>
        <v>CHIHUAHUA, CHIHUAHUA</v>
      </c>
      <c r="K322" s="15" t="str">
        <f>+'ENCUESTA CONDUCTORES'!M322</f>
        <v>CHIHUAHUA</v>
      </c>
      <c r="L322" s="15" t="str">
        <f>+'ENCUESTA CONDUCTORES'!N322</f>
        <v>CHIHUAHUA</v>
      </c>
      <c r="M322" s="15">
        <f>+'ENCUESTA CONDUCTORES'!O322</f>
        <v>23</v>
      </c>
      <c r="N322" s="15">
        <f>IF('ENCUESTA CONDUCTORES'!P322="X",1,0)</f>
        <v>0</v>
      </c>
      <c r="O322" s="15">
        <f>IF('ENCUESTA CONDUCTORES'!Q322="X",1,0)</f>
        <v>0</v>
      </c>
      <c r="P322" s="15">
        <f>IF('ENCUESTA CONDUCTORES'!R322="X",1,0)</f>
        <v>0</v>
      </c>
      <c r="Q322" s="15">
        <f>IF('ENCUESTA CONDUCTORES'!S322="X",1,0)</f>
        <v>1</v>
      </c>
      <c r="R322" s="15">
        <f>IF('ENCUESTA CONDUCTORES'!T322="X",1,0)</f>
        <v>0</v>
      </c>
      <c r="S322" s="15">
        <f>IF('ENCUESTA CONDUCTORES'!U322="X",1,0)</f>
        <v>1</v>
      </c>
      <c r="T322" s="15">
        <f>IF('ENCUESTA CONDUCTORES'!V322="X",1,0)</f>
        <v>0</v>
      </c>
      <c r="U322" s="15">
        <f>IF('ENCUESTA CONDUCTORES'!W322="X",1,0)</f>
        <v>0</v>
      </c>
      <c r="V322" s="15">
        <f>IF('ENCUESTA CONDUCTORES'!X322="X",1,0)</f>
        <v>0</v>
      </c>
      <c r="W322" s="15">
        <f>IF('ENCUESTA CONDUCTORES'!Y322="X",1,0)</f>
        <v>0</v>
      </c>
      <c r="X322" s="15">
        <f>IF('ENCUESTA CONDUCTORES'!Z322="X",1,0)</f>
        <v>0</v>
      </c>
      <c r="Y322" s="15">
        <f>+'ENCUESTA CONDUCTORES'!AG322</f>
        <v>0</v>
      </c>
      <c r="Z322" s="15">
        <f>+'ENCUESTA CONDUCTORES'!AH322</f>
        <v>2005</v>
      </c>
      <c r="AA322" s="1">
        <f>+'ENCUESTA CONDUCTORES'!AI322</f>
        <v>923863</v>
      </c>
      <c r="AB322" s="15">
        <f>IF('ENCUESTA CONDUCTORES'!AJ322="X",1,0)</f>
        <v>0</v>
      </c>
      <c r="AC322" s="15">
        <f>IF('ENCUESTA CONDUCTORES'!AK322="X",1,0)</f>
        <v>0</v>
      </c>
      <c r="AD322" s="15">
        <f>IF('ENCUESTA CONDUCTORES'!AL322="X",1,0)</f>
        <v>1</v>
      </c>
      <c r="AE322" s="15">
        <f>IF('ENCUESTA CONDUCTORES'!AM322="X",1,0)</f>
        <v>0</v>
      </c>
      <c r="AF322" s="15">
        <f>IF('ENCUESTA CONDUCTORES'!AN322="X",1,0)</f>
        <v>0</v>
      </c>
      <c r="AG322" s="15">
        <f>IF('ENCUESTA CONDUCTORES'!AO322="X",1,0)</f>
        <v>0</v>
      </c>
      <c r="AH322" s="15">
        <f>IF('ENCUESTA CONDUCTORES'!AP322="X",1,0)</f>
        <v>1</v>
      </c>
      <c r="AI322" s="15">
        <f>IF('ENCUESTA CONDUCTORES'!AQ322="X",1,0)</f>
        <v>0</v>
      </c>
      <c r="AJ322" s="15">
        <f>IF('ENCUESTA CONDUCTORES'!AR322="X",1,0)</f>
        <v>0</v>
      </c>
      <c r="AK322" s="15">
        <f>+'ENCUESTA CONDUCTORES'!AS322</f>
        <v>0</v>
      </c>
      <c r="AL322" s="15" t="str">
        <f>+'ENCUESTA CONDUCTORES'!AT322</f>
        <v>DETROIT</v>
      </c>
      <c r="AM322" s="1">
        <f>+'ENCUESTA CONDUCTORES'!AU322</f>
        <v>10000</v>
      </c>
      <c r="AN322" s="48">
        <f>+'ENCUESTA CONDUCTORES'!AV322</f>
        <v>0.1</v>
      </c>
      <c r="AO322" s="15">
        <f>+'ENCUESTA CONDUCTORES'!AW322</f>
        <v>2.7</v>
      </c>
      <c r="AP322" s="15">
        <f>+'ENCUESTA CONDUCTORES'!AX322</f>
        <v>2.4</v>
      </c>
      <c r="AQ322" s="15">
        <f>+'ENCUESTA CONDUCTORES'!AY322</f>
        <v>2</v>
      </c>
      <c r="AR322" s="15">
        <f>+'ENCUESTA CONDUCTORES'!AZ322</f>
        <v>850</v>
      </c>
      <c r="AS322" s="15">
        <f>+'ENCUESTA CONDUCTORES'!BA322</f>
        <v>2200</v>
      </c>
      <c r="AT322" s="15">
        <f>IF('ENCUESTA CONDUCTORES'!BB322="X",1,0)</f>
        <v>1</v>
      </c>
      <c r="AU322" s="15">
        <f>IF('ENCUESTA CONDUCTORES'!BC322="X",1,0)</f>
        <v>0</v>
      </c>
      <c r="AV322" s="15">
        <f>IF('ENCUESTA CONDUCTORES'!BD322="X",1,0)</f>
        <v>0</v>
      </c>
      <c r="AW322" s="1">
        <f>+'ENCUESTA CONDUCTORES'!BE322</f>
        <v>18000</v>
      </c>
      <c r="AX322" s="1">
        <f>+'ENCUESTA CONDUCTORES'!BF322</f>
        <v>200000</v>
      </c>
      <c r="AY322" s="1">
        <f>+'ENCUESTA CONDUCTORES'!BG322</f>
        <v>36000</v>
      </c>
      <c r="AZ322" s="1">
        <f>+'ENCUESTA CONDUCTORES'!BH322</f>
        <v>120000</v>
      </c>
      <c r="BA322" s="1" t="str">
        <f>+'ENCUESTA CONDUCTORES'!BI322</f>
        <v>NO SABE</v>
      </c>
      <c r="BB322" s="15">
        <f>IF('ENCUESTA CONDUCTORES'!BJ322="X",1,0)</f>
        <v>0</v>
      </c>
      <c r="BC322" s="15">
        <f>IF('ENCUESTA CONDUCTORES'!BK322="X",1,0)</f>
        <v>0</v>
      </c>
      <c r="BD322" s="15">
        <f>IF('ENCUESTA CONDUCTORES'!BL322="X",1,0)</f>
        <v>0</v>
      </c>
      <c r="BE322" s="15">
        <f>IF('ENCUESTA CONDUCTORES'!BM322="X",1,0)</f>
        <v>0</v>
      </c>
      <c r="BF322" s="15">
        <f>IF('ENCUESTA CONDUCTORES'!BN322="X",1,0)</f>
        <v>1</v>
      </c>
      <c r="BG322" s="15">
        <f>IF('ENCUESTA CONDUCTORES'!BO322="X",1,0)</f>
        <v>0</v>
      </c>
      <c r="BH322" s="15">
        <f>IF('ENCUESTA CONDUCTORES'!BP322="X",1,0)</f>
        <v>1</v>
      </c>
      <c r="BI322" s="15">
        <f>IF('ENCUESTA CONDUCTORES'!BQ322="X",1,0)</f>
        <v>0</v>
      </c>
      <c r="BJ322" s="15">
        <f>IF('ENCUESTA CONDUCTORES'!BR322="X",1,0)</f>
        <v>0</v>
      </c>
      <c r="BK322" s="15">
        <f>+'ENCUESTA CONDUCTORES'!BS322</f>
        <v>0</v>
      </c>
      <c r="BL322" s="15">
        <f>IF('ENCUESTA CONDUCTORES'!BT322="X",1,0)</f>
        <v>0</v>
      </c>
      <c r="BM322" s="15">
        <f>IF('ENCUESTA CONDUCTORES'!BU322="X",1,0)</f>
        <v>1</v>
      </c>
      <c r="BN322" s="15">
        <f>IF('ENCUESTA CONDUCTORES'!BV322="X",1,0)</f>
        <v>0</v>
      </c>
      <c r="BO322" s="15">
        <f>IF('ENCUESTA CONDUCTORES'!BW322="X",1,0)</f>
        <v>0</v>
      </c>
      <c r="BP322" s="15">
        <f>+'ENCUESTA CONDUCTORES'!BX322</f>
        <v>1</v>
      </c>
      <c r="BQ322" s="15">
        <f>+'ENCUESTA CONDUCTORES'!BY322</f>
        <v>3</v>
      </c>
      <c r="BR322" s="15">
        <f>+'ENCUESTA CONDUCTORES'!BZ322</f>
        <v>2</v>
      </c>
      <c r="BS322" s="15">
        <f>+'ENCUESTA CONDUCTORES'!CA322</f>
        <v>0</v>
      </c>
      <c r="BT322" s="15">
        <f>IF('ENCUESTA CONDUCTORES'!CB322="X",1,0)</f>
        <v>1</v>
      </c>
      <c r="BU322" s="15">
        <f>IF('ENCUESTA CONDUCTORES'!CC322="X",1,0)</f>
        <v>0</v>
      </c>
      <c r="BV322" s="15">
        <f>IF('ENCUESTA CONDUCTORES'!CD322="X",1,0)</f>
        <v>0</v>
      </c>
      <c r="BW322" s="15">
        <f>IF('ENCUESTA CONDUCTORES'!CE322="X",1,0)</f>
        <v>0</v>
      </c>
      <c r="BX322" s="15">
        <f>IF('ENCUESTA CONDUCTORES'!CF322="X",1,0)</f>
        <v>0</v>
      </c>
      <c r="BY322" s="15">
        <f>IF('ENCUESTA CONDUCTORES'!CG322="X",1,0)</f>
        <v>0</v>
      </c>
      <c r="BZ322" s="15">
        <f>IF('ENCUESTA CONDUCTORES'!CH322="X",1,0)</f>
        <v>0</v>
      </c>
      <c r="CA322" s="15">
        <f>IF('ENCUESTA CONDUCTORES'!CI322="X",1,0)</f>
        <v>0</v>
      </c>
      <c r="CB322" s="15">
        <f>IF('ENCUESTA CONDUCTORES'!CJ322="X",1,0)</f>
        <v>0</v>
      </c>
      <c r="CC322" s="15">
        <f>IF('ENCUESTA CONDUCTORES'!CK322="X",1,0)</f>
        <v>1</v>
      </c>
      <c r="CD322" s="15">
        <f>IF('ENCUESTA CONDUCTORES'!CL322="X",1,0)</f>
        <v>0</v>
      </c>
      <c r="CE322" s="15">
        <f>IF('ENCUESTA CONDUCTORES'!CM322="X",1,0)</f>
        <v>0</v>
      </c>
      <c r="CF322" s="15">
        <f>+'ENCUESTA CONDUCTORES'!CN322</f>
        <v>0</v>
      </c>
      <c r="CG322" s="15">
        <f>IF('ENCUESTA CONDUCTORES'!CO322="X",1,0)</f>
        <v>0</v>
      </c>
      <c r="CH322" s="15" t="str">
        <f>+'ENCUESTA CONDUCTORES'!CP322</f>
        <v>NO SABE</v>
      </c>
      <c r="CI322" s="15" t="str">
        <f>+'ENCUESTA CONDUCTORES'!CQ322</f>
        <v>NO SABE</v>
      </c>
      <c r="CJ322" s="15">
        <f>IF('ENCUESTA CONDUCTORES'!CR322="X",1,0)</f>
        <v>1</v>
      </c>
      <c r="CK322" s="15">
        <f>IF('ENCUESTA CONDUCTORES'!CS322="X",1,0)</f>
        <v>0</v>
      </c>
      <c r="CL322" s="15">
        <f>IF('ENCUESTA CONDUCTORES'!CT322="X",1,0)</f>
        <v>0</v>
      </c>
      <c r="CM322" s="15">
        <f>+'ENCUESTA CONDUCTORES'!CU322</f>
        <v>0</v>
      </c>
      <c r="CN322" s="15">
        <f>IF('ENCUESTA CONDUCTORES'!CV322="X",1,0)</f>
        <v>0</v>
      </c>
      <c r="CO322" s="15">
        <f>+'ENCUESTA CONDUCTORES'!CW322</f>
        <v>0</v>
      </c>
      <c r="CP322" s="15">
        <f>IF('ENCUESTA CONDUCTORES'!CX322="X",1,0)</f>
        <v>1</v>
      </c>
      <c r="CQ322" s="15">
        <f>IF('ENCUESTA CONDUCTORES'!CY322="X",1,0)</f>
        <v>0</v>
      </c>
      <c r="CR322" s="3">
        <f>+'ENCUESTA CONDUCTORES'!CZ322</f>
        <v>0</v>
      </c>
      <c r="CS322" s="49">
        <f>+'ENCUESTA CONDUCTORES'!DA322</f>
        <v>0</v>
      </c>
    </row>
    <row r="323" spans="2:97" x14ac:dyDescent="0.25">
      <c r="B323" s="14" t="str">
        <f>+'ENCUESTA CONDUCTORES'!D323</f>
        <v>C-334</v>
      </c>
      <c r="C323" s="15">
        <f>IF('ENCUESTA CONDUCTORES'!E323="X",1,0)</f>
        <v>0</v>
      </c>
      <c r="D323" s="15">
        <f>IF('ENCUESTA CONDUCTORES'!F323="X",1,0)</f>
        <v>0</v>
      </c>
      <c r="E323" s="15">
        <f>IF('ENCUESTA CONDUCTORES'!G323="X",1,0)</f>
        <v>0</v>
      </c>
      <c r="F323" s="15">
        <f>IF('ENCUESTA CONDUCTORES'!H323="X",1,0)</f>
        <v>1</v>
      </c>
      <c r="G323" s="15">
        <f>+'ENCUESTA CONDUCTORES'!I323</f>
        <v>43</v>
      </c>
      <c r="H323" s="15" t="str">
        <f>+'ENCUESTA CONDUCTORES'!J323</f>
        <v>M</v>
      </c>
      <c r="I323" s="15" t="str">
        <f>+'ENCUESTA CONDUCTORES'!K323</f>
        <v>PREPARATORIA</v>
      </c>
      <c r="J323" s="15" t="str">
        <f>+'ENCUESTA CONDUCTORES'!L323</f>
        <v>TULTITLÁN, EDO. MEX.</v>
      </c>
      <c r="K323" s="15" t="str">
        <f>+'ENCUESTA CONDUCTORES'!M323</f>
        <v>TULTITLÁN</v>
      </c>
      <c r="L323" s="15" t="str">
        <f>+'ENCUESTA CONDUCTORES'!N323</f>
        <v>EDO. MEX.</v>
      </c>
      <c r="M323" s="15">
        <f>+'ENCUESTA CONDUCTORES'!O323</f>
        <v>20</v>
      </c>
      <c r="N323" s="15">
        <f>IF('ENCUESTA CONDUCTORES'!P323="X",1,0)</f>
        <v>0</v>
      </c>
      <c r="O323" s="15">
        <f>IF('ENCUESTA CONDUCTORES'!Q323="X",1,0)</f>
        <v>0</v>
      </c>
      <c r="P323" s="15">
        <f>IF('ENCUESTA CONDUCTORES'!R323="X",1,0)</f>
        <v>0</v>
      </c>
      <c r="Q323" s="15">
        <f>IF('ENCUESTA CONDUCTORES'!S323="X",1,0)</f>
        <v>1</v>
      </c>
      <c r="R323" s="15">
        <f>IF('ENCUESTA CONDUCTORES'!T323="X",1,0)</f>
        <v>0</v>
      </c>
      <c r="S323" s="15">
        <f>IF('ENCUESTA CONDUCTORES'!U323="X",1,0)</f>
        <v>1</v>
      </c>
      <c r="T323" s="15">
        <f>IF('ENCUESTA CONDUCTORES'!V323="X",1,0)</f>
        <v>0</v>
      </c>
      <c r="U323" s="15">
        <f>IF('ENCUESTA CONDUCTORES'!W323="X",1,0)</f>
        <v>0</v>
      </c>
      <c r="V323" s="15">
        <f>IF('ENCUESTA CONDUCTORES'!X323="X",1,0)</f>
        <v>0</v>
      </c>
      <c r="W323" s="15">
        <f>IF('ENCUESTA CONDUCTORES'!Y323="X",1,0)</f>
        <v>0</v>
      </c>
      <c r="X323" s="15">
        <f>IF('ENCUESTA CONDUCTORES'!Z323="X",1,0)</f>
        <v>0</v>
      </c>
      <c r="Y323" s="15">
        <f>+'ENCUESTA CONDUCTORES'!AG323</f>
        <v>0</v>
      </c>
      <c r="Z323" s="15">
        <f>+'ENCUESTA CONDUCTORES'!AH323</f>
        <v>2007</v>
      </c>
      <c r="AA323" s="1">
        <f>+'ENCUESTA CONDUCTORES'!AI323</f>
        <v>700652</v>
      </c>
      <c r="AB323" s="15">
        <f>IF('ENCUESTA CONDUCTORES'!AJ323="X",1,0)</f>
        <v>0</v>
      </c>
      <c r="AC323" s="15">
        <f>IF('ENCUESTA CONDUCTORES'!AK323="X",1,0)</f>
        <v>0</v>
      </c>
      <c r="AD323" s="15">
        <f>IF('ENCUESTA CONDUCTORES'!AL323="X",1,0)</f>
        <v>1</v>
      </c>
      <c r="AE323" s="15">
        <f>IF('ENCUESTA CONDUCTORES'!AM323="X",1,0)</f>
        <v>0</v>
      </c>
      <c r="AF323" s="15">
        <f>IF('ENCUESTA CONDUCTORES'!AN323="X",1,0)</f>
        <v>0</v>
      </c>
      <c r="AG323" s="15">
        <f>IF('ENCUESTA CONDUCTORES'!AO323="X",1,0)</f>
        <v>0</v>
      </c>
      <c r="AH323" s="15">
        <f>IF('ENCUESTA CONDUCTORES'!AP323="X",1,0)</f>
        <v>1</v>
      </c>
      <c r="AI323" s="15">
        <f>IF('ENCUESTA CONDUCTORES'!AQ323="X",1,0)</f>
        <v>0</v>
      </c>
      <c r="AJ323" s="15">
        <f>IF('ENCUESTA CONDUCTORES'!AR323="X",1,0)</f>
        <v>0</v>
      </c>
      <c r="AK323" s="15">
        <f>+'ENCUESTA CONDUCTORES'!AS323</f>
        <v>0</v>
      </c>
      <c r="AL323" s="15" t="str">
        <f>+'ENCUESTA CONDUCTORES'!AT323</f>
        <v>CUMMINS</v>
      </c>
      <c r="AM323" s="1">
        <f>+'ENCUESTA CONDUCTORES'!AU323</f>
        <v>9500</v>
      </c>
      <c r="AN323" s="48">
        <f>+'ENCUESTA CONDUCTORES'!AV323</f>
        <v>0.05</v>
      </c>
      <c r="AO323" s="15">
        <f>+'ENCUESTA CONDUCTORES'!AW323</f>
        <v>2.8</v>
      </c>
      <c r="AP323" s="15">
        <f>+'ENCUESTA CONDUCTORES'!AX323</f>
        <v>2.5</v>
      </c>
      <c r="AQ323" s="15">
        <f>+'ENCUESTA CONDUCTORES'!AY323</f>
        <v>2</v>
      </c>
      <c r="AR323" s="15">
        <f>+'ENCUESTA CONDUCTORES'!AZ323</f>
        <v>890</v>
      </c>
      <c r="AS323" s="15">
        <f>+'ENCUESTA CONDUCTORES'!BA323</f>
        <v>2400</v>
      </c>
      <c r="AT323" s="15">
        <f>IF('ENCUESTA CONDUCTORES'!BB323="X",1,0)</f>
        <v>1</v>
      </c>
      <c r="AU323" s="15">
        <f>IF('ENCUESTA CONDUCTORES'!BC323="X",1,0)</f>
        <v>1</v>
      </c>
      <c r="AV323" s="15">
        <f>IF('ENCUESTA CONDUCTORES'!BD323="X",1,0)</f>
        <v>0</v>
      </c>
      <c r="AW323" s="1">
        <f>+'ENCUESTA CONDUCTORES'!BE323</f>
        <v>19000</v>
      </c>
      <c r="AX323" s="1">
        <f>+'ENCUESTA CONDUCTORES'!BF323</f>
        <v>240000</v>
      </c>
      <c r="AY323" s="1">
        <f>+'ENCUESTA CONDUCTORES'!BG323</f>
        <v>38000</v>
      </c>
      <c r="AZ323" s="1">
        <f>+'ENCUESTA CONDUCTORES'!BH323</f>
        <v>120000</v>
      </c>
      <c r="BA323" s="1" t="str">
        <f>+'ENCUESTA CONDUCTORES'!BI323</f>
        <v>NO SABE</v>
      </c>
      <c r="BB323" s="15">
        <f>IF('ENCUESTA CONDUCTORES'!BJ323="X",1,0)</f>
        <v>0</v>
      </c>
      <c r="BC323" s="15">
        <f>IF('ENCUESTA CONDUCTORES'!BK323="X",1,0)</f>
        <v>0</v>
      </c>
      <c r="BD323" s="15">
        <f>IF('ENCUESTA CONDUCTORES'!BL323="X",1,0)</f>
        <v>0</v>
      </c>
      <c r="BE323" s="15">
        <f>IF('ENCUESTA CONDUCTORES'!BM323="X",1,0)</f>
        <v>0</v>
      </c>
      <c r="BF323" s="15">
        <f>IF('ENCUESTA CONDUCTORES'!BN323="X",1,0)</f>
        <v>1</v>
      </c>
      <c r="BG323" s="15">
        <f>IF('ENCUESTA CONDUCTORES'!BO323="X",1,0)</f>
        <v>0</v>
      </c>
      <c r="BH323" s="15">
        <f>IF('ENCUESTA CONDUCTORES'!BP323="X",1,0)</f>
        <v>1</v>
      </c>
      <c r="BI323" s="15">
        <f>IF('ENCUESTA CONDUCTORES'!BQ323="X",1,0)</f>
        <v>0</v>
      </c>
      <c r="BJ323" s="15">
        <f>IF('ENCUESTA CONDUCTORES'!BR323="X",1,0)</f>
        <v>0</v>
      </c>
      <c r="BK323" s="15">
        <f>+'ENCUESTA CONDUCTORES'!BS323</f>
        <v>0</v>
      </c>
      <c r="BL323" s="15">
        <f>IF('ENCUESTA CONDUCTORES'!BT323="X",1,0)</f>
        <v>0</v>
      </c>
      <c r="BM323" s="15">
        <f>IF('ENCUESTA CONDUCTORES'!BU323="X",1,0)</f>
        <v>1</v>
      </c>
      <c r="BN323" s="15">
        <f>IF('ENCUESTA CONDUCTORES'!BV323="X",1,0)</f>
        <v>0</v>
      </c>
      <c r="BO323" s="15">
        <f>IF('ENCUESTA CONDUCTORES'!BW323="X",1,0)</f>
        <v>0</v>
      </c>
      <c r="BP323" s="15">
        <f>+'ENCUESTA CONDUCTORES'!BX323</f>
        <v>1</v>
      </c>
      <c r="BQ323" s="15">
        <f>+'ENCUESTA CONDUCTORES'!BY323</f>
        <v>2</v>
      </c>
      <c r="BR323" s="15">
        <f>+'ENCUESTA CONDUCTORES'!BZ323</f>
        <v>3</v>
      </c>
      <c r="BS323" s="15">
        <f>+'ENCUESTA CONDUCTORES'!CA323</f>
        <v>0</v>
      </c>
      <c r="BT323" s="15">
        <f>IF('ENCUESTA CONDUCTORES'!CB323="X",1,0)</f>
        <v>1</v>
      </c>
      <c r="BU323" s="15">
        <f>IF('ENCUESTA CONDUCTORES'!CC323="X",1,0)</f>
        <v>0</v>
      </c>
      <c r="BV323" s="15">
        <f>IF('ENCUESTA CONDUCTORES'!CD323="X",1,0)</f>
        <v>0</v>
      </c>
      <c r="BW323" s="15">
        <f>IF('ENCUESTA CONDUCTORES'!CE323="X",1,0)</f>
        <v>0</v>
      </c>
      <c r="BX323" s="15">
        <f>IF('ENCUESTA CONDUCTORES'!CF323="X",1,0)</f>
        <v>0</v>
      </c>
      <c r="BY323" s="15">
        <f>IF('ENCUESTA CONDUCTORES'!CG323="X",1,0)</f>
        <v>0</v>
      </c>
      <c r="BZ323" s="15">
        <f>IF('ENCUESTA CONDUCTORES'!CH323="X",1,0)</f>
        <v>0</v>
      </c>
      <c r="CA323" s="15">
        <f>IF('ENCUESTA CONDUCTORES'!CI323="X",1,0)</f>
        <v>0</v>
      </c>
      <c r="CB323" s="15">
        <f>IF('ENCUESTA CONDUCTORES'!CJ323="X",1,0)</f>
        <v>0</v>
      </c>
      <c r="CC323" s="15">
        <f>IF('ENCUESTA CONDUCTORES'!CK323="X",1,0)</f>
        <v>1</v>
      </c>
      <c r="CD323" s="15">
        <f>IF('ENCUESTA CONDUCTORES'!CL323="X",1,0)</f>
        <v>0</v>
      </c>
      <c r="CE323" s="15">
        <f>IF('ENCUESTA CONDUCTORES'!CM323="X",1,0)</f>
        <v>0</v>
      </c>
      <c r="CF323" s="15">
        <f>+'ENCUESTA CONDUCTORES'!CN323</f>
        <v>0</v>
      </c>
      <c r="CG323" s="15">
        <f>IF('ENCUESTA CONDUCTORES'!CO323="X",1,0)</f>
        <v>0</v>
      </c>
      <c r="CH323" s="15" t="str">
        <f>+'ENCUESTA CONDUCTORES'!CP323</f>
        <v>NO SABE</v>
      </c>
      <c r="CI323" s="15" t="str">
        <f>+'ENCUESTA CONDUCTORES'!CQ323</f>
        <v>NO SABE</v>
      </c>
      <c r="CJ323" s="15">
        <f>IF('ENCUESTA CONDUCTORES'!CR323="X",1,0)</f>
        <v>1</v>
      </c>
      <c r="CK323" s="15">
        <f>IF('ENCUESTA CONDUCTORES'!CS323="X",1,0)</f>
        <v>0</v>
      </c>
      <c r="CL323" s="15">
        <f>IF('ENCUESTA CONDUCTORES'!CT323="X",1,0)</f>
        <v>0</v>
      </c>
      <c r="CM323" s="15">
        <f>+'ENCUESTA CONDUCTORES'!CU323</f>
        <v>0</v>
      </c>
      <c r="CN323" s="15">
        <f>IF('ENCUESTA CONDUCTORES'!CV323="X",1,0)</f>
        <v>0</v>
      </c>
      <c r="CO323" s="15">
        <f>+'ENCUESTA CONDUCTORES'!CW323</f>
        <v>0</v>
      </c>
      <c r="CP323" s="15">
        <f>IF('ENCUESTA CONDUCTORES'!CX323="X",1,0)</f>
        <v>1</v>
      </c>
      <c r="CQ323" s="15">
        <f>IF('ENCUESTA CONDUCTORES'!CY323="X",1,0)</f>
        <v>0</v>
      </c>
      <c r="CR323" s="3">
        <f>+'ENCUESTA CONDUCTORES'!CZ323</f>
        <v>0</v>
      </c>
      <c r="CS323" s="49">
        <f>+'ENCUESTA CONDUCTORES'!DA323</f>
        <v>0</v>
      </c>
    </row>
    <row r="324" spans="2:97" x14ac:dyDescent="0.25">
      <c r="B324" s="14" t="str">
        <f>+'ENCUESTA CONDUCTORES'!D324</f>
        <v>C-335</v>
      </c>
      <c r="C324" s="15">
        <f>IF('ENCUESTA CONDUCTORES'!E324="X",1,0)</f>
        <v>0</v>
      </c>
      <c r="D324" s="15">
        <f>IF('ENCUESTA CONDUCTORES'!F324="X",1,0)</f>
        <v>0</v>
      </c>
      <c r="E324" s="15">
        <f>IF('ENCUESTA CONDUCTORES'!G324="X",1,0)</f>
        <v>0</v>
      </c>
      <c r="F324" s="15">
        <f>IF('ENCUESTA CONDUCTORES'!H324="X",1,0)</f>
        <v>1</v>
      </c>
      <c r="G324" s="15">
        <f>+'ENCUESTA CONDUCTORES'!I324</f>
        <v>37</v>
      </c>
      <c r="H324" s="15" t="str">
        <f>+'ENCUESTA CONDUCTORES'!J324</f>
        <v>M</v>
      </c>
      <c r="I324" s="15" t="str">
        <f>+'ENCUESTA CONDUCTORES'!K324</f>
        <v>PREPARATORIA</v>
      </c>
      <c r="J324" s="15" t="str">
        <f>+'ENCUESTA CONDUCTORES'!L324</f>
        <v>NVO. LAREDO, TAMAULIPAS</v>
      </c>
      <c r="K324" s="15" t="str">
        <f>+'ENCUESTA CONDUCTORES'!M324</f>
        <v>NVO. LAREDO</v>
      </c>
      <c r="L324" s="15" t="str">
        <f>+'ENCUESTA CONDUCTORES'!N324</f>
        <v>TAMAULIPAS</v>
      </c>
      <c r="M324" s="15">
        <f>+'ENCUESTA CONDUCTORES'!O324</f>
        <v>19</v>
      </c>
      <c r="N324" s="15">
        <f>IF('ENCUESTA CONDUCTORES'!P324="X",1,0)</f>
        <v>0</v>
      </c>
      <c r="O324" s="15">
        <f>IF('ENCUESTA CONDUCTORES'!Q324="X",1,0)</f>
        <v>0</v>
      </c>
      <c r="P324" s="15">
        <f>IF('ENCUESTA CONDUCTORES'!R324="X",1,0)</f>
        <v>0</v>
      </c>
      <c r="Q324" s="15">
        <f>IF('ENCUESTA CONDUCTORES'!S324="X",1,0)</f>
        <v>1</v>
      </c>
      <c r="R324" s="15">
        <f>IF('ENCUESTA CONDUCTORES'!T324="X",1,0)</f>
        <v>0</v>
      </c>
      <c r="S324" s="15">
        <f>IF('ENCUESTA CONDUCTORES'!U324="X",1,0)</f>
        <v>1</v>
      </c>
      <c r="T324" s="15">
        <f>IF('ENCUESTA CONDUCTORES'!V324="X",1,0)</f>
        <v>0</v>
      </c>
      <c r="U324" s="15">
        <f>IF('ENCUESTA CONDUCTORES'!W324="X",1,0)</f>
        <v>0</v>
      </c>
      <c r="V324" s="15">
        <f>IF('ENCUESTA CONDUCTORES'!X324="X",1,0)</f>
        <v>0</v>
      </c>
      <c r="W324" s="15">
        <f>IF('ENCUESTA CONDUCTORES'!Y324="X",1,0)</f>
        <v>0</v>
      </c>
      <c r="X324" s="15">
        <f>IF('ENCUESTA CONDUCTORES'!Z324="X",1,0)</f>
        <v>0</v>
      </c>
      <c r="Y324" s="15">
        <f>+'ENCUESTA CONDUCTORES'!AG324</f>
        <v>0</v>
      </c>
      <c r="Z324" s="15">
        <f>+'ENCUESTA CONDUCTORES'!AH324</f>
        <v>2008</v>
      </c>
      <c r="AA324" s="1">
        <f>+'ENCUESTA CONDUCTORES'!AI324</f>
        <v>573508</v>
      </c>
      <c r="AB324" s="15">
        <f>IF('ENCUESTA CONDUCTORES'!AJ324="X",1,0)</f>
        <v>0</v>
      </c>
      <c r="AC324" s="15">
        <f>IF('ENCUESTA CONDUCTORES'!AK324="X",1,0)</f>
        <v>0</v>
      </c>
      <c r="AD324" s="15">
        <f>IF('ENCUESTA CONDUCTORES'!AL324="X",1,0)</f>
        <v>1</v>
      </c>
      <c r="AE324" s="15">
        <f>IF('ENCUESTA CONDUCTORES'!AM324="X",1,0)</f>
        <v>0</v>
      </c>
      <c r="AF324" s="15">
        <f>IF('ENCUESTA CONDUCTORES'!AN324="X",1,0)</f>
        <v>0</v>
      </c>
      <c r="AG324" s="15">
        <f>IF('ENCUESTA CONDUCTORES'!AO324="X",1,0)</f>
        <v>1</v>
      </c>
      <c r="AH324" s="15">
        <f>IF('ENCUESTA CONDUCTORES'!AP324="X",1,0)</f>
        <v>0</v>
      </c>
      <c r="AI324" s="15">
        <f>IF('ENCUESTA CONDUCTORES'!AQ324="X",1,0)</f>
        <v>0</v>
      </c>
      <c r="AJ324" s="15">
        <f>IF('ENCUESTA CONDUCTORES'!AR324="X",1,0)</f>
        <v>0</v>
      </c>
      <c r="AK324" s="15">
        <f>+'ENCUESTA CONDUCTORES'!AS324</f>
        <v>0</v>
      </c>
      <c r="AL324" s="15" t="str">
        <f>+'ENCUESTA CONDUCTORES'!AT324</f>
        <v>DETROIT</v>
      </c>
      <c r="AM324" s="1">
        <f>+'ENCUESTA CONDUCTORES'!AU324</f>
        <v>12000</v>
      </c>
      <c r="AN324" s="48">
        <f>+'ENCUESTA CONDUCTORES'!AV324</f>
        <v>0.05</v>
      </c>
      <c r="AO324" s="15">
        <f>+'ENCUESTA CONDUCTORES'!AW324</f>
        <v>2.8</v>
      </c>
      <c r="AP324" s="15">
        <f>+'ENCUESTA CONDUCTORES'!AX324</f>
        <v>2.5</v>
      </c>
      <c r="AQ324" s="15">
        <f>+'ENCUESTA CONDUCTORES'!AY324</f>
        <v>2</v>
      </c>
      <c r="AR324" s="15">
        <f>+'ENCUESTA CONDUCTORES'!AZ324</f>
        <v>960</v>
      </c>
      <c r="AS324" s="15">
        <f>+'ENCUESTA CONDUCTORES'!BA324</f>
        <v>2500</v>
      </c>
      <c r="AT324" s="15">
        <f>IF('ENCUESTA CONDUCTORES'!BB324="X",1,0)</f>
        <v>1</v>
      </c>
      <c r="AU324" s="15">
        <f>IF('ENCUESTA CONDUCTORES'!BC324="X",1,0)</f>
        <v>1</v>
      </c>
      <c r="AV324" s="15">
        <f>IF('ENCUESTA CONDUCTORES'!BD324="X",1,0)</f>
        <v>0</v>
      </c>
      <c r="AW324" s="1">
        <f>+'ENCUESTA CONDUCTORES'!BE324</f>
        <v>24000</v>
      </c>
      <c r="AX324" s="1">
        <f>+'ENCUESTA CONDUCTORES'!BF324</f>
        <v>150000</v>
      </c>
      <c r="AY324" s="1">
        <f>+'ENCUESTA CONDUCTORES'!BG324</f>
        <v>24000</v>
      </c>
      <c r="AZ324" s="1">
        <f>+'ENCUESTA CONDUCTORES'!BH324</f>
        <v>150000</v>
      </c>
      <c r="BA324" s="1" t="str">
        <f>+'ENCUESTA CONDUCTORES'!BI324</f>
        <v>NO SABE</v>
      </c>
      <c r="BB324" s="15">
        <f>IF('ENCUESTA CONDUCTORES'!BJ324="X",1,0)</f>
        <v>0</v>
      </c>
      <c r="BC324" s="15">
        <f>IF('ENCUESTA CONDUCTORES'!BK324="X",1,0)</f>
        <v>0</v>
      </c>
      <c r="BD324" s="15">
        <f>IF('ENCUESTA CONDUCTORES'!BL324="X",1,0)</f>
        <v>0</v>
      </c>
      <c r="BE324" s="15">
        <f>IF('ENCUESTA CONDUCTORES'!BM324="X",1,0)</f>
        <v>0</v>
      </c>
      <c r="BF324" s="15">
        <f>IF('ENCUESTA CONDUCTORES'!BN324="X",1,0)</f>
        <v>1</v>
      </c>
      <c r="BG324" s="15">
        <f>IF('ENCUESTA CONDUCTORES'!BO324="X",1,0)</f>
        <v>0</v>
      </c>
      <c r="BH324" s="15">
        <f>IF('ENCUESTA CONDUCTORES'!BP324="X",1,0)</f>
        <v>1</v>
      </c>
      <c r="BI324" s="15">
        <f>IF('ENCUESTA CONDUCTORES'!BQ324="X",1,0)</f>
        <v>0</v>
      </c>
      <c r="BJ324" s="15">
        <f>IF('ENCUESTA CONDUCTORES'!BR324="X",1,0)</f>
        <v>0</v>
      </c>
      <c r="BK324" s="15">
        <f>+'ENCUESTA CONDUCTORES'!BS324</f>
        <v>0</v>
      </c>
      <c r="BL324" s="15">
        <f>IF('ENCUESTA CONDUCTORES'!BT324="X",1,0)</f>
        <v>0</v>
      </c>
      <c r="BM324" s="15">
        <f>IF('ENCUESTA CONDUCTORES'!BU324="X",1,0)</f>
        <v>1</v>
      </c>
      <c r="BN324" s="15">
        <f>IF('ENCUESTA CONDUCTORES'!BV324="X",1,0)</f>
        <v>0</v>
      </c>
      <c r="BO324" s="15">
        <f>IF('ENCUESTA CONDUCTORES'!BW324="X",1,0)</f>
        <v>0</v>
      </c>
      <c r="BP324" s="15">
        <f>+'ENCUESTA CONDUCTORES'!BX324</f>
        <v>1</v>
      </c>
      <c r="BQ324" s="15">
        <f>+'ENCUESTA CONDUCTORES'!BY324</f>
        <v>2</v>
      </c>
      <c r="BR324" s="15">
        <f>+'ENCUESTA CONDUCTORES'!BZ324</f>
        <v>3</v>
      </c>
      <c r="BS324" s="15">
        <f>+'ENCUESTA CONDUCTORES'!CA324</f>
        <v>0</v>
      </c>
      <c r="BT324" s="15">
        <f>IF('ENCUESTA CONDUCTORES'!CB324="X",1,0)</f>
        <v>0</v>
      </c>
      <c r="BU324" s="15">
        <f>IF('ENCUESTA CONDUCTORES'!CC324="X",1,0)</f>
        <v>1</v>
      </c>
      <c r="BV324" s="15">
        <f>IF('ENCUESTA CONDUCTORES'!CD324="X",1,0)</f>
        <v>0</v>
      </c>
      <c r="BW324" s="15">
        <f>IF('ENCUESTA CONDUCTORES'!CE324="X",1,0)</f>
        <v>0</v>
      </c>
      <c r="BX324" s="15">
        <f>IF('ENCUESTA CONDUCTORES'!CF324="X",1,0)</f>
        <v>0</v>
      </c>
      <c r="BY324" s="15">
        <f>IF('ENCUESTA CONDUCTORES'!CG324="X",1,0)</f>
        <v>0</v>
      </c>
      <c r="BZ324" s="15">
        <f>IF('ENCUESTA CONDUCTORES'!CH324="X",1,0)</f>
        <v>1</v>
      </c>
      <c r="CA324" s="15">
        <f>IF('ENCUESTA CONDUCTORES'!CI324="X",1,0)</f>
        <v>0</v>
      </c>
      <c r="CB324" s="15">
        <f>IF('ENCUESTA CONDUCTORES'!CJ324="X",1,0)</f>
        <v>0</v>
      </c>
      <c r="CC324" s="15">
        <f>IF('ENCUESTA CONDUCTORES'!CK324="X",1,0)</f>
        <v>1</v>
      </c>
      <c r="CD324" s="15">
        <f>IF('ENCUESTA CONDUCTORES'!CL324="X",1,0)</f>
        <v>0</v>
      </c>
      <c r="CE324" s="15">
        <f>IF('ENCUESTA CONDUCTORES'!CM324="X",1,0)</f>
        <v>0</v>
      </c>
      <c r="CF324" s="15">
        <f>+'ENCUESTA CONDUCTORES'!CN324</f>
        <v>0</v>
      </c>
      <c r="CG324" s="15">
        <f>IF('ENCUESTA CONDUCTORES'!CO324="X",1,0)</f>
        <v>0</v>
      </c>
      <c r="CH324" s="15" t="str">
        <f>+'ENCUESTA CONDUCTORES'!CP324</f>
        <v>NO SABE</v>
      </c>
      <c r="CI324" s="15" t="str">
        <f>+'ENCUESTA CONDUCTORES'!CQ324</f>
        <v>NO SABE</v>
      </c>
      <c r="CJ324" s="15">
        <f>IF('ENCUESTA CONDUCTORES'!CR324="X",1,0)</f>
        <v>0</v>
      </c>
      <c r="CK324" s="15">
        <f>IF('ENCUESTA CONDUCTORES'!CS324="X",1,0)</f>
        <v>0</v>
      </c>
      <c r="CL324" s="15">
        <f>IF('ENCUESTA CONDUCTORES'!CT324="X",1,0)</f>
        <v>0</v>
      </c>
      <c r="CM324" s="15" t="str">
        <f>+'ENCUESTA CONDUCTORES'!CU324</f>
        <v>BASC</v>
      </c>
      <c r="CN324" s="15">
        <f>IF('ENCUESTA CONDUCTORES'!CV324="X",1,0)</f>
        <v>0</v>
      </c>
      <c r="CO324" s="15">
        <f>+'ENCUESTA CONDUCTORES'!CW324</f>
        <v>0</v>
      </c>
      <c r="CP324" s="15">
        <f>IF('ENCUESTA CONDUCTORES'!CX324="X",1,0)</f>
        <v>1</v>
      </c>
      <c r="CQ324" s="15">
        <f>IF('ENCUESTA CONDUCTORES'!CY324="X",1,0)</f>
        <v>0</v>
      </c>
      <c r="CR324" s="3">
        <f>+'ENCUESTA CONDUCTORES'!CZ324</f>
        <v>0</v>
      </c>
      <c r="CS324" s="49">
        <f>+'ENCUESTA CONDUCTORES'!DA324</f>
        <v>0</v>
      </c>
    </row>
    <row r="325" spans="2:97" x14ac:dyDescent="0.25">
      <c r="B325" s="14" t="str">
        <f>+'ENCUESTA CONDUCTORES'!D325</f>
        <v>C-336</v>
      </c>
      <c r="C325" s="15">
        <f>IF('ENCUESTA CONDUCTORES'!E325="X",1,0)</f>
        <v>0</v>
      </c>
      <c r="D325" s="15">
        <f>IF('ENCUESTA CONDUCTORES'!F325="X",1,0)</f>
        <v>0</v>
      </c>
      <c r="E325" s="15">
        <f>IF('ENCUESTA CONDUCTORES'!G325="X",1,0)</f>
        <v>1</v>
      </c>
      <c r="F325" s="15">
        <f>IF('ENCUESTA CONDUCTORES'!H325="X",1,0)</f>
        <v>0</v>
      </c>
      <c r="G325" s="15">
        <f>+'ENCUESTA CONDUCTORES'!I325</f>
        <v>29</v>
      </c>
      <c r="H325" s="15" t="str">
        <f>+'ENCUESTA CONDUCTORES'!J325</f>
        <v>M</v>
      </c>
      <c r="I325" s="15" t="str">
        <f>+'ENCUESTA CONDUCTORES'!K325</f>
        <v>SECUNDARIA</v>
      </c>
      <c r="J325" s="15" t="str">
        <f>+'ENCUESTA CONDUCTORES'!L325</f>
        <v>ZAPOPAN, JALISCO</v>
      </c>
      <c r="K325" s="15" t="str">
        <f>+'ENCUESTA CONDUCTORES'!M325</f>
        <v>ZAPOPAN</v>
      </c>
      <c r="L325" s="15" t="str">
        <f>+'ENCUESTA CONDUCTORES'!N325</f>
        <v>JALISCO</v>
      </c>
      <c r="M325" s="15">
        <f>+'ENCUESTA CONDUCTORES'!O325</f>
        <v>8</v>
      </c>
      <c r="N325" s="15">
        <f>IF('ENCUESTA CONDUCTORES'!P325="X",1,0)</f>
        <v>0</v>
      </c>
      <c r="O325" s="15">
        <f>IF('ENCUESTA CONDUCTORES'!Q325="X",1,0)</f>
        <v>0</v>
      </c>
      <c r="P325" s="15">
        <f>IF('ENCUESTA CONDUCTORES'!R325="X",1,0)</f>
        <v>0</v>
      </c>
      <c r="Q325" s="15">
        <f>IF('ENCUESTA CONDUCTORES'!S325="X",1,0)</f>
        <v>1</v>
      </c>
      <c r="R325" s="15">
        <f>IF('ENCUESTA CONDUCTORES'!T325="X",1,0)</f>
        <v>0</v>
      </c>
      <c r="S325" s="15">
        <f>IF('ENCUESTA CONDUCTORES'!U325="X",1,0)</f>
        <v>0</v>
      </c>
      <c r="T325" s="15">
        <f>IF('ENCUESTA CONDUCTORES'!V325="X",1,0)</f>
        <v>0</v>
      </c>
      <c r="U325" s="15">
        <f>IF('ENCUESTA CONDUCTORES'!W325="X",1,0)</f>
        <v>0</v>
      </c>
      <c r="V325" s="15">
        <f>IF('ENCUESTA CONDUCTORES'!X325="X",1,0)</f>
        <v>0</v>
      </c>
      <c r="W325" s="15">
        <f>IF('ENCUESTA CONDUCTORES'!Y325="X",1,0)</f>
        <v>0</v>
      </c>
      <c r="X325" s="15">
        <f>IF('ENCUESTA CONDUCTORES'!Z325="X",1,0)</f>
        <v>0</v>
      </c>
      <c r="Y325" s="15">
        <f>+'ENCUESTA CONDUCTORES'!AG325</f>
        <v>0</v>
      </c>
      <c r="Z325" s="15">
        <f>+'ENCUESTA CONDUCTORES'!AH325</f>
        <v>2008</v>
      </c>
      <c r="AA325" s="1">
        <f>+'ENCUESTA CONDUCTORES'!AI325</f>
        <v>628331</v>
      </c>
      <c r="AB325" s="15">
        <f>IF('ENCUESTA CONDUCTORES'!AJ325="X",1,0)</f>
        <v>0</v>
      </c>
      <c r="AC325" s="15">
        <f>IF('ENCUESTA CONDUCTORES'!AK325="X",1,0)</f>
        <v>0</v>
      </c>
      <c r="AD325" s="15">
        <f>IF('ENCUESTA CONDUCTORES'!AL325="X",1,0)</f>
        <v>1</v>
      </c>
      <c r="AE325" s="15">
        <f>IF('ENCUESTA CONDUCTORES'!AM325="X",1,0)</f>
        <v>0</v>
      </c>
      <c r="AF325" s="15">
        <f>IF('ENCUESTA CONDUCTORES'!AN325="X",1,0)</f>
        <v>0</v>
      </c>
      <c r="AG325" s="15">
        <f>IF('ENCUESTA CONDUCTORES'!AO325="X",1,0)</f>
        <v>0</v>
      </c>
      <c r="AH325" s="15">
        <f>IF('ENCUESTA CONDUCTORES'!AP325="X",1,0)</f>
        <v>1</v>
      </c>
      <c r="AI325" s="15">
        <f>IF('ENCUESTA CONDUCTORES'!AQ325="X",1,0)</f>
        <v>0</v>
      </c>
      <c r="AJ325" s="15">
        <f>IF('ENCUESTA CONDUCTORES'!AR325="X",1,0)</f>
        <v>0</v>
      </c>
      <c r="AK325" s="15">
        <f>+'ENCUESTA CONDUCTORES'!AS325</f>
        <v>0</v>
      </c>
      <c r="AL325" s="15" t="str">
        <f>+'ENCUESTA CONDUCTORES'!AT325</f>
        <v>CUMMINS</v>
      </c>
      <c r="AM325" s="1">
        <f>+'ENCUESTA CONDUCTORES'!AU325</f>
        <v>10000</v>
      </c>
      <c r="AN325" s="48">
        <f>+'ENCUESTA CONDUCTORES'!AV325</f>
        <v>0.5</v>
      </c>
      <c r="AO325" s="15">
        <f>+'ENCUESTA CONDUCTORES'!AW325</f>
        <v>2.8</v>
      </c>
      <c r="AP325" s="15">
        <f>+'ENCUESTA CONDUCTORES'!AX325</f>
        <v>2.5</v>
      </c>
      <c r="AQ325" s="15">
        <f>+'ENCUESTA CONDUCTORES'!AY325</f>
        <v>2</v>
      </c>
      <c r="AR325" s="15">
        <f>+'ENCUESTA CONDUCTORES'!AZ325</f>
        <v>1040</v>
      </c>
      <c r="AS325" s="15">
        <f>+'ENCUESTA CONDUCTORES'!BA325</f>
        <v>2700</v>
      </c>
      <c r="AT325" s="15">
        <f>IF('ENCUESTA CONDUCTORES'!BB325="X",1,0)</f>
        <v>1</v>
      </c>
      <c r="AU325" s="15">
        <f>IF('ENCUESTA CONDUCTORES'!BC325="X",1,0)</f>
        <v>1</v>
      </c>
      <c r="AV325" s="15">
        <f>IF('ENCUESTA CONDUCTORES'!BD325="X",1,0)</f>
        <v>0</v>
      </c>
      <c r="AW325" s="1">
        <f>+'ENCUESTA CONDUCTORES'!BE325</f>
        <v>20000</v>
      </c>
      <c r="AX325" s="1">
        <f>+'ENCUESTA CONDUCTORES'!BF325</f>
        <v>240000</v>
      </c>
      <c r="AY325" s="1">
        <f>+'ENCUESTA CONDUCTORES'!BG325</f>
        <v>20000</v>
      </c>
      <c r="AZ325" s="1">
        <f>+'ENCUESTA CONDUCTORES'!BH325</f>
        <v>120000</v>
      </c>
      <c r="BA325" s="1" t="str">
        <f>+'ENCUESTA CONDUCTORES'!BI325</f>
        <v>NO SABE</v>
      </c>
      <c r="BB325" s="15">
        <f>IF('ENCUESTA CONDUCTORES'!BJ325="X",1,0)</f>
        <v>0</v>
      </c>
      <c r="BC325" s="15">
        <f>IF('ENCUESTA CONDUCTORES'!BK325="X",1,0)</f>
        <v>0</v>
      </c>
      <c r="BD325" s="15">
        <f>IF('ENCUESTA CONDUCTORES'!BL325="X",1,0)</f>
        <v>0</v>
      </c>
      <c r="BE325" s="15">
        <f>IF('ENCUESTA CONDUCTORES'!BM325="X",1,0)</f>
        <v>0</v>
      </c>
      <c r="BF325" s="15">
        <f>IF('ENCUESTA CONDUCTORES'!BN325="X",1,0)</f>
        <v>1</v>
      </c>
      <c r="BG325" s="15">
        <f>IF('ENCUESTA CONDUCTORES'!BO325="X",1,0)</f>
        <v>0</v>
      </c>
      <c r="BH325" s="15">
        <f>IF('ENCUESTA CONDUCTORES'!BP325="X",1,0)</f>
        <v>0</v>
      </c>
      <c r="BI325" s="15">
        <f>IF('ENCUESTA CONDUCTORES'!BQ325="X",1,0)</f>
        <v>0</v>
      </c>
      <c r="BJ325" s="15">
        <f>IF('ENCUESTA CONDUCTORES'!BR325="X",1,0)</f>
        <v>0</v>
      </c>
      <c r="BK325" s="15">
        <f>+'ENCUESTA CONDUCTORES'!BS325</f>
        <v>0</v>
      </c>
      <c r="BL325" s="15">
        <f>IF('ENCUESTA CONDUCTORES'!BT325="X",1,0)</f>
        <v>0</v>
      </c>
      <c r="BM325" s="15">
        <f>IF('ENCUESTA CONDUCTORES'!BU325="X",1,0)</f>
        <v>0</v>
      </c>
      <c r="BN325" s="15">
        <f>IF('ENCUESTA CONDUCTORES'!BV325="X",1,0)</f>
        <v>1</v>
      </c>
      <c r="BO325" s="15">
        <f>IF('ENCUESTA CONDUCTORES'!BW325="X",1,0)</f>
        <v>0</v>
      </c>
      <c r="BP325" s="15">
        <f>+'ENCUESTA CONDUCTORES'!BX325</f>
        <v>1</v>
      </c>
      <c r="BQ325" s="15">
        <f>+'ENCUESTA CONDUCTORES'!BY325</f>
        <v>2</v>
      </c>
      <c r="BR325" s="15">
        <f>+'ENCUESTA CONDUCTORES'!BZ325</f>
        <v>3</v>
      </c>
      <c r="BS325" s="15">
        <f>+'ENCUESTA CONDUCTORES'!CA325</f>
        <v>0</v>
      </c>
      <c r="BT325" s="15">
        <f>IF('ENCUESTA CONDUCTORES'!CB325="X",1,0)</f>
        <v>1</v>
      </c>
      <c r="BU325" s="15">
        <f>IF('ENCUESTA CONDUCTORES'!CC325="X",1,0)</f>
        <v>0</v>
      </c>
      <c r="BV325" s="15">
        <f>IF('ENCUESTA CONDUCTORES'!CD325="X",1,0)</f>
        <v>0</v>
      </c>
      <c r="BW325" s="15">
        <f>IF('ENCUESTA CONDUCTORES'!CE325="X",1,0)</f>
        <v>0</v>
      </c>
      <c r="BX325" s="15">
        <f>IF('ENCUESTA CONDUCTORES'!CF325="X",1,0)</f>
        <v>0</v>
      </c>
      <c r="BY325" s="15">
        <f>IF('ENCUESTA CONDUCTORES'!CG325="X",1,0)</f>
        <v>0</v>
      </c>
      <c r="BZ325" s="15">
        <f>IF('ENCUESTA CONDUCTORES'!CH325="X",1,0)</f>
        <v>0</v>
      </c>
      <c r="CA325" s="15">
        <f>IF('ENCUESTA CONDUCTORES'!CI325="X",1,0)</f>
        <v>0</v>
      </c>
      <c r="CB325" s="15">
        <f>IF('ENCUESTA CONDUCTORES'!CJ325="X",1,0)</f>
        <v>0</v>
      </c>
      <c r="CC325" s="15">
        <f>IF('ENCUESTA CONDUCTORES'!CK325="X",1,0)</f>
        <v>1</v>
      </c>
      <c r="CD325" s="15">
        <f>IF('ENCUESTA CONDUCTORES'!CL325="X",1,0)</f>
        <v>0</v>
      </c>
      <c r="CE325" s="15">
        <f>IF('ENCUESTA CONDUCTORES'!CM325="X",1,0)</f>
        <v>0</v>
      </c>
      <c r="CF325" s="15">
        <f>+'ENCUESTA CONDUCTORES'!CN325</f>
        <v>0</v>
      </c>
      <c r="CG325" s="15">
        <f>IF('ENCUESTA CONDUCTORES'!CO325="X",1,0)</f>
        <v>0</v>
      </c>
      <c r="CH325" s="15" t="str">
        <f>+'ENCUESTA CONDUCTORES'!CP325</f>
        <v>NO SABE</v>
      </c>
      <c r="CI325" s="15" t="str">
        <f>+'ENCUESTA CONDUCTORES'!CQ325</f>
        <v>NO SABE</v>
      </c>
      <c r="CJ325" s="15">
        <f>IF('ENCUESTA CONDUCTORES'!CR325="X",1,0)</f>
        <v>1</v>
      </c>
      <c r="CK325" s="15">
        <f>IF('ENCUESTA CONDUCTORES'!CS325="X",1,0)</f>
        <v>0</v>
      </c>
      <c r="CL325" s="15">
        <f>IF('ENCUESTA CONDUCTORES'!CT325="X",1,0)</f>
        <v>0</v>
      </c>
      <c r="CM325" s="15">
        <f>+'ENCUESTA CONDUCTORES'!CU325</f>
        <v>0</v>
      </c>
      <c r="CN325" s="15">
        <f>IF('ENCUESTA CONDUCTORES'!CV325="X",1,0)</f>
        <v>0</v>
      </c>
      <c r="CO325" s="15">
        <f>+'ENCUESTA CONDUCTORES'!CW325</f>
        <v>0</v>
      </c>
      <c r="CP325" s="15">
        <f>IF('ENCUESTA CONDUCTORES'!CX325="X",1,0)</f>
        <v>1</v>
      </c>
      <c r="CQ325" s="15">
        <f>IF('ENCUESTA CONDUCTORES'!CY325="X",1,0)</f>
        <v>1</v>
      </c>
      <c r="CR325" s="3">
        <f>+'ENCUESTA CONDUCTORES'!CZ325</f>
        <v>0</v>
      </c>
      <c r="CS325" s="49">
        <f>+'ENCUESTA CONDUCTORES'!DA325</f>
        <v>0</v>
      </c>
    </row>
    <row r="326" spans="2:97" x14ac:dyDescent="0.25">
      <c r="B326" s="14" t="str">
        <f>+'ENCUESTA CONDUCTORES'!D326</f>
        <v>C-337</v>
      </c>
      <c r="C326" s="15">
        <f>IF('ENCUESTA CONDUCTORES'!E326="X",1,0)</f>
        <v>0</v>
      </c>
      <c r="D326" s="15">
        <f>IF('ENCUESTA CONDUCTORES'!F326="X",1,0)</f>
        <v>0</v>
      </c>
      <c r="E326" s="15">
        <f>IF('ENCUESTA CONDUCTORES'!G326="X",1,0)</f>
        <v>1</v>
      </c>
      <c r="F326" s="15">
        <f>IF('ENCUESTA CONDUCTORES'!H326="X",1,0)</f>
        <v>0</v>
      </c>
      <c r="G326" s="15">
        <f>+'ENCUESTA CONDUCTORES'!I326</f>
        <v>57</v>
      </c>
      <c r="H326" s="15" t="str">
        <f>+'ENCUESTA CONDUCTORES'!J326</f>
        <v>M</v>
      </c>
      <c r="I326" s="15" t="str">
        <f>+'ENCUESTA CONDUCTORES'!K326</f>
        <v>SIN ESTUDIOS</v>
      </c>
      <c r="J326" s="15" t="str">
        <f>+'ENCUESTA CONDUCTORES'!L326</f>
        <v>LEON, GTO</v>
      </c>
      <c r="K326" s="15" t="str">
        <f>+'ENCUESTA CONDUCTORES'!M326</f>
        <v>LEON</v>
      </c>
      <c r="L326" s="15" t="str">
        <f>+'ENCUESTA CONDUCTORES'!N326</f>
        <v>GUANAJUATO</v>
      </c>
      <c r="M326" s="15">
        <f>+'ENCUESTA CONDUCTORES'!O326</f>
        <v>39</v>
      </c>
      <c r="N326" s="15">
        <f>IF('ENCUESTA CONDUCTORES'!P326="X",1,0)</f>
        <v>0</v>
      </c>
      <c r="O326" s="15">
        <f>IF('ENCUESTA CONDUCTORES'!Q326="X",1,0)</f>
        <v>1</v>
      </c>
      <c r="P326" s="15">
        <f>IF('ENCUESTA CONDUCTORES'!R326="X",1,0)</f>
        <v>0</v>
      </c>
      <c r="Q326" s="15">
        <f>IF('ENCUESTA CONDUCTORES'!S326="X",1,0)</f>
        <v>0</v>
      </c>
      <c r="R326" s="15">
        <f>IF('ENCUESTA CONDUCTORES'!T326="X",1,0)</f>
        <v>0</v>
      </c>
      <c r="S326" s="15">
        <f>IF('ENCUESTA CONDUCTORES'!U326="X",1,0)</f>
        <v>1</v>
      </c>
      <c r="T326" s="15">
        <f>IF('ENCUESTA CONDUCTORES'!V326="X",1,0)</f>
        <v>0</v>
      </c>
      <c r="U326" s="15">
        <f>IF('ENCUESTA CONDUCTORES'!W326="X",1,0)</f>
        <v>0</v>
      </c>
      <c r="V326" s="15">
        <f>IF('ENCUESTA CONDUCTORES'!X326="X",1,0)</f>
        <v>0</v>
      </c>
      <c r="W326" s="15">
        <f>IF('ENCUESTA CONDUCTORES'!Y326="X",1,0)</f>
        <v>0</v>
      </c>
      <c r="X326" s="15">
        <f>IF('ENCUESTA CONDUCTORES'!Z326="X",1,0)</f>
        <v>0</v>
      </c>
      <c r="Y326" s="15">
        <f>+'ENCUESTA CONDUCTORES'!AG326</f>
        <v>0</v>
      </c>
      <c r="Z326" s="15">
        <f>+'ENCUESTA CONDUCTORES'!AH326</f>
        <v>2006</v>
      </c>
      <c r="AA326" s="1">
        <f>+'ENCUESTA CONDUCTORES'!AI326</f>
        <v>753821</v>
      </c>
      <c r="AB326" s="15">
        <f>IF('ENCUESTA CONDUCTORES'!AJ326="X",1,0)</f>
        <v>0</v>
      </c>
      <c r="AC326" s="15">
        <f>IF('ENCUESTA CONDUCTORES'!AK326="X",1,0)</f>
        <v>0</v>
      </c>
      <c r="AD326" s="15">
        <f>IF('ENCUESTA CONDUCTORES'!AL326="X",1,0)</f>
        <v>1</v>
      </c>
      <c r="AE326" s="15">
        <f>IF('ENCUESTA CONDUCTORES'!AM326="X",1,0)</f>
        <v>0</v>
      </c>
      <c r="AF326" s="15">
        <f>IF('ENCUESTA CONDUCTORES'!AN326="X",1,0)</f>
        <v>0</v>
      </c>
      <c r="AG326" s="15">
        <f>IF('ENCUESTA CONDUCTORES'!AO326="X",1,0)</f>
        <v>0</v>
      </c>
      <c r="AH326" s="15">
        <f>IF('ENCUESTA CONDUCTORES'!AP326="X",1,0)</f>
        <v>1</v>
      </c>
      <c r="AI326" s="15">
        <f>IF('ENCUESTA CONDUCTORES'!AQ326="X",1,0)</f>
        <v>0</v>
      </c>
      <c r="AJ326" s="15">
        <f>IF('ENCUESTA CONDUCTORES'!AR326="X",1,0)</f>
        <v>0</v>
      </c>
      <c r="AK326" s="15">
        <f>+'ENCUESTA CONDUCTORES'!AS326</f>
        <v>0</v>
      </c>
      <c r="AL326" s="15" t="str">
        <f>+'ENCUESTA CONDUCTORES'!AT326</f>
        <v>CUMMINS</v>
      </c>
      <c r="AM326" s="1">
        <f>+'ENCUESTA CONDUCTORES'!AU326</f>
        <v>8000</v>
      </c>
      <c r="AN326" s="48">
        <f>+'ENCUESTA CONDUCTORES'!AV326</f>
        <v>0.1</v>
      </c>
      <c r="AO326" s="15">
        <f>+'ENCUESTA CONDUCTORES'!AW326</f>
        <v>3.9</v>
      </c>
      <c r="AP326" s="15">
        <f>+'ENCUESTA CONDUCTORES'!AX326</f>
        <v>3.2</v>
      </c>
      <c r="AQ326" s="15">
        <f>+'ENCUESTA CONDUCTORES'!AY326</f>
        <v>2</v>
      </c>
      <c r="AR326" s="15">
        <f>+'ENCUESTA CONDUCTORES'!AZ326</f>
        <v>770</v>
      </c>
      <c r="AS326" s="15">
        <f>+'ENCUESTA CONDUCTORES'!BA326</f>
        <v>2400</v>
      </c>
      <c r="AT326" s="15">
        <f>IF('ENCUESTA CONDUCTORES'!BB326="X",1,0)</f>
        <v>1</v>
      </c>
      <c r="AU326" s="15">
        <f>IF('ENCUESTA CONDUCTORES'!BC326="X",1,0)</f>
        <v>0</v>
      </c>
      <c r="AV326" s="15">
        <f>IF('ENCUESTA CONDUCTORES'!BD326="X",1,0)</f>
        <v>0</v>
      </c>
      <c r="AW326" s="1">
        <f>+'ENCUESTA CONDUCTORES'!BE326</f>
        <v>16000</v>
      </c>
      <c r="AX326" s="1" t="str">
        <f>+'ENCUESTA CONDUCTORES'!BF326</f>
        <v>NO SABE</v>
      </c>
      <c r="AY326" s="1">
        <f>+'ENCUESTA CONDUCTORES'!BG326</f>
        <v>32000</v>
      </c>
      <c r="AZ326" s="1">
        <f>+'ENCUESTA CONDUCTORES'!BH326</f>
        <v>120000</v>
      </c>
      <c r="BA326" s="1" t="str">
        <f>+'ENCUESTA CONDUCTORES'!BI326</f>
        <v>NO SABE</v>
      </c>
      <c r="BB326" s="15">
        <f>IF('ENCUESTA CONDUCTORES'!BJ326="X",1,0)</f>
        <v>0</v>
      </c>
      <c r="BC326" s="15">
        <f>IF('ENCUESTA CONDUCTORES'!BK326="X",1,0)</f>
        <v>0</v>
      </c>
      <c r="BD326" s="15">
        <f>IF('ENCUESTA CONDUCTORES'!BL326="X",1,0)</f>
        <v>0</v>
      </c>
      <c r="BE326" s="15">
        <f>IF('ENCUESTA CONDUCTORES'!BM326="X",1,0)</f>
        <v>0</v>
      </c>
      <c r="BF326" s="15">
        <f>IF('ENCUESTA CONDUCTORES'!BN326="X",1,0)</f>
        <v>1</v>
      </c>
      <c r="BG326" s="15">
        <f>IF('ENCUESTA CONDUCTORES'!BO326="X",1,0)</f>
        <v>0</v>
      </c>
      <c r="BH326" s="15">
        <f>IF('ENCUESTA CONDUCTORES'!BP326="X",1,0)</f>
        <v>1</v>
      </c>
      <c r="BI326" s="15">
        <f>IF('ENCUESTA CONDUCTORES'!BQ326="X",1,0)</f>
        <v>0</v>
      </c>
      <c r="BJ326" s="15">
        <f>IF('ENCUESTA CONDUCTORES'!BR326="X",1,0)</f>
        <v>0</v>
      </c>
      <c r="BK326" s="15">
        <f>+'ENCUESTA CONDUCTORES'!BS326</f>
        <v>0</v>
      </c>
      <c r="BL326" s="15">
        <f>IF('ENCUESTA CONDUCTORES'!BT326="X",1,0)</f>
        <v>0</v>
      </c>
      <c r="BM326" s="15">
        <f>IF('ENCUESTA CONDUCTORES'!BU326="X",1,0)</f>
        <v>0</v>
      </c>
      <c r="BN326" s="15">
        <f>IF('ENCUESTA CONDUCTORES'!BV326="X",1,0)</f>
        <v>1</v>
      </c>
      <c r="BO326" s="15">
        <f>IF('ENCUESTA CONDUCTORES'!BW326="X",1,0)</f>
        <v>0</v>
      </c>
      <c r="BP326" s="15">
        <f>+'ENCUESTA CONDUCTORES'!BX326</f>
        <v>1</v>
      </c>
      <c r="BQ326" s="15">
        <f>+'ENCUESTA CONDUCTORES'!BY326</f>
        <v>2</v>
      </c>
      <c r="BR326" s="15">
        <f>+'ENCUESTA CONDUCTORES'!BZ326</f>
        <v>3</v>
      </c>
      <c r="BS326" s="15">
        <f>+'ENCUESTA CONDUCTORES'!CA326</f>
        <v>0</v>
      </c>
      <c r="BT326" s="15">
        <f>IF('ENCUESTA CONDUCTORES'!CB326="X",1,0)</f>
        <v>1</v>
      </c>
      <c r="BU326" s="15">
        <f>IF('ENCUESTA CONDUCTORES'!CC326="X",1,0)</f>
        <v>0</v>
      </c>
      <c r="BV326" s="15">
        <f>IF('ENCUESTA CONDUCTORES'!CD326="X",1,0)</f>
        <v>0</v>
      </c>
      <c r="BW326" s="15">
        <f>IF('ENCUESTA CONDUCTORES'!CE326="X",1,0)</f>
        <v>0</v>
      </c>
      <c r="BX326" s="15">
        <f>IF('ENCUESTA CONDUCTORES'!CF326="X",1,0)</f>
        <v>0</v>
      </c>
      <c r="BY326" s="15">
        <f>IF('ENCUESTA CONDUCTORES'!CG326="X",1,0)</f>
        <v>0</v>
      </c>
      <c r="BZ326" s="15">
        <f>IF('ENCUESTA CONDUCTORES'!CH326="X",1,0)</f>
        <v>0</v>
      </c>
      <c r="CA326" s="15">
        <f>IF('ENCUESTA CONDUCTORES'!CI326="X",1,0)</f>
        <v>0</v>
      </c>
      <c r="CB326" s="15">
        <f>IF('ENCUESTA CONDUCTORES'!CJ326="X",1,0)</f>
        <v>0</v>
      </c>
      <c r="CC326" s="15">
        <f>IF('ENCUESTA CONDUCTORES'!CK326="X",1,0)</f>
        <v>1</v>
      </c>
      <c r="CD326" s="15">
        <f>IF('ENCUESTA CONDUCTORES'!CL326="X",1,0)</f>
        <v>0</v>
      </c>
      <c r="CE326" s="15">
        <f>IF('ENCUESTA CONDUCTORES'!CM326="X",1,0)</f>
        <v>0</v>
      </c>
      <c r="CF326" s="15">
        <f>+'ENCUESTA CONDUCTORES'!CN326</f>
        <v>0</v>
      </c>
      <c r="CG326" s="15">
        <f>IF('ENCUESTA CONDUCTORES'!CO326="X",1,0)</f>
        <v>0</v>
      </c>
      <c r="CH326" s="15" t="str">
        <f>+'ENCUESTA CONDUCTORES'!CP326</f>
        <v>NO SABE</v>
      </c>
      <c r="CI326" s="15" t="str">
        <f>+'ENCUESTA CONDUCTORES'!CQ326</f>
        <v>NO SABE</v>
      </c>
      <c r="CJ326" s="15">
        <f>IF('ENCUESTA CONDUCTORES'!CR326="X",1,0)</f>
        <v>1</v>
      </c>
      <c r="CK326" s="15">
        <f>IF('ENCUESTA CONDUCTORES'!CS326="X",1,0)</f>
        <v>0</v>
      </c>
      <c r="CL326" s="15">
        <f>IF('ENCUESTA CONDUCTORES'!CT326="X",1,0)</f>
        <v>0</v>
      </c>
      <c r="CM326" s="15">
        <f>+'ENCUESTA CONDUCTORES'!CU326</f>
        <v>0</v>
      </c>
      <c r="CN326" s="15">
        <f>IF('ENCUESTA CONDUCTORES'!CV326="X",1,0)</f>
        <v>0</v>
      </c>
      <c r="CO326" s="15">
        <f>+'ENCUESTA CONDUCTORES'!CW326</f>
        <v>0</v>
      </c>
      <c r="CP326" s="15">
        <f>IF('ENCUESTA CONDUCTORES'!CX326="X",1,0)</f>
        <v>1</v>
      </c>
      <c r="CQ326" s="15">
        <f>IF('ENCUESTA CONDUCTORES'!CY326="X",1,0)</f>
        <v>0</v>
      </c>
      <c r="CR326" s="3">
        <f>+'ENCUESTA CONDUCTORES'!CZ326</f>
        <v>0</v>
      </c>
      <c r="CS326" s="49">
        <f>+'ENCUESTA CONDUCTORES'!DA326</f>
        <v>0</v>
      </c>
    </row>
    <row r="327" spans="2:97" x14ac:dyDescent="0.25">
      <c r="B327" s="14" t="str">
        <f>+'ENCUESTA CONDUCTORES'!D327</f>
        <v>C-338</v>
      </c>
      <c r="C327" s="15">
        <f>IF('ENCUESTA CONDUCTORES'!E327="X",1,0)</f>
        <v>0</v>
      </c>
      <c r="D327" s="15">
        <f>IF('ENCUESTA CONDUCTORES'!F327="X",1,0)</f>
        <v>0</v>
      </c>
      <c r="E327" s="15">
        <f>IF('ENCUESTA CONDUCTORES'!G327="X",1,0)</f>
        <v>1</v>
      </c>
      <c r="F327" s="15">
        <f>IF('ENCUESTA CONDUCTORES'!H327="X",1,0)</f>
        <v>0</v>
      </c>
      <c r="G327" s="15">
        <f>+'ENCUESTA CONDUCTORES'!I327</f>
        <v>35</v>
      </c>
      <c r="H327" s="15" t="str">
        <f>+'ENCUESTA CONDUCTORES'!J327</f>
        <v>M</v>
      </c>
      <c r="I327" s="15" t="str">
        <f>+'ENCUESTA CONDUCTORES'!K327</f>
        <v>SECUNDARIA</v>
      </c>
      <c r="J327" s="15" t="str">
        <f>+'ENCUESTA CONDUCTORES'!L327</f>
        <v>APODACA, NVO. LEON</v>
      </c>
      <c r="K327" s="15" t="str">
        <f>+'ENCUESTA CONDUCTORES'!M327</f>
        <v>APODACA</v>
      </c>
      <c r="L327" s="15" t="str">
        <f>+'ENCUESTA CONDUCTORES'!N327</f>
        <v>NVO. LEON</v>
      </c>
      <c r="M327" s="15">
        <f>+'ENCUESTA CONDUCTORES'!O327</f>
        <v>16</v>
      </c>
      <c r="N327" s="15">
        <f>IF('ENCUESTA CONDUCTORES'!P327="X",1,0)</f>
        <v>0</v>
      </c>
      <c r="O327" s="15">
        <f>IF('ENCUESTA CONDUCTORES'!Q327="X",1,0)</f>
        <v>0</v>
      </c>
      <c r="P327" s="15">
        <f>IF('ENCUESTA CONDUCTORES'!R327="X",1,0)</f>
        <v>0</v>
      </c>
      <c r="Q327" s="15">
        <f>IF('ENCUESTA CONDUCTORES'!S327="X",1,0)</f>
        <v>1</v>
      </c>
      <c r="R327" s="15">
        <f>IF('ENCUESTA CONDUCTORES'!T327="X",1,0)</f>
        <v>0</v>
      </c>
      <c r="S327" s="15">
        <f>IF('ENCUESTA CONDUCTORES'!U327="X",1,0)</f>
        <v>1</v>
      </c>
      <c r="T327" s="15">
        <f>IF('ENCUESTA CONDUCTORES'!V327="X",1,0)</f>
        <v>0</v>
      </c>
      <c r="U327" s="15">
        <f>IF('ENCUESTA CONDUCTORES'!W327="X",1,0)</f>
        <v>0</v>
      </c>
      <c r="V327" s="15">
        <f>IF('ENCUESTA CONDUCTORES'!X327="X",1,0)</f>
        <v>0</v>
      </c>
      <c r="W327" s="15">
        <f>IF('ENCUESTA CONDUCTORES'!Y327="X",1,0)</f>
        <v>0</v>
      </c>
      <c r="X327" s="15">
        <f>IF('ENCUESTA CONDUCTORES'!Z327="X",1,0)</f>
        <v>0</v>
      </c>
      <c r="Y327" s="15">
        <f>+'ENCUESTA CONDUCTORES'!AG327</f>
        <v>0</v>
      </c>
      <c r="Z327" s="15">
        <f>+'ENCUESTA CONDUCTORES'!AH327</f>
        <v>2004</v>
      </c>
      <c r="AA327" s="1">
        <f>+'ENCUESTA CONDUCTORES'!AI327</f>
        <v>936415</v>
      </c>
      <c r="AB327" s="15">
        <f>IF('ENCUESTA CONDUCTORES'!AJ327="X",1,0)</f>
        <v>0</v>
      </c>
      <c r="AC327" s="15">
        <f>IF('ENCUESTA CONDUCTORES'!AK327="X",1,0)</f>
        <v>0</v>
      </c>
      <c r="AD327" s="15">
        <f>IF('ENCUESTA CONDUCTORES'!AL327="X",1,0)</f>
        <v>1</v>
      </c>
      <c r="AE327" s="15">
        <f>IF('ENCUESTA CONDUCTORES'!AM327="X",1,0)</f>
        <v>0</v>
      </c>
      <c r="AF327" s="15">
        <f>IF('ENCUESTA CONDUCTORES'!AN327="X",1,0)</f>
        <v>0</v>
      </c>
      <c r="AG327" s="15">
        <f>IF('ENCUESTA CONDUCTORES'!AO327="X",1,0)</f>
        <v>0</v>
      </c>
      <c r="AH327" s="15">
        <f>IF('ENCUESTA CONDUCTORES'!AP327="X",1,0)</f>
        <v>0</v>
      </c>
      <c r="AI327" s="15">
        <f>IF('ENCUESTA CONDUCTORES'!AQ327="X",1,0)</f>
        <v>0</v>
      </c>
      <c r="AJ327" s="15">
        <f>IF('ENCUESTA CONDUCTORES'!AR327="X",1,0)</f>
        <v>0</v>
      </c>
      <c r="AK327" s="15">
        <f>+'ENCUESTA CONDUCTORES'!AS327</f>
        <v>0</v>
      </c>
      <c r="AL327" s="15" t="str">
        <f>+'ENCUESTA CONDUCTORES'!AT327</f>
        <v>CUMMINS</v>
      </c>
      <c r="AM327" s="1">
        <f>+'ENCUESTA CONDUCTORES'!AU327</f>
        <v>9000</v>
      </c>
      <c r="AN327" s="48">
        <f>+'ENCUESTA CONDUCTORES'!AV327</f>
        <v>0.5</v>
      </c>
      <c r="AO327" s="15">
        <f>+'ENCUESTA CONDUCTORES'!AW327</f>
        <v>2.7</v>
      </c>
      <c r="AP327" s="15">
        <f>+'ENCUESTA CONDUCTORES'!AX327</f>
        <v>2.4</v>
      </c>
      <c r="AQ327" s="15">
        <f>+'ENCUESTA CONDUCTORES'!AY327</f>
        <v>2</v>
      </c>
      <c r="AR327" s="15">
        <f>+'ENCUESTA CONDUCTORES'!AZ327</f>
        <v>1040</v>
      </c>
      <c r="AS327" s="15">
        <f>+'ENCUESTA CONDUCTORES'!BA327</f>
        <v>2700</v>
      </c>
      <c r="AT327" s="15">
        <f>IF('ENCUESTA CONDUCTORES'!BB327="X",1,0)</f>
        <v>1</v>
      </c>
      <c r="AU327" s="15">
        <f>IF('ENCUESTA CONDUCTORES'!BC327="X",1,0)</f>
        <v>0</v>
      </c>
      <c r="AV327" s="15">
        <f>IF('ENCUESTA CONDUCTORES'!BD327="X",1,0)</f>
        <v>0</v>
      </c>
      <c r="AW327" s="1">
        <f>+'ENCUESTA CONDUCTORES'!BE327</f>
        <v>18000</v>
      </c>
      <c r="AX327" s="1" t="str">
        <f>+'ENCUESTA CONDUCTORES'!BF327</f>
        <v>NO SABE</v>
      </c>
      <c r="AY327" s="1">
        <f>+'ENCUESTA CONDUCTORES'!BG327</f>
        <v>36000</v>
      </c>
      <c r="AZ327" s="1" t="str">
        <f>+'ENCUESTA CONDUCTORES'!BH327</f>
        <v>NO SABE</v>
      </c>
      <c r="BA327" s="1" t="str">
        <f>+'ENCUESTA CONDUCTORES'!BI327</f>
        <v>NO SABE</v>
      </c>
      <c r="BB327" s="15">
        <f>IF('ENCUESTA CONDUCTORES'!BJ327="X",1,0)</f>
        <v>0</v>
      </c>
      <c r="BC327" s="15">
        <f>IF('ENCUESTA CONDUCTORES'!BK327="X",1,0)</f>
        <v>0</v>
      </c>
      <c r="BD327" s="15">
        <f>IF('ENCUESTA CONDUCTORES'!BL327="X",1,0)</f>
        <v>0</v>
      </c>
      <c r="BE327" s="15">
        <f>IF('ENCUESTA CONDUCTORES'!BM327="X",1,0)</f>
        <v>0</v>
      </c>
      <c r="BF327" s="15">
        <f>IF('ENCUESTA CONDUCTORES'!BN327="X",1,0)</f>
        <v>1</v>
      </c>
      <c r="BG327" s="15">
        <f>IF('ENCUESTA CONDUCTORES'!BO327="X",1,0)</f>
        <v>0</v>
      </c>
      <c r="BH327" s="15">
        <f>IF('ENCUESTA CONDUCTORES'!BP327="X",1,0)</f>
        <v>1</v>
      </c>
      <c r="BI327" s="15">
        <f>IF('ENCUESTA CONDUCTORES'!BQ327="X",1,0)</f>
        <v>0</v>
      </c>
      <c r="BJ327" s="15">
        <f>IF('ENCUESTA CONDUCTORES'!BR327="X",1,0)</f>
        <v>0</v>
      </c>
      <c r="BK327" s="15">
        <f>+'ENCUESTA CONDUCTORES'!BS327</f>
        <v>0</v>
      </c>
      <c r="BL327" s="15">
        <f>IF('ENCUESTA CONDUCTORES'!BT327="X",1,0)</f>
        <v>0</v>
      </c>
      <c r="BM327" s="15">
        <f>IF('ENCUESTA CONDUCTORES'!BU327="X",1,0)</f>
        <v>1</v>
      </c>
      <c r="BN327" s="15">
        <f>IF('ENCUESTA CONDUCTORES'!BV327="X",1,0)</f>
        <v>0</v>
      </c>
      <c r="BO327" s="15">
        <f>IF('ENCUESTA CONDUCTORES'!BW327="X",1,0)</f>
        <v>0</v>
      </c>
      <c r="BP327" s="15">
        <f>+'ENCUESTA CONDUCTORES'!BX327</f>
        <v>1</v>
      </c>
      <c r="BQ327" s="15">
        <f>+'ENCUESTA CONDUCTORES'!BY327</f>
        <v>3</v>
      </c>
      <c r="BR327" s="15">
        <f>+'ENCUESTA CONDUCTORES'!BZ327</f>
        <v>2</v>
      </c>
      <c r="BS327" s="15">
        <f>+'ENCUESTA CONDUCTORES'!CA327</f>
        <v>0</v>
      </c>
      <c r="BT327" s="15">
        <f>IF('ENCUESTA CONDUCTORES'!CB327="X",1,0)</f>
        <v>1</v>
      </c>
      <c r="BU327" s="15">
        <f>IF('ENCUESTA CONDUCTORES'!CC327="X",1,0)</f>
        <v>0</v>
      </c>
      <c r="BV327" s="15">
        <f>IF('ENCUESTA CONDUCTORES'!CD327="X",1,0)</f>
        <v>0</v>
      </c>
      <c r="BW327" s="15">
        <f>IF('ENCUESTA CONDUCTORES'!CE327="X",1,0)</f>
        <v>0</v>
      </c>
      <c r="BX327" s="15">
        <f>IF('ENCUESTA CONDUCTORES'!CF327="X",1,0)</f>
        <v>0</v>
      </c>
      <c r="BY327" s="15">
        <f>IF('ENCUESTA CONDUCTORES'!CG327="X",1,0)</f>
        <v>0</v>
      </c>
      <c r="BZ327" s="15">
        <f>IF('ENCUESTA CONDUCTORES'!CH327="X",1,0)</f>
        <v>0</v>
      </c>
      <c r="CA327" s="15">
        <f>IF('ENCUESTA CONDUCTORES'!CI327="X",1,0)</f>
        <v>0</v>
      </c>
      <c r="CB327" s="15">
        <f>IF('ENCUESTA CONDUCTORES'!CJ327="X",1,0)</f>
        <v>0</v>
      </c>
      <c r="CC327" s="15">
        <f>IF('ENCUESTA CONDUCTORES'!CK327="X",1,0)</f>
        <v>1</v>
      </c>
      <c r="CD327" s="15">
        <f>IF('ENCUESTA CONDUCTORES'!CL327="X",1,0)</f>
        <v>0</v>
      </c>
      <c r="CE327" s="15">
        <f>IF('ENCUESTA CONDUCTORES'!CM327="X",1,0)</f>
        <v>0</v>
      </c>
      <c r="CF327" s="15">
        <f>+'ENCUESTA CONDUCTORES'!CN327</f>
        <v>0</v>
      </c>
      <c r="CG327" s="15">
        <f>IF('ENCUESTA CONDUCTORES'!CO327="X",1,0)</f>
        <v>0</v>
      </c>
      <c r="CH327" s="15" t="str">
        <f>+'ENCUESTA CONDUCTORES'!CP327</f>
        <v>NO SABE</v>
      </c>
      <c r="CI327" s="15" t="str">
        <f>+'ENCUESTA CONDUCTORES'!CQ327</f>
        <v>NO SABE</v>
      </c>
      <c r="CJ327" s="15">
        <f>IF('ENCUESTA CONDUCTORES'!CR327="X",1,0)</f>
        <v>1</v>
      </c>
      <c r="CK327" s="15">
        <f>IF('ENCUESTA CONDUCTORES'!CS327="X",1,0)</f>
        <v>0</v>
      </c>
      <c r="CL327" s="15">
        <f>IF('ENCUESTA CONDUCTORES'!CT327="X",1,0)</f>
        <v>0</v>
      </c>
      <c r="CM327" s="15">
        <f>+'ENCUESTA CONDUCTORES'!CU327</f>
        <v>0</v>
      </c>
      <c r="CN327" s="15">
        <f>IF('ENCUESTA CONDUCTORES'!CV327="X",1,0)</f>
        <v>0</v>
      </c>
      <c r="CO327" s="15">
        <f>+'ENCUESTA CONDUCTORES'!CW327</f>
        <v>0</v>
      </c>
      <c r="CP327" s="15">
        <f>IF('ENCUESTA CONDUCTORES'!CX327="X",1,0)</f>
        <v>1</v>
      </c>
      <c r="CQ327" s="15">
        <f>IF('ENCUESTA CONDUCTORES'!CY327="X",1,0)</f>
        <v>0</v>
      </c>
      <c r="CR327" s="3">
        <f>+'ENCUESTA CONDUCTORES'!CZ327</f>
        <v>0</v>
      </c>
      <c r="CS327" s="49">
        <f>+'ENCUESTA CONDUCTORES'!DA327</f>
        <v>0</v>
      </c>
    </row>
    <row r="328" spans="2:97" x14ac:dyDescent="0.25">
      <c r="B328" s="14" t="str">
        <f>+'ENCUESTA CONDUCTORES'!D328</f>
        <v>C-339</v>
      </c>
      <c r="C328" s="15">
        <f>IF('ENCUESTA CONDUCTORES'!E328="X",1,0)</f>
        <v>0</v>
      </c>
      <c r="D328" s="15">
        <f>IF('ENCUESTA CONDUCTORES'!F328="X",1,0)</f>
        <v>0</v>
      </c>
      <c r="E328" s="15">
        <f>IF('ENCUESTA CONDUCTORES'!G328="X",1,0)</f>
        <v>1</v>
      </c>
      <c r="F328" s="15">
        <f>IF('ENCUESTA CONDUCTORES'!H328="X",1,0)</f>
        <v>0</v>
      </c>
      <c r="G328" s="15">
        <f>+'ENCUESTA CONDUCTORES'!I328</f>
        <v>51</v>
      </c>
      <c r="H328" s="15" t="str">
        <f>+'ENCUESTA CONDUCTORES'!J328</f>
        <v>M</v>
      </c>
      <c r="I328" s="15" t="str">
        <f>+'ENCUESTA CONDUCTORES'!K328</f>
        <v>SECUNDARIA</v>
      </c>
      <c r="J328" s="15" t="str">
        <f>+'ENCUESTA CONDUCTORES'!L328</f>
        <v>TECAMAC, EDO MEX</v>
      </c>
      <c r="K328" s="15" t="str">
        <f>+'ENCUESTA CONDUCTORES'!M328</f>
        <v>TECAMAC</v>
      </c>
      <c r="L328" s="15" t="str">
        <f>+'ENCUESTA CONDUCTORES'!N328</f>
        <v>EDO. MEX.</v>
      </c>
      <c r="M328" s="15">
        <f>+'ENCUESTA CONDUCTORES'!O328</f>
        <v>30</v>
      </c>
      <c r="N328" s="15">
        <f>IF('ENCUESTA CONDUCTORES'!P328="X",1,0)</f>
        <v>0</v>
      </c>
      <c r="O328" s="15">
        <f>IF('ENCUESTA CONDUCTORES'!Q328="X",1,0)</f>
        <v>1</v>
      </c>
      <c r="P328" s="15">
        <f>IF('ENCUESTA CONDUCTORES'!R328="X",1,0)</f>
        <v>0</v>
      </c>
      <c r="Q328" s="15">
        <f>IF('ENCUESTA CONDUCTORES'!S328="X",1,0)</f>
        <v>0</v>
      </c>
      <c r="R328" s="15">
        <f>IF('ENCUESTA CONDUCTORES'!T328="X",1,0)</f>
        <v>0</v>
      </c>
      <c r="S328" s="15">
        <f>IF('ENCUESTA CONDUCTORES'!U328="X",1,0)</f>
        <v>0</v>
      </c>
      <c r="T328" s="15">
        <f>IF('ENCUESTA CONDUCTORES'!V328="X",1,0)</f>
        <v>0</v>
      </c>
      <c r="U328" s="15">
        <f>IF('ENCUESTA CONDUCTORES'!W328="X",1,0)</f>
        <v>0</v>
      </c>
      <c r="V328" s="15">
        <f>IF('ENCUESTA CONDUCTORES'!X328="X",1,0)</f>
        <v>0</v>
      </c>
      <c r="W328" s="15">
        <f>IF('ENCUESTA CONDUCTORES'!Y328="X",1,0)</f>
        <v>0</v>
      </c>
      <c r="X328" s="15">
        <f>IF('ENCUESTA CONDUCTORES'!Z328="X",1,0)</f>
        <v>0</v>
      </c>
      <c r="Y328" s="15">
        <f>+'ENCUESTA CONDUCTORES'!AG328</f>
        <v>0</v>
      </c>
      <c r="Z328" s="15">
        <f>+'ENCUESTA CONDUCTORES'!AH328</f>
        <v>1995</v>
      </c>
      <c r="AA328" s="1">
        <f>+'ENCUESTA CONDUCTORES'!AI328</f>
        <v>850000</v>
      </c>
      <c r="AB328" s="15">
        <f>IF('ENCUESTA CONDUCTORES'!AJ328="X",1,0)</f>
        <v>0</v>
      </c>
      <c r="AC328" s="15">
        <f>IF('ENCUESTA CONDUCTORES'!AK328="X",1,0)</f>
        <v>0</v>
      </c>
      <c r="AD328" s="15">
        <f>IF('ENCUESTA CONDUCTORES'!AL328="X",1,0)</f>
        <v>1</v>
      </c>
      <c r="AE328" s="15">
        <f>IF('ENCUESTA CONDUCTORES'!AM328="X",1,0)</f>
        <v>0</v>
      </c>
      <c r="AF328" s="15">
        <f>IF('ENCUESTA CONDUCTORES'!AN328="X",1,0)</f>
        <v>0</v>
      </c>
      <c r="AG328" s="15">
        <f>IF('ENCUESTA CONDUCTORES'!AO328="X",1,0)</f>
        <v>0</v>
      </c>
      <c r="AH328" s="15">
        <f>IF('ENCUESTA CONDUCTORES'!AP328="X",1,0)</f>
        <v>1</v>
      </c>
      <c r="AI328" s="15">
        <f>IF('ENCUESTA CONDUCTORES'!AQ328="X",1,0)</f>
        <v>0</v>
      </c>
      <c r="AJ328" s="15">
        <f>IF('ENCUESTA CONDUCTORES'!AR328="X",1,0)</f>
        <v>0</v>
      </c>
      <c r="AK328" s="15">
        <f>+'ENCUESTA CONDUCTORES'!AS328</f>
        <v>0</v>
      </c>
      <c r="AL328" s="15" t="str">
        <f>+'ENCUESTA CONDUCTORES'!AT328</f>
        <v>INTERNATIONAL</v>
      </c>
      <c r="AM328" s="1">
        <f>+'ENCUESTA CONDUCTORES'!AU328</f>
        <v>5000</v>
      </c>
      <c r="AN328" s="48">
        <f>+'ENCUESTA CONDUCTORES'!AV328</f>
        <v>0.5</v>
      </c>
      <c r="AO328" s="15">
        <f>+'ENCUESTA CONDUCTORES'!AW328</f>
        <v>2.6</v>
      </c>
      <c r="AP328" s="15">
        <f>+'ENCUESTA CONDUCTORES'!AX328</f>
        <v>2.4</v>
      </c>
      <c r="AQ328" s="15">
        <f>+'ENCUESTA CONDUCTORES'!AY328</f>
        <v>1</v>
      </c>
      <c r="AR328" s="15">
        <f>+'ENCUESTA CONDUCTORES'!AZ328</f>
        <v>400</v>
      </c>
      <c r="AS328" s="15">
        <f>+'ENCUESTA CONDUCTORES'!BA328</f>
        <v>1300</v>
      </c>
      <c r="AT328" s="15">
        <f>IF('ENCUESTA CONDUCTORES'!BB328="X",1,0)</f>
        <v>0</v>
      </c>
      <c r="AU328" s="15">
        <f>IF('ENCUESTA CONDUCTORES'!BC328="X",1,0)</f>
        <v>1</v>
      </c>
      <c r="AV328" s="15">
        <f>IF('ENCUESTA CONDUCTORES'!BD328="X",1,0)</f>
        <v>0</v>
      </c>
      <c r="AW328" s="1">
        <f>+'ENCUESTA CONDUCTORES'!BE328</f>
        <v>10000</v>
      </c>
      <c r="AX328" s="1">
        <f>+'ENCUESTA CONDUCTORES'!BF328</f>
        <v>12000</v>
      </c>
      <c r="AY328" s="1">
        <f>+'ENCUESTA CONDUCTORES'!BG328</f>
        <v>35000</v>
      </c>
      <c r="AZ328" s="1">
        <f>+'ENCUESTA CONDUCTORES'!BH328</f>
        <v>180000</v>
      </c>
      <c r="BA328" s="1">
        <f>+'ENCUESTA CONDUCTORES'!BI328</f>
        <v>35000</v>
      </c>
      <c r="BB328" s="15">
        <f>IF('ENCUESTA CONDUCTORES'!BJ328="X",1,0)</f>
        <v>0</v>
      </c>
      <c r="BC328" s="15">
        <f>IF('ENCUESTA CONDUCTORES'!BK328="X",1,0)</f>
        <v>0</v>
      </c>
      <c r="BD328" s="15">
        <f>IF('ENCUESTA CONDUCTORES'!BL328="X",1,0)</f>
        <v>0</v>
      </c>
      <c r="BE328" s="15">
        <f>IF('ENCUESTA CONDUCTORES'!BM328="X",1,0)</f>
        <v>1</v>
      </c>
      <c r="BF328" s="15">
        <f>IF('ENCUESTA CONDUCTORES'!BN328="X",1,0)</f>
        <v>0</v>
      </c>
      <c r="BG328" s="15">
        <f>IF('ENCUESTA CONDUCTORES'!BO328="X",1,0)</f>
        <v>0</v>
      </c>
      <c r="BH328" s="15">
        <f>IF('ENCUESTA CONDUCTORES'!BP328="X",1,0)</f>
        <v>0</v>
      </c>
      <c r="BI328" s="15">
        <f>IF('ENCUESTA CONDUCTORES'!BQ328="X",1,0)</f>
        <v>0</v>
      </c>
      <c r="BJ328" s="15">
        <f>IF('ENCUESTA CONDUCTORES'!BR328="X",1,0)</f>
        <v>0</v>
      </c>
      <c r="BK328" s="15">
        <f>+'ENCUESTA CONDUCTORES'!BS328</f>
        <v>0</v>
      </c>
      <c r="BL328" s="15">
        <f>IF('ENCUESTA CONDUCTORES'!BT328="X",1,0)</f>
        <v>0</v>
      </c>
      <c r="BM328" s="15">
        <f>IF('ENCUESTA CONDUCTORES'!BU328="X",1,0)</f>
        <v>0</v>
      </c>
      <c r="BN328" s="15">
        <f>IF('ENCUESTA CONDUCTORES'!BV328="X",1,0)</f>
        <v>1</v>
      </c>
      <c r="BO328" s="15">
        <f>IF('ENCUESTA CONDUCTORES'!BW328="X",1,0)</f>
        <v>0</v>
      </c>
      <c r="BP328" s="15">
        <f>+'ENCUESTA CONDUCTORES'!BX328</f>
        <v>1</v>
      </c>
      <c r="BQ328" s="15">
        <f>+'ENCUESTA CONDUCTORES'!BY328</f>
        <v>2</v>
      </c>
      <c r="BR328" s="15">
        <f>+'ENCUESTA CONDUCTORES'!BZ328</f>
        <v>3</v>
      </c>
      <c r="BS328" s="15">
        <f>+'ENCUESTA CONDUCTORES'!CA328</f>
        <v>0</v>
      </c>
      <c r="BT328" s="15">
        <f>IF('ENCUESTA CONDUCTORES'!CB328="X",1,0)</f>
        <v>1</v>
      </c>
      <c r="BU328" s="15">
        <f>IF('ENCUESTA CONDUCTORES'!CC328="X",1,0)</f>
        <v>0</v>
      </c>
      <c r="BV328" s="15">
        <f>IF('ENCUESTA CONDUCTORES'!CD328="X",1,0)</f>
        <v>0</v>
      </c>
      <c r="BW328" s="15">
        <f>IF('ENCUESTA CONDUCTORES'!CE328="X",1,0)</f>
        <v>0</v>
      </c>
      <c r="BX328" s="15">
        <f>IF('ENCUESTA CONDUCTORES'!CF328="X",1,0)</f>
        <v>0</v>
      </c>
      <c r="BY328" s="15">
        <f>IF('ENCUESTA CONDUCTORES'!CG328="X",1,0)</f>
        <v>0</v>
      </c>
      <c r="BZ328" s="15">
        <f>IF('ENCUESTA CONDUCTORES'!CH328="X",1,0)</f>
        <v>0</v>
      </c>
      <c r="CA328" s="15">
        <f>IF('ENCUESTA CONDUCTORES'!CI328="X",1,0)</f>
        <v>0</v>
      </c>
      <c r="CB328" s="15">
        <f>IF('ENCUESTA CONDUCTORES'!CJ328="X",1,0)</f>
        <v>0</v>
      </c>
      <c r="CC328" s="15">
        <f>IF('ENCUESTA CONDUCTORES'!CK328="X",1,0)</f>
        <v>1</v>
      </c>
      <c r="CD328" s="15">
        <f>IF('ENCUESTA CONDUCTORES'!CL328="X",1,0)</f>
        <v>0</v>
      </c>
      <c r="CE328" s="15">
        <f>IF('ENCUESTA CONDUCTORES'!CM328="X",1,0)</f>
        <v>0</v>
      </c>
      <c r="CF328" s="15">
        <f>+'ENCUESTA CONDUCTORES'!CN328</f>
        <v>0</v>
      </c>
      <c r="CG328" s="15">
        <f>IF('ENCUESTA CONDUCTORES'!CO328="X",1,0)</f>
        <v>0</v>
      </c>
      <c r="CH328" s="15" t="str">
        <f>+'ENCUESTA CONDUCTORES'!CP328</f>
        <v>NO SABE</v>
      </c>
      <c r="CI328" s="15" t="str">
        <f>+'ENCUESTA CONDUCTORES'!CQ328</f>
        <v>NO SABE</v>
      </c>
      <c r="CJ328" s="15">
        <f>IF('ENCUESTA CONDUCTORES'!CR328="X",1,0)</f>
        <v>0</v>
      </c>
      <c r="CK328" s="15">
        <f>IF('ENCUESTA CONDUCTORES'!CS328="X",1,0)</f>
        <v>1</v>
      </c>
      <c r="CL328" s="15">
        <f>IF('ENCUESTA CONDUCTORES'!CT328="X",1,0)</f>
        <v>0</v>
      </c>
      <c r="CM328" s="15">
        <f>+'ENCUESTA CONDUCTORES'!CU328</f>
        <v>0</v>
      </c>
      <c r="CN328" s="15">
        <f>IF('ENCUESTA CONDUCTORES'!CV328="X",1,0)</f>
        <v>1</v>
      </c>
      <c r="CO328" s="15" t="str">
        <f>+'ENCUESTA CONDUCTORES'!CW328</f>
        <v>NO TIENE TIEMPO</v>
      </c>
      <c r="CP328" s="15">
        <f>IF('ENCUESTA CONDUCTORES'!CX328="X",1,0)</f>
        <v>0</v>
      </c>
      <c r="CQ328" s="15">
        <f>IF('ENCUESTA CONDUCTORES'!CY328="X",1,0)</f>
        <v>0</v>
      </c>
      <c r="CR328" s="3">
        <f>+'ENCUESTA CONDUCTORES'!CZ328</f>
        <v>0</v>
      </c>
      <c r="CS328" s="49">
        <f>+'ENCUESTA CONDUCTORES'!DA328</f>
        <v>0</v>
      </c>
    </row>
    <row r="329" spans="2:97" x14ac:dyDescent="0.25">
      <c r="B329" s="14" t="str">
        <f>+'ENCUESTA CONDUCTORES'!D329</f>
        <v>C-340</v>
      </c>
      <c r="C329" s="15">
        <f>IF('ENCUESTA CONDUCTORES'!E329="X",1,0)</f>
        <v>0</v>
      </c>
      <c r="D329" s="15">
        <f>IF('ENCUESTA CONDUCTORES'!F329="X",1,0)</f>
        <v>0</v>
      </c>
      <c r="E329" s="15">
        <f>IF('ENCUESTA CONDUCTORES'!G329="X",1,0)</f>
        <v>1</v>
      </c>
      <c r="F329" s="15">
        <f>IF('ENCUESTA CONDUCTORES'!H329="X",1,0)</f>
        <v>0</v>
      </c>
      <c r="G329" s="15">
        <f>+'ENCUESTA CONDUCTORES'!I329</f>
        <v>37</v>
      </c>
      <c r="H329" s="15" t="str">
        <f>+'ENCUESTA CONDUCTORES'!J329</f>
        <v>M</v>
      </c>
      <c r="I329" s="15" t="str">
        <f>+'ENCUESTA CONDUCTORES'!K329</f>
        <v>PRIMARIA</v>
      </c>
      <c r="J329" s="15" t="str">
        <f>+'ENCUESTA CONDUCTORES'!L329</f>
        <v>NAUCALPAN, EDO. MEX.</v>
      </c>
      <c r="K329" s="15" t="str">
        <f>+'ENCUESTA CONDUCTORES'!M329</f>
        <v>NAUCALPAN</v>
      </c>
      <c r="L329" s="15" t="str">
        <f>+'ENCUESTA CONDUCTORES'!N329</f>
        <v>EDO. MEX.</v>
      </c>
      <c r="M329" s="15">
        <f>+'ENCUESTA CONDUCTORES'!O329</f>
        <v>20</v>
      </c>
      <c r="N329" s="15">
        <f>IF('ENCUESTA CONDUCTORES'!P329="X",1,0)</f>
        <v>0</v>
      </c>
      <c r="O329" s="15">
        <f>IF('ENCUESTA CONDUCTORES'!Q329="X",1,0)</f>
        <v>1</v>
      </c>
      <c r="P329" s="15">
        <f>IF('ENCUESTA CONDUCTORES'!R329="X",1,0)</f>
        <v>0</v>
      </c>
      <c r="Q329" s="15">
        <f>IF('ENCUESTA CONDUCTORES'!S329="X",1,0)</f>
        <v>0</v>
      </c>
      <c r="R329" s="15">
        <f>IF('ENCUESTA CONDUCTORES'!T329="X",1,0)</f>
        <v>0</v>
      </c>
      <c r="S329" s="15">
        <f>IF('ENCUESTA CONDUCTORES'!U329="X",1,0)</f>
        <v>0</v>
      </c>
      <c r="T329" s="15">
        <f>IF('ENCUESTA CONDUCTORES'!V329="X",1,0)</f>
        <v>0</v>
      </c>
      <c r="U329" s="15">
        <f>IF('ENCUESTA CONDUCTORES'!W329="X",1,0)</f>
        <v>0</v>
      </c>
      <c r="V329" s="15">
        <f>IF('ENCUESTA CONDUCTORES'!X329="X",1,0)</f>
        <v>0</v>
      </c>
      <c r="W329" s="15">
        <f>IF('ENCUESTA CONDUCTORES'!Y329="X",1,0)</f>
        <v>0</v>
      </c>
      <c r="X329" s="15">
        <f>IF('ENCUESTA CONDUCTORES'!Z329="X",1,0)</f>
        <v>0</v>
      </c>
      <c r="Y329" s="15">
        <f>+'ENCUESTA CONDUCTORES'!AG329</f>
        <v>0</v>
      </c>
      <c r="Z329" s="15">
        <f>+'ENCUESTA CONDUCTORES'!AH329</f>
        <v>1992</v>
      </c>
      <c r="AA329" s="1">
        <f>+'ENCUESTA CONDUCTORES'!AI329</f>
        <v>783524</v>
      </c>
      <c r="AB329" s="15">
        <f>IF('ENCUESTA CONDUCTORES'!AJ329="X",1,0)</f>
        <v>0</v>
      </c>
      <c r="AC329" s="15">
        <f>IF('ENCUESTA CONDUCTORES'!AK329="X",1,0)</f>
        <v>0</v>
      </c>
      <c r="AD329" s="15">
        <f>IF('ENCUESTA CONDUCTORES'!AL329="X",1,0)</f>
        <v>1</v>
      </c>
      <c r="AE329" s="15">
        <f>IF('ENCUESTA CONDUCTORES'!AM329="X",1,0)</f>
        <v>0</v>
      </c>
      <c r="AF329" s="15">
        <f>IF('ENCUESTA CONDUCTORES'!AN329="X",1,0)</f>
        <v>0</v>
      </c>
      <c r="AG329" s="15">
        <f>IF('ENCUESTA CONDUCTORES'!AO329="X",1,0)</f>
        <v>0</v>
      </c>
      <c r="AH329" s="15">
        <f>IF('ENCUESTA CONDUCTORES'!AP329="X",1,0)</f>
        <v>1</v>
      </c>
      <c r="AI329" s="15">
        <f>IF('ENCUESTA CONDUCTORES'!AQ329="X",1,0)</f>
        <v>0</v>
      </c>
      <c r="AJ329" s="15">
        <f>IF('ENCUESTA CONDUCTORES'!AR329="X",1,0)</f>
        <v>0</v>
      </c>
      <c r="AK329" s="15">
        <f>+'ENCUESTA CONDUCTORES'!AS329</f>
        <v>0</v>
      </c>
      <c r="AL329" s="15" t="str">
        <f>+'ENCUESTA CONDUCTORES'!AT329</f>
        <v>CUMMINS</v>
      </c>
      <c r="AM329" s="1">
        <f>+'ENCUESTA CONDUCTORES'!AU329</f>
        <v>7000</v>
      </c>
      <c r="AN329" s="48">
        <f>+'ENCUESTA CONDUCTORES'!AV329</f>
        <v>0.5</v>
      </c>
      <c r="AO329" s="15">
        <f>+'ENCUESTA CONDUCTORES'!AW329</f>
        <v>2.8</v>
      </c>
      <c r="AP329" s="15">
        <f>+'ENCUESTA CONDUCTORES'!AX329</f>
        <v>2.5</v>
      </c>
      <c r="AQ329" s="15">
        <f>+'ENCUESTA CONDUCTORES'!AY329</f>
        <v>2</v>
      </c>
      <c r="AR329" s="15">
        <f>+'ENCUESTA CONDUCTORES'!AZ329</f>
        <v>730</v>
      </c>
      <c r="AS329" s="15">
        <f>+'ENCUESTA CONDUCTORES'!BA329</f>
        <v>1900</v>
      </c>
      <c r="AT329" s="15">
        <f>IF('ENCUESTA CONDUCTORES'!BB329="X",1,0)</f>
        <v>0</v>
      </c>
      <c r="AU329" s="15">
        <f>IF('ENCUESTA CONDUCTORES'!BC329="X",1,0)</f>
        <v>1</v>
      </c>
      <c r="AV329" s="15">
        <f>IF('ENCUESTA CONDUCTORES'!BD329="X",1,0)</f>
        <v>0</v>
      </c>
      <c r="AW329" s="1">
        <f>+'ENCUESTA CONDUCTORES'!BE329</f>
        <v>13000</v>
      </c>
      <c r="AX329" s="1">
        <f>+'ENCUESTA CONDUCTORES'!BF329</f>
        <v>11000</v>
      </c>
      <c r="AY329" s="1">
        <f>+'ENCUESTA CONDUCTORES'!BG329</f>
        <v>50000</v>
      </c>
      <c r="AZ329" s="1">
        <f>+'ENCUESTA CONDUCTORES'!BH329</f>
        <v>250000</v>
      </c>
      <c r="BA329" s="1">
        <f>+'ENCUESTA CONDUCTORES'!BI329</f>
        <v>50000</v>
      </c>
      <c r="BB329" s="15">
        <f>IF('ENCUESTA CONDUCTORES'!BJ329="X",1,0)</f>
        <v>0</v>
      </c>
      <c r="BC329" s="15">
        <f>IF('ENCUESTA CONDUCTORES'!BK329="X",1,0)</f>
        <v>0</v>
      </c>
      <c r="BD329" s="15">
        <f>IF('ENCUESTA CONDUCTORES'!BL329="X",1,0)</f>
        <v>0</v>
      </c>
      <c r="BE329" s="15">
        <f>IF('ENCUESTA CONDUCTORES'!BM329="X",1,0)</f>
        <v>1</v>
      </c>
      <c r="BF329" s="15">
        <f>IF('ENCUESTA CONDUCTORES'!BN329="X",1,0)</f>
        <v>0</v>
      </c>
      <c r="BG329" s="15">
        <f>IF('ENCUESTA CONDUCTORES'!BO329="X",1,0)</f>
        <v>0</v>
      </c>
      <c r="BH329" s="15">
        <f>IF('ENCUESTA CONDUCTORES'!BP329="X",1,0)</f>
        <v>0</v>
      </c>
      <c r="BI329" s="15">
        <f>IF('ENCUESTA CONDUCTORES'!BQ329="X",1,0)</f>
        <v>0</v>
      </c>
      <c r="BJ329" s="15">
        <f>IF('ENCUESTA CONDUCTORES'!BR329="X",1,0)</f>
        <v>0</v>
      </c>
      <c r="BK329" s="15">
        <f>+'ENCUESTA CONDUCTORES'!BS329</f>
        <v>0</v>
      </c>
      <c r="BL329" s="15">
        <f>IF('ENCUESTA CONDUCTORES'!BT329="X",1,0)</f>
        <v>0</v>
      </c>
      <c r="BM329" s="15">
        <f>IF('ENCUESTA CONDUCTORES'!BU329="X",1,0)</f>
        <v>1</v>
      </c>
      <c r="BN329" s="15">
        <f>IF('ENCUESTA CONDUCTORES'!BV329="X",1,0)</f>
        <v>0</v>
      </c>
      <c r="BO329" s="15">
        <f>IF('ENCUESTA CONDUCTORES'!BW329="X",1,0)</f>
        <v>0</v>
      </c>
      <c r="BP329" s="15">
        <f>+'ENCUESTA CONDUCTORES'!BX329</f>
        <v>1</v>
      </c>
      <c r="BQ329" s="15">
        <f>+'ENCUESTA CONDUCTORES'!BY329</f>
        <v>2</v>
      </c>
      <c r="BR329" s="15">
        <f>+'ENCUESTA CONDUCTORES'!BZ329</f>
        <v>3</v>
      </c>
      <c r="BS329" s="15">
        <f>+'ENCUESTA CONDUCTORES'!CA329</f>
        <v>0</v>
      </c>
      <c r="BT329" s="15">
        <f>IF('ENCUESTA CONDUCTORES'!CB329="X",1,0)</f>
        <v>1</v>
      </c>
      <c r="BU329" s="15">
        <f>IF('ENCUESTA CONDUCTORES'!CC329="X",1,0)</f>
        <v>0</v>
      </c>
      <c r="BV329" s="15">
        <f>IF('ENCUESTA CONDUCTORES'!CD329="X",1,0)</f>
        <v>0</v>
      </c>
      <c r="BW329" s="15">
        <f>IF('ENCUESTA CONDUCTORES'!CE329="X",1,0)</f>
        <v>0</v>
      </c>
      <c r="BX329" s="15">
        <f>IF('ENCUESTA CONDUCTORES'!CF329="X",1,0)</f>
        <v>0</v>
      </c>
      <c r="BY329" s="15">
        <f>IF('ENCUESTA CONDUCTORES'!CG329="X",1,0)</f>
        <v>0</v>
      </c>
      <c r="BZ329" s="15">
        <f>IF('ENCUESTA CONDUCTORES'!CH329="X",1,0)</f>
        <v>0</v>
      </c>
      <c r="CA329" s="15">
        <f>IF('ENCUESTA CONDUCTORES'!CI329="X",1,0)</f>
        <v>0</v>
      </c>
      <c r="CB329" s="15">
        <f>IF('ENCUESTA CONDUCTORES'!CJ329="X",1,0)</f>
        <v>0</v>
      </c>
      <c r="CC329" s="15">
        <f>IF('ENCUESTA CONDUCTORES'!CK329="X",1,0)</f>
        <v>1</v>
      </c>
      <c r="CD329" s="15">
        <f>IF('ENCUESTA CONDUCTORES'!CL329="X",1,0)</f>
        <v>0</v>
      </c>
      <c r="CE329" s="15">
        <f>IF('ENCUESTA CONDUCTORES'!CM329="X",1,0)</f>
        <v>0</v>
      </c>
      <c r="CF329" s="15">
        <f>+'ENCUESTA CONDUCTORES'!CN329</f>
        <v>0</v>
      </c>
      <c r="CG329" s="15">
        <f>IF('ENCUESTA CONDUCTORES'!CO329="X",1,0)</f>
        <v>0</v>
      </c>
      <c r="CH329" s="15" t="str">
        <f>+'ENCUESTA CONDUCTORES'!CP329</f>
        <v>NO SABE</v>
      </c>
      <c r="CI329" s="15" t="str">
        <f>+'ENCUESTA CONDUCTORES'!CQ329</f>
        <v>NO SABE</v>
      </c>
      <c r="CJ329" s="15">
        <f>IF('ENCUESTA CONDUCTORES'!CR329="X",1,0)</f>
        <v>1</v>
      </c>
      <c r="CK329" s="15">
        <f>IF('ENCUESTA CONDUCTORES'!CS329="X",1,0)</f>
        <v>0</v>
      </c>
      <c r="CL329" s="15">
        <f>IF('ENCUESTA CONDUCTORES'!CT329="X",1,0)</f>
        <v>0</v>
      </c>
      <c r="CM329" s="15">
        <f>+'ENCUESTA CONDUCTORES'!CU329</f>
        <v>0</v>
      </c>
      <c r="CN329" s="15">
        <f>IF('ENCUESTA CONDUCTORES'!CV329="X",1,0)</f>
        <v>0</v>
      </c>
      <c r="CO329" s="15">
        <f>+'ENCUESTA CONDUCTORES'!CW329</f>
        <v>0</v>
      </c>
      <c r="CP329" s="15">
        <f>IF('ENCUESTA CONDUCTORES'!CX329="X",1,0)</f>
        <v>1</v>
      </c>
      <c r="CQ329" s="15">
        <f>IF('ENCUESTA CONDUCTORES'!CY329="X",1,0)</f>
        <v>1</v>
      </c>
      <c r="CR329" s="3">
        <f>+'ENCUESTA CONDUCTORES'!CZ329</f>
        <v>0</v>
      </c>
      <c r="CS329" s="49">
        <f>+'ENCUESTA CONDUCTORES'!DA329</f>
        <v>0</v>
      </c>
    </row>
    <row r="330" spans="2:97" x14ac:dyDescent="0.25">
      <c r="B330" s="14" t="str">
        <f>+'ENCUESTA CONDUCTORES'!D330</f>
        <v>C-341</v>
      </c>
      <c r="C330" s="15">
        <f>IF('ENCUESTA CONDUCTORES'!E330="X",1,0)</f>
        <v>0</v>
      </c>
      <c r="D330" s="15">
        <f>IF('ENCUESTA CONDUCTORES'!F330="X",1,0)</f>
        <v>0</v>
      </c>
      <c r="E330" s="15">
        <f>IF('ENCUESTA CONDUCTORES'!G330="X",1,0)</f>
        <v>0</v>
      </c>
      <c r="F330" s="15">
        <f>IF('ENCUESTA CONDUCTORES'!H330="X",1,0)</f>
        <v>1</v>
      </c>
      <c r="G330" s="15">
        <f>+'ENCUESTA CONDUCTORES'!I330</f>
        <v>25</v>
      </c>
      <c r="H330" s="15" t="str">
        <f>+'ENCUESTA CONDUCTORES'!J330</f>
        <v>M</v>
      </c>
      <c r="I330" s="15" t="str">
        <f>+'ENCUESTA CONDUCTORES'!K330</f>
        <v>PREPARATORIA</v>
      </c>
      <c r="J330" s="15" t="str">
        <f>+'ENCUESTA CONDUCTORES'!L330</f>
        <v>CHALCO, EDO. MEX.</v>
      </c>
      <c r="K330" s="15" t="str">
        <f>+'ENCUESTA CONDUCTORES'!M330</f>
        <v>CHALCO</v>
      </c>
      <c r="L330" s="15" t="str">
        <f>+'ENCUESTA CONDUCTORES'!N330</f>
        <v>EDO. MEX.</v>
      </c>
      <c r="M330" s="15">
        <f>+'ENCUESTA CONDUCTORES'!O330</f>
        <v>6</v>
      </c>
      <c r="N330" s="15">
        <f>IF('ENCUESTA CONDUCTORES'!P330="X",1,0)</f>
        <v>0</v>
      </c>
      <c r="O330" s="15">
        <f>IF('ENCUESTA CONDUCTORES'!Q330="X",1,0)</f>
        <v>0</v>
      </c>
      <c r="P330" s="15">
        <f>IF('ENCUESTA CONDUCTORES'!R330="X",1,0)</f>
        <v>0</v>
      </c>
      <c r="Q330" s="15">
        <f>IF('ENCUESTA CONDUCTORES'!S330="X",1,0)</f>
        <v>1</v>
      </c>
      <c r="R330" s="15">
        <f>IF('ENCUESTA CONDUCTORES'!T330="X",1,0)</f>
        <v>0</v>
      </c>
      <c r="S330" s="15">
        <f>IF('ENCUESTA CONDUCTORES'!U330="X",1,0)</f>
        <v>1</v>
      </c>
      <c r="T330" s="15">
        <f>IF('ENCUESTA CONDUCTORES'!V330="X",1,0)</f>
        <v>0</v>
      </c>
      <c r="U330" s="15">
        <f>IF('ENCUESTA CONDUCTORES'!W330="X",1,0)</f>
        <v>0</v>
      </c>
      <c r="V330" s="15">
        <f>IF('ENCUESTA CONDUCTORES'!X330="X",1,0)</f>
        <v>0</v>
      </c>
      <c r="W330" s="15">
        <f>IF('ENCUESTA CONDUCTORES'!Y330="X",1,0)</f>
        <v>0</v>
      </c>
      <c r="X330" s="15">
        <f>IF('ENCUESTA CONDUCTORES'!Z330="X",1,0)</f>
        <v>0</v>
      </c>
      <c r="Y330" s="15">
        <f>+'ENCUESTA CONDUCTORES'!AG330</f>
        <v>0</v>
      </c>
      <c r="Z330" s="15">
        <f>+'ENCUESTA CONDUCTORES'!AH330</f>
        <v>1990</v>
      </c>
      <c r="AA330" s="1">
        <f>+'ENCUESTA CONDUCTORES'!AI330</f>
        <v>750000</v>
      </c>
      <c r="AB330" s="15">
        <f>IF('ENCUESTA CONDUCTORES'!AJ330="X",1,0)</f>
        <v>0</v>
      </c>
      <c r="AC330" s="15">
        <f>IF('ENCUESTA CONDUCTORES'!AK330="X",1,0)</f>
        <v>0</v>
      </c>
      <c r="AD330" s="15">
        <f>IF('ENCUESTA CONDUCTORES'!AL330="X",1,0)</f>
        <v>1</v>
      </c>
      <c r="AE330" s="15">
        <f>IF('ENCUESTA CONDUCTORES'!AM330="X",1,0)</f>
        <v>0</v>
      </c>
      <c r="AF330" s="15">
        <f>IF('ENCUESTA CONDUCTORES'!AN330="X",1,0)</f>
        <v>0</v>
      </c>
      <c r="AG330" s="15">
        <f>IF('ENCUESTA CONDUCTORES'!AO330="X",1,0)</f>
        <v>0</v>
      </c>
      <c r="AH330" s="15">
        <f>IF('ENCUESTA CONDUCTORES'!AP330="X",1,0)</f>
        <v>1</v>
      </c>
      <c r="AI330" s="15">
        <f>IF('ENCUESTA CONDUCTORES'!AQ330="X",1,0)</f>
        <v>0</v>
      </c>
      <c r="AJ330" s="15">
        <f>IF('ENCUESTA CONDUCTORES'!AR330="X",1,0)</f>
        <v>0</v>
      </c>
      <c r="AK330" s="15">
        <f>+'ENCUESTA CONDUCTORES'!AS330</f>
        <v>0</v>
      </c>
      <c r="AL330" s="15" t="str">
        <f>+'ENCUESTA CONDUCTORES'!AT330</f>
        <v>KENWORTH</v>
      </c>
      <c r="AM330" s="1">
        <f>+'ENCUESTA CONDUCTORES'!AU330</f>
        <v>6000</v>
      </c>
      <c r="AN330" s="48">
        <f>+'ENCUESTA CONDUCTORES'!AV330</f>
        <v>0.3</v>
      </c>
      <c r="AO330" s="15">
        <f>+'ENCUESTA CONDUCTORES'!AW330</f>
        <v>2.5</v>
      </c>
      <c r="AP330" s="15">
        <f>+'ENCUESTA CONDUCTORES'!AX330</f>
        <v>2.1</v>
      </c>
      <c r="AQ330" s="15">
        <f>+'ENCUESTA CONDUCTORES'!AY330</f>
        <v>1</v>
      </c>
      <c r="AR330" s="15">
        <f>+'ENCUESTA CONDUCTORES'!AZ330</f>
        <v>400</v>
      </c>
      <c r="AS330" s="15">
        <f>+'ENCUESTA CONDUCTORES'!BA330</f>
        <v>1300</v>
      </c>
      <c r="AT330" s="15">
        <f>IF('ENCUESTA CONDUCTORES'!BB330="X",1,0)</f>
        <v>0</v>
      </c>
      <c r="AU330" s="15">
        <f>IF('ENCUESTA CONDUCTORES'!BC330="X",1,0)</f>
        <v>1</v>
      </c>
      <c r="AV330" s="15">
        <f>IF('ENCUESTA CONDUCTORES'!BD330="X",1,0)</f>
        <v>0</v>
      </c>
      <c r="AW330" s="1">
        <f>+'ENCUESTA CONDUCTORES'!BE330</f>
        <v>17000</v>
      </c>
      <c r="AX330" s="1">
        <f>+'ENCUESTA CONDUCTORES'!BF330</f>
        <v>12000</v>
      </c>
      <c r="AY330" s="1">
        <f>+'ENCUESTA CONDUCTORES'!BG330</f>
        <v>42000</v>
      </c>
      <c r="AZ330" s="1" t="str">
        <f>+'ENCUESTA CONDUCTORES'!BH330</f>
        <v>NO SABE</v>
      </c>
      <c r="BA330" s="1">
        <f>+'ENCUESTA CONDUCTORES'!BI330</f>
        <v>42000</v>
      </c>
      <c r="BB330" s="15">
        <f>IF('ENCUESTA CONDUCTORES'!BJ330="X",1,0)</f>
        <v>0</v>
      </c>
      <c r="BC330" s="15">
        <f>IF('ENCUESTA CONDUCTORES'!BK330="X",1,0)</f>
        <v>0</v>
      </c>
      <c r="BD330" s="15">
        <f>IF('ENCUESTA CONDUCTORES'!BL330="X",1,0)</f>
        <v>0</v>
      </c>
      <c r="BE330" s="15">
        <f>IF('ENCUESTA CONDUCTORES'!BM330="X",1,0)</f>
        <v>0</v>
      </c>
      <c r="BF330" s="15">
        <f>IF('ENCUESTA CONDUCTORES'!BN330="X",1,0)</f>
        <v>0</v>
      </c>
      <c r="BG330" s="15">
        <f>IF('ENCUESTA CONDUCTORES'!BO330="X",1,0)</f>
        <v>0</v>
      </c>
      <c r="BH330" s="15">
        <f>IF('ENCUESTA CONDUCTORES'!BP330="X",1,0)</f>
        <v>0</v>
      </c>
      <c r="BI330" s="15">
        <f>IF('ENCUESTA CONDUCTORES'!BQ330="X",1,0)</f>
        <v>0</v>
      </c>
      <c r="BJ330" s="15">
        <f>IF('ENCUESTA CONDUCTORES'!BR330="X",1,0)</f>
        <v>0</v>
      </c>
      <c r="BK330" s="15" t="str">
        <f>+'ENCUESTA CONDUCTORES'!BS330</f>
        <v>BOTELLAS</v>
      </c>
      <c r="BL330" s="15">
        <f>IF('ENCUESTA CONDUCTORES'!BT330="X",1,0)</f>
        <v>0</v>
      </c>
      <c r="BM330" s="15">
        <f>IF('ENCUESTA CONDUCTORES'!BU330="X",1,0)</f>
        <v>0</v>
      </c>
      <c r="BN330" s="15">
        <f>IF('ENCUESTA CONDUCTORES'!BV330="X",1,0)</f>
        <v>1</v>
      </c>
      <c r="BO330" s="15">
        <f>IF('ENCUESTA CONDUCTORES'!BW330="X",1,0)</f>
        <v>0</v>
      </c>
      <c r="BP330" s="15">
        <f>+'ENCUESTA CONDUCTORES'!BX330</f>
        <v>3</v>
      </c>
      <c r="BQ330" s="15">
        <f>+'ENCUESTA CONDUCTORES'!BY330</f>
        <v>2</v>
      </c>
      <c r="BR330" s="15">
        <f>+'ENCUESTA CONDUCTORES'!BZ330</f>
        <v>1</v>
      </c>
      <c r="BS330" s="15">
        <f>+'ENCUESTA CONDUCTORES'!CA330</f>
        <v>0</v>
      </c>
      <c r="BT330" s="15">
        <f>IF('ENCUESTA CONDUCTORES'!CB330="X",1,0)</f>
        <v>1</v>
      </c>
      <c r="BU330" s="15">
        <f>IF('ENCUESTA CONDUCTORES'!CC330="X",1,0)</f>
        <v>0</v>
      </c>
      <c r="BV330" s="15">
        <f>IF('ENCUESTA CONDUCTORES'!CD330="X",1,0)</f>
        <v>0</v>
      </c>
      <c r="BW330" s="15">
        <f>IF('ENCUESTA CONDUCTORES'!CE330="X",1,0)</f>
        <v>0</v>
      </c>
      <c r="BX330" s="15">
        <f>IF('ENCUESTA CONDUCTORES'!CF330="X",1,0)</f>
        <v>0</v>
      </c>
      <c r="BY330" s="15">
        <f>IF('ENCUESTA CONDUCTORES'!CG330="X",1,0)</f>
        <v>0</v>
      </c>
      <c r="BZ330" s="15">
        <f>IF('ENCUESTA CONDUCTORES'!CH330="X",1,0)</f>
        <v>0</v>
      </c>
      <c r="CA330" s="15">
        <f>IF('ENCUESTA CONDUCTORES'!CI330="X",1,0)</f>
        <v>0</v>
      </c>
      <c r="CB330" s="15">
        <f>IF('ENCUESTA CONDUCTORES'!CJ330="X",1,0)</f>
        <v>0</v>
      </c>
      <c r="CC330" s="15">
        <f>IF('ENCUESTA CONDUCTORES'!CK330="X",1,0)</f>
        <v>1</v>
      </c>
      <c r="CD330" s="15">
        <f>IF('ENCUESTA CONDUCTORES'!CL330="X",1,0)</f>
        <v>0</v>
      </c>
      <c r="CE330" s="15">
        <f>IF('ENCUESTA CONDUCTORES'!CM330="X",1,0)</f>
        <v>0</v>
      </c>
      <c r="CF330" s="15">
        <f>+'ENCUESTA CONDUCTORES'!CN330</f>
        <v>0</v>
      </c>
      <c r="CG330" s="15">
        <f>IF('ENCUESTA CONDUCTORES'!CO330="X",1,0)</f>
        <v>0</v>
      </c>
      <c r="CH330" s="15" t="str">
        <f>+'ENCUESTA CONDUCTORES'!CP330</f>
        <v>NO SABE</v>
      </c>
      <c r="CI330" s="15" t="str">
        <f>+'ENCUESTA CONDUCTORES'!CQ330</f>
        <v>NO SABE</v>
      </c>
      <c r="CJ330" s="15">
        <f>IF('ENCUESTA CONDUCTORES'!CR330="X",1,0)</f>
        <v>1</v>
      </c>
      <c r="CK330" s="15">
        <f>IF('ENCUESTA CONDUCTORES'!CS330="X",1,0)</f>
        <v>0</v>
      </c>
      <c r="CL330" s="15">
        <f>IF('ENCUESTA CONDUCTORES'!CT330="X",1,0)</f>
        <v>0</v>
      </c>
      <c r="CM330" s="15">
        <f>+'ENCUESTA CONDUCTORES'!CU330</f>
        <v>0</v>
      </c>
      <c r="CN330" s="15">
        <f>IF('ENCUESTA CONDUCTORES'!CV330="X",1,0)</f>
        <v>1</v>
      </c>
      <c r="CO330" s="15" t="str">
        <f>+'ENCUESTA CONDUCTORES'!CW330</f>
        <v>NO TIENE TIEMPO</v>
      </c>
      <c r="CP330" s="15">
        <f>IF('ENCUESTA CONDUCTORES'!CX330="X",1,0)</f>
        <v>0</v>
      </c>
      <c r="CQ330" s="15">
        <f>IF('ENCUESTA CONDUCTORES'!CY330="X",1,0)</f>
        <v>0</v>
      </c>
      <c r="CR330" s="3">
        <f>+'ENCUESTA CONDUCTORES'!CZ330</f>
        <v>0</v>
      </c>
      <c r="CS330" s="49">
        <f>+'ENCUESTA CONDUCTORES'!DA330</f>
        <v>0</v>
      </c>
    </row>
    <row r="331" spans="2:97" x14ac:dyDescent="0.25">
      <c r="B331" s="14" t="str">
        <f>+'ENCUESTA CONDUCTORES'!D331</f>
        <v>C-342</v>
      </c>
      <c r="C331" s="15">
        <f>IF('ENCUESTA CONDUCTORES'!E331="X",1,0)</f>
        <v>0</v>
      </c>
      <c r="D331" s="15">
        <f>IF('ENCUESTA CONDUCTORES'!F331="X",1,0)</f>
        <v>1</v>
      </c>
      <c r="E331" s="15">
        <f>IF('ENCUESTA CONDUCTORES'!G331="X",1,0)</f>
        <v>0</v>
      </c>
      <c r="F331" s="15">
        <f>IF('ENCUESTA CONDUCTORES'!H331="X",1,0)</f>
        <v>0</v>
      </c>
      <c r="G331" s="15">
        <f>+'ENCUESTA CONDUCTORES'!I331</f>
        <v>62</v>
      </c>
      <c r="H331" s="15" t="str">
        <f>+'ENCUESTA CONDUCTORES'!J331</f>
        <v>M</v>
      </c>
      <c r="I331" s="15" t="str">
        <f>+'ENCUESTA CONDUCTORES'!K331</f>
        <v>PRIMARIA</v>
      </c>
      <c r="J331" s="15" t="str">
        <f>+'ENCUESTA CONDUCTORES'!L331</f>
        <v>CHICOLOAPAN, EDO. MEX.</v>
      </c>
      <c r="K331" s="15" t="str">
        <f>+'ENCUESTA CONDUCTORES'!M331</f>
        <v>CHICOLOAPAN</v>
      </c>
      <c r="L331" s="15" t="str">
        <f>+'ENCUESTA CONDUCTORES'!N331</f>
        <v>EDO. MEX.</v>
      </c>
      <c r="M331" s="15">
        <f>+'ENCUESTA CONDUCTORES'!O331</f>
        <v>29</v>
      </c>
      <c r="N331" s="15">
        <f>IF('ENCUESTA CONDUCTORES'!P331="X",1,0)</f>
        <v>0</v>
      </c>
      <c r="O331" s="15">
        <f>IF('ENCUESTA CONDUCTORES'!Q331="X",1,0)</f>
        <v>0</v>
      </c>
      <c r="P331" s="15">
        <f>IF('ENCUESTA CONDUCTORES'!R331="X",1,0)</f>
        <v>0</v>
      </c>
      <c r="Q331" s="15">
        <f>IF('ENCUESTA CONDUCTORES'!S331="X",1,0)</f>
        <v>1</v>
      </c>
      <c r="R331" s="15">
        <f>IF('ENCUESTA CONDUCTORES'!T331="X",1,0)</f>
        <v>0</v>
      </c>
      <c r="S331" s="15">
        <f>IF('ENCUESTA CONDUCTORES'!U331="X",1,0)</f>
        <v>1</v>
      </c>
      <c r="T331" s="15">
        <f>IF('ENCUESTA CONDUCTORES'!V331="X",1,0)</f>
        <v>0</v>
      </c>
      <c r="U331" s="15">
        <f>IF('ENCUESTA CONDUCTORES'!W331="X",1,0)</f>
        <v>0</v>
      </c>
      <c r="V331" s="15">
        <f>IF('ENCUESTA CONDUCTORES'!X331="X",1,0)</f>
        <v>0</v>
      </c>
      <c r="W331" s="15">
        <f>IF('ENCUESTA CONDUCTORES'!Y331="X",1,0)</f>
        <v>0</v>
      </c>
      <c r="X331" s="15">
        <f>IF('ENCUESTA CONDUCTORES'!Z331="X",1,0)</f>
        <v>0</v>
      </c>
      <c r="Y331" s="15">
        <f>+'ENCUESTA CONDUCTORES'!AG331</f>
        <v>0</v>
      </c>
      <c r="Z331" s="15">
        <f>+'ENCUESTA CONDUCTORES'!AH331</f>
        <v>1986</v>
      </c>
      <c r="AA331" s="1">
        <f>+'ENCUESTA CONDUCTORES'!AI331</f>
        <v>1753000</v>
      </c>
      <c r="AB331" s="15">
        <f>IF('ENCUESTA CONDUCTORES'!AJ331="X",1,0)</f>
        <v>0</v>
      </c>
      <c r="AC331" s="15">
        <f>IF('ENCUESTA CONDUCTORES'!AK331="X",1,0)</f>
        <v>0</v>
      </c>
      <c r="AD331" s="15">
        <f>IF('ENCUESTA CONDUCTORES'!AL331="X",1,0)</f>
        <v>1</v>
      </c>
      <c r="AE331" s="15">
        <f>IF('ENCUESTA CONDUCTORES'!AM331="X",1,0)</f>
        <v>0</v>
      </c>
      <c r="AF331" s="15">
        <f>IF('ENCUESTA CONDUCTORES'!AN331="X",1,0)</f>
        <v>0</v>
      </c>
      <c r="AG331" s="15">
        <f>IF('ENCUESTA CONDUCTORES'!AO331="X",1,0)</f>
        <v>1</v>
      </c>
      <c r="AH331" s="15">
        <f>IF('ENCUESTA CONDUCTORES'!AP331="X",1,0)</f>
        <v>0</v>
      </c>
      <c r="AI331" s="15">
        <f>IF('ENCUESTA CONDUCTORES'!AQ331="X",1,0)</f>
        <v>0</v>
      </c>
      <c r="AJ331" s="15">
        <f>IF('ENCUESTA CONDUCTORES'!AR331="X",1,0)</f>
        <v>0</v>
      </c>
      <c r="AK331" s="15">
        <f>+'ENCUESTA CONDUCTORES'!AS331</f>
        <v>0</v>
      </c>
      <c r="AL331" s="15" t="str">
        <f>+'ENCUESTA CONDUCTORES'!AT331</f>
        <v>INTERNATIONAL</v>
      </c>
      <c r="AM331" s="1">
        <f>+'ENCUESTA CONDUCTORES'!AU331</f>
        <v>9000</v>
      </c>
      <c r="AN331" s="48">
        <f>+'ENCUESTA CONDUCTORES'!AV331</f>
        <v>0.5</v>
      </c>
      <c r="AO331" s="15">
        <f>+'ENCUESTA CONDUCTORES'!AW331</f>
        <v>2.2000000000000002</v>
      </c>
      <c r="AP331" s="15">
        <f>+'ENCUESTA CONDUCTORES'!AX331</f>
        <v>1.8</v>
      </c>
      <c r="AQ331" s="15">
        <f>+'ENCUESTA CONDUCTORES'!AY331</f>
        <v>3</v>
      </c>
      <c r="AR331" s="15">
        <f>+'ENCUESTA CONDUCTORES'!AZ331</f>
        <v>1250</v>
      </c>
      <c r="AS331" s="15">
        <f>+'ENCUESTA CONDUCTORES'!BA331</f>
        <v>2500</v>
      </c>
      <c r="AT331" s="15">
        <f>IF('ENCUESTA CONDUCTORES'!BB331="X",1,0)</f>
        <v>0</v>
      </c>
      <c r="AU331" s="15">
        <f>IF('ENCUESTA CONDUCTORES'!BC331="X",1,0)</f>
        <v>1</v>
      </c>
      <c r="AV331" s="15">
        <f>IF('ENCUESTA CONDUCTORES'!BD331="X",1,0)</f>
        <v>0</v>
      </c>
      <c r="AW331" s="1">
        <f>+'ENCUESTA CONDUCTORES'!BE331</f>
        <v>9000</v>
      </c>
      <c r="AX331" s="1">
        <f>+'ENCUESTA CONDUCTORES'!BF331</f>
        <v>7000</v>
      </c>
      <c r="AY331" s="1">
        <f>+'ENCUESTA CONDUCTORES'!BG331</f>
        <v>40000</v>
      </c>
      <c r="AZ331" s="1">
        <f>+'ENCUESTA CONDUCTORES'!BH331</f>
        <v>200000</v>
      </c>
      <c r="BA331" s="1">
        <f>+'ENCUESTA CONDUCTORES'!BI331</f>
        <v>40000</v>
      </c>
      <c r="BB331" s="15">
        <f>IF('ENCUESTA CONDUCTORES'!BJ331="X",1,0)</f>
        <v>0</v>
      </c>
      <c r="BC331" s="15">
        <f>IF('ENCUESTA CONDUCTORES'!BK331="X",1,0)</f>
        <v>0</v>
      </c>
      <c r="BD331" s="15">
        <f>IF('ENCUESTA CONDUCTORES'!BL331="X",1,0)</f>
        <v>0</v>
      </c>
      <c r="BE331" s="15">
        <f>IF('ENCUESTA CONDUCTORES'!BM331="X",1,0)</f>
        <v>0</v>
      </c>
      <c r="BF331" s="15">
        <f>IF('ENCUESTA CONDUCTORES'!BN331="X",1,0)</f>
        <v>0</v>
      </c>
      <c r="BG331" s="15">
        <f>IF('ENCUESTA CONDUCTORES'!BO331="X",1,0)</f>
        <v>0</v>
      </c>
      <c r="BH331" s="15">
        <f>IF('ENCUESTA CONDUCTORES'!BP331="X",1,0)</f>
        <v>0</v>
      </c>
      <c r="BI331" s="15">
        <f>IF('ENCUESTA CONDUCTORES'!BQ331="X",1,0)</f>
        <v>0</v>
      </c>
      <c r="BJ331" s="15">
        <f>IF('ENCUESTA CONDUCTORES'!BR331="X",1,0)</f>
        <v>0</v>
      </c>
      <c r="BK331" s="15" t="str">
        <f>+'ENCUESTA CONDUCTORES'!BS331</f>
        <v>GENERAL</v>
      </c>
      <c r="BL331" s="15">
        <f>IF('ENCUESTA CONDUCTORES'!BT331="X",1,0)</f>
        <v>0</v>
      </c>
      <c r="BM331" s="15">
        <f>IF('ENCUESTA CONDUCTORES'!BU331="X",1,0)</f>
        <v>0</v>
      </c>
      <c r="BN331" s="15">
        <f>IF('ENCUESTA CONDUCTORES'!BV331="X",1,0)</f>
        <v>1</v>
      </c>
      <c r="BO331" s="15">
        <f>IF('ENCUESTA CONDUCTORES'!BW331="X",1,0)</f>
        <v>0</v>
      </c>
      <c r="BP331" s="15">
        <f>+'ENCUESTA CONDUCTORES'!BX331</f>
        <v>1</v>
      </c>
      <c r="BQ331" s="15">
        <f>+'ENCUESTA CONDUCTORES'!BY331</f>
        <v>2</v>
      </c>
      <c r="BR331" s="15">
        <f>+'ENCUESTA CONDUCTORES'!BZ331</f>
        <v>3</v>
      </c>
      <c r="BS331" s="15">
        <f>+'ENCUESTA CONDUCTORES'!CA331</f>
        <v>0</v>
      </c>
      <c r="BT331" s="15">
        <f>IF('ENCUESTA CONDUCTORES'!CB331="X",1,0)</f>
        <v>1</v>
      </c>
      <c r="BU331" s="15">
        <f>IF('ENCUESTA CONDUCTORES'!CC331="X",1,0)</f>
        <v>0</v>
      </c>
      <c r="BV331" s="15">
        <f>IF('ENCUESTA CONDUCTORES'!CD331="X",1,0)</f>
        <v>0</v>
      </c>
      <c r="BW331" s="15">
        <f>IF('ENCUESTA CONDUCTORES'!CE331="X",1,0)</f>
        <v>0</v>
      </c>
      <c r="BX331" s="15">
        <f>IF('ENCUESTA CONDUCTORES'!CF331="X",1,0)</f>
        <v>0</v>
      </c>
      <c r="BY331" s="15">
        <f>IF('ENCUESTA CONDUCTORES'!CG331="X",1,0)</f>
        <v>0</v>
      </c>
      <c r="BZ331" s="15">
        <f>IF('ENCUESTA CONDUCTORES'!CH331="X",1,0)</f>
        <v>0</v>
      </c>
      <c r="CA331" s="15">
        <f>IF('ENCUESTA CONDUCTORES'!CI331="X",1,0)</f>
        <v>0</v>
      </c>
      <c r="CB331" s="15">
        <f>IF('ENCUESTA CONDUCTORES'!CJ331="X",1,0)</f>
        <v>0</v>
      </c>
      <c r="CC331" s="15">
        <f>IF('ENCUESTA CONDUCTORES'!CK331="X",1,0)</f>
        <v>1</v>
      </c>
      <c r="CD331" s="15">
        <f>IF('ENCUESTA CONDUCTORES'!CL331="X",1,0)</f>
        <v>0</v>
      </c>
      <c r="CE331" s="15">
        <f>IF('ENCUESTA CONDUCTORES'!CM331="X",1,0)</f>
        <v>0</v>
      </c>
      <c r="CF331" s="15">
        <f>+'ENCUESTA CONDUCTORES'!CN331</f>
        <v>0</v>
      </c>
      <c r="CG331" s="15">
        <f>IF('ENCUESTA CONDUCTORES'!CO331="X",1,0)</f>
        <v>0</v>
      </c>
      <c r="CH331" s="15" t="str">
        <f>+'ENCUESTA CONDUCTORES'!CP331</f>
        <v>NO SABE</v>
      </c>
      <c r="CI331" s="15" t="str">
        <f>+'ENCUESTA CONDUCTORES'!CQ331</f>
        <v>NO SABE</v>
      </c>
      <c r="CJ331" s="15">
        <f>IF('ENCUESTA CONDUCTORES'!CR331="X",1,0)</f>
        <v>1</v>
      </c>
      <c r="CK331" s="15">
        <f>IF('ENCUESTA CONDUCTORES'!CS331="X",1,0)</f>
        <v>0</v>
      </c>
      <c r="CL331" s="15">
        <f>IF('ENCUESTA CONDUCTORES'!CT331="X",1,0)</f>
        <v>0</v>
      </c>
      <c r="CM331" s="15">
        <f>+'ENCUESTA CONDUCTORES'!CU331</f>
        <v>0</v>
      </c>
      <c r="CN331" s="15">
        <f>IF('ENCUESTA CONDUCTORES'!CV331="X",1,0)</f>
        <v>0</v>
      </c>
      <c r="CO331" s="15">
        <f>+'ENCUESTA CONDUCTORES'!CW331</f>
        <v>0</v>
      </c>
      <c r="CP331" s="15">
        <f>IF('ENCUESTA CONDUCTORES'!CX331="X",1,0)</f>
        <v>0</v>
      </c>
      <c r="CQ331" s="15">
        <f>IF('ENCUESTA CONDUCTORES'!CY331="X",1,0)</f>
        <v>1</v>
      </c>
      <c r="CR331" s="3">
        <f>+'ENCUESTA CONDUCTORES'!CZ331</f>
        <v>0</v>
      </c>
      <c r="CS331" s="49">
        <f>+'ENCUESTA CONDUCTORES'!DA331</f>
        <v>0</v>
      </c>
    </row>
    <row r="332" spans="2:97" x14ac:dyDescent="0.25">
      <c r="B332" s="14" t="str">
        <f>+'ENCUESTA CONDUCTORES'!D332</f>
        <v>C-343</v>
      </c>
      <c r="C332" s="15">
        <f>IF('ENCUESTA CONDUCTORES'!E332="X",1,0)</f>
        <v>0</v>
      </c>
      <c r="D332" s="15">
        <f>IF('ENCUESTA CONDUCTORES'!F332="X",1,0)</f>
        <v>0</v>
      </c>
      <c r="E332" s="15">
        <f>IF('ENCUESTA CONDUCTORES'!G332="X",1,0)</f>
        <v>1</v>
      </c>
      <c r="F332" s="15">
        <f>IF('ENCUESTA CONDUCTORES'!H332="X",1,0)</f>
        <v>0</v>
      </c>
      <c r="G332" s="15">
        <f>+'ENCUESTA CONDUCTORES'!I332</f>
        <v>50</v>
      </c>
      <c r="H332" s="15" t="str">
        <f>+'ENCUESTA CONDUCTORES'!J332</f>
        <v>M</v>
      </c>
      <c r="I332" s="15" t="str">
        <f>+'ENCUESTA CONDUCTORES'!K332</f>
        <v>PRIMARIA</v>
      </c>
      <c r="J332" s="15" t="str">
        <f>+'ENCUESTA CONDUCTORES'!L332</f>
        <v>NAUCALPAN, EDO. MEX.</v>
      </c>
      <c r="K332" s="15" t="str">
        <f>+'ENCUESTA CONDUCTORES'!M332</f>
        <v>NAUCALPAN</v>
      </c>
      <c r="L332" s="15" t="str">
        <f>+'ENCUESTA CONDUCTORES'!N332</f>
        <v>EDO. MEX.</v>
      </c>
      <c r="M332" s="15">
        <f>+'ENCUESTA CONDUCTORES'!O332</f>
        <v>33</v>
      </c>
      <c r="N332" s="15">
        <f>IF('ENCUESTA CONDUCTORES'!P332="X",1,0)</f>
        <v>1</v>
      </c>
      <c r="O332" s="15">
        <f>IF('ENCUESTA CONDUCTORES'!Q332="X",1,0)</f>
        <v>0</v>
      </c>
      <c r="P332" s="15">
        <f>IF('ENCUESTA CONDUCTORES'!R332="X",1,0)</f>
        <v>0</v>
      </c>
      <c r="Q332" s="15">
        <f>IF('ENCUESTA CONDUCTORES'!S332="X",1,0)</f>
        <v>0</v>
      </c>
      <c r="R332" s="15">
        <f>IF('ENCUESTA CONDUCTORES'!T332="X",1,0)</f>
        <v>0</v>
      </c>
      <c r="S332" s="15">
        <f>IF('ENCUESTA CONDUCTORES'!U332="X",1,0)</f>
        <v>0</v>
      </c>
      <c r="T332" s="15">
        <f>IF('ENCUESTA CONDUCTORES'!V332="X",1,0)</f>
        <v>0</v>
      </c>
      <c r="U332" s="15">
        <f>IF('ENCUESTA CONDUCTORES'!W332="X",1,0)</f>
        <v>0</v>
      </c>
      <c r="V332" s="15">
        <f>IF('ENCUESTA CONDUCTORES'!X332="X",1,0)</f>
        <v>0</v>
      </c>
      <c r="W332" s="15">
        <f>IF('ENCUESTA CONDUCTORES'!Y332="X",1,0)</f>
        <v>0</v>
      </c>
      <c r="X332" s="15">
        <f>IF('ENCUESTA CONDUCTORES'!Z332="X",1,0)</f>
        <v>0</v>
      </c>
      <c r="Y332" s="15">
        <f>+'ENCUESTA CONDUCTORES'!AG332</f>
        <v>0</v>
      </c>
      <c r="Z332" s="15">
        <f>+'ENCUESTA CONDUCTORES'!AH332</f>
        <v>1990</v>
      </c>
      <c r="AA332" s="1">
        <f>+'ENCUESTA CONDUCTORES'!AI332</f>
        <v>985000</v>
      </c>
      <c r="AB332" s="15">
        <f>IF('ENCUESTA CONDUCTORES'!AJ332="X",1,0)</f>
        <v>0</v>
      </c>
      <c r="AC332" s="15">
        <f>IF('ENCUESTA CONDUCTORES'!AK332="X",1,0)</f>
        <v>0</v>
      </c>
      <c r="AD332" s="15">
        <f>IF('ENCUESTA CONDUCTORES'!AL332="X",1,0)</f>
        <v>1</v>
      </c>
      <c r="AE332" s="15">
        <f>IF('ENCUESTA CONDUCTORES'!AM332="X",1,0)</f>
        <v>0</v>
      </c>
      <c r="AF332" s="15">
        <f>IF('ENCUESTA CONDUCTORES'!AN332="X",1,0)</f>
        <v>0</v>
      </c>
      <c r="AG332" s="15">
        <f>IF('ENCUESTA CONDUCTORES'!AO332="X",1,0)</f>
        <v>1</v>
      </c>
      <c r="AH332" s="15">
        <f>IF('ENCUESTA CONDUCTORES'!AP332="X",1,0)</f>
        <v>0</v>
      </c>
      <c r="AI332" s="15">
        <f>IF('ENCUESTA CONDUCTORES'!AQ332="X",1,0)</f>
        <v>0</v>
      </c>
      <c r="AJ332" s="15">
        <f>IF('ENCUESTA CONDUCTORES'!AR332="X",1,0)</f>
        <v>0</v>
      </c>
      <c r="AK332" s="15">
        <f>+'ENCUESTA CONDUCTORES'!AS332</f>
        <v>0</v>
      </c>
      <c r="AL332" s="15" t="str">
        <f>+'ENCUESTA CONDUCTORES'!AT332</f>
        <v>CUMMINS</v>
      </c>
      <c r="AM332" s="1">
        <f>+'ENCUESTA CONDUCTORES'!AU332</f>
        <v>6000</v>
      </c>
      <c r="AN332" s="48">
        <f>+'ENCUESTA CONDUCTORES'!AV332</f>
        <v>0.5</v>
      </c>
      <c r="AO332" s="15">
        <f>+'ENCUESTA CONDUCTORES'!AW332</f>
        <v>2.2000000000000002</v>
      </c>
      <c r="AP332" s="15">
        <f>+'ENCUESTA CONDUCTORES'!AX332</f>
        <v>1.8</v>
      </c>
      <c r="AQ332" s="15">
        <f>+'ENCUESTA CONDUCTORES'!AY332</f>
        <v>2</v>
      </c>
      <c r="AR332" s="15">
        <f>+'ENCUESTA CONDUCTORES'!AZ332</f>
        <v>1150</v>
      </c>
      <c r="AS332" s="15">
        <f>+'ENCUESTA CONDUCTORES'!BA332</f>
        <v>2300</v>
      </c>
      <c r="AT332" s="15">
        <f>IF('ENCUESTA CONDUCTORES'!BB332="X",1,0)</f>
        <v>1</v>
      </c>
      <c r="AU332" s="15">
        <f>IF('ENCUESTA CONDUCTORES'!BC332="X",1,0)</f>
        <v>1</v>
      </c>
      <c r="AV332" s="15">
        <f>IF('ENCUESTA CONDUCTORES'!BD332="X",1,0)</f>
        <v>0</v>
      </c>
      <c r="AW332" s="1">
        <f>+'ENCUESTA CONDUCTORES'!BE332</f>
        <v>12000</v>
      </c>
      <c r="AX332" s="1">
        <f>+'ENCUESTA CONDUCTORES'!BF332</f>
        <v>5000</v>
      </c>
      <c r="AY332" s="1">
        <f>+'ENCUESTA CONDUCTORES'!BG332</f>
        <v>35000</v>
      </c>
      <c r="AZ332" s="1">
        <f>+'ENCUESTA CONDUCTORES'!BH332</f>
        <v>250000</v>
      </c>
      <c r="BA332" s="1">
        <f>+'ENCUESTA CONDUCTORES'!BI332</f>
        <v>35000</v>
      </c>
      <c r="BB332" s="15">
        <f>IF('ENCUESTA CONDUCTORES'!BJ332="X",1,0)</f>
        <v>0</v>
      </c>
      <c r="BC332" s="15">
        <f>IF('ENCUESTA CONDUCTORES'!BK332="X",1,0)</f>
        <v>0</v>
      </c>
      <c r="BD332" s="15">
        <f>IF('ENCUESTA CONDUCTORES'!BL332="X",1,0)</f>
        <v>0</v>
      </c>
      <c r="BE332" s="15">
        <f>IF('ENCUESTA CONDUCTORES'!BM332="X",1,0)</f>
        <v>1</v>
      </c>
      <c r="BF332" s="15">
        <f>IF('ENCUESTA CONDUCTORES'!BN332="X",1,0)</f>
        <v>0</v>
      </c>
      <c r="BG332" s="15">
        <f>IF('ENCUESTA CONDUCTORES'!BO332="X",1,0)</f>
        <v>0</v>
      </c>
      <c r="BH332" s="15">
        <f>IF('ENCUESTA CONDUCTORES'!BP332="X",1,0)</f>
        <v>0</v>
      </c>
      <c r="BI332" s="15">
        <f>IF('ENCUESTA CONDUCTORES'!BQ332="X",1,0)</f>
        <v>0</v>
      </c>
      <c r="BJ332" s="15">
        <f>IF('ENCUESTA CONDUCTORES'!BR332="X",1,0)</f>
        <v>0</v>
      </c>
      <c r="BK332" s="15">
        <f>+'ENCUESTA CONDUCTORES'!BS332</f>
        <v>0</v>
      </c>
      <c r="BL332" s="15">
        <f>IF('ENCUESTA CONDUCTORES'!BT332="X",1,0)</f>
        <v>0</v>
      </c>
      <c r="BM332" s="15">
        <f>IF('ENCUESTA CONDUCTORES'!BU332="X",1,0)</f>
        <v>1</v>
      </c>
      <c r="BN332" s="15">
        <f>IF('ENCUESTA CONDUCTORES'!BV332="X",1,0)</f>
        <v>0</v>
      </c>
      <c r="BO332" s="15">
        <f>IF('ENCUESTA CONDUCTORES'!BW332="X",1,0)</f>
        <v>0</v>
      </c>
      <c r="BP332" s="15">
        <f>+'ENCUESTA CONDUCTORES'!BX332</f>
        <v>1</v>
      </c>
      <c r="BQ332" s="15">
        <f>+'ENCUESTA CONDUCTORES'!BY332</f>
        <v>3</v>
      </c>
      <c r="BR332" s="15">
        <f>+'ENCUESTA CONDUCTORES'!BZ332</f>
        <v>2</v>
      </c>
      <c r="BS332" s="15">
        <f>+'ENCUESTA CONDUCTORES'!CA332</f>
        <v>0</v>
      </c>
      <c r="BT332" s="15">
        <f>IF('ENCUESTA CONDUCTORES'!CB332="X",1,0)</f>
        <v>1</v>
      </c>
      <c r="BU332" s="15">
        <f>IF('ENCUESTA CONDUCTORES'!CC332="X",1,0)</f>
        <v>0</v>
      </c>
      <c r="BV332" s="15">
        <f>IF('ENCUESTA CONDUCTORES'!CD332="X",1,0)</f>
        <v>0</v>
      </c>
      <c r="BW332" s="15">
        <f>IF('ENCUESTA CONDUCTORES'!CE332="X",1,0)</f>
        <v>0</v>
      </c>
      <c r="BX332" s="15">
        <f>IF('ENCUESTA CONDUCTORES'!CF332="X",1,0)</f>
        <v>0</v>
      </c>
      <c r="BY332" s="15">
        <f>IF('ENCUESTA CONDUCTORES'!CG332="X",1,0)</f>
        <v>0</v>
      </c>
      <c r="BZ332" s="15">
        <f>IF('ENCUESTA CONDUCTORES'!CH332="X",1,0)</f>
        <v>0</v>
      </c>
      <c r="CA332" s="15">
        <f>IF('ENCUESTA CONDUCTORES'!CI332="X",1,0)</f>
        <v>0</v>
      </c>
      <c r="CB332" s="15">
        <f>IF('ENCUESTA CONDUCTORES'!CJ332="X",1,0)</f>
        <v>0</v>
      </c>
      <c r="CC332" s="15">
        <f>IF('ENCUESTA CONDUCTORES'!CK332="X",1,0)</f>
        <v>1</v>
      </c>
      <c r="CD332" s="15">
        <f>IF('ENCUESTA CONDUCTORES'!CL332="X",1,0)</f>
        <v>0</v>
      </c>
      <c r="CE332" s="15">
        <f>IF('ENCUESTA CONDUCTORES'!CM332="X",1,0)</f>
        <v>0</v>
      </c>
      <c r="CF332" s="15">
        <f>+'ENCUESTA CONDUCTORES'!CN332</f>
        <v>0</v>
      </c>
      <c r="CG332" s="15">
        <f>IF('ENCUESTA CONDUCTORES'!CO332="X",1,0)</f>
        <v>0</v>
      </c>
      <c r="CH332" s="15" t="str">
        <f>+'ENCUESTA CONDUCTORES'!CP332</f>
        <v>NO SABE</v>
      </c>
      <c r="CI332" s="15" t="str">
        <f>+'ENCUESTA CONDUCTORES'!CQ332</f>
        <v>NO SABE</v>
      </c>
      <c r="CJ332" s="15">
        <f>IF('ENCUESTA CONDUCTORES'!CR332="X",1,0)</f>
        <v>0</v>
      </c>
      <c r="CK332" s="15">
        <f>IF('ENCUESTA CONDUCTORES'!CS332="X",1,0)</f>
        <v>0</v>
      </c>
      <c r="CL332" s="15">
        <f>IF('ENCUESTA CONDUCTORES'!CT332="X",1,0)</f>
        <v>0</v>
      </c>
      <c r="CM332" s="15" t="str">
        <f>+'ENCUESTA CONDUCTORES'!CU332</f>
        <v>MANEJO A LA DEFENSIVA</v>
      </c>
      <c r="CN332" s="15">
        <f>IF('ENCUESTA CONDUCTORES'!CV332="X",1,0)</f>
        <v>1</v>
      </c>
      <c r="CO332" s="15" t="str">
        <f>+'ENCUESTA CONDUCTORES'!CW332</f>
        <v>NO TIENE TIEMPO</v>
      </c>
      <c r="CP332" s="15">
        <f>IF('ENCUESTA CONDUCTORES'!CX332="X",1,0)</f>
        <v>0</v>
      </c>
      <c r="CQ332" s="15">
        <f>IF('ENCUESTA CONDUCTORES'!CY332="X",1,0)</f>
        <v>0</v>
      </c>
      <c r="CR332" s="3">
        <f>+'ENCUESTA CONDUCTORES'!CZ332</f>
        <v>0</v>
      </c>
      <c r="CS332" s="49">
        <f>+'ENCUESTA CONDUCTORES'!DA332</f>
        <v>0</v>
      </c>
    </row>
    <row r="333" spans="2:97" x14ac:dyDescent="0.25">
      <c r="B333" s="14" t="str">
        <f>+'ENCUESTA CONDUCTORES'!D333</f>
        <v>C-344</v>
      </c>
      <c r="C333" s="15">
        <f>IF('ENCUESTA CONDUCTORES'!E333="X",1,0)</f>
        <v>0</v>
      </c>
      <c r="D333" s="15">
        <f>IF('ENCUESTA CONDUCTORES'!F333="X",1,0)</f>
        <v>0</v>
      </c>
      <c r="E333" s="15">
        <f>IF('ENCUESTA CONDUCTORES'!G333="X",1,0)</f>
        <v>1</v>
      </c>
      <c r="F333" s="15">
        <f>IF('ENCUESTA CONDUCTORES'!H333="X",1,0)</f>
        <v>0</v>
      </c>
      <c r="G333" s="15">
        <f>+'ENCUESTA CONDUCTORES'!I333</f>
        <v>47</v>
      </c>
      <c r="H333" s="15" t="str">
        <f>+'ENCUESTA CONDUCTORES'!J333</f>
        <v>M</v>
      </c>
      <c r="I333" s="15" t="str">
        <f>+'ENCUESTA CONDUCTORES'!K333</f>
        <v>PRIMARIA</v>
      </c>
      <c r="J333" s="15" t="str">
        <f>+'ENCUESTA CONDUCTORES'!L333</f>
        <v>AZCAPOTZALCO, D.F.</v>
      </c>
      <c r="K333" s="15" t="str">
        <f>+'ENCUESTA CONDUCTORES'!M333</f>
        <v>AZCAPOTZALCO</v>
      </c>
      <c r="L333" s="15" t="str">
        <f>+'ENCUESTA CONDUCTORES'!N333</f>
        <v>D.F.</v>
      </c>
      <c r="M333" s="15">
        <f>+'ENCUESTA CONDUCTORES'!O333</f>
        <v>25</v>
      </c>
      <c r="N333" s="15">
        <f>IF('ENCUESTA CONDUCTORES'!P333="X",1,0)</f>
        <v>0</v>
      </c>
      <c r="O333" s="15">
        <f>IF('ENCUESTA CONDUCTORES'!Q333="X",1,0)</f>
        <v>0</v>
      </c>
      <c r="P333" s="15">
        <f>IF('ENCUESTA CONDUCTORES'!R333="X",1,0)</f>
        <v>0</v>
      </c>
      <c r="Q333" s="15">
        <f>IF('ENCUESTA CONDUCTORES'!S333="X",1,0)</f>
        <v>1</v>
      </c>
      <c r="R333" s="15">
        <f>IF('ENCUESTA CONDUCTORES'!T333="X",1,0)</f>
        <v>0</v>
      </c>
      <c r="S333" s="15">
        <f>IF('ENCUESTA CONDUCTORES'!U333="X",1,0)</f>
        <v>0</v>
      </c>
      <c r="T333" s="15">
        <f>IF('ENCUESTA CONDUCTORES'!V333="X",1,0)</f>
        <v>0</v>
      </c>
      <c r="U333" s="15">
        <f>IF('ENCUESTA CONDUCTORES'!W333="X",1,0)</f>
        <v>0</v>
      </c>
      <c r="V333" s="15">
        <f>IF('ENCUESTA CONDUCTORES'!X333="X",1,0)</f>
        <v>0</v>
      </c>
      <c r="W333" s="15">
        <f>IF('ENCUESTA CONDUCTORES'!Y333="X",1,0)</f>
        <v>0</v>
      </c>
      <c r="X333" s="15">
        <f>IF('ENCUESTA CONDUCTORES'!Z333="X",1,0)</f>
        <v>0</v>
      </c>
      <c r="Y333" s="15">
        <f>+'ENCUESTA CONDUCTORES'!AG333</f>
        <v>0</v>
      </c>
      <c r="Z333" s="15">
        <f>+'ENCUESTA CONDUCTORES'!AH333</f>
        <v>1987</v>
      </c>
      <c r="AA333" s="1">
        <f>+'ENCUESTA CONDUCTORES'!AI333</f>
        <v>1200000</v>
      </c>
      <c r="AB333" s="15">
        <f>IF('ENCUESTA CONDUCTORES'!AJ333="X",1,0)</f>
        <v>0</v>
      </c>
      <c r="AC333" s="15">
        <f>IF('ENCUESTA CONDUCTORES'!AK333="X",1,0)</f>
        <v>0</v>
      </c>
      <c r="AD333" s="15">
        <f>IF('ENCUESTA CONDUCTORES'!AL333="X",1,0)</f>
        <v>1</v>
      </c>
      <c r="AE333" s="15">
        <f>IF('ENCUESTA CONDUCTORES'!AM333="X",1,0)</f>
        <v>0</v>
      </c>
      <c r="AF333" s="15">
        <f>IF('ENCUESTA CONDUCTORES'!AN333="X",1,0)</f>
        <v>0</v>
      </c>
      <c r="AG333" s="15">
        <f>IF('ENCUESTA CONDUCTORES'!AO333="X",1,0)</f>
        <v>0</v>
      </c>
      <c r="AH333" s="15">
        <f>IF('ENCUESTA CONDUCTORES'!AP333="X",1,0)</f>
        <v>1</v>
      </c>
      <c r="AI333" s="15">
        <f>IF('ENCUESTA CONDUCTORES'!AQ333="X",1,0)</f>
        <v>0</v>
      </c>
      <c r="AJ333" s="15">
        <f>IF('ENCUESTA CONDUCTORES'!AR333="X",1,0)</f>
        <v>0</v>
      </c>
      <c r="AK333" s="15">
        <f>+'ENCUESTA CONDUCTORES'!AS333</f>
        <v>0</v>
      </c>
      <c r="AL333" s="15" t="str">
        <f>+'ENCUESTA CONDUCTORES'!AT333</f>
        <v>KENWORTH</v>
      </c>
      <c r="AM333" s="1">
        <f>+'ENCUESTA CONDUCTORES'!AU333</f>
        <v>9000</v>
      </c>
      <c r="AN333" s="48">
        <f>+'ENCUESTA CONDUCTORES'!AV333</f>
        <v>0.5</v>
      </c>
      <c r="AO333" s="15">
        <f>+'ENCUESTA CONDUCTORES'!AW333</f>
        <v>2.2999999999999998</v>
      </c>
      <c r="AP333" s="15">
        <f>+'ENCUESTA CONDUCTORES'!AX333</f>
        <v>2</v>
      </c>
      <c r="AQ333" s="15">
        <f>+'ENCUESTA CONDUCTORES'!AY333</f>
        <v>2</v>
      </c>
      <c r="AR333" s="15">
        <f>+'ENCUESTA CONDUCTORES'!AZ333</f>
        <v>950</v>
      </c>
      <c r="AS333" s="15">
        <f>+'ENCUESTA CONDUCTORES'!BA333</f>
        <v>2000</v>
      </c>
      <c r="AT333" s="15">
        <f>IF('ENCUESTA CONDUCTORES'!BB333="X",1,0)</f>
        <v>0</v>
      </c>
      <c r="AU333" s="15">
        <f>IF('ENCUESTA CONDUCTORES'!BC333="X",1,0)</f>
        <v>0</v>
      </c>
      <c r="AV333" s="15">
        <f>IF('ENCUESTA CONDUCTORES'!BD333="X",1,0)</f>
        <v>0</v>
      </c>
      <c r="AW333" s="1">
        <f>+'ENCUESTA CONDUCTORES'!BE333</f>
        <v>6000</v>
      </c>
      <c r="AX333" s="1">
        <f>+'ENCUESTA CONDUCTORES'!BF333</f>
        <v>12000</v>
      </c>
      <c r="AY333" s="1">
        <f>+'ENCUESTA CONDUCTORES'!BG333</f>
        <v>30000</v>
      </c>
      <c r="AZ333" s="1">
        <f>+'ENCUESTA CONDUCTORES'!BH333</f>
        <v>120000</v>
      </c>
      <c r="BA333" s="1">
        <f>+'ENCUESTA CONDUCTORES'!BI333</f>
        <v>30000</v>
      </c>
      <c r="BB333" s="15">
        <f>IF('ENCUESTA CONDUCTORES'!BJ333="X",1,0)</f>
        <v>0</v>
      </c>
      <c r="BC333" s="15">
        <f>IF('ENCUESTA CONDUCTORES'!BK333="X",1,0)</f>
        <v>0</v>
      </c>
      <c r="BD333" s="15">
        <f>IF('ENCUESTA CONDUCTORES'!BL333="X",1,0)</f>
        <v>0</v>
      </c>
      <c r="BE333" s="15">
        <f>IF('ENCUESTA CONDUCTORES'!BM333="X",1,0)</f>
        <v>1</v>
      </c>
      <c r="BF333" s="15">
        <f>IF('ENCUESTA CONDUCTORES'!BN333="X",1,0)</f>
        <v>0</v>
      </c>
      <c r="BG333" s="15">
        <f>IF('ENCUESTA CONDUCTORES'!BO333="X",1,0)</f>
        <v>0</v>
      </c>
      <c r="BH333" s="15">
        <f>IF('ENCUESTA CONDUCTORES'!BP333="X",1,0)</f>
        <v>0</v>
      </c>
      <c r="BI333" s="15">
        <f>IF('ENCUESTA CONDUCTORES'!BQ333="X",1,0)</f>
        <v>0</v>
      </c>
      <c r="BJ333" s="15">
        <f>IF('ENCUESTA CONDUCTORES'!BR333="X",1,0)</f>
        <v>0</v>
      </c>
      <c r="BK333" s="15">
        <f>+'ENCUESTA CONDUCTORES'!BS333</f>
        <v>0</v>
      </c>
      <c r="BL333" s="15">
        <f>IF('ENCUESTA CONDUCTORES'!BT333="X",1,0)</f>
        <v>0</v>
      </c>
      <c r="BM333" s="15">
        <f>IF('ENCUESTA CONDUCTORES'!BU333="X",1,0)</f>
        <v>1</v>
      </c>
      <c r="BN333" s="15">
        <f>IF('ENCUESTA CONDUCTORES'!BV333="X",1,0)</f>
        <v>0</v>
      </c>
      <c r="BO333" s="15">
        <f>IF('ENCUESTA CONDUCTORES'!BW333="X",1,0)</f>
        <v>0</v>
      </c>
      <c r="BP333" s="15">
        <f>+'ENCUESTA CONDUCTORES'!BX333</f>
        <v>1</v>
      </c>
      <c r="BQ333" s="15">
        <f>+'ENCUESTA CONDUCTORES'!BY333</f>
        <v>2</v>
      </c>
      <c r="BR333" s="15">
        <f>+'ENCUESTA CONDUCTORES'!BZ333</f>
        <v>3</v>
      </c>
      <c r="BS333" s="15">
        <f>+'ENCUESTA CONDUCTORES'!CA333</f>
        <v>0</v>
      </c>
      <c r="BT333" s="15">
        <f>IF('ENCUESTA CONDUCTORES'!CB333="X",1,0)</f>
        <v>1</v>
      </c>
      <c r="BU333" s="15">
        <f>IF('ENCUESTA CONDUCTORES'!CC333="X",1,0)</f>
        <v>0</v>
      </c>
      <c r="BV333" s="15">
        <f>IF('ENCUESTA CONDUCTORES'!CD333="X",1,0)</f>
        <v>0</v>
      </c>
      <c r="BW333" s="15">
        <f>IF('ENCUESTA CONDUCTORES'!CE333="X",1,0)</f>
        <v>0</v>
      </c>
      <c r="BX333" s="15">
        <f>IF('ENCUESTA CONDUCTORES'!CF333="X",1,0)</f>
        <v>0</v>
      </c>
      <c r="BY333" s="15">
        <f>IF('ENCUESTA CONDUCTORES'!CG333="X",1,0)</f>
        <v>0</v>
      </c>
      <c r="BZ333" s="15">
        <f>IF('ENCUESTA CONDUCTORES'!CH333="X",1,0)</f>
        <v>0</v>
      </c>
      <c r="CA333" s="15">
        <f>IF('ENCUESTA CONDUCTORES'!CI333="X",1,0)</f>
        <v>0</v>
      </c>
      <c r="CB333" s="15">
        <f>IF('ENCUESTA CONDUCTORES'!CJ333="X",1,0)</f>
        <v>0</v>
      </c>
      <c r="CC333" s="15">
        <f>IF('ENCUESTA CONDUCTORES'!CK333="X",1,0)</f>
        <v>1</v>
      </c>
      <c r="CD333" s="15">
        <f>IF('ENCUESTA CONDUCTORES'!CL333="X",1,0)</f>
        <v>0</v>
      </c>
      <c r="CE333" s="15">
        <f>IF('ENCUESTA CONDUCTORES'!CM333="X",1,0)</f>
        <v>0</v>
      </c>
      <c r="CF333" s="15">
        <f>+'ENCUESTA CONDUCTORES'!CN333</f>
        <v>0</v>
      </c>
      <c r="CG333" s="15">
        <f>IF('ENCUESTA CONDUCTORES'!CO333="X",1,0)</f>
        <v>0</v>
      </c>
      <c r="CH333" s="15" t="str">
        <f>+'ENCUESTA CONDUCTORES'!CP333</f>
        <v>NO SABE</v>
      </c>
      <c r="CI333" s="15" t="str">
        <f>+'ENCUESTA CONDUCTORES'!CQ333</f>
        <v>NO SABE</v>
      </c>
      <c r="CJ333" s="15">
        <f>IF('ENCUESTA CONDUCTORES'!CR333="X",1,0)</f>
        <v>1</v>
      </c>
      <c r="CK333" s="15">
        <f>IF('ENCUESTA CONDUCTORES'!CS333="X",1,0)</f>
        <v>0</v>
      </c>
      <c r="CL333" s="15">
        <f>IF('ENCUESTA CONDUCTORES'!CT333="X",1,0)</f>
        <v>0</v>
      </c>
      <c r="CM333" s="15">
        <f>+'ENCUESTA CONDUCTORES'!CU333</f>
        <v>0</v>
      </c>
      <c r="CN333" s="15">
        <f>IF('ENCUESTA CONDUCTORES'!CV333="X",1,0)</f>
        <v>1</v>
      </c>
      <c r="CO333" s="15" t="str">
        <f>+'ENCUESTA CONDUCTORES'!CW333</f>
        <v>NO TIENE TIEMPO</v>
      </c>
      <c r="CP333" s="15">
        <f>IF('ENCUESTA CONDUCTORES'!CX333="X",1,0)</f>
        <v>0</v>
      </c>
      <c r="CQ333" s="15">
        <f>IF('ENCUESTA CONDUCTORES'!CY333="X",1,0)</f>
        <v>0</v>
      </c>
      <c r="CR333" s="3">
        <f>+'ENCUESTA CONDUCTORES'!CZ333</f>
        <v>0</v>
      </c>
      <c r="CS333" s="49">
        <f>+'ENCUESTA CONDUCTORES'!DA333</f>
        <v>0</v>
      </c>
    </row>
    <row r="334" spans="2:97" x14ac:dyDescent="0.25">
      <c r="B334" s="14" t="str">
        <f>+'ENCUESTA CONDUCTORES'!D334</f>
        <v>C-345</v>
      </c>
      <c r="C334" s="15">
        <f>IF('ENCUESTA CONDUCTORES'!E334="X",1,0)</f>
        <v>0</v>
      </c>
      <c r="D334" s="15">
        <f>IF('ENCUESTA CONDUCTORES'!F334="X",1,0)</f>
        <v>0</v>
      </c>
      <c r="E334" s="15">
        <f>IF('ENCUESTA CONDUCTORES'!G334="X",1,0)</f>
        <v>0</v>
      </c>
      <c r="F334" s="15">
        <f>IF('ENCUESTA CONDUCTORES'!H334="X",1,0)</f>
        <v>1</v>
      </c>
      <c r="G334" s="15">
        <f>+'ENCUESTA CONDUCTORES'!I334</f>
        <v>33</v>
      </c>
      <c r="H334" s="15" t="str">
        <f>+'ENCUESTA CONDUCTORES'!J334</f>
        <v>M</v>
      </c>
      <c r="I334" s="15" t="str">
        <f>+'ENCUESTA CONDUCTORES'!K334</f>
        <v>SECUNDARIA</v>
      </c>
      <c r="J334" s="15" t="str">
        <f>+'ENCUESTA CONDUCTORES'!L334</f>
        <v>IZTAPALAPA, D.F.</v>
      </c>
      <c r="K334" s="15" t="str">
        <f>+'ENCUESTA CONDUCTORES'!M334</f>
        <v>IZTAPALAPA</v>
      </c>
      <c r="L334" s="15" t="str">
        <f>+'ENCUESTA CONDUCTORES'!N334</f>
        <v>D.F.</v>
      </c>
      <c r="M334" s="15">
        <f>+'ENCUESTA CONDUCTORES'!O334</f>
        <v>16</v>
      </c>
      <c r="N334" s="15">
        <f>IF('ENCUESTA CONDUCTORES'!P334="X",1,0)</f>
        <v>0</v>
      </c>
      <c r="O334" s="15">
        <f>IF('ENCUESTA CONDUCTORES'!Q334="X",1,0)</f>
        <v>0</v>
      </c>
      <c r="P334" s="15">
        <f>IF('ENCUESTA CONDUCTORES'!R334="X",1,0)</f>
        <v>0</v>
      </c>
      <c r="Q334" s="15">
        <f>IF('ENCUESTA CONDUCTORES'!S334="X",1,0)</f>
        <v>1</v>
      </c>
      <c r="R334" s="15">
        <f>IF('ENCUESTA CONDUCTORES'!T334="X",1,0)</f>
        <v>0</v>
      </c>
      <c r="S334" s="15">
        <f>IF('ENCUESTA CONDUCTORES'!U334="X",1,0)</f>
        <v>0</v>
      </c>
      <c r="T334" s="15">
        <f>IF('ENCUESTA CONDUCTORES'!V334="X",1,0)</f>
        <v>0</v>
      </c>
      <c r="U334" s="15">
        <f>IF('ENCUESTA CONDUCTORES'!W334="X",1,0)</f>
        <v>0</v>
      </c>
      <c r="V334" s="15">
        <f>IF('ENCUESTA CONDUCTORES'!X334="X",1,0)</f>
        <v>0</v>
      </c>
      <c r="W334" s="15">
        <f>IF('ENCUESTA CONDUCTORES'!Y334="X",1,0)</f>
        <v>0</v>
      </c>
      <c r="X334" s="15">
        <f>IF('ENCUESTA CONDUCTORES'!Z334="X",1,0)</f>
        <v>0</v>
      </c>
      <c r="Y334" s="15">
        <f>+'ENCUESTA CONDUCTORES'!AG334</f>
        <v>0</v>
      </c>
      <c r="Z334" s="15">
        <f>+'ENCUESTA CONDUCTORES'!AH334</f>
        <v>1986</v>
      </c>
      <c r="AA334" s="1">
        <f>+'ENCUESTA CONDUCTORES'!AI334</f>
        <v>1753625</v>
      </c>
      <c r="AB334" s="15">
        <f>IF('ENCUESTA CONDUCTORES'!AJ334="X",1,0)</f>
        <v>0</v>
      </c>
      <c r="AC334" s="15">
        <f>IF('ENCUESTA CONDUCTORES'!AK334="X",1,0)</f>
        <v>0</v>
      </c>
      <c r="AD334" s="15">
        <f>IF('ENCUESTA CONDUCTORES'!AL334="X",1,0)</f>
        <v>1</v>
      </c>
      <c r="AE334" s="15">
        <f>IF('ENCUESTA CONDUCTORES'!AM334="X",1,0)</f>
        <v>0</v>
      </c>
      <c r="AF334" s="15">
        <f>IF('ENCUESTA CONDUCTORES'!AN334="X",1,0)</f>
        <v>0</v>
      </c>
      <c r="AG334" s="15">
        <f>IF('ENCUESTA CONDUCTORES'!AO334="X",1,0)</f>
        <v>0</v>
      </c>
      <c r="AH334" s="15">
        <f>IF('ENCUESTA CONDUCTORES'!AP334="X",1,0)</f>
        <v>1</v>
      </c>
      <c r="AI334" s="15">
        <f>IF('ENCUESTA CONDUCTORES'!AQ334="X",1,0)</f>
        <v>0</v>
      </c>
      <c r="AJ334" s="15">
        <f>IF('ENCUESTA CONDUCTORES'!AR334="X",1,0)</f>
        <v>0</v>
      </c>
      <c r="AK334" s="15">
        <f>+'ENCUESTA CONDUCTORES'!AS334</f>
        <v>0</v>
      </c>
      <c r="AL334" s="15" t="str">
        <f>+'ENCUESTA CONDUCTORES'!AT334</f>
        <v>CUMMINS</v>
      </c>
      <c r="AM334" s="1">
        <f>+'ENCUESTA CONDUCTORES'!AU334</f>
        <v>7500</v>
      </c>
      <c r="AN334" s="48">
        <f>+'ENCUESTA CONDUCTORES'!AV334</f>
        <v>0.3</v>
      </c>
      <c r="AO334" s="15">
        <f>+'ENCUESTA CONDUCTORES'!AW334</f>
        <v>2</v>
      </c>
      <c r="AP334" s="15">
        <f>+'ENCUESTA CONDUCTORES'!AX334</f>
        <v>1.7</v>
      </c>
      <c r="AQ334" s="15">
        <f>+'ENCUESTA CONDUCTORES'!AY334</f>
        <v>2</v>
      </c>
      <c r="AR334" s="15">
        <f>+'ENCUESTA CONDUCTORES'!AZ334</f>
        <v>1300</v>
      </c>
      <c r="AS334" s="15">
        <f>+'ENCUESTA CONDUCTORES'!BA334</f>
        <v>2500</v>
      </c>
      <c r="AT334" s="15">
        <f>IF('ENCUESTA CONDUCTORES'!BB334="X",1,0)</f>
        <v>0</v>
      </c>
      <c r="AU334" s="15">
        <f>IF('ENCUESTA CONDUCTORES'!BC334="X",1,0)</f>
        <v>0</v>
      </c>
      <c r="AV334" s="15">
        <f>IF('ENCUESTA CONDUCTORES'!BD334="X",1,0)</f>
        <v>0</v>
      </c>
      <c r="AW334" s="1">
        <f>+'ENCUESTA CONDUCTORES'!BE334</f>
        <v>12000</v>
      </c>
      <c r="AX334" s="1">
        <f>+'ENCUESTA CONDUCTORES'!BF334</f>
        <v>10000</v>
      </c>
      <c r="AY334" s="1">
        <f>+'ENCUESTA CONDUCTORES'!BG334</f>
        <v>25000</v>
      </c>
      <c r="AZ334" s="1" t="str">
        <f>+'ENCUESTA CONDUCTORES'!BH334</f>
        <v>NO SABE</v>
      </c>
      <c r="BA334" s="1">
        <f>+'ENCUESTA CONDUCTORES'!BI334</f>
        <v>25000</v>
      </c>
      <c r="BB334" s="15">
        <f>IF('ENCUESTA CONDUCTORES'!BJ334="X",1,0)</f>
        <v>0</v>
      </c>
      <c r="BC334" s="15">
        <f>IF('ENCUESTA CONDUCTORES'!BK334="X",1,0)</f>
        <v>0</v>
      </c>
      <c r="BD334" s="15">
        <f>IF('ENCUESTA CONDUCTORES'!BL334="X",1,0)</f>
        <v>0</v>
      </c>
      <c r="BE334" s="15">
        <f>IF('ENCUESTA CONDUCTORES'!BM334="X",1,0)</f>
        <v>1</v>
      </c>
      <c r="BF334" s="15">
        <f>IF('ENCUESTA CONDUCTORES'!BN334="X",1,0)</f>
        <v>0</v>
      </c>
      <c r="BG334" s="15">
        <f>IF('ENCUESTA CONDUCTORES'!BO334="X",1,0)</f>
        <v>0</v>
      </c>
      <c r="BH334" s="15">
        <f>IF('ENCUESTA CONDUCTORES'!BP334="X",1,0)</f>
        <v>0</v>
      </c>
      <c r="BI334" s="15">
        <f>IF('ENCUESTA CONDUCTORES'!BQ334="X",1,0)</f>
        <v>0</v>
      </c>
      <c r="BJ334" s="15">
        <f>IF('ENCUESTA CONDUCTORES'!BR334="X",1,0)</f>
        <v>0</v>
      </c>
      <c r="BK334" s="15">
        <f>+'ENCUESTA CONDUCTORES'!BS334</f>
        <v>0</v>
      </c>
      <c r="BL334" s="15">
        <f>IF('ENCUESTA CONDUCTORES'!BT334="X",1,0)</f>
        <v>0</v>
      </c>
      <c r="BM334" s="15">
        <f>IF('ENCUESTA CONDUCTORES'!BU334="X",1,0)</f>
        <v>0</v>
      </c>
      <c r="BN334" s="15">
        <f>IF('ENCUESTA CONDUCTORES'!BV334="X",1,0)</f>
        <v>1</v>
      </c>
      <c r="BO334" s="15">
        <f>IF('ENCUESTA CONDUCTORES'!BW334="X",1,0)</f>
        <v>0</v>
      </c>
      <c r="BP334" s="15">
        <f>+'ENCUESTA CONDUCTORES'!BX334</f>
        <v>1</v>
      </c>
      <c r="BQ334" s="15">
        <f>+'ENCUESTA CONDUCTORES'!BY334</f>
        <v>3</v>
      </c>
      <c r="BR334" s="15">
        <f>+'ENCUESTA CONDUCTORES'!BZ334</f>
        <v>2</v>
      </c>
      <c r="BS334" s="15">
        <f>+'ENCUESTA CONDUCTORES'!CA334</f>
        <v>0</v>
      </c>
      <c r="BT334" s="15">
        <f>IF('ENCUESTA CONDUCTORES'!CB334="X",1,0)</f>
        <v>1</v>
      </c>
      <c r="BU334" s="15">
        <f>IF('ENCUESTA CONDUCTORES'!CC334="X",1,0)</f>
        <v>0</v>
      </c>
      <c r="BV334" s="15">
        <f>IF('ENCUESTA CONDUCTORES'!CD334="X",1,0)</f>
        <v>0</v>
      </c>
      <c r="BW334" s="15">
        <f>IF('ENCUESTA CONDUCTORES'!CE334="X",1,0)</f>
        <v>0</v>
      </c>
      <c r="BX334" s="15">
        <f>IF('ENCUESTA CONDUCTORES'!CF334="X",1,0)</f>
        <v>0</v>
      </c>
      <c r="BY334" s="15">
        <f>IF('ENCUESTA CONDUCTORES'!CG334="X",1,0)</f>
        <v>0</v>
      </c>
      <c r="BZ334" s="15">
        <f>IF('ENCUESTA CONDUCTORES'!CH334="X",1,0)</f>
        <v>0</v>
      </c>
      <c r="CA334" s="15">
        <f>IF('ENCUESTA CONDUCTORES'!CI334="X",1,0)</f>
        <v>0</v>
      </c>
      <c r="CB334" s="15">
        <f>IF('ENCUESTA CONDUCTORES'!CJ334="X",1,0)</f>
        <v>0</v>
      </c>
      <c r="CC334" s="15">
        <f>IF('ENCUESTA CONDUCTORES'!CK334="X",1,0)</f>
        <v>1</v>
      </c>
      <c r="CD334" s="15">
        <f>IF('ENCUESTA CONDUCTORES'!CL334="X",1,0)</f>
        <v>0</v>
      </c>
      <c r="CE334" s="15">
        <f>IF('ENCUESTA CONDUCTORES'!CM334="X",1,0)</f>
        <v>0</v>
      </c>
      <c r="CF334" s="15">
        <f>+'ENCUESTA CONDUCTORES'!CN334</f>
        <v>0</v>
      </c>
      <c r="CG334" s="15">
        <f>IF('ENCUESTA CONDUCTORES'!CO334="X",1,0)</f>
        <v>0</v>
      </c>
      <c r="CH334" s="15" t="str">
        <f>+'ENCUESTA CONDUCTORES'!CP334</f>
        <v>NO SABE</v>
      </c>
      <c r="CI334" s="15" t="str">
        <f>+'ENCUESTA CONDUCTORES'!CQ334</f>
        <v>NO SABE</v>
      </c>
      <c r="CJ334" s="15">
        <f>IF('ENCUESTA CONDUCTORES'!CR334="X",1,0)</f>
        <v>1</v>
      </c>
      <c r="CK334" s="15">
        <f>IF('ENCUESTA CONDUCTORES'!CS334="X",1,0)</f>
        <v>0</v>
      </c>
      <c r="CL334" s="15">
        <f>IF('ENCUESTA CONDUCTORES'!CT334="X",1,0)</f>
        <v>0</v>
      </c>
      <c r="CM334" s="15">
        <f>+'ENCUESTA CONDUCTORES'!CU334</f>
        <v>0</v>
      </c>
      <c r="CN334" s="15">
        <f>IF('ENCUESTA CONDUCTORES'!CV334="X",1,0)</f>
        <v>1</v>
      </c>
      <c r="CO334" s="15" t="str">
        <f>+'ENCUESTA CONDUCTORES'!CW334</f>
        <v>NO TIENE TIEMPO</v>
      </c>
      <c r="CP334" s="15">
        <f>IF('ENCUESTA CONDUCTORES'!CX334="X",1,0)</f>
        <v>0</v>
      </c>
      <c r="CQ334" s="15">
        <f>IF('ENCUESTA CONDUCTORES'!CY334="X",1,0)</f>
        <v>0</v>
      </c>
      <c r="CR334" s="3">
        <f>+'ENCUESTA CONDUCTORES'!CZ334</f>
        <v>0</v>
      </c>
      <c r="CS334" s="49">
        <f>+'ENCUESTA CONDUCTORES'!DA334</f>
        <v>0</v>
      </c>
    </row>
    <row r="335" spans="2:97" x14ac:dyDescent="0.25">
      <c r="B335" s="14" t="str">
        <f>+'ENCUESTA CONDUCTORES'!D335</f>
        <v>C-346</v>
      </c>
      <c r="C335" s="15">
        <f>IF('ENCUESTA CONDUCTORES'!E335="X",1,0)</f>
        <v>0</v>
      </c>
      <c r="D335" s="15">
        <f>IF('ENCUESTA CONDUCTORES'!F335="X",1,0)</f>
        <v>0</v>
      </c>
      <c r="E335" s="15">
        <f>IF('ENCUESTA CONDUCTORES'!G335="X",1,0)</f>
        <v>1</v>
      </c>
      <c r="F335" s="15">
        <f>IF('ENCUESTA CONDUCTORES'!H335="X",1,0)</f>
        <v>0</v>
      </c>
      <c r="G335" s="15">
        <f>+'ENCUESTA CONDUCTORES'!I335</f>
        <v>23</v>
      </c>
      <c r="H335" s="15" t="str">
        <f>+'ENCUESTA CONDUCTORES'!J335</f>
        <v>M</v>
      </c>
      <c r="I335" s="15" t="str">
        <f>+'ENCUESTA CONDUCTORES'!K335</f>
        <v>BACHILLERATO</v>
      </c>
      <c r="J335" s="15" t="str">
        <f>+'ENCUESTA CONDUCTORES'!L335</f>
        <v>CUAUHTÉMOC, D.F.</v>
      </c>
      <c r="K335" s="15" t="str">
        <f>+'ENCUESTA CONDUCTORES'!M335</f>
        <v>CUAUHTÉMOC</v>
      </c>
      <c r="L335" s="15" t="str">
        <f>+'ENCUESTA CONDUCTORES'!N335</f>
        <v>D.F.</v>
      </c>
      <c r="M335" s="15">
        <f>+'ENCUESTA CONDUCTORES'!O335</f>
        <v>5</v>
      </c>
      <c r="N335" s="15">
        <f>IF('ENCUESTA CONDUCTORES'!P335="X",1,0)</f>
        <v>0</v>
      </c>
      <c r="O335" s="15">
        <f>IF('ENCUESTA CONDUCTORES'!Q335="X",1,0)</f>
        <v>0</v>
      </c>
      <c r="P335" s="15">
        <f>IF('ENCUESTA CONDUCTORES'!R335="X",1,0)</f>
        <v>0</v>
      </c>
      <c r="Q335" s="15">
        <f>IF('ENCUESTA CONDUCTORES'!S335="X",1,0)</f>
        <v>1</v>
      </c>
      <c r="R335" s="15">
        <f>IF('ENCUESTA CONDUCTORES'!T335="X",1,0)</f>
        <v>0</v>
      </c>
      <c r="S335" s="15">
        <f>IF('ENCUESTA CONDUCTORES'!U335="X",1,0)</f>
        <v>1</v>
      </c>
      <c r="T335" s="15">
        <f>IF('ENCUESTA CONDUCTORES'!V335="X",1,0)</f>
        <v>0</v>
      </c>
      <c r="U335" s="15">
        <f>IF('ENCUESTA CONDUCTORES'!W335="X",1,0)</f>
        <v>0</v>
      </c>
      <c r="V335" s="15">
        <f>IF('ENCUESTA CONDUCTORES'!X335="X",1,0)</f>
        <v>0</v>
      </c>
      <c r="W335" s="15">
        <f>IF('ENCUESTA CONDUCTORES'!Y335="X",1,0)</f>
        <v>0</v>
      </c>
      <c r="X335" s="15">
        <f>IF('ENCUESTA CONDUCTORES'!Z335="X",1,0)</f>
        <v>0</v>
      </c>
      <c r="Y335" s="15">
        <f>+'ENCUESTA CONDUCTORES'!AG335</f>
        <v>0</v>
      </c>
      <c r="Z335" s="15">
        <f>+'ENCUESTA CONDUCTORES'!AH335</f>
        <v>1988</v>
      </c>
      <c r="AA335" s="1">
        <f>+'ENCUESTA CONDUCTORES'!AI335</f>
        <v>1300000</v>
      </c>
      <c r="AB335" s="15">
        <f>IF('ENCUESTA CONDUCTORES'!AJ335="X",1,0)</f>
        <v>0</v>
      </c>
      <c r="AC335" s="15">
        <f>IF('ENCUESTA CONDUCTORES'!AK335="X",1,0)</f>
        <v>0</v>
      </c>
      <c r="AD335" s="15">
        <f>IF('ENCUESTA CONDUCTORES'!AL335="X",1,0)</f>
        <v>1</v>
      </c>
      <c r="AE335" s="15">
        <f>IF('ENCUESTA CONDUCTORES'!AM335="X",1,0)</f>
        <v>0</v>
      </c>
      <c r="AF335" s="15">
        <f>IF('ENCUESTA CONDUCTORES'!AN335="X",1,0)</f>
        <v>0</v>
      </c>
      <c r="AG335" s="15">
        <f>IF('ENCUESTA CONDUCTORES'!AO335="X",1,0)</f>
        <v>1</v>
      </c>
      <c r="AH335" s="15">
        <f>IF('ENCUESTA CONDUCTORES'!AP335="X",1,0)</f>
        <v>0</v>
      </c>
      <c r="AI335" s="15">
        <f>IF('ENCUESTA CONDUCTORES'!AQ335="X",1,0)</f>
        <v>0</v>
      </c>
      <c r="AJ335" s="15">
        <f>IF('ENCUESTA CONDUCTORES'!AR335="X",1,0)</f>
        <v>0</v>
      </c>
      <c r="AK335" s="15">
        <f>+'ENCUESTA CONDUCTORES'!AS335</f>
        <v>0</v>
      </c>
      <c r="AL335" s="15" t="str">
        <f>+'ENCUESTA CONDUCTORES'!AT335</f>
        <v>KENWORTH</v>
      </c>
      <c r="AM335" s="1">
        <f>+'ENCUESTA CONDUCTORES'!AU335</f>
        <v>9000</v>
      </c>
      <c r="AN335" s="48">
        <f>+'ENCUESTA CONDUCTORES'!AV335</f>
        <v>0.5</v>
      </c>
      <c r="AO335" s="15">
        <f>+'ENCUESTA CONDUCTORES'!AW335</f>
        <v>2.2999999999999998</v>
      </c>
      <c r="AP335" s="15">
        <f>+'ENCUESTA CONDUCTORES'!AX335</f>
        <v>1.9</v>
      </c>
      <c r="AQ335" s="15">
        <f>+'ENCUESTA CONDUCTORES'!AY335</f>
        <v>3</v>
      </c>
      <c r="AR335" s="15">
        <f>+'ENCUESTA CONDUCTORES'!AZ335</f>
        <v>1180</v>
      </c>
      <c r="AS335" s="15">
        <f>+'ENCUESTA CONDUCTORES'!BA335</f>
        <v>2600</v>
      </c>
      <c r="AT335" s="15">
        <f>IF('ENCUESTA CONDUCTORES'!BB335="X",1,0)</f>
        <v>0</v>
      </c>
      <c r="AU335" s="15">
        <f>IF('ENCUESTA CONDUCTORES'!BC335="X",1,0)</f>
        <v>1</v>
      </c>
      <c r="AV335" s="15">
        <f>IF('ENCUESTA CONDUCTORES'!BD335="X",1,0)</f>
        <v>0</v>
      </c>
      <c r="AW335" s="1">
        <f>+'ENCUESTA CONDUCTORES'!BE335</f>
        <v>15000</v>
      </c>
      <c r="AX335" s="1">
        <f>+'ENCUESTA CONDUCTORES'!BF335</f>
        <v>40000</v>
      </c>
      <c r="AY335" s="1">
        <f>+'ENCUESTA CONDUCTORES'!BG335</f>
        <v>35000</v>
      </c>
      <c r="AZ335" s="1" t="str">
        <f>+'ENCUESTA CONDUCTORES'!BH335</f>
        <v>NO SABE</v>
      </c>
      <c r="BA335" s="1">
        <f>+'ENCUESTA CONDUCTORES'!BI335</f>
        <v>35000</v>
      </c>
      <c r="BB335" s="15">
        <f>IF('ENCUESTA CONDUCTORES'!BJ335="X",1,0)</f>
        <v>0</v>
      </c>
      <c r="BC335" s="15">
        <f>IF('ENCUESTA CONDUCTORES'!BK335="X",1,0)</f>
        <v>0</v>
      </c>
      <c r="BD335" s="15">
        <f>IF('ENCUESTA CONDUCTORES'!BL335="X",1,0)</f>
        <v>0</v>
      </c>
      <c r="BE335" s="15">
        <f>IF('ENCUESTA CONDUCTORES'!BM335="X",1,0)</f>
        <v>1</v>
      </c>
      <c r="BF335" s="15">
        <f>IF('ENCUESTA CONDUCTORES'!BN335="X",1,0)</f>
        <v>0</v>
      </c>
      <c r="BG335" s="15">
        <f>IF('ENCUESTA CONDUCTORES'!BO335="X",1,0)</f>
        <v>0</v>
      </c>
      <c r="BH335" s="15">
        <f>IF('ENCUESTA CONDUCTORES'!BP335="X",1,0)</f>
        <v>0</v>
      </c>
      <c r="BI335" s="15">
        <f>IF('ENCUESTA CONDUCTORES'!BQ335="X",1,0)</f>
        <v>0</v>
      </c>
      <c r="BJ335" s="15">
        <f>IF('ENCUESTA CONDUCTORES'!BR335="X",1,0)</f>
        <v>0</v>
      </c>
      <c r="BK335" s="15">
        <f>+'ENCUESTA CONDUCTORES'!BS335</f>
        <v>0</v>
      </c>
      <c r="BL335" s="15">
        <f>IF('ENCUESTA CONDUCTORES'!BT335="X",1,0)</f>
        <v>0</v>
      </c>
      <c r="BM335" s="15">
        <f>IF('ENCUESTA CONDUCTORES'!BU335="X",1,0)</f>
        <v>0</v>
      </c>
      <c r="BN335" s="15">
        <f>IF('ENCUESTA CONDUCTORES'!BV335="X",1,0)</f>
        <v>1</v>
      </c>
      <c r="BO335" s="15">
        <f>IF('ENCUESTA CONDUCTORES'!BW335="X",1,0)</f>
        <v>0</v>
      </c>
      <c r="BP335" s="15">
        <f>+'ENCUESTA CONDUCTORES'!BX335</f>
        <v>2</v>
      </c>
      <c r="BQ335" s="15">
        <f>+'ENCUESTA CONDUCTORES'!BY335</f>
        <v>3</v>
      </c>
      <c r="BR335" s="15">
        <f>+'ENCUESTA CONDUCTORES'!BZ335</f>
        <v>1</v>
      </c>
      <c r="BS335" s="15">
        <f>+'ENCUESTA CONDUCTORES'!CA335</f>
        <v>0</v>
      </c>
      <c r="BT335" s="15">
        <f>IF('ENCUESTA CONDUCTORES'!CB335="X",1,0)</f>
        <v>0</v>
      </c>
      <c r="BU335" s="15">
        <f>IF('ENCUESTA CONDUCTORES'!CC335="X",1,0)</f>
        <v>1</v>
      </c>
      <c r="BV335" s="15">
        <f>IF('ENCUESTA CONDUCTORES'!CD335="X",1,0)</f>
        <v>0</v>
      </c>
      <c r="BW335" s="15">
        <f>IF('ENCUESTA CONDUCTORES'!CE335="X",1,0)</f>
        <v>0</v>
      </c>
      <c r="BX335" s="15">
        <f>IF('ENCUESTA CONDUCTORES'!CF335="X",1,0)</f>
        <v>0</v>
      </c>
      <c r="BY335" s="15">
        <f>IF('ENCUESTA CONDUCTORES'!CG335="X",1,0)</f>
        <v>1</v>
      </c>
      <c r="BZ335" s="15">
        <f>IF('ENCUESTA CONDUCTORES'!CH335="X",1,0)</f>
        <v>1</v>
      </c>
      <c r="CA335" s="15">
        <f>IF('ENCUESTA CONDUCTORES'!CI335="X",1,0)</f>
        <v>1</v>
      </c>
      <c r="CB335" s="15">
        <f>IF('ENCUESTA CONDUCTORES'!CJ335="X",1,0)</f>
        <v>0</v>
      </c>
      <c r="CC335" s="15">
        <f>IF('ENCUESTA CONDUCTORES'!CK335="X",1,0)</f>
        <v>1</v>
      </c>
      <c r="CD335" s="15">
        <f>IF('ENCUESTA CONDUCTORES'!CL335="X",1,0)</f>
        <v>0</v>
      </c>
      <c r="CE335" s="15">
        <f>IF('ENCUESTA CONDUCTORES'!CM335="X",1,0)</f>
        <v>0</v>
      </c>
      <c r="CF335" s="15">
        <f>+'ENCUESTA CONDUCTORES'!CN335</f>
        <v>0</v>
      </c>
      <c r="CG335" s="15">
        <f>IF('ENCUESTA CONDUCTORES'!CO335="X",1,0)</f>
        <v>0</v>
      </c>
      <c r="CH335" s="15" t="str">
        <f>+'ENCUESTA CONDUCTORES'!CP335</f>
        <v>NO SABE</v>
      </c>
      <c r="CI335" s="15" t="str">
        <f>+'ENCUESTA CONDUCTORES'!CQ335</f>
        <v>NO SABE</v>
      </c>
      <c r="CJ335" s="15">
        <f>IF('ENCUESTA CONDUCTORES'!CR335="X",1,0)</f>
        <v>1</v>
      </c>
      <c r="CK335" s="15">
        <f>IF('ENCUESTA CONDUCTORES'!CS335="X",1,0)</f>
        <v>0</v>
      </c>
      <c r="CL335" s="15">
        <f>IF('ENCUESTA CONDUCTORES'!CT335="X",1,0)</f>
        <v>0</v>
      </c>
      <c r="CM335" s="15">
        <f>+'ENCUESTA CONDUCTORES'!CU335</f>
        <v>0</v>
      </c>
      <c r="CN335" s="15">
        <f>IF('ENCUESTA CONDUCTORES'!CV335="X",1,0)</f>
        <v>0</v>
      </c>
      <c r="CO335" s="15">
        <f>+'ENCUESTA CONDUCTORES'!CW335</f>
        <v>0</v>
      </c>
      <c r="CP335" s="15">
        <f>IF('ENCUESTA CONDUCTORES'!CX335="X",1,0)</f>
        <v>1</v>
      </c>
      <c r="CQ335" s="15">
        <f>IF('ENCUESTA CONDUCTORES'!CY335="X",1,0)</f>
        <v>1</v>
      </c>
      <c r="CR335" s="3">
        <f>+'ENCUESTA CONDUCTORES'!CZ335</f>
        <v>0</v>
      </c>
      <c r="CS335" s="49">
        <f>+'ENCUESTA CONDUCTORES'!DA335</f>
        <v>0</v>
      </c>
    </row>
    <row r="336" spans="2:97" x14ac:dyDescent="0.25">
      <c r="B336" s="14" t="str">
        <f>+'ENCUESTA CONDUCTORES'!D336</f>
        <v>C-347</v>
      </c>
      <c r="C336" s="15">
        <f>IF('ENCUESTA CONDUCTORES'!E336="X",1,0)</f>
        <v>0</v>
      </c>
      <c r="D336" s="15">
        <f>IF('ENCUESTA CONDUCTORES'!F336="X",1,0)</f>
        <v>0</v>
      </c>
      <c r="E336" s="15">
        <f>IF('ENCUESTA CONDUCTORES'!G336="X",1,0)</f>
        <v>0</v>
      </c>
      <c r="F336" s="15">
        <f>IF('ENCUESTA CONDUCTORES'!H336="X",1,0)</f>
        <v>1</v>
      </c>
      <c r="G336" s="15">
        <f>+'ENCUESTA CONDUCTORES'!I336</f>
        <v>43</v>
      </c>
      <c r="H336" s="15" t="str">
        <f>+'ENCUESTA CONDUCTORES'!J336</f>
        <v>M</v>
      </c>
      <c r="I336" s="15" t="str">
        <f>+'ENCUESTA CONDUCTORES'!K336</f>
        <v>PRIMARIA</v>
      </c>
      <c r="J336" s="15" t="str">
        <f>+'ENCUESTA CONDUCTORES'!L336</f>
        <v>NICOLÁS ROMERO, EDO. MEX</v>
      </c>
      <c r="K336" s="15" t="str">
        <f>+'ENCUESTA CONDUCTORES'!M336</f>
        <v>NICOLÁS ROMERO</v>
      </c>
      <c r="L336" s="15" t="str">
        <f>+'ENCUESTA CONDUCTORES'!N336</f>
        <v>EDO. MEX.</v>
      </c>
      <c r="M336" s="15">
        <f>+'ENCUESTA CONDUCTORES'!O336</f>
        <v>17</v>
      </c>
      <c r="N336" s="15">
        <f>IF('ENCUESTA CONDUCTORES'!P336="X",1,0)</f>
        <v>0</v>
      </c>
      <c r="O336" s="15">
        <f>IF('ENCUESTA CONDUCTORES'!Q336="X",1,0)</f>
        <v>0</v>
      </c>
      <c r="P336" s="15">
        <f>IF('ENCUESTA CONDUCTORES'!R336="X",1,0)</f>
        <v>0</v>
      </c>
      <c r="Q336" s="15">
        <f>IF('ENCUESTA CONDUCTORES'!S336="X",1,0)</f>
        <v>1</v>
      </c>
      <c r="R336" s="15">
        <f>IF('ENCUESTA CONDUCTORES'!T336="X",1,0)</f>
        <v>0</v>
      </c>
      <c r="S336" s="15">
        <f>IF('ENCUESTA CONDUCTORES'!U336="X",1,0)</f>
        <v>1</v>
      </c>
      <c r="T336" s="15">
        <f>IF('ENCUESTA CONDUCTORES'!V336="X",1,0)</f>
        <v>0</v>
      </c>
      <c r="U336" s="15">
        <f>IF('ENCUESTA CONDUCTORES'!W336="X",1,0)</f>
        <v>0</v>
      </c>
      <c r="V336" s="15">
        <f>IF('ENCUESTA CONDUCTORES'!X336="X",1,0)</f>
        <v>0</v>
      </c>
      <c r="W336" s="15">
        <f>IF('ENCUESTA CONDUCTORES'!Y336="X",1,0)</f>
        <v>0</v>
      </c>
      <c r="X336" s="15">
        <f>IF('ENCUESTA CONDUCTORES'!Z336="X",1,0)</f>
        <v>0</v>
      </c>
      <c r="Y336" s="15">
        <f>+'ENCUESTA CONDUCTORES'!AG336</f>
        <v>0</v>
      </c>
      <c r="Z336" s="15">
        <f>+'ENCUESTA CONDUCTORES'!AH336</f>
        <v>1989</v>
      </c>
      <c r="AA336" s="1">
        <f>+'ENCUESTA CONDUCTORES'!AI336</f>
        <v>1375437</v>
      </c>
      <c r="AB336" s="15">
        <f>IF('ENCUESTA CONDUCTORES'!AJ336="X",1,0)</f>
        <v>0</v>
      </c>
      <c r="AC336" s="15">
        <f>IF('ENCUESTA CONDUCTORES'!AK336="X",1,0)</f>
        <v>0</v>
      </c>
      <c r="AD336" s="15">
        <f>IF('ENCUESTA CONDUCTORES'!AL336="X",1,0)</f>
        <v>1</v>
      </c>
      <c r="AE336" s="15">
        <f>IF('ENCUESTA CONDUCTORES'!AM336="X",1,0)</f>
        <v>0</v>
      </c>
      <c r="AF336" s="15">
        <f>IF('ENCUESTA CONDUCTORES'!AN336="X",1,0)</f>
        <v>0</v>
      </c>
      <c r="AG336" s="15">
        <f>IF('ENCUESTA CONDUCTORES'!AO336="X",1,0)</f>
        <v>0</v>
      </c>
      <c r="AH336" s="15">
        <f>IF('ENCUESTA CONDUCTORES'!AP336="X",1,0)</f>
        <v>1</v>
      </c>
      <c r="AI336" s="15">
        <f>IF('ENCUESTA CONDUCTORES'!AQ336="X",1,0)</f>
        <v>0</v>
      </c>
      <c r="AJ336" s="15">
        <f>IF('ENCUESTA CONDUCTORES'!AR336="X",1,0)</f>
        <v>0</v>
      </c>
      <c r="AK336" s="15">
        <f>+'ENCUESTA CONDUCTORES'!AS336</f>
        <v>0</v>
      </c>
      <c r="AL336" s="15" t="str">
        <f>+'ENCUESTA CONDUCTORES'!AT336</f>
        <v>INTERNATIONAL</v>
      </c>
      <c r="AM336" s="1">
        <f>+'ENCUESTA CONDUCTORES'!AU336</f>
        <v>7000</v>
      </c>
      <c r="AN336" s="48">
        <f>+'ENCUESTA CONDUCTORES'!AV336</f>
        <v>0.5</v>
      </c>
      <c r="AO336" s="15">
        <f>+'ENCUESTA CONDUCTORES'!AW336</f>
        <v>2.5</v>
      </c>
      <c r="AP336" s="15">
        <f>+'ENCUESTA CONDUCTORES'!AX336</f>
        <v>1.8</v>
      </c>
      <c r="AQ336" s="15">
        <f>+'ENCUESTA CONDUCTORES'!AY336</f>
        <v>2</v>
      </c>
      <c r="AR336" s="15">
        <f>+'ENCUESTA CONDUCTORES'!AZ336</f>
        <v>610</v>
      </c>
      <c r="AS336" s="15">
        <f>+'ENCUESTA CONDUCTORES'!BA336</f>
        <v>1400</v>
      </c>
      <c r="AT336" s="15">
        <f>IF('ENCUESTA CONDUCTORES'!BB336="X",1,0)</f>
        <v>0</v>
      </c>
      <c r="AU336" s="15">
        <f>IF('ENCUESTA CONDUCTORES'!BC336="X",1,0)</f>
        <v>1</v>
      </c>
      <c r="AV336" s="15">
        <f>IF('ENCUESTA CONDUCTORES'!BD336="X",1,0)</f>
        <v>0</v>
      </c>
      <c r="AW336" s="1">
        <f>+'ENCUESTA CONDUCTORES'!BE336</f>
        <v>15000</v>
      </c>
      <c r="AX336" s="1">
        <f>+'ENCUESTA CONDUCTORES'!BF336</f>
        <v>12000</v>
      </c>
      <c r="AY336" s="1">
        <f>+'ENCUESTA CONDUCTORES'!BG336</f>
        <v>25000</v>
      </c>
      <c r="AZ336" s="1">
        <f>+'ENCUESTA CONDUCTORES'!BH336</f>
        <v>170000</v>
      </c>
      <c r="BA336" s="1">
        <f>+'ENCUESTA CONDUCTORES'!BI336</f>
        <v>25000</v>
      </c>
      <c r="BB336" s="15">
        <f>IF('ENCUESTA CONDUCTORES'!BJ336="X",1,0)</f>
        <v>0</v>
      </c>
      <c r="BC336" s="15">
        <f>IF('ENCUESTA CONDUCTORES'!BK336="X",1,0)</f>
        <v>0</v>
      </c>
      <c r="BD336" s="15">
        <f>IF('ENCUESTA CONDUCTORES'!BL336="X",1,0)</f>
        <v>0</v>
      </c>
      <c r="BE336" s="15">
        <f>IF('ENCUESTA CONDUCTORES'!BM336="X",1,0)</f>
        <v>1</v>
      </c>
      <c r="BF336" s="15">
        <f>IF('ENCUESTA CONDUCTORES'!BN336="X",1,0)</f>
        <v>0</v>
      </c>
      <c r="BG336" s="15">
        <f>IF('ENCUESTA CONDUCTORES'!BO336="X",1,0)</f>
        <v>0</v>
      </c>
      <c r="BH336" s="15">
        <f>IF('ENCUESTA CONDUCTORES'!BP336="X",1,0)</f>
        <v>0</v>
      </c>
      <c r="BI336" s="15">
        <f>IF('ENCUESTA CONDUCTORES'!BQ336="X",1,0)</f>
        <v>0</v>
      </c>
      <c r="BJ336" s="15">
        <f>IF('ENCUESTA CONDUCTORES'!BR336="X",1,0)</f>
        <v>0</v>
      </c>
      <c r="BK336" s="15" t="str">
        <f>+'ENCUESTA CONDUCTORES'!BS336</f>
        <v>GENERAL</v>
      </c>
      <c r="BL336" s="15">
        <f>IF('ENCUESTA CONDUCTORES'!BT336="X",1,0)</f>
        <v>0</v>
      </c>
      <c r="BM336" s="15">
        <f>IF('ENCUESTA CONDUCTORES'!BU336="X",1,0)</f>
        <v>0</v>
      </c>
      <c r="BN336" s="15">
        <f>IF('ENCUESTA CONDUCTORES'!BV336="X",1,0)</f>
        <v>1</v>
      </c>
      <c r="BO336" s="15">
        <f>IF('ENCUESTA CONDUCTORES'!BW336="X",1,0)</f>
        <v>0</v>
      </c>
      <c r="BP336" s="15">
        <f>+'ENCUESTA CONDUCTORES'!BX336</f>
        <v>2</v>
      </c>
      <c r="BQ336" s="15">
        <f>+'ENCUESTA CONDUCTORES'!BY336</f>
        <v>3</v>
      </c>
      <c r="BR336" s="15">
        <f>+'ENCUESTA CONDUCTORES'!BZ336</f>
        <v>1</v>
      </c>
      <c r="BS336" s="15">
        <f>+'ENCUESTA CONDUCTORES'!CA336</f>
        <v>0</v>
      </c>
      <c r="BT336" s="15">
        <f>IF('ENCUESTA CONDUCTORES'!CB336="X",1,0)</f>
        <v>1</v>
      </c>
      <c r="BU336" s="15">
        <f>IF('ENCUESTA CONDUCTORES'!CC336="X",1,0)</f>
        <v>0</v>
      </c>
      <c r="BV336" s="15">
        <f>IF('ENCUESTA CONDUCTORES'!CD336="X",1,0)</f>
        <v>0</v>
      </c>
      <c r="BW336" s="15">
        <f>IF('ENCUESTA CONDUCTORES'!CE336="X",1,0)</f>
        <v>0</v>
      </c>
      <c r="BX336" s="15">
        <f>IF('ENCUESTA CONDUCTORES'!CF336="X",1,0)</f>
        <v>0</v>
      </c>
      <c r="BY336" s="15">
        <f>IF('ENCUESTA CONDUCTORES'!CG336="X",1,0)</f>
        <v>0</v>
      </c>
      <c r="BZ336" s="15">
        <f>IF('ENCUESTA CONDUCTORES'!CH336="X",1,0)</f>
        <v>0</v>
      </c>
      <c r="CA336" s="15">
        <f>IF('ENCUESTA CONDUCTORES'!CI336="X",1,0)</f>
        <v>0</v>
      </c>
      <c r="CB336" s="15">
        <f>IF('ENCUESTA CONDUCTORES'!CJ336="X",1,0)</f>
        <v>0</v>
      </c>
      <c r="CC336" s="15">
        <f>IF('ENCUESTA CONDUCTORES'!CK336="X",1,0)</f>
        <v>1</v>
      </c>
      <c r="CD336" s="15">
        <f>IF('ENCUESTA CONDUCTORES'!CL336="X",1,0)</f>
        <v>0</v>
      </c>
      <c r="CE336" s="15">
        <f>IF('ENCUESTA CONDUCTORES'!CM336="X",1,0)</f>
        <v>0</v>
      </c>
      <c r="CF336" s="15">
        <f>+'ENCUESTA CONDUCTORES'!CN336</f>
        <v>0</v>
      </c>
      <c r="CG336" s="15">
        <f>IF('ENCUESTA CONDUCTORES'!CO336="X",1,0)</f>
        <v>0</v>
      </c>
      <c r="CH336" s="15" t="str">
        <f>+'ENCUESTA CONDUCTORES'!CP336</f>
        <v>NO SABE</v>
      </c>
      <c r="CI336" s="15" t="str">
        <f>+'ENCUESTA CONDUCTORES'!CQ336</f>
        <v>NO SABE</v>
      </c>
      <c r="CJ336" s="15">
        <f>IF('ENCUESTA CONDUCTORES'!CR336="X",1,0)</f>
        <v>1</v>
      </c>
      <c r="CK336" s="15">
        <f>IF('ENCUESTA CONDUCTORES'!CS336="X",1,0)</f>
        <v>0</v>
      </c>
      <c r="CL336" s="15">
        <f>IF('ENCUESTA CONDUCTORES'!CT336="X",1,0)</f>
        <v>0</v>
      </c>
      <c r="CM336" s="15">
        <f>+'ENCUESTA CONDUCTORES'!CU336</f>
        <v>0</v>
      </c>
      <c r="CN336" s="15">
        <f>IF('ENCUESTA CONDUCTORES'!CV336="X",1,0)</f>
        <v>0</v>
      </c>
      <c r="CO336" s="15">
        <f>+'ENCUESTA CONDUCTORES'!CW336</f>
        <v>0</v>
      </c>
      <c r="CP336" s="15">
        <f>IF('ENCUESTA CONDUCTORES'!CX336="X",1,0)</f>
        <v>1</v>
      </c>
      <c r="CQ336" s="15">
        <f>IF('ENCUESTA CONDUCTORES'!CY336="X",1,0)</f>
        <v>1</v>
      </c>
      <c r="CR336" s="3">
        <f>+'ENCUESTA CONDUCTORES'!CZ336</f>
        <v>0</v>
      </c>
      <c r="CS336" s="49">
        <f>+'ENCUESTA CONDUCTORES'!DA336</f>
        <v>0</v>
      </c>
    </row>
    <row r="337" spans="2:97" x14ac:dyDescent="0.25">
      <c r="B337" s="14" t="str">
        <f>+'ENCUESTA CONDUCTORES'!D337</f>
        <v>C-348</v>
      </c>
      <c r="C337" s="15">
        <f>IF('ENCUESTA CONDUCTORES'!E337="X",1,0)</f>
        <v>0</v>
      </c>
      <c r="D337" s="15">
        <f>IF('ENCUESTA CONDUCTORES'!F337="X",1,0)</f>
        <v>0</v>
      </c>
      <c r="E337" s="15">
        <f>IF('ENCUESTA CONDUCTORES'!G337="X",1,0)</f>
        <v>1</v>
      </c>
      <c r="F337" s="15">
        <f>IF('ENCUESTA CONDUCTORES'!H337="X",1,0)</f>
        <v>0</v>
      </c>
      <c r="G337" s="15">
        <f>+'ENCUESTA CONDUCTORES'!I337</f>
        <v>37</v>
      </c>
      <c r="H337" s="15" t="str">
        <f>+'ENCUESTA CONDUCTORES'!J337</f>
        <v>M</v>
      </c>
      <c r="I337" s="15" t="str">
        <f>+'ENCUESTA CONDUCTORES'!K337</f>
        <v>SECUNDARIA</v>
      </c>
      <c r="J337" s="15" t="str">
        <f>+'ENCUESTA CONDUCTORES'!L337</f>
        <v>NAUCALPAN, EDO. MEX.</v>
      </c>
      <c r="K337" s="15" t="str">
        <f>+'ENCUESTA CONDUCTORES'!M337</f>
        <v>NAUCALPAN</v>
      </c>
      <c r="L337" s="15" t="str">
        <f>+'ENCUESTA CONDUCTORES'!N337</f>
        <v>EDO. MEX.</v>
      </c>
      <c r="M337" s="15">
        <f>+'ENCUESTA CONDUCTORES'!O337</f>
        <v>18</v>
      </c>
      <c r="N337" s="15">
        <f>IF('ENCUESTA CONDUCTORES'!P337="X",1,0)</f>
        <v>0</v>
      </c>
      <c r="O337" s="15">
        <f>IF('ENCUESTA CONDUCTORES'!Q337="X",1,0)</f>
        <v>0</v>
      </c>
      <c r="P337" s="15">
        <f>IF('ENCUESTA CONDUCTORES'!R337="X",1,0)</f>
        <v>0</v>
      </c>
      <c r="Q337" s="15">
        <f>IF('ENCUESTA CONDUCTORES'!S337="X",1,0)</f>
        <v>1</v>
      </c>
      <c r="R337" s="15">
        <f>IF('ENCUESTA CONDUCTORES'!T337="X",1,0)</f>
        <v>0</v>
      </c>
      <c r="S337" s="15">
        <f>IF('ENCUESTA CONDUCTORES'!U337="X",1,0)</f>
        <v>0</v>
      </c>
      <c r="T337" s="15">
        <f>IF('ENCUESTA CONDUCTORES'!V337="X",1,0)</f>
        <v>0</v>
      </c>
      <c r="U337" s="15">
        <f>IF('ENCUESTA CONDUCTORES'!W337="X",1,0)</f>
        <v>0</v>
      </c>
      <c r="V337" s="15">
        <f>IF('ENCUESTA CONDUCTORES'!X337="X",1,0)</f>
        <v>0</v>
      </c>
      <c r="W337" s="15">
        <f>IF('ENCUESTA CONDUCTORES'!Y337="X",1,0)</f>
        <v>0</v>
      </c>
      <c r="X337" s="15">
        <f>IF('ENCUESTA CONDUCTORES'!Z337="X",1,0)</f>
        <v>0</v>
      </c>
      <c r="Y337" s="15">
        <f>+'ENCUESTA CONDUCTORES'!AG337</f>
        <v>0</v>
      </c>
      <c r="Z337" s="15">
        <f>+'ENCUESTA CONDUCTORES'!AH337</f>
        <v>1995</v>
      </c>
      <c r="AA337" s="1" t="str">
        <f>+'ENCUESTA CONDUCTORES'!AI337</f>
        <v>NO SABE</v>
      </c>
      <c r="AB337" s="15">
        <f>IF('ENCUESTA CONDUCTORES'!AJ337="X",1,0)</f>
        <v>0</v>
      </c>
      <c r="AC337" s="15">
        <f>IF('ENCUESTA CONDUCTORES'!AK337="X",1,0)</f>
        <v>0</v>
      </c>
      <c r="AD337" s="15">
        <f>IF('ENCUESTA CONDUCTORES'!AL337="X",1,0)</f>
        <v>1</v>
      </c>
      <c r="AE337" s="15">
        <f>IF('ENCUESTA CONDUCTORES'!AM337="X",1,0)</f>
        <v>0</v>
      </c>
      <c r="AF337" s="15">
        <f>IF('ENCUESTA CONDUCTORES'!AN337="X",1,0)</f>
        <v>0</v>
      </c>
      <c r="AG337" s="15">
        <f>IF('ENCUESTA CONDUCTORES'!AO337="X",1,0)</f>
        <v>1</v>
      </c>
      <c r="AH337" s="15">
        <f>IF('ENCUESTA CONDUCTORES'!AP337="X",1,0)</f>
        <v>0</v>
      </c>
      <c r="AI337" s="15">
        <f>IF('ENCUESTA CONDUCTORES'!AQ337="X",1,0)</f>
        <v>0</v>
      </c>
      <c r="AJ337" s="15">
        <f>IF('ENCUESTA CONDUCTORES'!AR337="X",1,0)</f>
        <v>0</v>
      </c>
      <c r="AK337" s="15">
        <f>+'ENCUESTA CONDUCTORES'!AS337</f>
        <v>0</v>
      </c>
      <c r="AL337" s="15" t="str">
        <f>+'ENCUESTA CONDUCTORES'!AT337</f>
        <v>KENWORTH</v>
      </c>
      <c r="AM337" s="1">
        <f>+'ENCUESTA CONDUCTORES'!AU337</f>
        <v>9000</v>
      </c>
      <c r="AN337" s="48">
        <f>+'ENCUESTA CONDUCTORES'!AV337</f>
        <v>0.5</v>
      </c>
      <c r="AO337" s="15">
        <f>+'ENCUESTA CONDUCTORES'!AW337</f>
        <v>2.5</v>
      </c>
      <c r="AP337" s="15">
        <f>+'ENCUESTA CONDUCTORES'!AX337</f>
        <v>2.2000000000000002</v>
      </c>
      <c r="AQ337" s="15">
        <f>+'ENCUESTA CONDUCTORES'!AY337</f>
        <v>2</v>
      </c>
      <c r="AR337" s="15">
        <f>+'ENCUESTA CONDUCTORES'!AZ337</f>
        <v>960</v>
      </c>
      <c r="AS337" s="15">
        <f>+'ENCUESTA CONDUCTORES'!BA337</f>
        <v>2300</v>
      </c>
      <c r="AT337" s="15">
        <f>IF('ENCUESTA CONDUCTORES'!BB337="X",1,0)</f>
        <v>1</v>
      </c>
      <c r="AU337" s="15">
        <f>IF('ENCUESTA CONDUCTORES'!BC337="X",1,0)</f>
        <v>1</v>
      </c>
      <c r="AV337" s="15">
        <f>IF('ENCUESTA CONDUCTORES'!BD337="X",1,0)</f>
        <v>0</v>
      </c>
      <c r="AW337" s="1">
        <f>+'ENCUESTA CONDUCTORES'!BE337</f>
        <v>15000</v>
      </c>
      <c r="AX337" s="1">
        <f>+'ENCUESTA CONDUCTORES'!BF337</f>
        <v>10000</v>
      </c>
      <c r="AY337" s="1">
        <f>+'ENCUESTA CONDUCTORES'!BG337</f>
        <v>35000</v>
      </c>
      <c r="AZ337" s="1" t="str">
        <f>+'ENCUESTA CONDUCTORES'!BH337</f>
        <v>NO SABE</v>
      </c>
      <c r="BA337" s="1">
        <f>+'ENCUESTA CONDUCTORES'!BI337</f>
        <v>35000</v>
      </c>
      <c r="BB337" s="15">
        <f>IF('ENCUESTA CONDUCTORES'!BJ337="X",1,0)</f>
        <v>0</v>
      </c>
      <c r="BC337" s="15">
        <f>IF('ENCUESTA CONDUCTORES'!BK337="X",1,0)</f>
        <v>0</v>
      </c>
      <c r="BD337" s="15">
        <f>IF('ENCUESTA CONDUCTORES'!BL337="X",1,0)</f>
        <v>0</v>
      </c>
      <c r="BE337" s="15">
        <f>IF('ENCUESTA CONDUCTORES'!BM337="X",1,0)</f>
        <v>1</v>
      </c>
      <c r="BF337" s="15">
        <f>IF('ENCUESTA CONDUCTORES'!BN337="X",1,0)</f>
        <v>0</v>
      </c>
      <c r="BG337" s="15">
        <f>IF('ENCUESTA CONDUCTORES'!BO337="X",1,0)</f>
        <v>0</v>
      </c>
      <c r="BH337" s="15">
        <f>IF('ENCUESTA CONDUCTORES'!BP337="X",1,0)</f>
        <v>0</v>
      </c>
      <c r="BI337" s="15">
        <f>IF('ENCUESTA CONDUCTORES'!BQ337="X",1,0)</f>
        <v>0</v>
      </c>
      <c r="BJ337" s="15">
        <f>IF('ENCUESTA CONDUCTORES'!BR337="X",1,0)</f>
        <v>0</v>
      </c>
      <c r="BK337" s="15">
        <f>+'ENCUESTA CONDUCTORES'!BS337</f>
        <v>0</v>
      </c>
      <c r="BL337" s="15">
        <f>IF('ENCUESTA CONDUCTORES'!BT337="X",1,0)</f>
        <v>0</v>
      </c>
      <c r="BM337" s="15">
        <f>IF('ENCUESTA CONDUCTORES'!BU337="X",1,0)</f>
        <v>1</v>
      </c>
      <c r="BN337" s="15">
        <f>IF('ENCUESTA CONDUCTORES'!BV337="X",1,0)</f>
        <v>0</v>
      </c>
      <c r="BO337" s="15">
        <f>IF('ENCUESTA CONDUCTORES'!BW337="X",1,0)</f>
        <v>0</v>
      </c>
      <c r="BP337" s="15">
        <f>+'ENCUESTA CONDUCTORES'!BX337</f>
        <v>2</v>
      </c>
      <c r="BQ337" s="15">
        <f>+'ENCUESTA CONDUCTORES'!BY337</f>
        <v>3</v>
      </c>
      <c r="BR337" s="15">
        <f>+'ENCUESTA CONDUCTORES'!BZ337</f>
        <v>1</v>
      </c>
      <c r="BS337" s="15">
        <f>+'ENCUESTA CONDUCTORES'!CA337</f>
        <v>0</v>
      </c>
      <c r="BT337" s="15">
        <f>IF('ENCUESTA CONDUCTORES'!CB337="X",1,0)</f>
        <v>0</v>
      </c>
      <c r="BU337" s="15">
        <f>IF('ENCUESTA CONDUCTORES'!CC337="X",1,0)</f>
        <v>1</v>
      </c>
      <c r="BV337" s="15">
        <f>IF('ENCUESTA CONDUCTORES'!CD337="X",1,0)</f>
        <v>0</v>
      </c>
      <c r="BW337" s="15">
        <f>IF('ENCUESTA CONDUCTORES'!CE337="X",1,0)</f>
        <v>0</v>
      </c>
      <c r="BX337" s="15">
        <f>IF('ENCUESTA CONDUCTORES'!CF337="X",1,0)</f>
        <v>0</v>
      </c>
      <c r="BY337" s="15">
        <f>IF('ENCUESTA CONDUCTORES'!CG337="X",1,0)</f>
        <v>1</v>
      </c>
      <c r="BZ337" s="15">
        <f>IF('ENCUESTA CONDUCTORES'!CH337="X",1,0)</f>
        <v>1</v>
      </c>
      <c r="CA337" s="15">
        <f>IF('ENCUESTA CONDUCTORES'!CI337="X",1,0)</f>
        <v>1</v>
      </c>
      <c r="CB337" s="15">
        <f>IF('ENCUESTA CONDUCTORES'!CJ337="X",1,0)</f>
        <v>0</v>
      </c>
      <c r="CC337" s="15">
        <f>IF('ENCUESTA CONDUCTORES'!CK337="X",1,0)</f>
        <v>1</v>
      </c>
      <c r="CD337" s="15">
        <f>IF('ENCUESTA CONDUCTORES'!CL337="X",1,0)</f>
        <v>0</v>
      </c>
      <c r="CE337" s="15">
        <f>IF('ENCUESTA CONDUCTORES'!CM337="X",1,0)</f>
        <v>0</v>
      </c>
      <c r="CF337" s="15">
        <f>+'ENCUESTA CONDUCTORES'!CN337</f>
        <v>0</v>
      </c>
      <c r="CG337" s="15">
        <f>IF('ENCUESTA CONDUCTORES'!CO337="X",1,0)</f>
        <v>0</v>
      </c>
      <c r="CH337" s="15" t="str">
        <f>+'ENCUESTA CONDUCTORES'!CP337</f>
        <v>NO SABE</v>
      </c>
      <c r="CI337" s="15" t="str">
        <f>+'ENCUESTA CONDUCTORES'!CQ337</f>
        <v>NO SABE</v>
      </c>
      <c r="CJ337" s="15">
        <f>IF('ENCUESTA CONDUCTORES'!CR337="X",1,0)</f>
        <v>1</v>
      </c>
      <c r="CK337" s="15">
        <f>IF('ENCUESTA CONDUCTORES'!CS337="X",1,0)</f>
        <v>0</v>
      </c>
      <c r="CL337" s="15">
        <f>IF('ENCUESTA CONDUCTORES'!CT337="X",1,0)</f>
        <v>0</v>
      </c>
      <c r="CM337" s="15">
        <f>+'ENCUESTA CONDUCTORES'!CU337</f>
        <v>0</v>
      </c>
      <c r="CN337" s="15">
        <f>IF('ENCUESTA CONDUCTORES'!CV337="X",1,0)</f>
        <v>1</v>
      </c>
      <c r="CO337" s="15" t="str">
        <f>+'ENCUESTA CONDUCTORES'!CW337</f>
        <v>NO TIENE TIEMPO</v>
      </c>
      <c r="CP337" s="15">
        <f>IF('ENCUESTA CONDUCTORES'!CX337="X",1,0)</f>
        <v>0</v>
      </c>
      <c r="CQ337" s="15">
        <f>IF('ENCUESTA CONDUCTORES'!CY337="X",1,0)</f>
        <v>0</v>
      </c>
      <c r="CR337" s="3">
        <f>+'ENCUESTA CONDUCTORES'!CZ337</f>
        <v>0</v>
      </c>
      <c r="CS337" s="49">
        <f>+'ENCUESTA CONDUCTORES'!DA337</f>
        <v>0</v>
      </c>
    </row>
    <row r="338" spans="2:97" x14ac:dyDescent="0.25">
      <c r="B338" s="14" t="str">
        <f>+'ENCUESTA CONDUCTORES'!D338</f>
        <v>C-349</v>
      </c>
      <c r="C338" s="15">
        <f>IF('ENCUESTA CONDUCTORES'!E338="X",1,0)</f>
        <v>0</v>
      </c>
      <c r="D338" s="15">
        <f>IF('ENCUESTA CONDUCTORES'!F338="X",1,0)</f>
        <v>0</v>
      </c>
      <c r="E338" s="15">
        <f>IF('ENCUESTA CONDUCTORES'!G338="X",1,0)</f>
        <v>0</v>
      </c>
      <c r="F338" s="15">
        <f>IF('ENCUESTA CONDUCTORES'!H338="X",1,0)</f>
        <v>1</v>
      </c>
      <c r="G338" s="15">
        <f>+'ENCUESTA CONDUCTORES'!I338</f>
        <v>43</v>
      </c>
      <c r="H338" s="15" t="str">
        <f>+'ENCUESTA CONDUCTORES'!J338</f>
        <v>M</v>
      </c>
      <c r="I338" s="15" t="str">
        <f>+'ENCUESTA CONDUCTORES'!K338</f>
        <v>SECUNDARIA</v>
      </c>
      <c r="J338" s="15" t="str">
        <f>+'ENCUESTA CONDUCTORES'!L338</f>
        <v>IXTAPALUCA, EDO. DE MEX.</v>
      </c>
      <c r="K338" s="15" t="str">
        <f>+'ENCUESTA CONDUCTORES'!M338</f>
        <v>IXTAPALUCA</v>
      </c>
      <c r="L338" s="15" t="str">
        <f>+'ENCUESTA CONDUCTORES'!N338</f>
        <v>EDO. MEX.</v>
      </c>
      <c r="M338" s="15">
        <f>+'ENCUESTA CONDUCTORES'!O338</f>
        <v>7</v>
      </c>
      <c r="N338" s="15">
        <f>IF('ENCUESTA CONDUCTORES'!P338="X",1,0)</f>
        <v>0</v>
      </c>
      <c r="O338" s="15">
        <f>IF('ENCUESTA CONDUCTORES'!Q338="X",1,0)</f>
        <v>0</v>
      </c>
      <c r="P338" s="15">
        <f>IF('ENCUESTA CONDUCTORES'!R338="X",1,0)</f>
        <v>0</v>
      </c>
      <c r="Q338" s="15">
        <f>IF('ENCUESTA CONDUCTORES'!S338="X",1,0)</f>
        <v>1</v>
      </c>
      <c r="R338" s="15">
        <f>IF('ENCUESTA CONDUCTORES'!T338="X",1,0)</f>
        <v>0</v>
      </c>
      <c r="S338" s="15">
        <f>IF('ENCUESTA CONDUCTORES'!U338="X",1,0)</f>
        <v>0</v>
      </c>
      <c r="T338" s="15">
        <f>IF('ENCUESTA CONDUCTORES'!V338="X",1,0)</f>
        <v>0</v>
      </c>
      <c r="U338" s="15">
        <f>IF('ENCUESTA CONDUCTORES'!W338="X",1,0)</f>
        <v>0</v>
      </c>
      <c r="V338" s="15">
        <f>IF('ENCUESTA CONDUCTORES'!X338="X",1,0)</f>
        <v>0</v>
      </c>
      <c r="W338" s="15">
        <f>IF('ENCUESTA CONDUCTORES'!Y338="X",1,0)</f>
        <v>0</v>
      </c>
      <c r="X338" s="15">
        <f>IF('ENCUESTA CONDUCTORES'!Z338="X",1,0)</f>
        <v>0</v>
      </c>
      <c r="Y338" s="15">
        <f>+'ENCUESTA CONDUCTORES'!AG338</f>
        <v>0</v>
      </c>
      <c r="Z338" s="15">
        <f>+'ENCUESTA CONDUCTORES'!AH338</f>
        <v>1992</v>
      </c>
      <c r="AA338" s="1" t="str">
        <f>+'ENCUESTA CONDUCTORES'!AI338</f>
        <v>DAÑADO</v>
      </c>
      <c r="AB338" s="15">
        <f>IF('ENCUESTA CONDUCTORES'!AJ338="X",1,0)</f>
        <v>0</v>
      </c>
      <c r="AC338" s="15">
        <f>IF('ENCUESTA CONDUCTORES'!AK338="X",1,0)</f>
        <v>0</v>
      </c>
      <c r="AD338" s="15">
        <f>IF('ENCUESTA CONDUCTORES'!AL338="X",1,0)</f>
        <v>1</v>
      </c>
      <c r="AE338" s="15">
        <f>IF('ENCUESTA CONDUCTORES'!AM338="X",1,0)</f>
        <v>0</v>
      </c>
      <c r="AF338" s="15">
        <f>IF('ENCUESTA CONDUCTORES'!AN338="X",1,0)</f>
        <v>0</v>
      </c>
      <c r="AG338" s="15">
        <f>IF('ENCUESTA CONDUCTORES'!AO338="X",1,0)</f>
        <v>0</v>
      </c>
      <c r="AH338" s="15">
        <f>IF('ENCUESTA CONDUCTORES'!AP338="X",1,0)</f>
        <v>1</v>
      </c>
      <c r="AI338" s="15">
        <f>IF('ENCUESTA CONDUCTORES'!AQ338="X",1,0)</f>
        <v>0</v>
      </c>
      <c r="AJ338" s="15">
        <f>IF('ENCUESTA CONDUCTORES'!AR338="X",1,0)</f>
        <v>0</v>
      </c>
      <c r="AK338" s="15">
        <f>+'ENCUESTA CONDUCTORES'!AS338</f>
        <v>0</v>
      </c>
      <c r="AL338" s="15" t="str">
        <f>+'ENCUESTA CONDUCTORES'!AT338</f>
        <v>KENWORTH</v>
      </c>
      <c r="AM338" s="1">
        <f>+'ENCUESTA CONDUCTORES'!AU338</f>
        <v>10000</v>
      </c>
      <c r="AN338" s="48">
        <f>+'ENCUESTA CONDUCTORES'!AV338</f>
        <v>0.5</v>
      </c>
      <c r="AO338" s="15">
        <f>+'ENCUESTA CONDUCTORES'!AW338</f>
        <v>2.5</v>
      </c>
      <c r="AP338" s="15">
        <f>+'ENCUESTA CONDUCTORES'!AX338</f>
        <v>2.2999999999999998</v>
      </c>
      <c r="AQ338" s="15">
        <f>+'ENCUESTA CONDUCTORES'!AY338</f>
        <v>3</v>
      </c>
      <c r="AR338" s="15">
        <f>+'ENCUESTA CONDUCTORES'!AZ338</f>
        <v>1460</v>
      </c>
      <c r="AS338" s="15">
        <f>+'ENCUESTA CONDUCTORES'!BA338</f>
        <v>3500</v>
      </c>
      <c r="AT338" s="15">
        <f>IF('ENCUESTA CONDUCTORES'!BB338="X",1,0)</f>
        <v>1</v>
      </c>
      <c r="AU338" s="15">
        <f>IF('ENCUESTA CONDUCTORES'!BC338="X",1,0)</f>
        <v>1</v>
      </c>
      <c r="AV338" s="15">
        <f>IF('ENCUESTA CONDUCTORES'!BD338="X",1,0)</f>
        <v>0</v>
      </c>
      <c r="AW338" s="1">
        <f>+'ENCUESTA CONDUCTORES'!BE338</f>
        <v>20000</v>
      </c>
      <c r="AX338" s="1">
        <f>+'ENCUESTA CONDUCTORES'!BF338</f>
        <v>8000</v>
      </c>
      <c r="AY338" s="1">
        <f>+'ENCUESTA CONDUCTORES'!BG338</f>
        <v>40000</v>
      </c>
      <c r="AZ338" s="1">
        <f>+'ENCUESTA CONDUCTORES'!BH338</f>
        <v>150000</v>
      </c>
      <c r="BA338" s="1">
        <f>+'ENCUESTA CONDUCTORES'!BI338</f>
        <v>40000</v>
      </c>
      <c r="BB338" s="15">
        <f>IF('ENCUESTA CONDUCTORES'!BJ338="X",1,0)</f>
        <v>0</v>
      </c>
      <c r="BC338" s="15">
        <f>IF('ENCUESTA CONDUCTORES'!BK338="X",1,0)</f>
        <v>0</v>
      </c>
      <c r="BD338" s="15">
        <f>IF('ENCUESTA CONDUCTORES'!BL338="X",1,0)</f>
        <v>0</v>
      </c>
      <c r="BE338" s="15">
        <f>IF('ENCUESTA CONDUCTORES'!BM338="X",1,0)</f>
        <v>1</v>
      </c>
      <c r="BF338" s="15">
        <f>IF('ENCUESTA CONDUCTORES'!BN338="X",1,0)</f>
        <v>0</v>
      </c>
      <c r="BG338" s="15">
        <f>IF('ENCUESTA CONDUCTORES'!BO338="X",1,0)</f>
        <v>0</v>
      </c>
      <c r="BH338" s="15">
        <f>IF('ENCUESTA CONDUCTORES'!BP338="X",1,0)</f>
        <v>0</v>
      </c>
      <c r="BI338" s="15">
        <f>IF('ENCUESTA CONDUCTORES'!BQ338="X",1,0)</f>
        <v>0</v>
      </c>
      <c r="BJ338" s="15">
        <f>IF('ENCUESTA CONDUCTORES'!BR338="X",1,0)</f>
        <v>0</v>
      </c>
      <c r="BK338" s="15">
        <f>+'ENCUESTA CONDUCTORES'!BS338</f>
        <v>0</v>
      </c>
      <c r="BL338" s="15">
        <f>IF('ENCUESTA CONDUCTORES'!BT338="X",1,0)</f>
        <v>0</v>
      </c>
      <c r="BM338" s="15">
        <f>IF('ENCUESTA CONDUCTORES'!BU338="X",1,0)</f>
        <v>0</v>
      </c>
      <c r="BN338" s="15">
        <f>IF('ENCUESTA CONDUCTORES'!BV338="X",1,0)</f>
        <v>1</v>
      </c>
      <c r="BO338" s="15">
        <f>IF('ENCUESTA CONDUCTORES'!BW338="X",1,0)</f>
        <v>0</v>
      </c>
      <c r="BP338" s="15">
        <f>+'ENCUESTA CONDUCTORES'!BX338</f>
        <v>1</v>
      </c>
      <c r="BQ338" s="15">
        <f>+'ENCUESTA CONDUCTORES'!BY338</f>
        <v>3</v>
      </c>
      <c r="BR338" s="15">
        <f>+'ENCUESTA CONDUCTORES'!BZ338</f>
        <v>2</v>
      </c>
      <c r="BS338" s="15">
        <f>+'ENCUESTA CONDUCTORES'!CA338</f>
        <v>0</v>
      </c>
      <c r="BT338" s="15">
        <f>IF('ENCUESTA CONDUCTORES'!CB338="X",1,0)</f>
        <v>0</v>
      </c>
      <c r="BU338" s="15">
        <f>IF('ENCUESTA CONDUCTORES'!CC338="X",1,0)</f>
        <v>1</v>
      </c>
      <c r="BV338" s="15">
        <f>IF('ENCUESTA CONDUCTORES'!CD338="X",1,0)</f>
        <v>0</v>
      </c>
      <c r="BW338" s="15">
        <f>IF('ENCUESTA CONDUCTORES'!CE338="X",1,0)</f>
        <v>0</v>
      </c>
      <c r="BX338" s="15">
        <f>IF('ENCUESTA CONDUCTORES'!CF338="X",1,0)</f>
        <v>0</v>
      </c>
      <c r="BY338" s="15">
        <f>IF('ENCUESTA CONDUCTORES'!CG338="X",1,0)</f>
        <v>1</v>
      </c>
      <c r="BZ338" s="15">
        <f>IF('ENCUESTA CONDUCTORES'!CH338="X",1,0)</f>
        <v>1</v>
      </c>
      <c r="CA338" s="15">
        <f>IF('ENCUESTA CONDUCTORES'!CI338="X",1,0)</f>
        <v>1</v>
      </c>
      <c r="CB338" s="15">
        <f>IF('ENCUESTA CONDUCTORES'!CJ338="X",1,0)</f>
        <v>0</v>
      </c>
      <c r="CC338" s="15">
        <f>IF('ENCUESTA CONDUCTORES'!CK338="X",1,0)</f>
        <v>1</v>
      </c>
      <c r="CD338" s="15">
        <f>IF('ENCUESTA CONDUCTORES'!CL338="X",1,0)</f>
        <v>0</v>
      </c>
      <c r="CE338" s="15">
        <f>IF('ENCUESTA CONDUCTORES'!CM338="X",1,0)</f>
        <v>0</v>
      </c>
      <c r="CF338" s="15">
        <f>+'ENCUESTA CONDUCTORES'!CN338</f>
        <v>0</v>
      </c>
      <c r="CG338" s="15">
        <f>IF('ENCUESTA CONDUCTORES'!CO338="X",1,0)</f>
        <v>0</v>
      </c>
      <c r="CH338" s="15" t="str">
        <f>+'ENCUESTA CONDUCTORES'!CP338</f>
        <v>NO SABE</v>
      </c>
      <c r="CI338" s="15" t="str">
        <f>+'ENCUESTA CONDUCTORES'!CQ338</f>
        <v>NO SABE</v>
      </c>
      <c r="CJ338" s="15">
        <f>IF('ENCUESTA CONDUCTORES'!CR338="X",1,0)</f>
        <v>0</v>
      </c>
      <c r="CK338" s="15">
        <f>IF('ENCUESTA CONDUCTORES'!CS338="X",1,0)</f>
        <v>0</v>
      </c>
      <c r="CL338" s="15">
        <f>IF('ENCUESTA CONDUCTORES'!CT338="X",1,0)</f>
        <v>0</v>
      </c>
      <c r="CM338" s="15" t="str">
        <f>+'ENCUESTA CONDUCTORES'!CU338</f>
        <v>MANEJO A LA DEFENSIVA</v>
      </c>
      <c r="CN338" s="15">
        <f>IF('ENCUESTA CONDUCTORES'!CV338="X",1,0)</f>
        <v>0</v>
      </c>
      <c r="CO338" s="15">
        <f>+'ENCUESTA CONDUCTORES'!CW338</f>
        <v>0</v>
      </c>
      <c r="CP338" s="15">
        <f>IF('ENCUESTA CONDUCTORES'!CX338="X",1,0)</f>
        <v>0</v>
      </c>
      <c r="CQ338" s="15">
        <f>IF('ENCUESTA CONDUCTORES'!CY338="X",1,0)</f>
        <v>1</v>
      </c>
      <c r="CR338" s="3">
        <f>+'ENCUESTA CONDUCTORES'!CZ338</f>
        <v>0</v>
      </c>
      <c r="CS338" s="49">
        <f>+'ENCUESTA CONDUCTORES'!DA338</f>
        <v>0</v>
      </c>
    </row>
    <row r="339" spans="2:97" x14ac:dyDescent="0.25">
      <c r="B339" s="14" t="str">
        <f>+'ENCUESTA CONDUCTORES'!D339</f>
        <v>C-350</v>
      </c>
      <c r="C339" s="15">
        <f>IF('ENCUESTA CONDUCTORES'!E339="X",1,0)</f>
        <v>0</v>
      </c>
      <c r="D339" s="15">
        <f>IF('ENCUESTA CONDUCTORES'!F339="X",1,0)</f>
        <v>0</v>
      </c>
      <c r="E339" s="15">
        <f>IF('ENCUESTA CONDUCTORES'!G339="X",1,0)</f>
        <v>1</v>
      </c>
      <c r="F339" s="15">
        <f>IF('ENCUESTA CONDUCTORES'!H339="X",1,0)</f>
        <v>0</v>
      </c>
      <c r="G339" s="15">
        <f>+'ENCUESTA CONDUCTORES'!I339</f>
        <v>29</v>
      </c>
      <c r="H339" s="15" t="str">
        <f>+'ENCUESTA CONDUCTORES'!J339</f>
        <v>M</v>
      </c>
      <c r="I339" s="15" t="str">
        <f>+'ENCUESTA CONDUCTORES'!K339</f>
        <v>BACHILLERATO</v>
      </c>
      <c r="J339" s="15" t="str">
        <f>+'ENCUESTA CONDUCTORES'!L339</f>
        <v>IZTAPALAPA, D.F.</v>
      </c>
      <c r="K339" s="15" t="str">
        <f>+'ENCUESTA CONDUCTORES'!M339</f>
        <v>IZTAPALAPA</v>
      </c>
      <c r="L339" s="15" t="str">
        <f>+'ENCUESTA CONDUCTORES'!N339</f>
        <v>D.F.</v>
      </c>
      <c r="M339" s="15">
        <f>+'ENCUESTA CONDUCTORES'!O339</f>
        <v>7</v>
      </c>
      <c r="N339" s="15">
        <f>IF('ENCUESTA CONDUCTORES'!P339="X",1,0)</f>
        <v>0</v>
      </c>
      <c r="O339" s="15">
        <f>IF('ENCUESTA CONDUCTORES'!Q339="X",1,0)</f>
        <v>1</v>
      </c>
      <c r="P339" s="15">
        <f>IF('ENCUESTA CONDUCTORES'!R339="X",1,0)</f>
        <v>0</v>
      </c>
      <c r="Q339" s="15">
        <f>IF('ENCUESTA CONDUCTORES'!S339="X",1,0)</f>
        <v>0</v>
      </c>
      <c r="R339" s="15">
        <f>IF('ENCUESTA CONDUCTORES'!T339="X",1,0)</f>
        <v>0</v>
      </c>
      <c r="S339" s="15">
        <f>IF('ENCUESTA CONDUCTORES'!U339="X",1,0)</f>
        <v>1</v>
      </c>
      <c r="T339" s="15">
        <f>IF('ENCUESTA CONDUCTORES'!V339="X",1,0)</f>
        <v>0</v>
      </c>
      <c r="U339" s="15">
        <f>IF('ENCUESTA CONDUCTORES'!W339="X",1,0)</f>
        <v>0</v>
      </c>
      <c r="V339" s="15">
        <f>IF('ENCUESTA CONDUCTORES'!X339="X",1,0)</f>
        <v>0</v>
      </c>
      <c r="W339" s="15">
        <f>IF('ENCUESTA CONDUCTORES'!Y339="X",1,0)</f>
        <v>0</v>
      </c>
      <c r="X339" s="15">
        <f>IF('ENCUESTA CONDUCTORES'!Z339="X",1,0)</f>
        <v>0</v>
      </c>
      <c r="Y339" s="15">
        <f>+'ENCUESTA CONDUCTORES'!AG339</f>
        <v>0</v>
      </c>
      <c r="Z339" s="15">
        <f>+'ENCUESTA CONDUCTORES'!AH339</f>
        <v>1979</v>
      </c>
      <c r="AA339" s="1">
        <f>+'ENCUESTA CONDUCTORES'!AI339</f>
        <v>1833815</v>
      </c>
      <c r="AB339" s="15">
        <f>IF('ENCUESTA CONDUCTORES'!AJ339="X",1,0)</f>
        <v>0</v>
      </c>
      <c r="AC339" s="15">
        <f>IF('ENCUESTA CONDUCTORES'!AK339="X",1,0)</f>
        <v>0</v>
      </c>
      <c r="AD339" s="15">
        <f>IF('ENCUESTA CONDUCTORES'!AL339="X",1,0)</f>
        <v>1</v>
      </c>
      <c r="AE339" s="15">
        <f>IF('ENCUESTA CONDUCTORES'!AM339="X",1,0)</f>
        <v>0</v>
      </c>
      <c r="AF339" s="15">
        <f>IF('ENCUESTA CONDUCTORES'!AN339="X",1,0)</f>
        <v>0</v>
      </c>
      <c r="AG339" s="15">
        <f>IF('ENCUESTA CONDUCTORES'!AO339="X",1,0)</f>
        <v>1</v>
      </c>
      <c r="AH339" s="15">
        <f>IF('ENCUESTA CONDUCTORES'!AP339="X",1,0)</f>
        <v>0</v>
      </c>
      <c r="AI339" s="15">
        <f>IF('ENCUESTA CONDUCTORES'!AQ339="X",1,0)</f>
        <v>0</v>
      </c>
      <c r="AJ339" s="15">
        <f>IF('ENCUESTA CONDUCTORES'!AR339="X",1,0)</f>
        <v>0</v>
      </c>
      <c r="AK339" s="15">
        <f>+'ENCUESTA CONDUCTORES'!AS339</f>
        <v>0</v>
      </c>
      <c r="AL339" s="15" t="str">
        <f>+'ENCUESTA CONDUCTORES'!AT339</f>
        <v>INTERNATIONAL</v>
      </c>
      <c r="AM339" s="1">
        <f>+'ENCUESTA CONDUCTORES'!AU339</f>
        <v>6500</v>
      </c>
      <c r="AN339" s="48">
        <f>+'ENCUESTA CONDUCTORES'!AV339</f>
        <v>0.5</v>
      </c>
      <c r="AO339" s="15">
        <f>+'ENCUESTA CONDUCTORES'!AW339</f>
        <v>2.1</v>
      </c>
      <c r="AP339" s="15">
        <f>+'ENCUESTA CONDUCTORES'!AX339</f>
        <v>1.7</v>
      </c>
      <c r="AQ339" s="15">
        <f>+'ENCUESTA CONDUCTORES'!AY339</f>
        <v>2</v>
      </c>
      <c r="AR339" s="15">
        <f>+'ENCUESTA CONDUCTORES'!AZ339</f>
        <v>1100</v>
      </c>
      <c r="AS339" s="15">
        <f>+'ENCUESTA CONDUCTORES'!BA339</f>
        <v>2100</v>
      </c>
      <c r="AT339" s="15">
        <f>IF('ENCUESTA CONDUCTORES'!BB339="X",1,0)</f>
        <v>0</v>
      </c>
      <c r="AU339" s="15">
        <f>IF('ENCUESTA CONDUCTORES'!BC339="X",1,0)</f>
        <v>1</v>
      </c>
      <c r="AV339" s="15">
        <f>IF('ENCUESTA CONDUCTORES'!BD339="X",1,0)</f>
        <v>0</v>
      </c>
      <c r="AW339" s="1">
        <f>+'ENCUESTA CONDUCTORES'!BE339</f>
        <v>25000</v>
      </c>
      <c r="AX339" s="1">
        <f>+'ENCUESTA CONDUCTORES'!BF339</f>
        <v>15000</v>
      </c>
      <c r="AY339" s="1">
        <f>+'ENCUESTA CONDUCTORES'!BG339</f>
        <v>35000</v>
      </c>
      <c r="AZ339" s="1">
        <f>+'ENCUESTA CONDUCTORES'!BH339</f>
        <v>140000</v>
      </c>
      <c r="BA339" s="1">
        <f>+'ENCUESTA CONDUCTORES'!BI339</f>
        <v>35000</v>
      </c>
      <c r="BB339" s="15">
        <f>IF('ENCUESTA CONDUCTORES'!BJ339="X",1,0)</f>
        <v>0</v>
      </c>
      <c r="BC339" s="15">
        <f>IF('ENCUESTA CONDUCTORES'!BK339="X",1,0)</f>
        <v>0</v>
      </c>
      <c r="BD339" s="15">
        <f>IF('ENCUESTA CONDUCTORES'!BL339="X",1,0)</f>
        <v>0</v>
      </c>
      <c r="BE339" s="15">
        <f>IF('ENCUESTA CONDUCTORES'!BM339="X",1,0)</f>
        <v>1</v>
      </c>
      <c r="BF339" s="15">
        <f>IF('ENCUESTA CONDUCTORES'!BN339="X",1,0)</f>
        <v>0</v>
      </c>
      <c r="BG339" s="15">
        <f>IF('ENCUESTA CONDUCTORES'!BO339="X",1,0)</f>
        <v>0</v>
      </c>
      <c r="BH339" s="15">
        <f>IF('ENCUESTA CONDUCTORES'!BP339="X",1,0)</f>
        <v>0</v>
      </c>
      <c r="BI339" s="15">
        <f>IF('ENCUESTA CONDUCTORES'!BQ339="X",1,0)</f>
        <v>0</v>
      </c>
      <c r="BJ339" s="15">
        <f>IF('ENCUESTA CONDUCTORES'!BR339="X",1,0)</f>
        <v>0</v>
      </c>
      <c r="BK339" s="15">
        <f>+'ENCUESTA CONDUCTORES'!BS339</f>
        <v>0</v>
      </c>
      <c r="BL339" s="15">
        <f>IF('ENCUESTA CONDUCTORES'!BT339="X",1,0)</f>
        <v>0</v>
      </c>
      <c r="BM339" s="15">
        <f>IF('ENCUESTA CONDUCTORES'!BU339="X",1,0)</f>
        <v>0</v>
      </c>
      <c r="BN339" s="15">
        <f>IF('ENCUESTA CONDUCTORES'!BV339="X",1,0)</f>
        <v>1</v>
      </c>
      <c r="BO339" s="15">
        <f>IF('ENCUESTA CONDUCTORES'!BW339="X",1,0)</f>
        <v>0</v>
      </c>
      <c r="BP339" s="15">
        <f>+'ENCUESTA CONDUCTORES'!BX339</f>
        <v>2</v>
      </c>
      <c r="BQ339" s="15">
        <f>+'ENCUESTA CONDUCTORES'!BY339</f>
        <v>3</v>
      </c>
      <c r="BR339" s="15">
        <f>+'ENCUESTA CONDUCTORES'!BZ339</f>
        <v>1</v>
      </c>
      <c r="BS339" s="15">
        <f>+'ENCUESTA CONDUCTORES'!CA339</f>
        <v>0</v>
      </c>
      <c r="BT339" s="15">
        <f>IF('ENCUESTA CONDUCTORES'!CB339="X",1,0)</f>
        <v>1</v>
      </c>
      <c r="BU339" s="15">
        <f>IF('ENCUESTA CONDUCTORES'!CC339="X",1,0)</f>
        <v>0</v>
      </c>
      <c r="BV339" s="15">
        <f>IF('ENCUESTA CONDUCTORES'!CD339="X",1,0)</f>
        <v>0</v>
      </c>
      <c r="BW339" s="15">
        <f>IF('ENCUESTA CONDUCTORES'!CE339="X",1,0)</f>
        <v>0</v>
      </c>
      <c r="BX339" s="15">
        <f>IF('ENCUESTA CONDUCTORES'!CF339="X",1,0)</f>
        <v>0</v>
      </c>
      <c r="BY339" s="15">
        <f>IF('ENCUESTA CONDUCTORES'!CG339="X",1,0)</f>
        <v>0</v>
      </c>
      <c r="BZ339" s="15">
        <f>IF('ENCUESTA CONDUCTORES'!CH339="X",1,0)</f>
        <v>0</v>
      </c>
      <c r="CA339" s="15">
        <f>IF('ENCUESTA CONDUCTORES'!CI339="X",1,0)</f>
        <v>0</v>
      </c>
      <c r="CB339" s="15">
        <f>IF('ENCUESTA CONDUCTORES'!CJ339="X",1,0)</f>
        <v>0</v>
      </c>
      <c r="CC339" s="15">
        <f>IF('ENCUESTA CONDUCTORES'!CK339="X",1,0)</f>
        <v>1</v>
      </c>
      <c r="CD339" s="15">
        <f>IF('ENCUESTA CONDUCTORES'!CL339="X",1,0)</f>
        <v>0</v>
      </c>
      <c r="CE339" s="15">
        <f>IF('ENCUESTA CONDUCTORES'!CM339="X",1,0)</f>
        <v>0</v>
      </c>
      <c r="CF339" s="15">
        <f>+'ENCUESTA CONDUCTORES'!CN339</f>
        <v>0</v>
      </c>
      <c r="CG339" s="15">
        <f>IF('ENCUESTA CONDUCTORES'!CO339="X",1,0)</f>
        <v>0</v>
      </c>
      <c r="CH339" s="15" t="str">
        <f>+'ENCUESTA CONDUCTORES'!CP339</f>
        <v>NO SABE</v>
      </c>
      <c r="CI339" s="15" t="str">
        <f>+'ENCUESTA CONDUCTORES'!CQ339</f>
        <v>NO SABE</v>
      </c>
      <c r="CJ339" s="15">
        <f>IF('ENCUESTA CONDUCTORES'!CR339="X",1,0)</f>
        <v>1</v>
      </c>
      <c r="CK339" s="15">
        <f>IF('ENCUESTA CONDUCTORES'!CS339="X",1,0)</f>
        <v>0</v>
      </c>
      <c r="CL339" s="15">
        <f>IF('ENCUESTA CONDUCTORES'!CT339="X",1,0)</f>
        <v>0</v>
      </c>
      <c r="CM339" s="15">
        <f>+'ENCUESTA CONDUCTORES'!CU339</f>
        <v>0</v>
      </c>
      <c r="CN339" s="15">
        <f>IF('ENCUESTA CONDUCTORES'!CV339="X",1,0)</f>
        <v>0</v>
      </c>
      <c r="CO339" s="15">
        <f>+'ENCUESTA CONDUCTORES'!CW339</f>
        <v>0</v>
      </c>
      <c r="CP339" s="15">
        <f>IF('ENCUESTA CONDUCTORES'!CX339="X",1,0)</f>
        <v>1</v>
      </c>
      <c r="CQ339" s="15">
        <f>IF('ENCUESTA CONDUCTORES'!CY339="X",1,0)</f>
        <v>1</v>
      </c>
      <c r="CR339" s="3">
        <f>+'ENCUESTA CONDUCTORES'!CZ339</f>
        <v>0</v>
      </c>
      <c r="CS339" s="49">
        <f>+'ENCUESTA CONDUCTORES'!DA339</f>
        <v>0</v>
      </c>
    </row>
    <row r="340" spans="2:97" x14ac:dyDescent="0.25">
      <c r="B340" s="14" t="str">
        <f>+'ENCUESTA CONDUCTORES'!D340</f>
        <v>C-351</v>
      </c>
      <c r="C340" s="15">
        <f>IF('ENCUESTA CONDUCTORES'!E340="X",1,0)</f>
        <v>1</v>
      </c>
      <c r="D340" s="15">
        <f>IF('ENCUESTA CONDUCTORES'!F340="X",1,0)</f>
        <v>0</v>
      </c>
      <c r="E340" s="15">
        <f>IF('ENCUESTA CONDUCTORES'!G340="X",1,0)</f>
        <v>0</v>
      </c>
      <c r="F340" s="15">
        <f>IF('ENCUESTA CONDUCTORES'!H340="X",1,0)</f>
        <v>0</v>
      </c>
      <c r="G340" s="15">
        <f>+'ENCUESTA CONDUCTORES'!I340</f>
        <v>32</v>
      </c>
      <c r="H340" s="15" t="str">
        <f>+'ENCUESTA CONDUCTORES'!J340</f>
        <v>M</v>
      </c>
      <c r="I340" s="15" t="str">
        <f>+'ENCUESTA CONDUCTORES'!K340</f>
        <v>SECUNDARIA</v>
      </c>
      <c r="J340" s="15" t="str">
        <f>+'ENCUESTA CONDUCTORES'!L340</f>
        <v>JEREZ, ZACATECAS</v>
      </c>
      <c r="K340" s="15" t="str">
        <f>+'ENCUESTA CONDUCTORES'!M340</f>
        <v>JEREZ</v>
      </c>
      <c r="L340" s="15" t="str">
        <f>+'ENCUESTA CONDUCTORES'!N340</f>
        <v>ZACATECAS</v>
      </c>
      <c r="M340" s="15">
        <f>+'ENCUESTA CONDUCTORES'!O340</f>
        <v>15</v>
      </c>
      <c r="N340" s="15">
        <f>IF('ENCUESTA CONDUCTORES'!P340="X",1,0)</f>
        <v>1</v>
      </c>
      <c r="O340" s="15">
        <f>IF('ENCUESTA CONDUCTORES'!Q340="X",1,0)</f>
        <v>0</v>
      </c>
      <c r="P340" s="15">
        <f>IF('ENCUESTA CONDUCTORES'!R340="X",1,0)</f>
        <v>0</v>
      </c>
      <c r="Q340" s="15">
        <f>IF('ENCUESTA CONDUCTORES'!S340="X",1,0)</f>
        <v>0</v>
      </c>
      <c r="R340" s="15">
        <f>IF('ENCUESTA CONDUCTORES'!T340="X",1,0)</f>
        <v>0</v>
      </c>
      <c r="S340" s="15">
        <f>IF('ENCUESTA CONDUCTORES'!U340="X",1,0)</f>
        <v>0</v>
      </c>
      <c r="T340" s="15">
        <f>IF('ENCUESTA CONDUCTORES'!V340="X",1,0)</f>
        <v>0</v>
      </c>
      <c r="U340" s="15">
        <f>IF('ENCUESTA CONDUCTORES'!W340="X",1,0)</f>
        <v>0</v>
      </c>
      <c r="V340" s="15">
        <f>IF('ENCUESTA CONDUCTORES'!X340="X",1,0)</f>
        <v>0</v>
      </c>
      <c r="W340" s="15">
        <f>IF('ENCUESTA CONDUCTORES'!Y340="X",1,0)</f>
        <v>0</v>
      </c>
      <c r="X340" s="15">
        <f>IF('ENCUESTA CONDUCTORES'!Z340="X",1,0)</f>
        <v>0</v>
      </c>
      <c r="Y340" s="15">
        <f>+'ENCUESTA CONDUCTORES'!AG340</f>
        <v>0</v>
      </c>
      <c r="Z340" s="15">
        <f>+'ENCUESTA CONDUCTORES'!AH340</f>
        <v>1982</v>
      </c>
      <c r="AA340" s="1">
        <f>+'ENCUESTA CONDUCTORES'!AI340</f>
        <v>1875620</v>
      </c>
      <c r="AB340" s="15">
        <f>IF('ENCUESTA CONDUCTORES'!AJ340="X",1,0)</f>
        <v>0</v>
      </c>
      <c r="AC340" s="15">
        <f>IF('ENCUESTA CONDUCTORES'!AK340="X",1,0)</f>
        <v>0</v>
      </c>
      <c r="AD340" s="15">
        <f>IF('ENCUESTA CONDUCTORES'!AL340="X",1,0)</f>
        <v>1</v>
      </c>
      <c r="AE340" s="15">
        <f>IF('ENCUESTA CONDUCTORES'!AM340="X",1,0)</f>
        <v>0</v>
      </c>
      <c r="AF340" s="15">
        <f>IF('ENCUESTA CONDUCTORES'!AN340="X",1,0)</f>
        <v>0</v>
      </c>
      <c r="AG340" s="15">
        <f>IF('ENCUESTA CONDUCTORES'!AO340="X",1,0)</f>
        <v>1</v>
      </c>
      <c r="AH340" s="15">
        <f>IF('ENCUESTA CONDUCTORES'!AP340="X",1,0)</f>
        <v>0</v>
      </c>
      <c r="AI340" s="15">
        <f>IF('ENCUESTA CONDUCTORES'!AQ340="X",1,0)</f>
        <v>0</v>
      </c>
      <c r="AJ340" s="15">
        <f>IF('ENCUESTA CONDUCTORES'!AR340="X",1,0)</f>
        <v>0</v>
      </c>
      <c r="AK340" s="15">
        <f>+'ENCUESTA CONDUCTORES'!AS340</f>
        <v>0</v>
      </c>
      <c r="AL340" s="15" t="str">
        <f>+'ENCUESTA CONDUCTORES'!AT340</f>
        <v>CUMMINS</v>
      </c>
      <c r="AM340" s="1">
        <f>+'ENCUESTA CONDUCTORES'!AU340</f>
        <v>6000</v>
      </c>
      <c r="AN340" s="48">
        <f>+'ENCUESTA CONDUCTORES'!AV340</f>
        <v>0.5</v>
      </c>
      <c r="AO340" s="15">
        <f>+'ENCUESTA CONDUCTORES'!AW340</f>
        <v>5.0999999999999996</v>
      </c>
      <c r="AP340" s="15">
        <f>+'ENCUESTA CONDUCTORES'!AX340</f>
        <v>4.4000000000000004</v>
      </c>
      <c r="AQ340" s="15">
        <f>+'ENCUESTA CONDUCTORES'!AY340</f>
        <v>2</v>
      </c>
      <c r="AR340" s="15">
        <f>+'ENCUESTA CONDUCTORES'!AZ340</f>
        <v>310</v>
      </c>
      <c r="AS340" s="15">
        <f>+'ENCUESTA CONDUCTORES'!BA340</f>
        <v>1500</v>
      </c>
      <c r="AT340" s="15">
        <f>IF('ENCUESTA CONDUCTORES'!BB340="X",1,0)</f>
        <v>0</v>
      </c>
      <c r="AU340" s="15">
        <f>IF('ENCUESTA CONDUCTORES'!BC340="X",1,0)</f>
        <v>0</v>
      </c>
      <c r="AV340" s="15">
        <f>IF('ENCUESTA CONDUCTORES'!BD340="X",1,0)</f>
        <v>0</v>
      </c>
      <c r="AW340" s="1">
        <f>+'ENCUESTA CONDUCTORES'!BE340</f>
        <v>30000</v>
      </c>
      <c r="AX340" s="1" t="str">
        <f>+'ENCUESTA CONDUCTORES'!BF340</f>
        <v>NO SABE</v>
      </c>
      <c r="AY340" s="1" t="str">
        <f>+'ENCUESTA CONDUCTORES'!BG340</f>
        <v>NO SABE</v>
      </c>
      <c r="AZ340" s="1" t="str">
        <f>+'ENCUESTA CONDUCTORES'!BH340</f>
        <v>NO SABE</v>
      </c>
      <c r="BA340" s="1" t="str">
        <f>+'ENCUESTA CONDUCTORES'!BI340</f>
        <v>NO SABE</v>
      </c>
      <c r="BB340" s="15">
        <f>IF('ENCUESTA CONDUCTORES'!BJ340="X",1,0)</f>
        <v>1</v>
      </c>
      <c r="BC340" s="15">
        <f>IF('ENCUESTA CONDUCTORES'!BK340="X",1,0)</f>
        <v>1</v>
      </c>
      <c r="BD340" s="15">
        <f>IF('ENCUESTA CONDUCTORES'!BL340="X",1,0)</f>
        <v>0</v>
      </c>
      <c r="BE340" s="15">
        <f>IF('ENCUESTA CONDUCTORES'!BM340="X",1,0)</f>
        <v>0</v>
      </c>
      <c r="BF340" s="15">
        <f>IF('ENCUESTA CONDUCTORES'!BN340="X",1,0)</f>
        <v>0</v>
      </c>
      <c r="BG340" s="15">
        <f>IF('ENCUESTA CONDUCTORES'!BO340="X",1,0)</f>
        <v>1</v>
      </c>
      <c r="BH340" s="15">
        <f>IF('ENCUESTA CONDUCTORES'!BP340="X",1,0)</f>
        <v>0</v>
      </c>
      <c r="BI340" s="15">
        <f>IF('ENCUESTA CONDUCTORES'!BQ340="X",1,0)</f>
        <v>0</v>
      </c>
      <c r="BJ340" s="15">
        <f>IF('ENCUESTA CONDUCTORES'!BR340="X",1,0)</f>
        <v>0</v>
      </c>
      <c r="BK340" s="15">
        <f>+'ENCUESTA CONDUCTORES'!BS340</f>
        <v>0</v>
      </c>
      <c r="BL340" s="15">
        <f>IF('ENCUESTA CONDUCTORES'!BT340="X",1,0)</f>
        <v>1</v>
      </c>
      <c r="BM340" s="15">
        <f>IF('ENCUESTA CONDUCTORES'!BU340="X",1,0)</f>
        <v>0</v>
      </c>
      <c r="BN340" s="15">
        <f>IF('ENCUESTA CONDUCTORES'!BV340="X",1,0)</f>
        <v>0</v>
      </c>
      <c r="BO340" s="15">
        <f>IF('ENCUESTA CONDUCTORES'!BW340="X",1,0)</f>
        <v>0</v>
      </c>
      <c r="BP340" s="15">
        <f>+'ENCUESTA CONDUCTORES'!BX340</f>
        <v>3</v>
      </c>
      <c r="BQ340" s="15">
        <f>+'ENCUESTA CONDUCTORES'!BY340</f>
        <v>2</v>
      </c>
      <c r="BR340" s="15">
        <f>+'ENCUESTA CONDUCTORES'!BZ340</f>
        <v>1</v>
      </c>
      <c r="BS340" s="15">
        <f>+'ENCUESTA CONDUCTORES'!CA340</f>
        <v>0</v>
      </c>
      <c r="BT340" s="15">
        <f>IF('ENCUESTA CONDUCTORES'!CB340="X",1,0)</f>
        <v>1</v>
      </c>
      <c r="BU340" s="15">
        <f>IF('ENCUESTA CONDUCTORES'!CC340="X",1,0)</f>
        <v>0</v>
      </c>
      <c r="BV340" s="15">
        <f>IF('ENCUESTA CONDUCTORES'!CD340="X",1,0)</f>
        <v>0</v>
      </c>
      <c r="BW340" s="15">
        <f>IF('ENCUESTA CONDUCTORES'!CE340="X",1,0)</f>
        <v>0</v>
      </c>
      <c r="BX340" s="15">
        <f>IF('ENCUESTA CONDUCTORES'!CF340="X",1,0)</f>
        <v>0</v>
      </c>
      <c r="BY340" s="15">
        <f>IF('ENCUESTA CONDUCTORES'!CG340="X",1,0)</f>
        <v>0</v>
      </c>
      <c r="BZ340" s="15">
        <f>IF('ENCUESTA CONDUCTORES'!CH340="X",1,0)</f>
        <v>0</v>
      </c>
      <c r="CA340" s="15">
        <f>IF('ENCUESTA CONDUCTORES'!CI340="X",1,0)</f>
        <v>0</v>
      </c>
      <c r="CB340" s="15">
        <f>IF('ENCUESTA CONDUCTORES'!CJ340="X",1,0)</f>
        <v>0</v>
      </c>
      <c r="CC340" s="15">
        <f>IF('ENCUESTA CONDUCTORES'!CK340="X",1,0)</f>
        <v>1</v>
      </c>
      <c r="CD340" s="15">
        <f>IF('ENCUESTA CONDUCTORES'!CL340="X",1,0)</f>
        <v>0</v>
      </c>
      <c r="CE340" s="15">
        <f>IF('ENCUESTA CONDUCTORES'!CM340="X",1,0)</f>
        <v>0</v>
      </c>
      <c r="CF340" s="15">
        <f>+'ENCUESTA CONDUCTORES'!CN340</f>
        <v>0</v>
      </c>
      <c r="CG340" s="15">
        <f>IF('ENCUESTA CONDUCTORES'!CO340="X",1,0)</f>
        <v>0</v>
      </c>
      <c r="CH340" s="15" t="str">
        <f>+'ENCUESTA CONDUCTORES'!CP340</f>
        <v>NO SABE</v>
      </c>
      <c r="CI340" s="15" t="str">
        <f>+'ENCUESTA CONDUCTORES'!CQ340</f>
        <v>NO SABE</v>
      </c>
      <c r="CJ340" s="15">
        <f>IF('ENCUESTA CONDUCTORES'!CR340="X",1,0)</f>
        <v>1</v>
      </c>
      <c r="CK340" s="15">
        <f>IF('ENCUESTA CONDUCTORES'!CS340="X",1,0)</f>
        <v>0</v>
      </c>
      <c r="CL340" s="15">
        <f>IF('ENCUESTA CONDUCTORES'!CT340="X",1,0)</f>
        <v>0</v>
      </c>
      <c r="CM340" s="15">
        <f>+'ENCUESTA CONDUCTORES'!CU340</f>
        <v>0</v>
      </c>
      <c r="CN340" s="15">
        <f>IF('ENCUESTA CONDUCTORES'!CV340="X",1,0)</f>
        <v>0</v>
      </c>
      <c r="CO340" s="15">
        <f>+'ENCUESTA CONDUCTORES'!CW340</f>
        <v>0</v>
      </c>
      <c r="CP340" s="15">
        <f>IF('ENCUESTA CONDUCTORES'!CX340="X",1,0)</f>
        <v>0</v>
      </c>
      <c r="CQ340" s="15">
        <f>IF('ENCUESTA CONDUCTORES'!CY340="X",1,0)</f>
        <v>1</v>
      </c>
      <c r="CR340" s="3">
        <f>+'ENCUESTA CONDUCTORES'!CZ340</f>
        <v>0</v>
      </c>
      <c r="CS340" s="49">
        <f>+'ENCUESTA CONDUCTORES'!DA340</f>
        <v>0</v>
      </c>
    </row>
    <row r="341" spans="2:97" x14ac:dyDescent="0.25">
      <c r="B341" s="14" t="str">
        <f>+'ENCUESTA CONDUCTORES'!D341</f>
        <v>C-352</v>
      </c>
      <c r="C341" s="15">
        <f>IF('ENCUESTA CONDUCTORES'!E341="X",1,0)</f>
        <v>0</v>
      </c>
      <c r="D341" s="15">
        <f>IF('ENCUESTA CONDUCTORES'!F341="X",1,0)</f>
        <v>0</v>
      </c>
      <c r="E341" s="15">
        <f>IF('ENCUESTA CONDUCTORES'!G341="X",1,0)</f>
        <v>1</v>
      </c>
      <c r="F341" s="15">
        <f>IF('ENCUESTA CONDUCTORES'!H341="X",1,0)</f>
        <v>0</v>
      </c>
      <c r="G341" s="15">
        <f>+'ENCUESTA CONDUCTORES'!I341</f>
        <v>27</v>
      </c>
      <c r="H341" s="15" t="str">
        <f>+'ENCUESTA CONDUCTORES'!J341</f>
        <v>M</v>
      </c>
      <c r="I341" s="15" t="str">
        <f>+'ENCUESTA CONDUCTORES'!K341</f>
        <v>PREPARATORIA</v>
      </c>
      <c r="J341" s="15" t="str">
        <f>+'ENCUESTA CONDUCTORES'!L341</f>
        <v>AZCAPOTZALCO, D.F.</v>
      </c>
      <c r="K341" s="15" t="str">
        <f>+'ENCUESTA CONDUCTORES'!M341</f>
        <v>AZCAPOTZALCO</v>
      </c>
      <c r="L341" s="15" t="str">
        <f>+'ENCUESTA CONDUCTORES'!N341</f>
        <v>D.F.</v>
      </c>
      <c r="M341" s="15">
        <f>+'ENCUESTA CONDUCTORES'!O341</f>
        <v>8</v>
      </c>
      <c r="N341" s="15">
        <f>IF('ENCUESTA CONDUCTORES'!P341="X",1,0)</f>
        <v>0</v>
      </c>
      <c r="O341" s="15">
        <f>IF('ENCUESTA CONDUCTORES'!Q341="X",1,0)</f>
        <v>1</v>
      </c>
      <c r="P341" s="15">
        <f>IF('ENCUESTA CONDUCTORES'!R341="X",1,0)</f>
        <v>0</v>
      </c>
      <c r="Q341" s="15">
        <f>IF('ENCUESTA CONDUCTORES'!S341="X",1,0)</f>
        <v>0</v>
      </c>
      <c r="R341" s="15">
        <f>IF('ENCUESTA CONDUCTORES'!T341="X",1,0)</f>
        <v>0</v>
      </c>
      <c r="S341" s="15">
        <f>IF('ENCUESTA CONDUCTORES'!U341="X",1,0)</f>
        <v>0</v>
      </c>
      <c r="T341" s="15">
        <f>IF('ENCUESTA CONDUCTORES'!V341="X",1,0)</f>
        <v>0</v>
      </c>
      <c r="U341" s="15">
        <f>IF('ENCUESTA CONDUCTORES'!W341="X",1,0)</f>
        <v>0</v>
      </c>
      <c r="V341" s="15">
        <f>IF('ENCUESTA CONDUCTORES'!X341="X",1,0)</f>
        <v>0</v>
      </c>
      <c r="W341" s="15">
        <f>IF('ENCUESTA CONDUCTORES'!Y341="X",1,0)</f>
        <v>0</v>
      </c>
      <c r="X341" s="15">
        <f>IF('ENCUESTA CONDUCTORES'!Z341="X",1,0)</f>
        <v>0</v>
      </c>
      <c r="Y341" s="15">
        <f>+'ENCUESTA CONDUCTORES'!AG341</f>
        <v>0</v>
      </c>
      <c r="Z341" s="15">
        <f>+'ENCUESTA CONDUCTORES'!AH341</f>
        <v>1976</v>
      </c>
      <c r="AA341" s="1" t="str">
        <f>+'ENCUESTA CONDUCTORES'!AI341</f>
        <v>DAÑADO</v>
      </c>
      <c r="AB341" s="15">
        <f>IF('ENCUESTA CONDUCTORES'!AJ341="X",1,0)</f>
        <v>0</v>
      </c>
      <c r="AC341" s="15">
        <f>IF('ENCUESTA CONDUCTORES'!AK341="X",1,0)</f>
        <v>0</v>
      </c>
      <c r="AD341" s="15">
        <f>IF('ENCUESTA CONDUCTORES'!AL341="X",1,0)</f>
        <v>1</v>
      </c>
      <c r="AE341" s="15">
        <f>IF('ENCUESTA CONDUCTORES'!AM341="X",1,0)</f>
        <v>0</v>
      </c>
      <c r="AF341" s="15">
        <f>IF('ENCUESTA CONDUCTORES'!AN341="X",1,0)</f>
        <v>0</v>
      </c>
      <c r="AG341" s="15">
        <f>IF('ENCUESTA CONDUCTORES'!AO341="X",1,0)</f>
        <v>1</v>
      </c>
      <c r="AH341" s="15">
        <f>IF('ENCUESTA CONDUCTORES'!AP341="X",1,0)</f>
        <v>0</v>
      </c>
      <c r="AI341" s="15">
        <f>IF('ENCUESTA CONDUCTORES'!AQ341="X",1,0)</f>
        <v>0</v>
      </c>
      <c r="AJ341" s="15">
        <f>IF('ENCUESTA CONDUCTORES'!AR341="X",1,0)</f>
        <v>0</v>
      </c>
      <c r="AK341" s="15">
        <f>+'ENCUESTA CONDUCTORES'!AS341</f>
        <v>0</v>
      </c>
      <c r="AL341" s="15" t="str">
        <f>+'ENCUESTA CONDUCTORES'!AT341</f>
        <v>CUMMINS</v>
      </c>
      <c r="AM341" s="1">
        <f>+'ENCUESTA CONDUCTORES'!AU341</f>
        <v>7000</v>
      </c>
      <c r="AN341" s="48">
        <f>+'ENCUESTA CONDUCTORES'!AV341</f>
        <v>0.1</v>
      </c>
      <c r="AO341" s="15">
        <f>+'ENCUESTA CONDUCTORES'!AW341</f>
        <v>4.3</v>
      </c>
      <c r="AP341" s="15">
        <f>+'ENCUESTA CONDUCTORES'!AX341</f>
        <v>3.9</v>
      </c>
      <c r="AQ341" s="15">
        <f>+'ENCUESTA CONDUCTORES'!AY341</f>
        <v>1</v>
      </c>
      <c r="AR341" s="15">
        <f>+'ENCUESTA CONDUCTORES'!AZ341</f>
        <v>200</v>
      </c>
      <c r="AS341" s="15">
        <f>+'ENCUESTA CONDUCTORES'!BA341</f>
        <v>800</v>
      </c>
      <c r="AT341" s="15">
        <f>IF('ENCUESTA CONDUCTORES'!BB341="X",1,0)</f>
        <v>0</v>
      </c>
      <c r="AU341" s="15">
        <f>IF('ENCUESTA CONDUCTORES'!BC341="X",1,0)</f>
        <v>0</v>
      </c>
      <c r="AV341" s="15">
        <f>IF('ENCUESTA CONDUCTORES'!BD341="X",1,0)</f>
        <v>0</v>
      </c>
      <c r="AW341" s="1">
        <f>+'ENCUESTA CONDUCTORES'!BE341</f>
        <v>28000</v>
      </c>
      <c r="AX341" s="1" t="str">
        <f>+'ENCUESTA CONDUCTORES'!BF341</f>
        <v>NO SABE</v>
      </c>
      <c r="AY341" s="1" t="str">
        <f>+'ENCUESTA CONDUCTORES'!BG341</f>
        <v>NO SABE</v>
      </c>
      <c r="AZ341" s="1" t="str">
        <f>+'ENCUESTA CONDUCTORES'!BH341</f>
        <v>NO SABE</v>
      </c>
      <c r="BA341" s="1" t="str">
        <f>+'ENCUESTA CONDUCTORES'!BI341</f>
        <v>NO SABE</v>
      </c>
      <c r="BB341" s="15">
        <f>IF('ENCUESTA CONDUCTORES'!BJ341="X",1,0)</f>
        <v>1</v>
      </c>
      <c r="BC341" s="15">
        <f>IF('ENCUESTA CONDUCTORES'!BK341="X",1,0)</f>
        <v>1</v>
      </c>
      <c r="BD341" s="15">
        <f>IF('ENCUESTA CONDUCTORES'!BL341="X",1,0)</f>
        <v>0</v>
      </c>
      <c r="BE341" s="15">
        <f>IF('ENCUESTA CONDUCTORES'!BM341="X",1,0)</f>
        <v>0</v>
      </c>
      <c r="BF341" s="15">
        <f>IF('ENCUESTA CONDUCTORES'!BN341="X",1,0)</f>
        <v>0</v>
      </c>
      <c r="BG341" s="15">
        <f>IF('ENCUESTA CONDUCTORES'!BO341="X",1,0)</f>
        <v>1</v>
      </c>
      <c r="BH341" s="15">
        <f>IF('ENCUESTA CONDUCTORES'!BP341="X",1,0)</f>
        <v>0</v>
      </c>
      <c r="BI341" s="15">
        <f>IF('ENCUESTA CONDUCTORES'!BQ341="X",1,0)</f>
        <v>0</v>
      </c>
      <c r="BJ341" s="15">
        <f>IF('ENCUESTA CONDUCTORES'!BR341="X",1,0)</f>
        <v>0</v>
      </c>
      <c r="BK341" s="15">
        <f>+'ENCUESTA CONDUCTORES'!BS341</f>
        <v>0</v>
      </c>
      <c r="BL341" s="15">
        <f>IF('ENCUESTA CONDUCTORES'!BT341="X",1,0)</f>
        <v>1</v>
      </c>
      <c r="BM341" s="15">
        <f>IF('ENCUESTA CONDUCTORES'!BU341="X",1,0)</f>
        <v>0</v>
      </c>
      <c r="BN341" s="15">
        <f>IF('ENCUESTA CONDUCTORES'!BV341="X",1,0)</f>
        <v>0</v>
      </c>
      <c r="BO341" s="15">
        <f>IF('ENCUESTA CONDUCTORES'!BW341="X",1,0)</f>
        <v>0</v>
      </c>
      <c r="BP341" s="15">
        <f>+'ENCUESTA CONDUCTORES'!BX341</f>
        <v>2</v>
      </c>
      <c r="BQ341" s="15">
        <f>+'ENCUESTA CONDUCTORES'!BY341</f>
        <v>1</v>
      </c>
      <c r="BR341" s="15">
        <f>+'ENCUESTA CONDUCTORES'!BZ341</f>
        <v>3</v>
      </c>
      <c r="BS341" s="15">
        <f>+'ENCUESTA CONDUCTORES'!CA341</f>
        <v>0</v>
      </c>
      <c r="BT341" s="15">
        <f>IF('ENCUESTA CONDUCTORES'!CB341="X",1,0)</f>
        <v>1</v>
      </c>
      <c r="BU341" s="15">
        <f>IF('ENCUESTA CONDUCTORES'!CC341="X",1,0)</f>
        <v>0</v>
      </c>
      <c r="BV341" s="15">
        <f>IF('ENCUESTA CONDUCTORES'!CD341="X",1,0)</f>
        <v>0</v>
      </c>
      <c r="BW341" s="15">
        <f>IF('ENCUESTA CONDUCTORES'!CE341="X",1,0)</f>
        <v>0</v>
      </c>
      <c r="BX341" s="15">
        <f>IF('ENCUESTA CONDUCTORES'!CF341="X",1,0)</f>
        <v>0</v>
      </c>
      <c r="BY341" s="15">
        <f>IF('ENCUESTA CONDUCTORES'!CG341="X",1,0)</f>
        <v>0</v>
      </c>
      <c r="BZ341" s="15">
        <f>IF('ENCUESTA CONDUCTORES'!CH341="X",1,0)</f>
        <v>0</v>
      </c>
      <c r="CA341" s="15">
        <f>IF('ENCUESTA CONDUCTORES'!CI341="X",1,0)</f>
        <v>0</v>
      </c>
      <c r="CB341" s="15">
        <f>IF('ENCUESTA CONDUCTORES'!CJ341="X",1,0)</f>
        <v>0</v>
      </c>
      <c r="CC341" s="15">
        <f>IF('ENCUESTA CONDUCTORES'!CK341="X",1,0)</f>
        <v>1</v>
      </c>
      <c r="CD341" s="15">
        <f>IF('ENCUESTA CONDUCTORES'!CL341="X",1,0)</f>
        <v>0</v>
      </c>
      <c r="CE341" s="15">
        <f>IF('ENCUESTA CONDUCTORES'!CM341="X",1,0)</f>
        <v>0</v>
      </c>
      <c r="CF341" s="15">
        <f>+'ENCUESTA CONDUCTORES'!CN341</f>
        <v>0</v>
      </c>
      <c r="CG341" s="15">
        <f>IF('ENCUESTA CONDUCTORES'!CO341="X",1,0)</f>
        <v>0</v>
      </c>
      <c r="CH341" s="15" t="str">
        <f>+'ENCUESTA CONDUCTORES'!CP341</f>
        <v>NO SABE</v>
      </c>
      <c r="CI341" s="15" t="str">
        <f>+'ENCUESTA CONDUCTORES'!CQ341</f>
        <v>NO SABE</v>
      </c>
      <c r="CJ341" s="15">
        <f>IF('ENCUESTA CONDUCTORES'!CR341="X",1,0)</f>
        <v>0</v>
      </c>
      <c r="CK341" s="15">
        <f>IF('ENCUESTA CONDUCTORES'!CS341="X",1,0)</f>
        <v>0</v>
      </c>
      <c r="CL341" s="15">
        <f>IF('ENCUESTA CONDUCTORES'!CT341="X",1,0)</f>
        <v>1</v>
      </c>
      <c r="CM341" s="15">
        <f>+'ENCUESTA CONDUCTORES'!CU341</f>
        <v>0</v>
      </c>
      <c r="CN341" s="15">
        <f>IF('ENCUESTA CONDUCTORES'!CV341="X",1,0)</f>
        <v>1</v>
      </c>
      <c r="CO341" s="15" t="str">
        <f>+'ENCUESTA CONDUCTORES'!CW341</f>
        <v>NO TIENE TIEMPO</v>
      </c>
      <c r="CP341" s="15">
        <f>IF('ENCUESTA CONDUCTORES'!CX341="X",1,0)</f>
        <v>0</v>
      </c>
      <c r="CQ341" s="15">
        <f>IF('ENCUESTA CONDUCTORES'!CY341="X",1,0)</f>
        <v>0</v>
      </c>
      <c r="CR341" s="3">
        <f>+'ENCUESTA CONDUCTORES'!CZ341</f>
        <v>0</v>
      </c>
      <c r="CS341" s="49">
        <f>+'ENCUESTA CONDUCTORES'!DA341</f>
        <v>0</v>
      </c>
    </row>
    <row r="342" spans="2:97" x14ac:dyDescent="0.25">
      <c r="B342" s="14" t="str">
        <f>+'ENCUESTA CONDUCTORES'!D342</f>
        <v>C-353</v>
      </c>
      <c r="C342" s="15">
        <f>IF('ENCUESTA CONDUCTORES'!E342="X",1,0)</f>
        <v>0</v>
      </c>
      <c r="D342" s="15">
        <f>IF('ENCUESTA CONDUCTORES'!F342="X",1,0)</f>
        <v>0</v>
      </c>
      <c r="E342" s="15">
        <f>IF('ENCUESTA CONDUCTORES'!G342="X",1,0)</f>
        <v>1</v>
      </c>
      <c r="F342" s="15">
        <f>IF('ENCUESTA CONDUCTORES'!H342="X",1,0)</f>
        <v>0</v>
      </c>
      <c r="G342" s="15">
        <f>+'ENCUESTA CONDUCTORES'!I342</f>
        <v>44</v>
      </c>
      <c r="H342" s="15" t="str">
        <f>+'ENCUESTA CONDUCTORES'!J342</f>
        <v>M</v>
      </c>
      <c r="I342" s="15" t="str">
        <f>+'ENCUESTA CONDUCTORES'!K342</f>
        <v>SIN ESTUDIOS</v>
      </c>
      <c r="J342" s="15" t="str">
        <f>+'ENCUESTA CONDUCTORES'!L342</f>
        <v>SANTA CLARA, MICH</v>
      </c>
      <c r="K342" s="15" t="str">
        <f>+'ENCUESTA CONDUCTORES'!M342</f>
        <v>SANTA CLARA</v>
      </c>
      <c r="L342" s="15" t="str">
        <f>+'ENCUESTA CONDUCTORES'!N342</f>
        <v>MICHOACAN</v>
      </c>
      <c r="M342" s="15">
        <f>+'ENCUESTA CONDUCTORES'!O342</f>
        <v>25</v>
      </c>
      <c r="N342" s="15">
        <f>IF('ENCUESTA CONDUCTORES'!P342="X",1,0)</f>
        <v>0</v>
      </c>
      <c r="O342" s="15">
        <f>IF('ENCUESTA CONDUCTORES'!Q342="X",1,0)</f>
        <v>1</v>
      </c>
      <c r="P342" s="15">
        <f>IF('ENCUESTA CONDUCTORES'!R342="X",1,0)</f>
        <v>0</v>
      </c>
      <c r="Q342" s="15">
        <f>IF('ENCUESTA CONDUCTORES'!S342="X",1,0)</f>
        <v>0</v>
      </c>
      <c r="R342" s="15">
        <f>IF('ENCUESTA CONDUCTORES'!T342="X",1,0)</f>
        <v>0</v>
      </c>
      <c r="S342" s="15">
        <f>IF('ENCUESTA CONDUCTORES'!U342="X",1,0)</f>
        <v>0</v>
      </c>
      <c r="T342" s="15">
        <f>IF('ENCUESTA CONDUCTORES'!V342="X",1,0)</f>
        <v>0</v>
      </c>
      <c r="U342" s="15">
        <f>IF('ENCUESTA CONDUCTORES'!W342="X",1,0)</f>
        <v>0</v>
      </c>
      <c r="V342" s="15">
        <f>IF('ENCUESTA CONDUCTORES'!X342="X",1,0)</f>
        <v>0</v>
      </c>
      <c r="W342" s="15">
        <f>IF('ENCUESTA CONDUCTORES'!Y342="X",1,0)</f>
        <v>0</v>
      </c>
      <c r="X342" s="15">
        <f>IF('ENCUESTA CONDUCTORES'!Z342="X",1,0)</f>
        <v>0</v>
      </c>
      <c r="Y342" s="15">
        <f>+'ENCUESTA CONDUCTORES'!AG342</f>
        <v>0</v>
      </c>
      <c r="Z342" s="15">
        <f>+'ENCUESTA CONDUCTORES'!AH342</f>
        <v>1987</v>
      </c>
      <c r="AA342" s="1" t="str">
        <f>+'ENCUESTA CONDUCTORES'!AI342</f>
        <v>DAÑADO</v>
      </c>
      <c r="AB342" s="15">
        <f>IF('ENCUESTA CONDUCTORES'!AJ342="X",1,0)</f>
        <v>0</v>
      </c>
      <c r="AC342" s="15">
        <f>IF('ENCUESTA CONDUCTORES'!AK342="X",1,0)</f>
        <v>0</v>
      </c>
      <c r="AD342" s="15">
        <f>IF('ENCUESTA CONDUCTORES'!AL342="X",1,0)</f>
        <v>1</v>
      </c>
      <c r="AE342" s="15">
        <f>IF('ENCUESTA CONDUCTORES'!AM342="X",1,0)</f>
        <v>0</v>
      </c>
      <c r="AF342" s="15">
        <f>IF('ENCUESTA CONDUCTORES'!AN342="X",1,0)</f>
        <v>0</v>
      </c>
      <c r="AG342" s="15">
        <f>IF('ENCUESTA CONDUCTORES'!AO342="X",1,0)</f>
        <v>1</v>
      </c>
      <c r="AH342" s="15">
        <f>IF('ENCUESTA CONDUCTORES'!AP342="X",1,0)</f>
        <v>0</v>
      </c>
      <c r="AI342" s="15">
        <f>IF('ENCUESTA CONDUCTORES'!AQ342="X",1,0)</f>
        <v>0</v>
      </c>
      <c r="AJ342" s="15">
        <f>IF('ENCUESTA CONDUCTORES'!AR342="X",1,0)</f>
        <v>0</v>
      </c>
      <c r="AK342" s="15">
        <f>+'ENCUESTA CONDUCTORES'!AS342</f>
        <v>0</v>
      </c>
      <c r="AL342" s="15" t="str">
        <f>+'ENCUESTA CONDUCTORES'!AT342</f>
        <v>DINA</v>
      </c>
      <c r="AM342" s="1">
        <f>+'ENCUESTA CONDUCTORES'!AU342</f>
        <v>5000</v>
      </c>
      <c r="AN342" s="48">
        <f>+'ENCUESTA CONDUCTORES'!AV342</f>
        <v>0.5</v>
      </c>
      <c r="AO342" s="15">
        <f>+'ENCUESTA CONDUCTORES'!AW342</f>
        <v>4</v>
      </c>
      <c r="AP342" s="15">
        <f>+'ENCUESTA CONDUCTORES'!AX342</f>
        <v>3.5</v>
      </c>
      <c r="AQ342" s="15">
        <f>+'ENCUESTA CONDUCTORES'!AY342</f>
        <v>2</v>
      </c>
      <c r="AR342" s="15">
        <f>+'ENCUESTA CONDUCTORES'!AZ342</f>
        <v>320</v>
      </c>
      <c r="AS342" s="15">
        <f>+'ENCUESTA CONDUCTORES'!BA342</f>
        <v>1200</v>
      </c>
      <c r="AT342" s="15">
        <f>IF('ENCUESTA CONDUCTORES'!BB342="X",1,0)</f>
        <v>0</v>
      </c>
      <c r="AU342" s="15">
        <f>IF('ENCUESTA CONDUCTORES'!BC342="X",1,0)</f>
        <v>0</v>
      </c>
      <c r="AV342" s="15">
        <f>IF('ENCUESTA CONDUCTORES'!BD342="X",1,0)</f>
        <v>0</v>
      </c>
      <c r="AW342" s="1">
        <f>+'ENCUESTA CONDUCTORES'!BE342</f>
        <v>30000</v>
      </c>
      <c r="AX342" s="1" t="str">
        <f>+'ENCUESTA CONDUCTORES'!BF342</f>
        <v>NO SABE</v>
      </c>
      <c r="AY342" s="1">
        <f>+'ENCUESTA CONDUCTORES'!BG342</f>
        <v>30000</v>
      </c>
      <c r="AZ342" s="1" t="str">
        <f>+'ENCUESTA CONDUCTORES'!BH342</f>
        <v>NO SABE</v>
      </c>
      <c r="BA342" s="1" t="str">
        <f>+'ENCUESTA CONDUCTORES'!BI342</f>
        <v>NO SABE</v>
      </c>
      <c r="BB342" s="15">
        <f>IF('ENCUESTA CONDUCTORES'!BJ342="X",1,0)</f>
        <v>1</v>
      </c>
      <c r="BC342" s="15">
        <f>IF('ENCUESTA CONDUCTORES'!BK342="X",1,0)</f>
        <v>1</v>
      </c>
      <c r="BD342" s="15">
        <f>IF('ENCUESTA CONDUCTORES'!BL342="X",1,0)</f>
        <v>0</v>
      </c>
      <c r="BE342" s="15">
        <f>IF('ENCUESTA CONDUCTORES'!BM342="X",1,0)</f>
        <v>0</v>
      </c>
      <c r="BF342" s="15">
        <f>IF('ENCUESTA CONDUCTORES'!BN342="X",1,0)</f>
        <v>0</v>
      </c>
      <c r="BG342" s="15">
        <f>IF('ENCUESTA CONDUCTORES'!BO342="X",1,0)</f>
        <v>1</v>
      </c>
      <c r="BH342" s="15">
        <f>IF('ENCUESTA CONDUCTORES'!BP342="X",1,0)</f>
        <v>0</v>
      </c>
      <c r="BI342" s="15">
        <f>IF('ENCUESTA CONDUCTORES'!BQ342="X",1,0)</f>
        <v>0</v>
      </c>
      <c r="BJ342" s="15">
        <f>IF('ENCUESTA CONDUCTORES'!BR342="X",1,0)</f>
        <v>0</v>
      </c>
      <c r="BK342" s="15">
        <f>+'ENCUESTA CONDUCTORES'!BS342</f>
        <v>0</v>
      </c>
      <c r="BL342" s="15">
        <f>IF('ENCUESTA CONDUCTORES'!BT342="X",1,0)</f>
        <v>1</v>
      </c>
      <c r="BM342" s="15">
        <f>IF('ENCUESTA CONDUCTORES'!BU342="X",1,0)</f>
        <v>0</v>
      </c>
      <c r="BN342" s="15">
        <f>IF('ENCUESTA CONDUCTORES'!BV342="X",1,0)</f>
        <v>0</v>
      </c>
      <c r="BO342" s="15">
        <f>IF('ENCUESTA CONDUCTORES'!BW342="X",1,0)</f>
        <v>0</v>
      </c>
      <c r="BP342" s="15">
        <f>+'ENCUESTA CONDUCTORES'!BX342</f>
        <v>3</v>
      </c>
      <c r="BQ342" s="15">
        <f>+'ENCUESTA CONDUCTORES'!BY342</f>
        <v>2</v>
      </c>
      <c r="BR342" s="15">
        <f>+'ENCUESTA CONDUCTORES'!BZ342</f>
        <v>1</v>
      </c>
      <c r="BS342" s="15">
        <f>+'ENCUESTA CONDUCTORES'!CA342</f>
        <v>0</v>
      </c>
      <c r="BT342" s="15">
        <f>IF('ENCUESTA CONDUCTORES'!CB342="X",1,0)</f>
        <v>1</v>
      </c>
      <c r="BU342" s="15">
        <f>IF('ENCUESTA CONDUCTORES'!CC342="X",1,0)</f>
        <v>0</v>
      </c>
      <c r="BV342" s="15">
        <f>IF('ENCUESTA CONDUCTORES'!CD342="X",1,0)</f>
        <v>0</v>
      </c>
      <c r="BW342" s="15">
        <f>IF('ENCUESTA CONDUCTORES'!CE342="X",1,0)</f>
        <v>0</v>
      </c>
      <c r="BX342" s="15">
        <f>IF('ENCUESTA CONDUCTORES'!CF342="X",1,0)</f>
        <v>0</v>
      </c>
      <c r="BY342" s="15">
        <f>IF('ENCUESTA CONDUCTORES'!CG342="X",1,0)</f>
        <v>0</v>
      </c>
      <c r="BZ342" s="15">
        <f>IF('ENCUESTA CONDUCTORES'!CH342="X",1,0)</f>
        <v>0</v>
      </c>
      <c r="CA342" s="15">
        <f>IF('ENCUESTA CONDUCTORES'!CI342="X",1,0)</f>
        <v>0</v>
      </c>
      <c r="CB342" s="15">
        <f>IF('ENCUESTA CONDUCTORES'!CJ342="X",1,0)</f>
        <v>0</v>
      </c>
      <c r="CC342" s="15">
        <f>IF('ENCUESTA CONDUCTORES'!CK342="X",1,0)</f>
        <v>1</v>
      </c>
      <c r="CD342" s="15">
        <f>IF('ENCUESTA CONDUCTORES'!CL342="X",1,0)</f>
        <v>0</v>
      </c>
      <c r="CE342" s="15">
        <f>IF('ENCUESTA CONDUCTORES'!CM342="X",1,0)</f>
        <v>0</v>
      </c>
      <c r="CF342" s="15">
        <f>+'ENCUESTA CONDUCTORES'!CN342</f>
        <v>0</v>
      </c>
      <c r="CG342" s="15">
        <f>IF('ENCUESTA CONDUCTORES'!CO342="X",1,0)</f>
        <v>0</v>
      </c>
      <c r="CH342" s="15" t="str">
        <f>+'ENCUESTA CONDUCTORES'!CP342</f>
        <v>NO SABE</v>
      </c>
      <c r="CI342" s="15" t="str">
        <f>+'ENCUESTA CONDUCTORES'!CQ342</f>
        <v>NO SABE</v>
      </c>
      <c r="CJ342" s="15">
        <f>IF('ENCUESTA CONDUCTORES'!CR342="X",1,0)</f>
        <v>1</v>
      </c>
      <c r="CK342" s="15">
        <f>IF('ENCUESTA CONDUCTORES'!CS342="X",1,0)</f>
        <v>0</v>
      </c>
      <c r="CL342" s="15">
        <f>IF('ENCUESTA CONDUCTORES'!CT342="X",1,0)</f>
        <v>0</v>
      </c>
      <c r="CM342" s="15">
        <f>+'ENCUESTA CONDUCTORES'!CU342</f>
        <v>0</v>
      </c>
      <c r="CN342" s="15">
        <f>IF('ENCUESTA CONDUCTORES'!CV342="X",1,0)</f>
        <v>1</v>
      </c>
      <c r="CO342" s="15" t="str">
        <f>+'ENCUESTA CONDUCTORES'!CW342</f>
        <v>NO TIENE TIEMPO</v>
      </c>
      <c r="CP342" s="15">
        <f>IF('ENCUESTA CONDUCTORES'!CX342="X",1,0)</f>
        <v>0</v>
      </c>
      <c r="CQ342" s="15">
        <f>IF('ENCUESTA CONDUCTORES'!CY342="X",1,0)</f>
        <v>0</v>
      </c>
      <c r="CR342" s="3">
        <f>+'ENCUESTA CONDUCTORES'!CZ342</f>
        <v>0</v>
      </c>
      <c r="CS342" s="49">
        <f>+'ENCUESTA CONDUCTORES'!DA342</f>
        <v>0</v>
      </c>
    </row>
    <row r="343" spans="2:97" x14ac:dyDescent="0.25">
      <c r="B343" s="14" t="str">
        <f>+'ENCUESTA CONDUCTORES'!D343</f>
        <v>C-354</v>
      </c>
      <c r="C343" s="15">
        <f>IF('ENCUESTA CONDUCTORES'!E343="X",1,0)</f>
        <v>1</v>
      </c>
      <c r="D343" s="15">
        <f>IF('ENCUESTA CONDUCTORES'!F343="X",1,0)</f>
        <v>0</v>
      </c>
      <c r="E343" s="15">
        <f>IF('ENCUESTA CONDUCTORES'!G343="X",1,0)</f>
        <v>0</v>
      </c>
      <c r="F343" s="15">
        <f>IF('ENCUESTA CONDUCTORES'!H343="X",1,0)</f>
        <v>0</v>
      </c>
      <c r="G343" s="15">
        <f>+'ENCUESTA CONDUCTORES'!I343</f>
        <v>35</v>
      </c>
      <c r="H343" s="15" t="str">
        <f>+'ENCUESTA CONDUCTORES'!J343</f>
        <v>M</v>
      </c>
      <c r="I343" s="15" t="str">
        <f>+'ENCUESTA CONDUCTORES'!K343</f>
        <v>SECUNDARIA</v>
      </c>
      <c r="J343" s="15" t="str">
        <f>+'ENCUESTA CONDUCTORES'!L343</f>
        <v>RIO VERDE, SLP</v>
      </c>
      <c r="K343" s="15" t="str">
        <f>+'ENCUESTA CONDUCTORES'!M343</f>
        <v>RIO VERDE</v>
      </c>
      <c r="L343" s="15" t="str">
        <f>+'ENCUESTA CONDUCTORES'!N343</f>
        <v>SAN LUIS POTOSI</v>
      </c>
      <c r="M343" s="15">
        <f>+'ENCUESTA CONDUCTORES'!O343</f>
        <v>10</v>
      </c>
      <c r="N343" s="15">
        <f>IF('ENCUESTA CONDUCTORES'!P343="X",1,0)</f>
        <v>1</v>
      </c>
      <c r="O343" s="15">
        <f>IF('ENCUESTA CONDUCTORES'!Q343="X",1,0)</f>
        <v>0</v>
      </c>
      <c r="P343" s="15">
        <f>IF('ENCUESTA CONDUCTORES'!R343="X",1,0)</f>
        <v>0</v>
      </c>
      <c r="Q343" s="15">
        <f>IF('ENCUESTA CONDUCTORES'!S343="X",1,0)</f>
        <v>0</v>
      </c>
      <c r="R343" s="15">
        <f>IF('ENCUESTA CONDUCTORES'!T343="X",1,0)</f>
        <v>0</v>
      </c>
      <c r="S343" s="15">
        <f>IF('ENCUESTA CONDUCTORES'!U343="X",1,0)</f>
        <v>0</v>
      </c>
      <c r="T343" s="15">
        <f>IF('ENCUESTA CONDUCTORES'!V343="X",1,0)</f>
        <v>0</v>
      </c>
      <c r="U343" s="15">
        <f>IF('ENCUESTA CONDUCTORES'!W343="X",1,0)</f>
        <v>0</v>
      </c>
      <c r="V343" s="15">
        <f>IF('ENCUESTA CONDUCTORES'!X343="X",1,0)</f>
        <v>0</v>
      </c>
      <c r="W343" s="15">
        <f>IF('ENCUESTA CONDUCTORES'!Y343="X",1,0)</f>
        <v>0</v>
      </c>
      <c r="X343" s="15">
        <f>IF('ENCUESTA CONDUCTORES'!Z343="X",1,0)</f>
        <v>0</v>
      </c>
      <c r="Y343" s="15">
        <f>+'ENCUESTA CONDUCTORES'!AG343</f>
        <v>0</v>
      </c>
      <c r="Z343" s="15">
        <f>+'ENCUESTA CONDUCTORES'!AH343</f>
        <v>1985</v>
      </c>
      <c r="AA343" s="1" t="str">
        <f>+'ENCUESTA CONDUCTORES'!AI343</f>
        <v>DAÑADO</v>
      </c>
      <c r="AB343" s="15">
        <f>IF('ENCUESTA CONDUCTORES'!AJ343="X",1,0)</f>
        <v>1</v>
      </c>
      <c r="AC343" s="15">
        <f>IF('ENCUESTA CONDUCTORES'!AK343="X",1,0)</f>
        <v>0</v>
      </c>
      <c r="AD343" s="15">
        <f>IF('ENCUESTA CONDUCTORES'!AL343="X",1,0)</f>
        <v>0</v>
      </c>
      <c r="AE343" s="15">
        <f>IF('ENCUESTA CONDUCTORES'!AM343="X",1,0)</f>
        <v>0</v>
      </c>
      <c r="AF343" s="15">
        <f>IF('ENCUESTA CONDUCTORES'!AN343="X",1,0)</f>
        <v>0</v>
      </c>
      <c r="AG343" s="15">
        <f>IF('ENCUESTA CONDUCTORES'!AO343="X",1,0)</f>
        <v>1</v>
      </c>
      <c r="AH343" s="15">
        <f>IF('ENCUESTA CONDUCTORES'!AP343="X",1,0)</f>
        <v>0</v>
      </c>
      <c r="AI343" s="15">
        <f>IF('ENCUESTA CONDUCTORES'!AQ343="X",1,0)</f>
        <v>0</v>
      </c>
      <c r="AJ343" s="15">
        <f>IF('ENCUESTA CONDUCTORES'!AR343="X",1,0)</f>
        <v>0</v>
      </c>
      <c r="AK343" s="15">
        <f>+'ENCUESTA CONDUCTORES'!AS343</f>
        <v>0</v>
      </c>
      <c r="AL343" s="15" t="str">
        <f>+'ENCUESTA CONDUCTORES'!AT343</f>
        <v>CHEVROLET</v>
      </c>
      <c r="AM343" s="1">
        <f>+'ENCUESTA CONDUCTORES'!AU343</f>
        <v>4000</v>
      </c>
      <c r="AN343" s="48">
        <f>+'ENCUESTA CONDUCTORES'!AV343</f>
        <v>0.5</v>
      </c>
      <c r="AO343" s="15">
        <f>+'ENCUESTA CONDUCTORES'!AW343</f>
        <v>6</v>
      </c>
      <c r="AP343" s="15">
        <f>+'ENCUESTA CONDUCTORES'!AX343</f>
        <v>4.7</v>
      </c>
      <c r="AQ343" s="15">
        <f>+'ENCUESTA CONDUCTORES'!AY343</f>
        <v>2</v>
      </c>
      <c r="AR343" s="15">
        <f>+'ENCUESTA CONDUCTORES'!AZ343</f>
        <v>190</v>
      </c>
      <c r="AS343" s="15">
        <f>+'ENCUESTA CONDUCTORES'!BA343</f>
        <v>1000</v>
      </c>
      <c r="AT343" s="15">
        <f>IF('ENCUESTA CONDUCTORES'!BB343="X",1,0)</f>
        <v>0</v>
      </c>
      <c r="AU343" s="15">
        <f>IF('ENCUESTA CONDUCTORES'!BC343="X",1,0)</f>
        <v>0</v>
      </c>
      <c r="AV343" s="15">
        <f>IF('ENCUESTA CONDUCTORES'!BD343="X",1,0)</f>
        <v>0</v>
      </c>
      <c r="AW343" s="1">
        <f>+'ENCUESTA CONDUCTORES'!BE343</f>
        <v>20000</v>
      </c>
      <c r="AX343" s="1" t="str">
        <f>+'ENCUESTA CONDUCTORES'!BF343</f>
        <v>NO SABE</v>
      </c>
      <c r="AY343" s="1" t="str">
        <f>+'ENCUESTA CONDUCTORES'!BG343</f>
        <v>NO SABE</v>
      </c>
      <c r="AZ343" s="1" t="str">
        <f>+'ENCUESTA CONDUCTORES'!BH343</f>
        <v>NO SABE</v>
      </c>
      <c r="BA343" s="1" t="str">
        <f>+'ENCUESTA CONDUCTORES'!BI343</f>
        <v>NO APLICA</v>
      </c>
      <c r="BB343" s="15">
        <f>IF('ENCUESTA CONDUCTORES'!BJ343="X",1,0)</f>
        <v>1</v>
      </c>
      <c r="BC343" s="15">
        <f>IF('ENCUESTA CONDUCTORES'!BK343="X",1,0)</f>
        <v>1</v>
      </c>
      <c r="BD343" s="15">
        <f>IF('ENCUESTA CONDUCTORES'!BL343="X",1,0)</f>
        <v>0</v>
      </c>
      <c r="BE343" s="15">
        <f>IF('ENCUESTA CONDUCTORES'!BM343="X",1,0)</f>
        <v>0</v>
      </c>
      <c r="BF343" s="15">
        <f>IF('ENCUESTA CONDUCTORES'!BN343="X",1,0)</f>
        <v>0</v>
      </c>
      <c r="BG343" s="15">
        <f>IF('ENCUESTA CONDUCTORES'!BO343="X",1,0)</f>
        <v>1</v>
      </c>
      <c r="BH343" s="15">
        <f>IF('ENCUESTA CONDUCTORES'!BP343="X",1,0)</f>
        <v>0</v>
      </c>
      <c r="BI343" s="15">
        <f>IF('ENCUESTA CONDUCTORES'!BQ343="X",1,0)</f>
        <v>0</v>
      </c>
      <c r="BJ343" s="15">
        <f>IF('ENCUESTA CONDUCTORES'!BR343="X",1,0)</f>
        <v>0</v>
      </c>
      <c r="BK343" s="15">
        <f>+'ENCUESTA CONDUCTORES'!BS343</f>
        <v>0</v>
      </c>
      <c r="BL343" s="15">
        <f>IF('ENCUESTA CONDUCTORES'!BT343="X",1,0)</f>
        <v>1</v>
      </c>
      <c r="BM343" s="15">
        <f>IF('ENCUESTA CONDUCTORES'!BU343="X",1,0)</f>
        <v>0</v>
      </c>
      <c r="BN343" s="15">
        <f>IF('ENCUESTA CONDUCTORES'!BV343="X",1,0)</f>
        <v>0</v>
      </c>
      <c r="BO343" s="15">
        <f>IF('ENCUESTA CONDUCTORES'!BW343="X",1,0)</f>
        <v>0</v>
      </c>
      <c r="BP343" s="15">
        <f>+'ENCUESTA CONDUCTORES'!BX343</f>
        <v>2</v>
      </c>
      <c r="BQ343" s="15">
        <f>+'ENCUESTA CONDUCTORES'!BY343</f>
        <v>3</v>
      </c>
      <c r="BR343" s="15">
        <f>+'ENCUESTA CONDUCTORES'!BZ343</f>
        <v>1</v>
      </c>
      <c r="BS343" s="15">
        <f>+'ENCUESTA CONDUCTORES'!CA343</f>
        <v>0</v>
      </c>
      <c r="BT343" s="15">
        <f>IF('ENCUESTA CONDUCTORES'!CB343="X",1,0)</f>
        <v>1</v>
      </c>
      <c r="BU343" s="15">
        <f>IF('ENCUESTA CONDUCTORES'!CC343="X",1,0)</f>
        <v>0</v>
      </c>
      <c r="BV343" s="15">
        <f>IF('ENCUESTA CONDUCTORES'!CD343="X",1,0)</f>
        <v>0</v>
      </c>
      <c r="BW343" s="15">
        <f>IF('ENCUESTA CONDUCTORES'!CE343="X",1,0)</f>
        <v>0</v>
      </c>
      <c r="BX343" s="15">
        <f>IF('ENCUESTA CONDUCTORES'!CF343="X",1,0)</f>
        <v>0</v>
      </c>
      <c r="BY343" s="15">
        <f>IF('ENCUESTA CONDUCTORES'!CG343="X",1,0)</f>
        <v>0</v>
      </c>
      <c r="BZ343" s="15">
        <f>IF('ENCUESTA CONDUCTORES'!CH343="X",1,0)</f>
        <v>0</v>
      </c>
      <c r="CA343" s="15">
        <f>IF('ENCUESTA CONDUCTORES'!CI343="X",1,0)</f>
        <v>0</v>
      </c>
      <c r="CB343" s="15">
        <f>IF('ENCUESTA CONDUCTORES'!CJ343="X",1,0)</f>
        <v>0</v>
      </c>
      <c r="CC343" s="15">
        <f>IF('ENCUESTA CONDUCTORES'!CK343="X",1,0)</f>
        <v>1</v>
      </c>
      <c r="CD343" s="15">
        <f>IF('ENCUESTA CONDUCTORES'!CL343="X",1,0)</f>
        <v>0</v>
      </c>
      <c r="CE343" s="15">
        <f>IF('ENCUESTA CONDUCTORES'!CM343="X",1,0)</f>
        <v>0</v>
      </c>
      <c r="CF343" s="15">
        <f>+'ENCUESTA CONDUCTORES'!CN343</f>
        <v>0</v>
      </c>
      <c r="CG343" s="15">
        <f>IF('ENCUESTA CONDUCTORES'!CO343="X",1,0)</f>
        <v>0</v>
      </c>
      <c r="CH343" s="15" t="str">
        <f>+'ENCUESTA CONDUCTORES'!CP343</f>
        <v>NO SABE</v>
      </c>
      <c r="CI343" s="15" t="str">
        <f>+'ENCUESTA CONDUCTORES'!CQ343</f>
        <v>NO SABE</v>
      </c>
      <c r="CJ343" s="15">
        <f>IF('ENCUESTA CONDUCTORES'!CR343="X",1,0)</f>
        <v>1</v>
      </c>
      <c r="CK343" s="15">
        <f>IF('ENCUESTA CONDUCTORES'!CS343="X",1,0)</f>
        <v>0</v>
      </c>
      <c r="CL343" s="15">
        <f>IF('ENCUESTA CONDUCTORES'!CT343="X",1,0)</f>
        <v>0</v>
      </c>
      <c r="CM343" s="15">
        <f>+'ENCUESTA CONDUCTORES'!CU343</f>
        <v>0</v>
      </c>
      <c r="CN343" s="15">
        <f>IF('ENCUESTA CONDUCTORES'!CV343="X",1,0)</f>
        <v>1</v>
      </c>
      <c r="CO343" s="15" t="str">
        <f>+'ENCUESTA CONDUCTORES'!CW343</f>
        <v>NO TIENE TIEMPO</v>
      </c>
      <c r="CP343" s="15">
        <f>IF('ENCUESTA CONDUCTORES'!CX343="X",1,0)</f>
        <v>0</v>
      </c>
      <c r="CQ343" s="15">
        <f>IF('ENCUESTA CONDUCTORES'!CY343="X",1,0)</f>
        <v>0</v>
      </c>
      <c r="CR343" s="3">
        <f>+'ENCUESTA CONDUCTORES'!CZ343</f>
        <v>0</v>
      </c>
      <c r="CS343" s="49">
        <f>+'ENCUESTA CONDUCTORES'!DA343</f>
        <v>0</v>
      </c>
    </row>
    <row r="344" spans="2:97" x14ac:dyDescent="0.25">
      <c r="B344" s="14" t="str">
        <f>+'ENCUESTA CONDUCTORES'!D344</f>
        <v>C-355</v>
      </c>
      <c r="C344" s="15">
        <f>IF('ENCUESTA CONDUCTORES'!E344="X",1,0)</f>
        <v>1</v>
      </c>
      <c r="D344" s="15">
        <f>IF('ENCUESTA CONDUCTORES'!F344="X",1,0)</f>
        <v>0</v>
      </c>
      <c r="E344" s="15">
        <f>IF('ENCUESTA CONDUCTORES'!G344="X",1,0)</f>
        <v>0</v>
      </c>
      <c r="F344" s="15">
        <f>IF('ENCUESTA CONDUCTORES'!H344="X",1,0)</f>
        <v>0</v>
      </c>
      <c r="G344" s="15">
        <f>+'ENCUESTA CONDUCTORES'!I344</f>
        <v>52</v>
      </c>
      <c r="H344" s="15" t="str">
        <f>+'ENCUESTA CONDUCTORES'!J344</f>
        <v>M</v>
      </c>
      <c r="I344" s="15" t="str">
        <f>+'ENCUESTA CONDUCTORES'!K344</f>
        <v>SIN ESTUDIOS</v>
      </c>
      <c r="J344" s="15" t="str">
        <f>+'ENCUESTA CONDUCTORES'!L344</f>
        <v>LAGOS DE MORENO, JAL</v>
      </c>
      <c r="K344" s="15" t="str">
        <f>+'ENCUESTA CONDUCTORES'!M344</f>
        <v>LAGOS DE MORENO</v>
      </c>
      <c r="L344" s="15" t="str">
        <f>+'ENCUESTA CONDUCTORES'!N344</f>
        <v>JALISCO</v>
      </c>
      <c r="M344" s="15">
        <f>+'ENCUESTA CONDUCTORES'!O344</f>
        <v>30</v>
      </c>
      <c r="N344" s="15">
        <f>IF('ENCUESTA CONDUCTORES'!P344="X",1,0)</f>
        <v>0</v>
      </c>
      <c r="O344" s="15">
        <f>IF('ENCUESTA CONDUCTORES'!Q344="X",1,0)</f>
        <v>1</v>
      </c>
      <c r="P344" s="15">
        <f>IF('ENCUESTA CONDUCTORES'!R344="X",1,0)</f>
        <v>0</v>
      </c>
      <c r="Q344" s="15">
        <f>IF('ENCUESTA CONDUCTORES'!S344="X",1,0)</f>
        <v>0</v>
      </c>
      <c r="R344" s="15">
        <f>IF('ENCUESTA CONDUCTORES'!T344="X",1,0)</f>
        <v>0</v>
      </c>
      <c r="S344" s="15">
        <f>IF('ENCUESTA CONDUCTORES'!U344="X",1,0)</f>
        <v>0</v>
      </c>
      <c r="T344" s="15">
        <f>IF('ENCUESTA CONDUCTORES'!V344="X",1,0)</f>
        <v>0</v>
      </c>
      <c r="U344" s="15">
        <f>IF('ENCUESTA CONDUCTORES'!W344="X",1,0)</f>
        <v>0</v>
      </c>
      <c r="V344" s="15">
        <f>IF('ENCUESTA CONDUCTORES'!X344="X",1,0)</f>
        <v>0</v>
      </c>
      <c r="W344" s="15">
        <f>IF('ENCUESTA CONDUCTORES'!Y344="X",1,0)</f>
        <v>0</v>
      </c>
      <c r="X344" s="15">
        <f>IF('ENCUESTA CONDUCTORES'!Z344="X",1,0)</f>
        <v>0</v>
      </c>
      <c r="Y344" s="15">
        <f>+'ENCUESTA CONDUCTORES'!AG344</f>
        <v>0</v>
      </c>
      <c r="Z344" s="15">
        <f>+'ENCUESTA CONDUCTORES'!AH344</f>
        <v>1998</v>
      </c>
      <c r="AA344" s="1">
        <f>+'ENCUESTA CONDUCTORES'!AI344</f>
        <v>1322678</v>
      </c>
      <c r="AB344" s="15">
        <f>IF('ENCUESTA CONDUCTORES'!AJ344="X",1,0)</f>
        <v>0</v>
      </c>
      <c r="AC344" s="15">
        <f>IF('ENCUESTA CONDUCTORES'!AK344="X",1,0)</f>
        <v>0</v>
      </c>
      <c r="AD344" s="15">
        <f>IF('ENCUESTA CONDUCTORES'!AL344="X",1,0)</f>
        <v>1</v>
      </c>
      <c r="AE344" s="15">
        <f>IF('ENCUESTA CONDUCTORES'!AM344="X",1,0)</f>
        <v>0</v>
      </c>
      <c r="AF344" s="15">
        <f>IF('ENCUESTA CONDUCTORES'!AN344="X",1,0)</f>
        <v>0</v>
      </c>
      <c r="AG344" s="15">
        <f>IF('ENCUESTA CONDUCTORES'!AO344="X",1,0)</f>
        <v>0</v>
      </c>
      <c r="AH344" s="15">
        <f>IF('ENCUESTA CONDUCTORES'!AP344="X",1,0)</f>
        <v>1</v>
      </c>
      <c r="AI344" s="15">
        <f>IF('ENCUESTA CONDUCTORES'!AQ344="X",1,0)</f>
        <v>0</v>
      </c>
      <c r="AJ344" s="15">
        <f>IF('ENCUESTA CONDUCTORES'!AR344="X",1,0)</f>
        <v>0</v>
      </c>
      <c r="AK344" s="15">
        <f>+'ENCUESTA CONDUCTORES'!AS344</f>
        <v>0</v>
      </c>
      <c r="AL344" s="15" t="str">
        <f>+'ENCUESTA CONDUCTORES'!AT344</f>
        <v>CUMMINS</v>
      </c>
      <c r="AM344" s="1">
        <f>+'ENCUESTA CONDUCTORES'!AU344</f>
        <v>12000</v>
      </c>
      <c r="AN344" s="48">
        <f>+'ENCUESTA CONDUCTORES'!AV344</f>
        <v>0.5</v>
      </c>
      <c r="AO344" s="15">
        <f>+'ENCUESTA CONDUCTORES'!AW344</f>
        <v>3.9</v>
      </c>
      <c r="AP344" s="15">
        <f>+'ENCUESTA CONDUCTORES'!AX344</f>
        <v>3.2</v>
      </c>
      <c r="AQ344" s="15">
        <f>+'ENCUESTA CONDUCTORES'!AY344</f>
        <v>2</v>
      </c>
      <c r="AR344" s="15">
        <f>+'ENCUESTA CONDUCTORES'!AZ344</f>
        <v>700</v>
      </c>
      <c r="AS344" s="15">
        <f>+'ENCUESTA CONDUCTORES'!BA344</f>
        <v>2500</v>
      </c>
      <c r="AT344" s="15">
        <f>IF('ENCUESTA CONDUCTORES'!BB344="X",1,0)</f>
        <v>1</v>
      </c>
      <c r="AU344" s="15">
        <f>IF('ENCUESTA CONDUCTORES'!BC344="X",1,0)</f>
        <v>0</v>
      </c>
      <c r="AV344" s="15">
        <f>IF('ENCUESTA CONDUCTORES'!BD344="X",1,0)</f>
        <v>0</v>
      </c>
      <c r="AW344" s="1">
        <f>+'ENCUESTA CONDUCTORES'!BE344</f>
        <v>15000</v>
      </c>
      <c r="AX344" s="1">
        <f>+'ENCUESTA CONDUCTORES'!BF344</f>
        <v>180000</v>
      </c>
      <c r="AY344" s="1">
        <f>+'ENCUESTA CONDUCTORES'!BG344</f>
        <v>30000</v>
      </c>
      <c r="AZ344" s="1">
        <f>+'ENCUESTA CONDUCTORES'!BH344</f>
        <v>150000</v>
      </c>
      <c r="BA344" s="1" t="str">
        <f>+'ENCUESTA CONDUCTORES'!BI344</f>
        <v>NO SABE</v>
      </c>
      <c r="BB344" s="15">
        <f>IF('ENCUESTA CONDUCTORES'!BJ344="X",1,0)</f>
        <v>1</v>
      </c>
      <c r="BC344" s="15">
        <f>IF('ENCUESTA CONDUCTORES'!BK344="X",1,0)</f>
        <v>1</v>
      </c>
      <c r="BD344" s="15">
        <f>IF('ENCUESTA CONDUCTORES'!BL344="X",1,0)</f>
        <v>0</v>
      </c>
      <c r="BE344" s="15">
        <f>IF('ENCUESTA CONDUCTORES'!BM344="X",1,0)</f>
        <v>0</v>
      </c>
      <c r="BF344" s="15">
        <f>IF('ENCUESTA CONDUCTORES'!BN344="X",1,0)</f>
        <v>0</v>
      </c>
      <c r="BG344" s="15">
        <f>IF('ENCUESTA CONDUCTORES'!BO344="X",1,0)</f>
        <v>1</v>
      </c>
      <c r="BH344" s="15">
        <f>IF('ENCUESTA CONDUCTORES'!BP344="X",1,0)</f>
        <v>0</v>
      </c>
      <c r="BI344" s="15">
        <f>IF('ENCUESTA CONDUCTORES'!BQ344="X",1,0)</f>
        <v>0</v>
      </c>
      <c r="BJ344" s="15">
        <f>IF('ENCUESTA CONDUCTORES'!BR344="X",1,0)</f>
        <v>0</v>
      </c>
      <c r="BK344" s="15">
        <f>+'ENCUESTA CONDUCTORES'!BS344</f>
        <v>0</v>
      </c>
      <c r="BL344" s="15">
        <f>IF('ENCUESTA CONDUCTORES'!BT344="X",1,0)</f>
        <v>1</v>
      </c>
      <c r="BM344" s="15">
        <f>IF('ENCUESTA CONDUCTORES'!BU344="X",1,0)</f>
        <v>0</v>
      </c>
      <c r="BN344" s="15">
        <f>IF('ENCUESTA CONDUCTORES'!BV344="X",1,0)</f>
        <v>0</v>
      </c>
      <c r="BO344" s="15">
        <f>IF('ENCUESTA CONDUCTORES'!BW344="X",1,0)</f>
        <v>0</v>
      </c>
      <c r="BP344" s="15">
        <f>+'ENCUESTA CONDUCTORES'!BX344</f>
        <v>3</v>
      </c>
      <c r="BQ344" s="15">
        <f>+'ENCUESTA CONDUCTORES'!BY344</f>
        <v>2</v>
      </c>
      <c r="BR344" s="15">
        <f>+'ENCUESTA CONDUCTORES'!BZ344</f>
        <v>1</v>
      </c>
      <c r="BS344" s="15">
        <f>+'ENCUESTA CONDUCTORES'!CA344</f>
        <v>0</v>
      </c>
      <c r="BT344" s="15">
        <f>IF('ENCUESTA CONDUCTORES'!CB344="X",1,0)</f>
        <v>1</v>
      </c>
      <c r="BU344" s="15">
        <f>IF('ENCUESTA CONDUCTORES'!CC344="X",1,0)</f>
        <v>0</v>
      </c>
      <c r="BV344" s="15">
        <f>IF('ENCUESTA CONDUCTORES'!CD344="X",1,0)</f>
        <v>0</v>
      </c>
      <c r="BW344" s="15">
        <f>IF('ENCUESTA CONDUCTORES'!CE344="X",1,0)</f>
        <v>0</v>
      </c>
      <c r="BX344" s="15">
        <f>IF('ENCUESTA CONDUCTORES'!CF344="X",1,0)</f>
        <v>0</v>
      </c>
      <c r="BY344" s="15">
        <f>IF('ENCUESTA CONDUCTORES'!CG344="X",1,0)</f>
        <v>0</v>
      </c>
      <c r="BZ344" s="15">
        <f>IF('ENCUESTA CONDUCTORES'!CH344="X",1,0)</f>
        <v>0</v>
      </c>
      <c r="CA344" s="15">
        <f>IF('ENCUESTA CONDUCTORES'!CI344="X",1,0)</f>
        <v>0</v>
      </c>
      <c r="CB344" s="15">
        <f>IF('ENCUESTA CONDUCTORES'!CJ344="X",1,0)</f>
        <v>0</v>
      </c>
      <c r="CC344" s="15">
        <f>IF('ENCUESTA CONDUCTORES'!CK344="X",1,0)</f>
        <v>1</v>
      </c>
      <c r="CD344" s="15">
        <f>IF('ENCUESTA CONDUCTORES'!CL344="X",1,0)</f>
        <v>0</v>
      </c>
      <c r="CE344" s="15">
        <f>IF('ENCUESTA CONDUCTORES'!CM344="X",1,0)</f>
        <v>0</v>
      </c>
      <c r="CF344" s="15">
        <f>+'ENCUESTA CONDUCTORES'!CN344</f>
        <v>0</v>
      </c>
      <c r="CG344" s="15">
        <f>IF('ENCUESTA CONDUCTORES'!CO344="X",1,0)</f>
        <v>0</v>
      </c>
      <c r="CH344" s="15" t="str">
        <f>+'ENCUESTA CONDUCTORES'!CP344</f>
        <v>NO SABE</v>
      </c>
      <c r="CI344" s="15" t="str">
        <f>+'ENCUESTA CONDUCTORES'!CQ344</f>
        <v>NO SABE</v>
      </c>
      <c r="CJ344" s="15">
        <f>IF('ENCUESTA CONDUCTORES'!CR344="X",1,0)</f>
        <v>0</v>
      </c>
      <c r="CK344" s="15">
        <f>IF('ENCUESTA CONDUCTORES'!CS344="X",1,0)</f>
        <v>0</v>
      </c>
      <c r="CL344" s="15">
        <f>IF('ENCUESTA CONDUCTORES'!CT344="X",1,0)</f>
        <v>1</v>
      </c>
      <c r="CM344" s="15">
        <f>+'ENCUESTA CONDUCTORES'!CU344</f>
        <v>0</v>
      </c>
      <c r="CN344" s="15">
        <f>IF('ENCUESTA CONDUCTORES'!CV344="X",1,0)</f>
        <v>0</v>
      </c>
      <c r="CO344" s="15">
        <f>+'ENCUESTA CONDUCTORES'!CW344</f>
        <v>0</v>
      </c>
      <c r="CP344" s="15">
        <f>IF('ENCUESTA CONDUCTORES'!CX344="X",1,0)</f>
        <v>1</v>
      </c>
      <c r="CQ344" s="15">
        <f>IF('ENCUESTA CONDUCTORES'!CY344="X",1,0)</f>
        <v>0</v>
      </c>
      <c r="CR344" s="3">
        <f>+'ENCUESTA CONDUCTORES'!CZ344</f>
        <v>0</v>
      </c>
      <c r="CS344" s="49">
        <f>+'ENCUESTA CONDUCTORES'!DA344</f>
        <v>0</v>
      </c>
    </row>
    <row r="345" spans="2:97" x14ac:dyDescent="0.25">
      <c r="B345" s="14" t="str">
        <f>+'ENCUESTA CONDUCTORES'!D345</f>
        <v>C-356</v>
      </c>
      <c r="C345" s="15">
        <f>IF('ENCUESTA CONDUCTORES'!E345="X",1,0)</f>
        <v>0</v>
      </c>
      <c r="D345" s="15">
        <f>IF('ENCUESTA CONDUCTORES'!F345="X",1,0)</f>
        <v>0</v>
      </c>
      <c r="E345" s="15">
        <f>IF('ENCUESTA CONDUCTORES'!G345="X",1,0)</f>
        <v>0</v>
      </c>
      <c r="F345" s="15">
        <f>IF('ENCUESTA CONDUCTORES'!H345="X",1,0)</f>
        <v>1</v>
      </c>
      <c r="G345" s="15">
        <f>+'ENCUESTA CONDUCTORES'!I345</f>
        <v>32</v>
      </c>
      <c r="H345" s="15" t="str">
        <f>+'ENCUESTA CONDUCTORES'!J345</f>
        <v>M</v>
      </c>
      <c r="I345" s="15" t="str">
        <f>+'ENCUESTA CONDUCTORES'!K345</f>
        <v>PRIMARIA</v>
      </c>
      <c r="J345" s="15" t="str">
        <f>+'ENCUESTA CONDUCTORES'!L345</f>
        <v>ZAPOPAN, JALISCO</v>
      </c>
      <c r="K345" s="15" t="str">
        <f>+'ENCUESTA CONDUCTORES'!M345</f>
        <v>ZAPOPAN</v>
      </c>
      <c r="L345" s="15" t="str">
        <f>+'ENCUESTA CONDUCTORES'!N345</f>
        <v>JALISCO</v>
      </c>
      <c r="M345" s="15">
        <f>+'ENCUESTA CONDUCTORES'!O345</f>
        <v>15</v>
      </c>
      <c r="N345" s="15">
        <f>IF('ENCUESTA CONDUCTORES'!P345="X",1,0)</f>
        <v>0</v>
      </c>
      <c r="O345" s="15">
        <f>IF('ENCUESTA CONDUCTORES'!Q345="X",1,0)</f>
        <v>0</v>
      </c>
      <c r="P345" s="15">
        <f>IF('ENCUESTA CONDUCTORES'!R345="X",1,0)</f>
        <v>0</v>
      </c>
      <c r="Q345" s="15">
        <f>IF('ENCUESTA CONDUCTORES'!S345="X",1,0)</f>
        <v>1</v>
      </c>
      <c r="R345" s="15">
        <f>IF('ENCUESTA CONDUCTORES'!T345="X",1,0)</f>
        <v>0</v>
      </c>
      <c r="S345" s="15">
        <f>IF('ENCUESTA CONDUCTORES'!U345="X",1,0)</f>
        <v>1</v>
      </c>
      <c r="T345" s="15">
        <f>IF('ENCUESTA CONDUCTORES'!V345="X",1,0)</f>
        <v>0</v>
      </c>
      <c r="U345" s="15">
        <f>IF('ENCUESTA CONDUCTORES'!W345="X",1,0)</f>
        <v>0</v>
      </c>
      <c r="V345" s="15">
        <f>IF('ENCUESTA CONDUCTORES'!X345="X",1,0)</f>
        <v>0</v>
      </c>
      <c r="W345" s="15">
        <f>IF('ENCUESTA CONDUCTORES'!Y345="X",1,0)</f>
        <v>0</v>
      </c>
      <c r="X345" s="15">
        <f>IF('ENCUESTA CONDUCTORES'!Z345="X",1,0)</f>
        <v>0</v>
      </c>
      <c r="Y345" s="15">
        <f>+'ENCUESTA CONDUCTORES'!AG345</f>
        <v>0</v>
      </c>
      <c r="Z345" s="15">
        <f>+'ENCUESTA CONDUCTORES'!AH345</f>
        <v>2003</v>
      </c>
      <c r="AA345" s="1">
        <f>+'ENCUESTA CONDUCTORES'!AI345</f>
        <v>729811</v>
      </c>
      <c r="AB345" s="15">
        <f>IF('ENCUESTA CONDUCTORES'!AJ345="X",1,0)</f>
        <v>0</v>
      </c>
      <c r="AC345" s="15">
        <f>IF('ENCUESTA CONDUCTORES'!AK345="X",1,0)</f>
        <v>0</v>
      </c>
      <c r="AD345" s="15">
        <f>IF('ENCUESTA CONDUCTORES'!AL345="X",1,0)</f>
        <v>1</v>
      </c>
      <c r="AE345" s="15">
        <f>IF('ENCUESTA CONDUCTORES'!AM345="X",1,0)</f>
        <v>0</v>
      </c>
      <c r="AF345" s="15">
        <f>IF('ENCUESTA CONDUCTORES'!AN345="X",1,0)</f>
        <v>0</v>
      </c>
      <c r="AG345" s="15">
        <f>IF('ENCUESTA CONDUCTORES'!AO345="X",1,0)</f>
        <v>0</v>
      </c>
      <c r="AH345" s="15">
        <f>IF('ENCUESTA CONDUCTORES'!AP345="X",1,0)</f>
        <v>1</v>
      </c>
      <c r="AI345" s="15">
        <f>IF('ENCUESTA CONDUCTORES'!AQ345="X",1,0)</f>
        <v>0</v>
      </c>
      <c r="AJ345" s="15">
        <f>IF('ENCUESTA CONDUCTORES'!AR345="X",1,0)</f>
        <v>0</v>
      </c>
      <c r="AK345" s="15">
        <f>+'ENCUESTA CONDUCTORES'!AS345</f>
        <v>0</v>
      </c>
      <c r="AL345" s="15" t="str">
        <f>+'ENCUESTA CONDUCTORES'!AT345</f>
        <v>CUMMINS</v>
      </c>
      <c r="AM345" s="1">
        <f>+'ENCUESTA CONDUCTORES'!AU345</f>
        <v>8000</v>
      </c>
      <c r="AN345" s="48">
        <f>+'ENCUESTA CONDUCTORES'!AV345</f>
        <v>0.5</v>
      </c>
      <c r="AO345" s="15">
        <f>+'ENCUESTA CONDUCTORES'!AW345</f>
        <v>2.7</v>
      </c>
      <c r="AP345" s="15">
        <f>+'ENCUESTA CONDUCTORES'!AX345</f>
        <v>2.4</v>
      </c>
      <c r="AQ345" s="15">
        <f>+'ENCUESTA CONDUCTORES'!AY345</f>
        <v>2</v>
      </c>
      <c r="AR345" s="15">
        <f>+'ENCUESTA CONDUCTORES'!AZ345</f>
        <v>770</v>
      </c>
      <c r="AS345" s="15">
        <f>+'ENCUESTA CONDUCTORES'!BA345</f>
        <v>2000</v>
      </c>
      <c r="AT345" s="15">
        <f>IF('ENCUESTA CONDUCTORES'!BB345="X",1,0)</f>
        <v>1</v>
      </c>
      <c r="AU345" s="15">
        <f>IF('ENCUESTA CONDUCTORES'!BC345="X",1,0)</f>
        <v>1</v>
      </c>
      <c r="AV345" s="15">
        <f>IF('ENCUESTA CONDUCTORES'!BD345="X",1,0)</f>
        <v>0</v>
      </c>
      <c r="AW345" s="1">
        <f>+'ENCUESTA CONDUCTORES'!BE345</f>
        <v>25000</v>
      </c>
      <c r="AX345" s="1">
        <f>+'ENCUESTA CONDUCTORES'!BF345</f>
        <v>200000</v>
      </c>
      <c r="AY345" s="1">
        <f>+'ENCUESTA CONDUCTORES'!BG345</f>
        <v>25000</v>
      </c>
      <c r="AZ345" s="1">
        <f>+'ENCUESTA CONDUCTORES'!BH345</f>
        <v>120000</v>
      </c>
      <c r="BA345" s="1" t="str">
        <f>+'ENCUESTA CONDUCTORES'!BI345</f>
        <v>NO SABE</v>
      </c>
      <c r="BB345" s="15">
        <f>IF('ENCUESTA CONDUCTORES'!BJ345="X",1,0)</f>
        <v>0</v>
      </c>
      <c r="BC345" s="15">
        <f>IF('ENCUESTA CONDUCTORES'!BK345="X",1,0)</f>
        <v>1</v>
      </c>
      <c r="BD345" s="15">
        <f>IF('ENCUESTA CONDUCTORES'!BL345="X",1,0)</f>
        <v>0</v>
      </c>
      <c r="BE345" s="15">
        <f>IF('ENCUESTA CONDUCTORES'!BM345="X",1,0)</f>
        <v>1</v>
      </c>
      <c r="BF345" s="15">
        <f>IF('ENCUESTA CONDUCTORES'!BN345="X",1,0)</f>
        <v>1</v>
      </c>
      <c r="BG345" s="15">
        <f>IF('ENCUESTA CONDUCTORES'!BO345="X",1,0)</f>
        <v>1</v>
      </c>
      <c r="BH345" s="15">
        <f>IF('ENCUESTA CONDUCTORES'!BP345="X",1,0)</f>
        <v>1</v>
      </c>
      <c r="BI345" s="15">
        <f>IF('ENCUESTA CONDUCTORES'!BQ345="X",1,0)</f>
        <v>0</v>
      </c>
      <c r="BJ345" s="15">
        <f>IF('ENCUESTA CONDUCTORES'!BR345="X",1,0)</f>
        <v>0</v>
      </c>
      <c r="BK345" s="15">
        <f>+'ENCUESTA CONDUCTORES'!BS345</f>
        <v>0</v>
      </c>
      <c r="BL345" s="15">
        <f>IF('ENCUESTA CONDUCTORES'!BT345="X",1,0)</f>
        <v>0</v>
      </c>
      <c r="BM345" s="15">
        <f>IF('ENCUESTA CONDUCTORES'!BU345="X",1,0)</f>
        <v>1</v>
      </c>
      <c r="BN345" s="15">
        <f>IF('ENCUESTA CONDUCTORES'!BV345="X",1,0)</f>
        <v>0</v>
      </c>
      <c r="BO345" s="15">
        <f>IF('ENCUESTA CONDUCTORES'!BW345="X",1,0)</f>
        <v>0</v>
      </c>
      <c r="BP345" s="15">
        <f>+'ENCUESTA CONDUCTORES'!BX345</f>
        <v>1</v>
      </c>
      <c r="BQ345" s="15">
        <f>+'ENCUESTA CONDUCTORES'!BY345</f>
        <v>3</v>
      </c>
      <c r="BR345" s="15">
        <f>+'ENCUESTA CONDUCTORES'!BZ345</f>
        <v>2</v>
      </c>
      <c r="BS345" s="15">
        <f>+'ENCUESTA CONDUCTORES'!CA345</f>
        <v>0</v>
      </c>
      <c r="BT345" s="15">
        <f>IF('ENCUESTA CONDUCTORES'!CB345="X",1,0)</f>
        <v>1</v>
      </c>
      <c r="BU345" s="15">
        <f>IF('ENCUESTA CONDUCTORES'!CC345="X",1,0)</f>
        <v>0</v>
      </c>
      <c r="BV345" s="15">
        <f>IF('ENCUESTA CONDUCTORES'!CD345="X",1,0)</f>
        <v>0</v>
      </c>
      <c r="BW345" s="15">
        <f>IF('ENCUESTA CONDUCTORES'!CE345="X",1,0)</f>
        <v>0</v>
      </c>
      <c r="BX345" s="15">
        <f>IF('ENCUESTA CONDUCTORES'!CF345="X",1,0)</f>
        <v>0</v>
      </c>
      <c r="BY345" s="15">
        <f>IF('ENCUESTA CONDUCTORES'!CG345="X",1,0)</f>
        <v>0</v>
      </c>
      <c r="BZ345" s="15">
        <f>IF('ENCUESTA CONDUCTORES'!CH345="X",1,0)</f>
        <v>0</v>
      </c>
      <c r="CA345" s="15">
        <f>IF('ENCUESTA CONDUCTORES'!CI345="X",1,0)</f>
        <v>0</v>
      </c>
      <c r="CB345" s="15">
        <f>IF('ENCUESTA CONDUCTORES'!CJ345="X",1,0)</f>
        <v>0</v>
      </c>
      <c r="CC345" s="15">
        <f>IF('ENCUESTA CONDUCTORES'!CK345="X",1,0)</f>
        <v>1</v>
      </c>
      <c r="CD345" s="15">
        <f>IF('ENCUESTA CONDUCTORES'!CL345="X",1,0)</f>
        <v>0</v>
      </c>
      <c r="CE345" s="15">
        <f>IF('ENCUESTA CONDUCTORES'!CM345="X",1,0)</f>
        <v>0</v>
      </c>
      <c r="CF345" s="15">
        <f>+'ENCUESTA CONDUCTORES'!CN345</f>
        <v>0</v>
      </c>
      <c r="CG345" s="15">
        <f>IF('ENCUESTA CONDUCTORES'!CO345="X",1,0)</f>
        <v>0</v>
      </c>
      <c r="CH345" s="15" t="str">
        <f>+'ENCUESTA CONDUCTORES'!CP345</f>
        <v>NO SABE</v>
      </c>
      <c r="CI345" s="15" t="str">
        <f>+'ENCUESTA CONDUCTORES'!CQ345</f>
        <v>NO SABE</v>
      </c>
      <c r="CJ345" s="15">
        <f>IF('ENCUESTA CONDUCTORES'!CR345="X",1,0)</f>
        <v>1</v>
      </c>
      <c r="CK345" s="15">
        <f>IF('ENCUESTA CONDUCTORES'!CS345="X",1,0)</f>
        <v>0</v>
      </c>
      <c r="CL345" s="15">
        <f>IF('ENCUESTA CONDUCTORES'!CT345="X",1,0)</f>
        <v>0</v>
      </c>
      <c r="CM345" s="15">
        <f>+'ENCUESTA CONDUCTORES'!CU345</f>
        <v>0</v>
      </c>
      <c r="CN345" s="15">
        <f>IF('ENCUESTA CONDUCTORES'!CV345="X",1,0)</f>
        <v>0</v>
      </c>
      <c r="CO345" s="15">
        <f>+'ENCUESTA CONDUCTORES'!CW345</f>
        <v>0</v>
      </c>
      <c r="CP345" s="15">
        <f>IF('ENCUESTA CONDUCTORES'!CX345="X",1,0)</f>
        <v>1</v>
      </c>
      <c r="CQ345" s="15">
        <f>IF('ENCUESTA CONDUCTORES'!CY345="X",1,0)</f>
        <v>1</v>
      </c>
      <c r="CR345" s="3">
        <f>+'ENCUESTA CONDUCTORES'!CZ345</f>
        <v>0</v>
      </c>
      <c r="CS345" s="49">
        <f>+'ENCUESTA CONDUCTORES'!DA345</f>
        <v>0</v>
      </c>
    </row>
    <row r="346" spans="2:97" x14ac:dyDescent="0.25">
      <c r="B346" s="14" t="str">
        <f>+'ENCUESTA CONDUCTORES'!D346</f>
        <v>C-357</v>
      </c>
      <c r="C346" s="15">
        <f>IF('ENCUESTA CONDUCTORES'!E346="X",1,0)</f>
        <v>1</v>
      </c>
      <c r="D346" s="15">
        <f>IF('ENCUESTA CONDUCTORES'!F346="X",1,0)</f>
        <v>0</v>
      </c>
      <c r="E346" s="15">
        <f>IF('ENCUESTA CONDUCTORES'!G346="X",1,0)</f>
        <v>0</v>
      </c>
      <c r="F346" s="15">
        <f>IF('ENCUESTA CONDUCTORES'!H346="X",1,0)</f>
        <v>0</v>
      </c>
      <c r="G346" s="15">
        <f>+'ENCUESTA CONDUCTORES'!I346</f>
        <v>30</v>
      </c>
      <c r="H346" s="15" t="str">
        <f>+'ENCUESTA CONDUCTORES'!J346</f>
        <v>M</v>
      </c>
      <c r="I346" s="15" t="str">
        <f>+'ENCUESTA CONDUCTORES'!K346</f>
        <v>SECUNDARIA</v>
      </c>
      <c r="J346" s="15" t="str">
        <f>+'ENCUESTA CONDUCTORES'!L346</f>
        <v>ACAMBARO, GTO</v>
      </c>
      <c r="K346" s="15" t="str">
        <f>+'ENCUESTA CONDUCTORES'!M346</f>
        <v>ACAMBARO</v>
      </c>
      <c r="L346" s="15" t="str">
        <f>+'ENCUESTA CONDUCTORES'!N346</f>
        <v>GUANAJUATO</v>
      </c>
      <c r="M346" s="15">
        <f>+'ENCUESTA CONDUCTORES'!O346</f>
        <v>12</v>
      </c>
      <c r="N346" s="15">
        <f>IF('ENCUESTA CONDUCTORES'!P346="X",1,0)</f>
        <v>0</v>
      </c>
      <c r="O346" s="15">
        <f>IF('ENCUESTA CONDUCTORES'!Q346="X",1,0)</f>
        <v>0</v>
      </c>
      <c r="P346" s="15">
        <f>IF('ENCUESTA CONDUCTORES'!R346="X",1,0)</f>
        <v>0</v>
      </c>
      <c r="Q346" s="15">
        <f>IF('ENCUESTA CONDUCTORES'!S346="X",1,0)</f>
        <v>1</v>
      </c>
      <c r="R346" s="15">
        <f>IF('ENCUESTA CONDUCTORES'!T346="X",1,0)</f>
        <v>0</v>
      </c>
      <c r="S346" s="15">
        <f>IF('ENCUESTA CONDUCTORES'!U346="X",1,0)</f>
        <v>0</v>
      </c>
      <c r="T346" s="15">
        <f>IF('ENCUESTA CONDUCTORES'!V346="X",1,0)</f>
        <v>1</v>
      </c>
      <c r="U346" s="15">
        <f>IF('ENCUESTA CONDUCTORES'!W346="X",1,0)</f>
        <v>0</v>
      </c>
      <c r="V346" s="15">
        <f>IF('ENCUESTA CONDUCTORES'!X346="X",1,0)</f>
        <v>0</v>
      </c>
      <c r="W346" s="15">
        <f>IF('ENCUESTA CONDUCTORES'!Y346="X",1,0)</f>
        <v>0</v>
      </c>
      <c r="X346" s="15">
        <f>IF('ENCUESTA CONDUCTORES'!Z346="X",1,0)</f>
        <v>0</v>
      </c>
      <c r="Y346" s="15">
        <f>+'ENCUESTA CONDUCTORES'!AG346</f>
        <v>0</v>
      </c>
      <c r="Z346" s="15">
        <f>+'ENCUESTA CONDUCTORES'!AH346</f>
        <v>2002</v>
      </c>
      <c r="AA346" s="1">
        <f>+'ENCUESTA CONDUCTORES'!AI346</f>
        <v>989615</v>
      </c>
      <c r="AB346" s="15">
        <f>IF('ENCUESTA CONDUCTORES'!AJ346="X",1,0)</f>
        <v>0</v>
      </c>
      <c r="AC346" s="15">
        <f>IF('ENCUESTA CONDUCTORES'!AK346="X",1,0)</f>
        <v>0</v>
      </c>
      <c r="AD346" s="15">
        <f>IF('ENCUESTA CONDUCTORES'!AL346="X",1,0)</f>
        <v>1</v>
      </c>
      <c r="AE346" s="15">
        <f>IF('ENCUESTA CONDUCTORES'!AM346="X",1,0)</f>
        <v>0</v>
      </c>
      <c r="AF346" s="15">
        <f>IF('ENCUESTA CONDUCTORES'!AN346="X",1,0)</f>
        <v>0</v>
      </c>
      <c r="AG346" s="15">
        <f>IF('ENCUESTA CONDUCTORES'!AO346="X",1,0)</f>
        <v>0</v>
      </c>
      <c r="AH346" s="15">
        <f>IF('ENCUESTA CONDUCTORES'!AP346="X",1,0)</f>
        <v>1</v>
      </c>
      <c r="AI346" s="15">
        <f>IF('ENCUESTA CONDUCTORES'!AQ346="X",1,0)</f>
        <v>0</v>
      </c>
      <c r="AJ346" s="15">
        <f>IF('ENCUESTA CONDUCTORES'!AR346="X",1,0)</f>
        <v>0</v>
      </c>
      <c r="AK346" s="15">
        <f>+'ENCUESTA CONDUCTORES'!AS346</f>
        <v>0</v>
      </c>
      <c r="AL346" s="15" t="str">
        <f>+'ENCUESTA CONDUCTORES'!AT346</f>
        <v>DETROIT</v>
      </c>
      <c r="AM346" s="1">
        <f>+'ENCUESTA CONDUCTORES'!AU346</f>
        <v>10000</v>
      </c>
      <c r="AN346" s="48">
        <f>+'ENCUESTA CONDUCTORES'!AV346</f>
        <v>0.1</v>
      </c>
      <c r="AO346" s="15">
        <f>+'ENCUESTA CONDUCTORES'!AW346</f>
        <v>2.9</v>
      </c>
      <c r="AP346" s="15">
        <f>+'ENCUESTA CONDUCTORES'!AX346</f>
        <v>2.5</v>
      </c>
      <c r="AQ346" s="15">
        <f>+'ENCUESTA CONDUCTORES'!AY346</f>
        <v>2</v>
      </c>
      <c r="AR346" s="15">
        <f>+'ENCUESTA CONDUCTORES'!AZ346</f>
        <v>1040</v>
      </c>
      <c r="AS346" s="15">
        <f>+'ENCUESTA CONDUCTORES'!BA346</f>
        <v>2800</v>
      </c>
      <c r="AT346" s="15">
        <f>IF('ENCUESTA CONDUCTORES'!BB346="X",1,0)</f>
        <v>1</v>
      </c>
      <c r="AU346" s="15">
        <f>IF('ENCUESTA CONDUCTORES'!BC346="X",1,0)</f>
        <v>1</v>
      </c>
      <c r="AV346" s="15">
        <f>IF('ENCUESTA CONDUCTORES'!BD346="X",1,0)</f>
        <v>0</v>
      </c>
      <c r="AW346" s="1">
        <f>+'ENCUESTA CONDUCTORES'!BE346</f>
        <v>20000</v>
      </c>
      <c r="AX346" s="1">
        <f>+'ENCUESTA CONDUCTORES'!BF346</f>
        <v>120000</v>
      </c>
      <c r="AY346" s="1">
        <f>+'ENCUESTA CONDUCTORES'!BG346</f>
        <v>20000</v>
      </c>
      <c r="AZ346" s="1">
        <f>+'ENCUESTA CONDUCTORES'!BH346</f>
        <v>120000</v>
      </c>
      <c r="BA346" s="1" t="str">
        <f>+'ENCUESTA CONDUCTORES'!BI346</f>
        <v>NO SABE</v>
      </c>
      <c r="BB346" s="15">
        <f>IF('ENCUESTA CONDUCTORES'!BJ346="X",1,0)</f>
        <v>1</v>
      </c>
      <c r="BC346" s="15">
        <f>IF('ENCUESTA CONDUCTORES'!BK346="X",1,0)</f>
        <v>1</v>
      </c>
      <c r="BD346" s="15">
        <f>IF('ENCUESTA CONDUCTORES'!BL346="X",1,0)</f>
        <v>0</v>
      </c>
      <c r="BE346" s="15">
        <f>IF('ENCUESTA CONDUCTORES'!BM346="X",1,0)</f>
        <v>0</v>
      </c>
      <c r="BF346" s="15">
        <f>IF('ENCUESTA CONDUCTORES'!BN346="X",1,0)</f>
        <v>1</v>
      </c>
      <c r="BG346" s="15">
        <f>IF('ENCUESTA CONDUCTORES'!BO346="X",1,0)</f>
        <v>0</v>
      </c>
      <c r="BH346" s="15">
        <f>IF('ENCUESTA CONDUCTORES'!BP346="X",1,0)</f>
        <v>0</v>
      </c>
      <c r="BI346" s="15">
        <f>IF('ENCUESTA CONDUCTORES'!BQ346="X",1,0)</f>
        <v>1</v>
      </c>
      <c r="BJ346" s="15">
        <f>IF('ENCUESTA CONDUCTORES'!BR346="X",1,0)</f>
        <v>0</v>
      </c>
      <c r="BK346" s="15">
        <f>+'ENCUESTA CONDUCTORES'!BS346</f>
        <v>0</v>
      </c>
      <c r="BL346" s="15">
        <f>IF('ENCUESTA CONDUCTORES'!BT346="X",1,0)</f>
        <v>0</v>
      </c>
      <c r="BM346" s="15">
        <f>IF('ENCUESTA CONDUCTORES'!BU346="X",1,0)</f>
        <v>1</v>
      </c>
      <c r="BN346" s="15">
        <f>IF('ENCUESTA CONDUCTORES'!BV346="X",1,0)</f>
        <v>0</v>
      </c>
      <c r="BO346" s="15">
        <f>IF('ENCUESTA CONDUCTORES'!BW346="X",1,0)</f>
        <v>0</v>
      </c>
      <c r="BP346" s="15">
        <f>+'ENCUESTA CONDUCTORES'!BX346</f>
        <v>1</v>
      </c>
      <c r="BQ346" s="15">
        <f>+'ENCUESTA CONDUCTORES'!BY346</f>
        <v>2</v>
      </c>
      <c r="BR346" s="15">
        <f>+'ENCUESTA CONDUCTORES'!BZ346</f>
        <v>3</v>
      </c>
      <c r="BS346" s="15">
        <f>+'ENCUESTA CONDUCTORES'!CA346</f>
        <v>0</v>
      </c>
      <c r="BT346" s="15">
        <f>IF('ENCUESTA CONDUCTORES'!CB346="X",1,0)</f>
        <v>0</v>
      </c>
      <c r="BU346" s="15">
        <f>IF('ENCUESTA CONDUCTORES'!CC346="X",1,0)</f>
        <v>1</v>
      </c>
      <c r="BV346" s="15">
        <f>IF('ENCUESTA CONDUCTORES'!CD346="X",1,0)</f>
        <v>0</v>
      </c>
      <c r="BW346" s="15">
        <f>IF('ENCUESTA CONDUCTORES'!CE346="X",1,0)</f>
        <v>0</v>
      </c>
      <c r="BX346" s="15">
        <f>IF('ENCUESTA CONDUCTORES'!CF346="X",1,0)</f>
        <v>0</v>
      </c>
      <c r="BY346" s="15">
        <f>IF('ENCUESTA CONDUCTORES'!CG346="X",1,0)</f>
        <v>0</v>
      </c>
      <c r="BZ346" s="15">
        <f>IF('ENCUESTA CONDUCTORES'!CH346="X",1,0)</f>
        <v>1</v>
      </c>
      <c r="CA346" s="15">
        <f>IF('ENCUESTA CONDUCTORES'!CI346="X",1,0)</f>
        <v>0</v>
      </c>
      <c r="CB346" s="15">
        <f>IF('ENCUESTA CONDUCTORES'!CJ346="X",1,0)</f>
        <v>0</v>
      </c>
      <c r="CC346" s="15">
        <f>IF('ENCUESTA CONDUCTORES'!CK346="X",1,0)</f>
        <v>1</v>
      </c>
      <c r="CD346" s="15">
        <f>IF('ENCUESTA CONDUCTORES'!CL346="X",1,0)</f>
        <v>0</v>
      </c>
      <c r="CE346" s="15">
        <f>IF('ENCUESTA CONDUCTORES'!CM346="X",1,0)</f>
        <v>0</v>
      </c>
      <c r="CF346" s="15">
        <f>+'ENCUESTA CONDUCTORES'!CN346</f>
        <v>0</v>
      </c>
      <c r="CG346" s="15">
        <f>IF('ENCUESTA CONDUCTORES'!CO346="X",1,0)</f>
        <v>0</v>
      </c>
      <c r="CH346" s="15" t="str">
        <f>+'ENCUESTA CONDUCTORES'!CP346</f>
        <v>NO SABE</v>
      </c>
      <c r="CI346" s="15" t="str">
        <f>+'ENCUESTA CONDUCTORES'!CQ346</f>
        <v>NO SABE</v>
      </c>
      <c r="CJ346" s="15">
        <f>IF('ENCUESTA CONDUCTORES'!CR346="X",1,0)</f>
        <v>1</v>
      </c>
      <c r="CK346" s="15">
        <f>IF('ENCUESTA CONDUCTORES'!CS346="X",1,0)</f>
        <v>0</v>
      </c>
      <c r="CL346" s="15">
        <f>IF('ENCUESTA CONDUCTORES'!CT346="X",1,0)</f>
        <v>0</v>
      </c>
      <c r="CM346" s="15">
        <f>+'ENCUESTA CONDUCTORES'!CU346</f>
        <v>0</v>
      </c>
      <c r="CN346" s="15">
        <f>IF('ENCUESTA CONDUCTORES'!CV346="X",1,0)</f>
        <v>0</v>
      </c>
      <c r="CO346" s="15">
        <f>+'ENCUESTA CONDUCTORES'!CW346</f>
        <v>0</v>
      </c>
      <c r="CP346" s="15">
        <f>IF('ENCUESTA CONDUCTORES'!CX346="X",1,0)</f>
        <v>0</v>
      </c>
      <c r="CQ346" s="15">
        <f>IF('ENCUESTA CONDUCTORES'!CY346="X",1,0)</f>
        <v>1</v>
      </c>
      <c r="CR346" s="3">
        <f>+'ENCUESTA CONDUCTORES'!CZ346</f>
        <v>0</v>
      </c>
      <c r="CS346" s="49">
        <f>+'ENCUESTA CONDUCTORES'!DA346</f>
        <v>0</v>
      </c>
    </row>
    <row r="347" spans="2:97" x14ac:dyDescent="0.25">
      <c r="B347" s="14" t="str">
        <f>+'ENCUESTA CONDUCTORES'!D347</f>
        <v>C-358</v>
      </c>
      <c r="C347" s="15">
        <f>IF('ENCUESTA CONDUCTORES'!E347="X",1,0)</f>
        <v>0</v>
      </c>
      <c r="D347" s="15">
        <f>IF('ENCUESTA CONDUCTORES'!F347="X",1,0)</f>
        <v>0</v>
      </c>
      <c r="E347" s="15">
        <f>IF('ENCUESTA CONDUCTORES'!G347="X",1,0)</f>
        <v>1</v>
      </c>
      <c r="F347" s="15">
        <f>IF('ENCUESTA CONDUCTORES'!H347="X",1,0)</f>
        <v>0</v>
      </c>
      <c r="G347" s="15">
        <f>+'ENCUESTA CONDUCTORES'!I347</f>
        <v>37</v>
      </c>
      <c r="H347" s="15" t="str">
        <f>+'ENCUESTA CONDUCTORES'!J347</f>
        <v>M</v>
      </c>
      <c r="I347" s="15" t="str">
        <f>+'ENCUESTA CONDUCTORES'!K347</f>
        <v>PRIMARIA</v>
      </c>
      <c r="J347" s="15" t="str">
        <f>+'ENCUESTA CONDUCTORES'!L347</f>
        <v>TEPIC, NAYARIT</v>
      </c>
      <c r="K347" s="15" t="str">
        <f>+'ENCUESTA CONDUCTORES'!M347</f>
        <v>TEPIC</v>
      </c>
      <c r="L347" s="15" t="str">
        <f>+'ENCUESTA CONDUCTORES'!N347</f>
        <v>NAYARIT</v>
      </c>
      <c r="M347" s="15">
        <f>+'ENCUESTA CONDUCTORES'!O347</f>
        <v>20</v>
      </c>
      <c r="N347" s="15">
        <f>IF('ENCUESTA CONDUCTORES'!P347="X",1,0)</f>
        <v>0</v>
      </c>
      <c r="O347" s="15">
        <f>IF('ENCUESTA CONDUCTORES'!Q347="X",1,0)</f>
        <v>0</v>
      </c>
      <c r="P347" s="15">
        <f>IF('ENCUESTA CONDUCTORES'!R347="X",1,0)</f>
        <v>0</v>
      </c>
      <c r="Q347" s="15">
        <f>IF('ENCUESTA CONDUCTORES'!S347="X",1,0)</f>
        <v>1</v>
      </c>
      <c r="R347" s="15">
        <f>IF('ENCUESTA CONDUCTORES'!T347="X",1,0)</f>
        <v>0</v>
      </c>
      <c r="S347" s="15">
        <f>IF('ENCUESTA CONDUCTORES'!U347="X",1,0)</f>
        <v>1</v>
      </c>
      <c r="T347" s="15">
        <f>IF('ENCUESTA CONDUCTORES'!V347="X",1,0)</f>
        <v>0</v>
      </c>
      <c r="U347" s="15">
        <f>IF('ENCUESTA CONDUCTORES'!W347="X",1,0)</f>
        <v>0</v>
      </c>
      <c r="V347" s="15">
        <f>IF('ENCUESTA CONDUCTORES'!X347="X",1,0)</f>
        <v>0</v>
      </c>
      <c r="W347" s="15">
        <f>IF('ENCUESTA CONDUCTORES'!Y347="X",1,0)</f>
        <v>0</v>
      </c>
      <c r="X347" s="15">
        <f>IF('ENCUESTA CONDUCTORES'!Z347="X",1,0)</f>
        <v>0</v>
      </c>
      <c r="Y347" s="15">
        <f>+'ENCUESTA CONDUCTORES'!AG347</f>
        <v>0</v>
      </c>
      <c r="Z347" s="15">
        <f>+'ENCUESTA CONDUCTORES'!AH347</f>
        <v>2003</v>
      </c>
      <c r="AA347" s="1">
        <f>+'ENCUESTA CONDUCTORES'!AI347</f>
        <v>862115</v>
      </c>
      <c r="AB347" s="15">
        <f>IF('ENCUESTA CONDUCTORES'!AJ347="X",1,0)</f>
        <v>0</v>
      </c>
      <c r="AC347" s="15">
        <f>IF('ENCUESTA CONDUCTORES'!AK347="X",1,0)</f>
        <v>0</v>
      </c>
      <c r="AD347" s="15">
        <f>IF('ENCUESTA CONDUCTORES'!AL347="X",1,0)</f>
        <v>1</v>
      </c>
      <c r="AE347" s="15">
        <f>IF('ENCUESTA CONDUCTORES'!AM347="X",1,0)</f>
        <v>0</v>
      </c>
      <c r="AF347" s="15">
        <f>IF('ENCUESTA CONDUCTORES'!AN347="X",1,0)</f>
        <v>0</v>
      </c>
      <c r="AG347" s="15">
        <f>IF('ENCUESTA CONDUCTORES'!AO347="X",1,0)</f>
        <v>0</v>
      </c>
      <c r="AH347" s="15">
        <f>IF('ENCUESTA CONDUCTORES'!AP347="X",1,0)</f>
        <v>1</v>
      </c>
      <c r="AI347" s="15">
        <f>IF('ENCUESTA CONDUCTORES'!AQ347="X",1,0)</f>
        <v>0</v>
      </c>
      <c r="AJ347" s="15">
        <f>IF('ENCUESTA CONDUCTORES'!AR347="X",1,0)</f>
        <v>0</v>
      </c>
      <c r="AK347" s="15">
        <f>+'ENCUESTA CONDUCTORES'!AS347</f>
        <v>0</v>
      </c>
      <c r="AL347" s="15" t="str">
        <f>+'ENCUESTA CONDUCTORES'!AT347</f>
        <v>CUMMINS</v>
      </c>
      <c r="AM347" s="1">
        <f>+'ENCUESTA CONDUCTORES'!AU347</f>
        <v>8000</v>
      </c>
      <c r="AN347" s="48">
        <f>+'ENCUESTA CONDUCTORES'!AV347</f>
        <v>0.05</v>
      </c>
      <c r="AO347" s="15">
        <f>+'ENCUESTA CONDUCTORES'!AW347</f>
        <v>2.8</v>
      </c>
      <c r="AP347" s="15">
        <f>+'ENCUESTA CONDUCTORES'!AX347</f>
        <v>2.4</v>
      </c>
      <c r="AQ347" s="15">
        <f>+'ENCUESTA CONDUCTORES'!AY347</f>
        <v>2</v>
      </c>
      <c r="AR347" s="15">
        <f>+'ENCUESTA CONDUCTORES'!AZ347</f>
        <v>850</v>
      </c>
      <c r="AS347" s="15">
        <f>+'ENCUESTA CONDUCTORES'!BA347</f>
        <v>2200</v>
      </c>
      <c r="AT347" s="15">
        <f>IF('ENCUESTA CONDUCTORES'!BB347="X",1,0)</f>
        <v>1</v>
      </c>
      <c r="AU347" s="15">
        <f>IF('ENCUESTA CONDUCTORES'!BC347="X",1,0)</f>
        <v>0</v>
      </c>
      <c r="AV347" s="15">
        <f>IF('ENCUESTA CONDUCTORES'!BD347="X",1,0)</f>
        <v>0</v>
      </c>
      <c r="AW347" s="1">
        <f>+'ENCUESTA CONDUCTORES'!BE347</f>
        <v>25000</v>
      </c>
      <c r="AX347" s="1">
        <f>+'ENCUESTA CONDUCTORES'!BF347</f>
        <v>150000</v>
      </c>
      <c r="AY347" s="1">
        <f>+'ENCUESTA CONDUCTORES'!BG347</f>
        <v>25000</v>
      </c>
      <c r="AZ347" s="1">
        <f>+'ENCUESTA CONDUCTORES'!BH347</f>
        <v>100000</v>
      </c>
      <c r="BA347" s="1" t="str">
        <f>+'ENCUESTA CONDUCTORES'!BI347</f>
        <v>NO SABE</v>
      </c>
      <c r="BB347" s="15">
        <f>IF('ENCUESTA CONDUCTORES'!BJ347="X",1,0)</f>
        <v>0</v>
      </c>
      <c r="BC347" s="15">
        <f>IF('ENCUESTA CONDUCTORES'!BK347="X",1,0)</f>
        <v>1</v>
      </c>
      <c r="BD347" s="15">
        <f>IF('ENCUESTA CONDUCTORES'!BL347="X",1,0)</f>
        <v>0</v>
      </c>
      <c r="BE347" s="15">
        <f>IF('ENCUESTA CONDUCTORES'!BM347="X",1,0)</f>
        <v>1</v>
      </c>
      <c r="BF347" s="15">
        <f>IF('ENCUESTA CONDUCTORES'!BN347="X",1,0)</f>
        <v>1</v>
      </c>
      <c r="BG347" s="15">
        <f>IF('ENCUESTA CONDUCTORES'!BO347="X",1,0)</f>
        <v>0</v>
      </c>
      <c r="BH347" s="15">
        <f>IF('ENCUESTA CONDUCTORES'!BP347="X",1,0)</f>
        <v>1</v>
      </c>
      <c r="BI347" s="15">
        <f>IF('ENCUESTA CONDUCTORES'!BQ347="X",1,0)</f>
        <v>0</v>
      </c>
      <c r="BJ347" s="15">
        <f>IF('ENCUESTA CONDUCTORES'!BR347="X",1,0)</f>
        <v>0</v>
      </c>
      <c r="BK347" s="15">
        <f>+'ENCUESTA CONDUCTORES'!BS347</f>
        <v>0</v>
      </c>
      <c r="BL347" s="15">
        <f>IF('ENCUESTA CONDUCTORES'!BT347="X",1,0)</f>
        <v>0</v>
      </c>
      <c r="BM347" s="15">
        <f>IF('ENCUESTA CONDUCTORES'!BU347="X",1,0)</f>
        <v>1</v>
      </c>
      <c r="BN347" s="15">
        <f>IF('ENCUESTA CONDUCTORES'!BV347="X",1,0)</f>
        <v>0</v>
      </c>
      <c r="BO347" s="15">
        <f>IF('ENCUESTA CONDUCTORES'!BW347="X",1,0)</f>
        <v>0</v>
      </c>
      <c r="BP347" s="15">
        <f>+'ENCUESTA CONDUCTORES'!BX347</f>
        <v>1</v>
      </c>
      <c r="BQ347" s="15">
        <f>+'ENCUESTA CONDUCTORES'!BY347</f>
        <v>3</v>
      </c>
      <c r="BR347" s="15">
        <f>+'ENCUESTA CONDUCTORES'!BZ347</f>
        <v>2</v>
      </c>
      <c r="BS347" s="15">
        <f>+'ENCUESTA CONDUCTORES'!CA347</f>
        <v>0</v>
      </c>
      <c r="BT347" s="15">
        <f>IF('ENCUESTA CONDUCTORES'!CB347="X",1,0)</f>
        <v>1</v>
      </c>
      <c r="BU347" s="15">
        <f>IF('ENCUESTA CONDUCTORES'!CC347="X",1,0)</f>
        <v>0</v>
      </c>
      <c r="BV347" s="15">
        <f>IF('ENCUESTA CONDUCTORES'!CD347="X",1,0)</f>
        <v>0</v>
      </c>
      <c r="BW347" s="15">
        <f>IF('ENCUESTA CONDUCTORES'!CE347="X",1,0)</f>
        <v>0</v>
      </c>
      <c r="BX347" s="15">
        <f>IF('ENCUESTA CONDUCTORES'!CF347="X",1,0)</f>
        <v>0</v>
      </c>
      <c r="BY347" s="15">
        <f>IF('ENCUESTA CONDUCTORES'!CG347="X",1,0)</f>
        <v>0</v>
      </c>
      <c r="BZ347" s="15">
        <f>IF('ENCUESTA CONDUCTORES'!CH347="X",1,0)</f>
        <v>0</v>
      </c>
      <c r="CA347" s="15">
        <f>IF('ENCUESTA CONDUCTORES'!CI347="X",1,0)</f>
        <v>0</v>
      </c>
      <c r="CB347" s="15">
        <f>IF('ENCUESTA CONDUCTORES'!CJ347="X",1,0)</f>
        <v>0</v>
      </c>
      <c r="CC347" s="15">
        <f>IF('ENCUESTA CONDUCTORES'!CK347="X",1,0)</f>
        <v>1</v>
      </c>
      <c r="CD347" s="15">
        <f>IF('ENCUESTA CONDUCTORES'!CL347="X",1,0)</f>
        <v>0</v>
      </c>
      <c r="CE347" s="15">
        <f>IF('ENCUESTA CONDUCTORES'!CM347="X",1,0)</f>
        <v>0</v>
      </c>
      <c r="CF347" s="15">
        <f>+'ENCUESTA CONDUCTORES'!CN347</f>
        <v>0</v>
      </c>
      <c r="CG347" s="15">
        <f>IF('ENCUESTA CONDUCTORES'!CO347="X",1,0)</f>
        <v>0</v>
      </c>
      <c r="CH347" s="15" t="str">
        <f>+'ENCUESTA CONDUCTORES'!CP347</f>
        <v>NO SABE</v>
      </c>
      <c r="CI347" s="15" t="str">
        <f>+'ENCUESTA CONDUCTORES'!CQ347</f>
        <v>NO SABE</v>
      </c>
      <c r="CJ347" s="15">
        <f>IF('ENCUESTA CONDUCTORES'!CR347="X",1,0)</f>
        <v>1</v>
      </c>
      <c r="CK347" s="15">
        <f>IF('ENCUESTA CONDUCTORES'!CS347="X",1,0)</f>
        <v>0</v>
      </c>
      <c r="CL347" s="15">
        <f>IF('ENCUESTA CONDUCTORES'!CT347="X",1,0)</f>
        <v>0</v>
      </c>
      <c r="CM347" s="15">
        <f>+'ENCUESTA CONDUCTORES'!CU347</f>
        <v>0</v>
      </c>
      <c r="CN347" s="15">
        <f>IF('ENCUESTA CONDUCTORES'!CV347="X",1,0)</f>
        <v>0</v>
      </c>
      <c r="CO347" s="15">
        <f>+'ENCUESTA CONDUCTORES'!CW347</f>
        <v>0</v>
      </c>
      <c r="CP347" s="15">
        <f>IF('ENCUESTA CONDUCTORES'!CX347="X",1,0)</f>
        <v>1</v>
      </c>
      <c r="CQ347" s="15">
        <f>IF('ENCUESTA CONDUCTORES'!CY347="X",1,0)</f>
        <v>1</v>
      </c>
      <c r="CR347" s="3">
        <f>+'ENCUESTA CONDUCTORES'!CZ347</f>
        <v>0</v>
      </c>
      <c r="CS347" s="49">
        <f>+'ENCUESTA CONDUCTORES'!DA347</f>
        <v>0</v>
      </c>
    </row>
    <row r="348" spans="2:97" x14ac:dyDescent="0.25">
      <c r="B348" s="14" t="str">
        <f>+'ENCUESTA CONDUCTORES'!D348</f>
        <v>C-359</v>
      </c>
      <c r="C348" s="15">
        <f>IF('ENCUESTA CONDUCTORES'!E348="X",1,0)</f>
        <v>1</v>
      </c>
      <c r="D348" s="15">
        <f>IF('ENCUESTA CONDUCTORES'!F348="X",1,0)</f>
        <v>0</v>
      </c>
      <c r="E348" s="15">
        <f>IF('ENCUESTA CONDUCTORES'!G348="X",1,0)</f>
        <v>0</v>
      </c>
      <c r="F348" s="15">
        <f>IF('ENCUESTA CONDUCTORES'!H348="X",1,0)</f>
        <v>0</v>
      </c>
      <c r="G348" s="15">
        <f>+'ENCUESTA CONDUCTORES'!I348</f>
        <v>49</v>
      </c>
      <c r="H348" s="15" t="str">
        <f>+'ENCUESTA CONDUCTORES'!J348</f>
        <v>M</v>
      </c>
      <c r="I348" s="15" t="str">
        <f>+'ENCUESTA CONDUCTORES'!K348</f>
        <v>SIN ESTUDIOS</v>
      </c>
      <c r="J348" s="15" t="str">
        <f>+'ENCUESTA CONDUCTORES'!L348</f>
        <v>POCHUTLA, OAX</v>
      </c>
      <c r="K348" s="15" t="str">
        <f>+'ENCUESTA CONDUCTORES'!M348</f>
        <v>POCHUTLA</v>
      </c>
      <c r="L348" s="15" t="str">
        <f>+'ENCUESTA CONDUCTORES'!N348</f>
        <v>OAXACA</v>
      </c>
      <c r="M348" s="15">
        <f>+'ENCUESTA CONDUCTORES'!O348</f>
        <v>30</v>
      </c>
      <c r="N348" s="15">
        <f>IF('ENCUESTA CONDUCTORES'!P348="X",1,0)</f>
        <v>0</v>
      </c>
      <c r="O348" s="15">
        <f>IF('ENCUESTA CONDUCTORES'!Q348="X",1,0)</f>
        <v>1</v>
      </c>
      <c r="P348" s="15">
        <f>IF('ENCUESTA CONDUCTORES'!R348="X",1,0)</f>
        <v>0</v>
      </c>
      <c r="Q348" s="15">
        <f>IF('ENCUESTA CONDUCTORES'!S348="X",1,0)</f>
        <v>0</v>
      </c>
      <c r="R348" s="15">
        <f>IF('ENCUESTA CONDUCTORES'!T348="X",1,0)</f>
        <v>0</v>
      </c>
      <c r="S348" s="15">
        <f>IF('ENCUESTA CONDUCTORES'!U348="X",1,0)</f>
        <v>0</v>
      </c>
      <c r="T348" s="15">
        <f>IF('ENCUESTA CONDUCTORES'!V348="X",1,0)</f>
        <v>0</v>
      </c>
      <c r="U348" s="15">
        <f>IF('ENCUESTA CONDUCTORES'!W348="X",1,0)</f>
        <v>0</v>
      </c>
      <c r="V348" s="15">
        <f>IF('ENCUESTA CONDUCTORES'!X348="X",1,0)</f>
        <v>0</v>
      </c>
      <c r="W348" s="15">
        <f>IF('ENCUESTA CONDUCTORES'!Y348="X",1,0)</f>
        <v>0</v>
      </c>
      <c r="X348" s="15">
        <f>IF('ENCUESTA CONDUCTORES'!Z348="X",1,0)</f>
        <v>0</v>
      </c>
      <c r="Y348" s="15">
        <f>+'ENCUESTA CONDUCTORES'!AG348</f>
        <v>0</v>
      </c>
      <c r="Z348" s="15">
        <f>+'ENCUESTA CONDUCTORES'!AH348</f>
        <v>1995</v>
      </c>
      <c r="AA348" s="1" t="str">
        <f>+'ENCUESTA CONDUCTORES'!AI348</f>
        <v>DAÑADO</v>
      </c>
      <c r="AB348" s="15">
        <f>IF('ENCUESTA CONDUCTORES'!AJ348="X",1,0)</f>
        <v>0</v>
      </c>
      <c r="AC348" s="15">
        <f>IF('ENCUESTA CONDUCTORES'!AK348="X",1,0)</f>
        <v>0</v>
      </c>
      <c r="AD348" s="15">
        <f>IF('ENCUESTA CONDUCTORES'!AL348="X",1,0)</f>
        <v>1</v>
      </c>
      <c r="AE348" s="15">
        <f>IF('ENCUESTA CONDUCTORES'!AM348="X",1,0)</f>
        <v>0</v>
      </c>
      <c r="AF348" s="15">
        <f>IF('ENCUESTA CONDUCTORES'!AN348="X",1,0)</f>
        <v>0</v>
      </c>
      <c r="AG348" s="15">
        <f>IF('ENCUESTA CONDUCTORES'!AO348="X",1,0)</f>
        <v>1</v>
      </c>
      <c r="AH348" s="15">
        <f>IF('ENCUESTA CONDUCTORES'!AP348="X",1,0)</f>
        <v>0</v>
      </c>
      <c r="AI348" s="15">
        <f>IF('ENCUESTA CONDUCTORES'!AQ348="X",1,0)</f>
        <v>0</v>
      </c>
      <c r="AJ348" s="15">
        <f>IF('ENCUESTA CONDUCTORES'!AR348="X",1,0)</f>
        <v>0</v>
      </c>
      <c r="AK348" s="15">
        <f>+'ENCUESTA CONDUCTORES'!AS348</f>
        <v>0</v>
      </c>
      <c r="AL348" s="15" t="str">
        <f>+'ENCUESTA CONDUCTORES'!AT348</f>
        <v>CUMMINS</v>
      </c>
      <c r="AM348" s="1">
        <f>+'ENCUESTA CONDUCTORES'!AU348</f>
        <v>6000</v>
      </c>
      <c r="AN348" s="48">
        <f>+'ENCUESTA CONDUCTORES'!AV348</f>
        <v>0.2</v>
      </c>
      <c r="AO348" s="15">
        <f>+'ENCUESTA CONDUCTORES'!AW348</f>
        <v>3.9</v>
      </c>
      <c r="AP348" s="15">
        <f>+'ENCUESTA CONDUCTORES'!AX348</f>
        <v>3.1</v>
      </c>
      <c r="AQ348" s="15">
        <f>+'ENCUESTA CONDUCTORES'!AY348</f>
        <v>2</v>
      </c>
      <c r="AR348" s="15">
        <f>+'ENCUESTA CONDUCTORES'!AZ348</f>
        <v>570</v>
      </c>
      <c r="AS348" s="15">
        <f>+'ENCUESTA CONDUCTORES'!BA348</f>
        <v>2000</v>
      </c>
      <c r="AT348" s="15">
        <f>IF('ENCUESTA CONDUCTORES'!BB348="X",1,0)</f>
        <v>1</v>
      </c>
      <c r="AU348" s="15">
        <f>IF('ENCUESTA CONDUCTORES'!BC348="X",1,0)</f>
        <v>0</v>
      </c>
      <c r="AV348" s="15">
        <f>IF('ENCUESTA CONDUCTORES'!BD348="X",1,0)</f>
        <v>0</v>
      </c>
      <c r="AW348" s="1">
        <f>+'ENCUESTA CONDUCTORES'!BE348</f>
        <v>18000</v>
      </c>
      <c r="AX348" s="1" t="str">
        <f>+'ENCUESTA CONDUCTORES'!BF348</f>
        <v>NO SABE</v>
      </c>
      <c r="AY348" s="1">
        <f>+'ENCUESTA CONDUCTORES'!BG348</f>
        <v>36000</v>
      </c>
      <c r="AZ348" s="1">
        <f>+'ENCUESTA CONDUCTORES'!BH348</f>
        <v>100000</v>
      </c>
      <c r="BA348" s="1" t="str">
        <f>+'ENCUESTA CONDUCTORES'!BI348</f>
        <v>NO SABE</v>
      </c>
      <c r="BB348" s="15">
        <f>IF('ENCUESTA CONDUCTORES'!BJ348="X",1,0)</f>
        <v>0</v>
      </c>
      <c r="BC348" s="15">
        <f>IF('ENCUESTA CONDUCTORES'!BK348="X",1,0)</f>
        <v>1</v>
      </c>
      <c r="BD348" s="15">
        <f>IF('ENCUESTA CONDUCTORES'!BL348="X",1,0)</f>
        <v>0</v>
      </c>
      <c r="BE348" s="15">
        <f>IF('ENCUESTA CONDUCTORES'!BM348="X",1,0)</f>
        <v>0</v>
      </c>
      <c r="BF348" s="15">
        <f>IF('ENCUESTA CONDUCTORES'!BN348="X",1,0)</f>
        <v>0</v>
      </c>
      <c r="BG348" s="15">
        <f>IF('ENCUESTA CONDUCTORES'!BO348="X",1,0)</f>
        <v>1</v>
      </c>
      <c r="BH348" s="15">
        <f>IF('ENCUESTA CONDUCTORES'!BP348="X",1,0)</f>
        <v>0</v>
      </c>
      <c r="BI348" s="15">
        <f>IF('ENCUESTA CONDUCTORES'!BQ348="X",1,0)</f>
        <v>0</v>
      </c>
      <c r="BJ348" s="15">
        <f>IF('ENCUESTA CONDUCTORES'!BR348="X",1,0)</f>
        <v>0</v>
      </c>
      <c r="BK348" s="15">
        <f>+'ENCUESTA CONDUCTORES'!BS348</f>
        <v>0</v>
      </c>
      <c r="BL348" s="15">
        <f>IF('ENCUESTA CONDUCTORES'!BT348="X",1,0)</f>
        <v>1</v>
      </c>
      <c r="BM348" s="15">
        <f>IF('ENCUESTA CONDUCTORES'!BU348="X",1,0)</f>
        <v>0</v>
      </c>
      <c r="BN348" s="15">
        <f>IF('ENCUESTA CONDUCTORES'!BV348="X",1,0)</f>
        <v>0</v>
      </c>
      <c r="BO348" s="15">
        <f>IF('ENCUESTA CONDUCTORES'!BW348="X",1,0)</f>
        <v>0</v>
      </c>
      <c r="BP348" s="15">
        <f>+'ENCUESTA CONDUCTORES'!BX348</f>
        <v>3</v>
      </c>
      <c r="BQ348" s="15">
        <f>+'ENCUESTA CONDUCTORES'!BY348</f>
        <v>2</v>
      </c>
      <c r="BR348" s="15">
        <f>+'ENCUESTA CONDUCTORES'!BZ348</f>
        <v>1</v>
      </c>
      <c r="BS348" s="15">
        <f>+'ENCUESTA CONDUCTORES'!CA348</f>
        <v>0</v>
      </c>
      <c r="BT348" s="15">
        <f>IF('ENCUESTA CONDUCTORES'!CB348="X",1,0)</f>
        <v>1</v>
      </c>
      <c r="BU348" s="15">
        <f>IF('ENCUESTA CONDUCTORES'!CC348="X",1,0)</f>
        <v>0</v>
      </c>
      <c r="BV348" s="15">
        <f>IF('ENCUESTA CONDUCTORES'!CD348="X",1,0)</f>
        <v>0</v>
      </c>
      <c r="BW348" s="15">
        <f>IF('ENCUESTA CONDUCTORES'!CE348="X",1,0)</f>
        <v>0</v>
      </c>
      <c r="BX348" s="15">
        <f>IF('ENCUESTA CONDUCTORES'!CF348="X",1,0)</f>
        <v>0</v>
      </c>
      <c r="BY348" s="15">
        <f>IF('ENCUESTA CONDUCTORES'!CG348="X",1,0)</f>
        <v>0</v>
      </c>
      <c r="BZ348" s="15">
        <f>IF('ENCUESTA CONDUCTORES'!CH348="X",1,0)</f>
        <v>0</v>
      </c>
      <c r="CA348" s="15">
        <f>IF('ENCUESTA CONDUCTORES'!CI348="X",1,0)</f>
        <v>0</v>
      </c>
      <c r="CB348" s="15">
        <f>IF('ENCUESTA CONDUCTORES'!CJ348="X",1,0)</f>
        <v>0</v>
      </c>
      <c r="CC348" s="15">
        <f>IF('ENCUESTA CONDUCTORES'!CK348="X",1,0)</f>
        <v>1</v>
      </c>
      <c r="CD348" s="15">
        <f>IF('ENCUESTA CONDUCTORES'!CL348="X",1,0)</f>
        <v>0</v>
      </c>
      <c r="CE348" s="15">
        <f>IF('ENCUESTA CONDUCTORES'!CM348="X",1,0)</f>
        <v>0</v>
      </c>
      <c r="CF348" s="15">
        <f>+'ENCUESTA CONDUCTORES'!CN348</f>
        <v>0</v>
      </c>
      <c r="CG348" s="15">
        <f>IF('ENCUESTA CONDUCTORES'!CO348="X",1,0)</f>
        <v>0</v>
      </c>
      <c r="CH348" s="15" t="str">
        <f>+'ENCUESTA CONDUCTORES'!CP348</f>
        <v>NO SABE</v>
      </c>
      <c r="CI348" s="15" t="str">
        <f>+'ENCUESTA CONDUCTORES'!CQ348</f>
        <v>NO SABE</v>
      </c>
      <c r="CJ348" s="15">
        <f>IF('ENCUESTA CONDUCTORES'!CR348="X",1,0)</f>
        <v>1</v>
      </c>
      <c r="CK348" s="15">
        <f>IF('ENCUESTA CONDUCTORES'!CS348="X",1,0)</f>
        <v>0</v>
      </c>
      <c r="CL348" s="15">
        <f>IF('ENCUESTA CONDUCTORES'!CT348="X",1,0)</f>
        <v>0</v>
      </c>
      <c r="CM348" s="15">
        <f>+'ENCUESTA CONDUCTORES'!CU348</f>
        <v>0</v>
      </c>
      <c r="CN348" s="15">
        <f>IF('ENCUESTA CONDUCTORES'!CV348="X",1,0)</f>
        <v>0</v>
      </c>
      <c r="CO348" s="15">
        <f>+'ENCUESTA CONDUCTORES'!CW348</f>
        <v>0</v>
      </c>
      <c r="CP348" s="15">
        <f>IF('ENCUESTA CONDUCTORES'!CX348="X",1,0)</f>
        <v>1</v>
      </c>
      <c r="CQ348" s="15">
        <f>IF('ENCUESTA CONDUCTORES'!CY348="X",1,0)</f>
        <v>1</v>
      </c>
      <c r="CR348" s="3">
        <f>+'ENCUESTA CONDUCTORES'!CZ348</f>
        <v>0</v>
      </c>
      <c r="CS348" s="49">
        <f>+'ENCUESTA CONDUCTORES'!DA348</f>
        <v>0</v>
      </c>
    </row>
    <row r="349" spans="2:97" x14ac:dyDescent="0.25">
      <c r="B349" s="14" t="str">
        <f>+'ENCUESTA CONDUCTORES'!D349</f>
        <v>C-360</v>
      </c>
      <c r="C349" s="15">
        <f>IF('ENCUESTA CONDUCTORES'!E349="X",1,0)</f>
        <v>0</v>
      </c>
      <c r="D349" s="15">
        <f>IF('ENCUESTA CONDUCTORES'!F349="X",1,0)</f>
        <v>0</v>
      </c>
      <c r="E349" s="15">
        <f>IF('ENCUESTA CONDUCTORES'!G349="X",1,0)</f>
        <v>0</v>
      </c>
      <c r="F349" s="15">
        <f>IF('ENCUESTA CONDUCTORES'!H349="X",1,0)</f>
        <v>1</v>
      </c>
      <c r="G349" s="15">
        <f>+'ENCUESTA CONDUCTORES'!I349</f>
        <v>30</v>
      </c>
      <c r="H349" s="15" t="str">
        <f>+'ENCUESTA CONDUCTORES'!J349</f>
        <v>M</v>
      </c>
      <c r="I349" s="15" t="str">
        <f>+'ENCUESTA CONDUCTORES'!K349</f>
        <v>SECUNDARIA</v>
      </c>
      <c r="J349" s="15" t="str">
        <f>+'ENCUESTA CONDUCTORES'!L349</f>
        <v>GARCIA, NVO LEON</v>
      </c>
      <c r="K349" s="15" t="str">
        <f>+'ENCUESTA CONDUCTORES'!M349</f>
        <v>GARCIA</v>
      </c>
      <c r="L349" s="15" t="str">
        <f>+'ENCUESTA CONDUCTORES'!N349</f>
        <v>NVO. LEON</v>
      </c>
      <c r="M349" s="15">
        <f>+'ENCUESTA CONDUCTORES'!O349</f>
        <v>12</v>
      </c>
      <c r="N349" s="15">
        <f>IF('ENCUESTA CONDUCTORES'!P349="X",1,0)</f>
        <v>0</v>
      </c>
      <c r="O349" s="15">
        <f>IF('ENCUESTA CONDUCTORES'!Q349="X",1,0)</f>
        <v>0</v>
      </c>
      <c r="P349" s="15">
        <f>IF('ENCUESTA CONDUCTORES'!R349="X",1,0)</f>
        <v>0</v>
      </c>
      <c r="Q349" s="15">
        <f>IF('ENCUESTA CONDUCTORES'!S349="X",1,0)</f>
        <v>1</v>
      </c>
      <c r="R349" s="15">
        <f>IF('ENCUESTA CONDUCTORES'!T349="X",1,0)</f>
        <v>0</v>
      </c>
      <c r="S349" s="15">
        <f>IF('ENCUESTA CONDUCTORES'!U349="X",1,0)</f>
        <v>1</v>
      </c>
      <c r="T349" s="15">
        <f>IF('ENCUESTA CONDUCTORES'!V349="X",1,0)</f>
        <v>0</v>
      </c>
      <c r="U349" s="15">
        <f>IF('ENCUESTA CONDUCTORES'!W349="X",1,0)</f>
        <v>0</v>
      </c>
      <c r="V349" s="15">
        <f>IF('ENCUESTA CONDUCTORES'!X349="X",1,0)</f>
        <v>0</v>
      </c>
      <c r="W349" s="15">
        <f>IF('ENCUESTA CONDUCTORES'!Y349="X",1,0)</f>
        <v>0</v>
      </c>
      <c r="X349" s="15">
        <f>IF('ENCUESTA CONDUCTORES'!Z349="X",1,0)</f>
        <v>0</v>
      </c>
      <c r="Y349" s="15">
        <f>+'ENCUESTA CONDUCTORES'!AG349</f>
        <v>0</v>
      </c>
      <c r="Z349" s="15">
        <f>+'ENCUESTA CONDUCTORES'!AH349</f>
        <v>2007</v>
      </c>
      <c r="AA349" s="1">
        <f>+'ENCUESTA CONDUCTORES'!AI349</f>
        <v>713214</v>
      </c>
      <c r="AB349" s="15">
        <f>IF('ENCUESTA CONDUCTORES'!AJ349="X",1,0)</f>
        <v>0</v>
      </c>
      <c r="AC349" s="15">
        <f>IF('ENCUESTA CONDUCTORES'!AK349="X",1,0)</f>
        <v>0</v>
      </c>
      <c r="AD349" s="15">
        <f>IF('ENCUESTA CONDUCTORES'!AL349="X",1,0)</f>
        <v>1</v>
      </c>
      <c r="AE349" s="15">
        <f>IF('ENCUESTA CONDUCTORES'!AM349="X",1,0)</f>
        <v>0</v>
      </c>
      <c r="AF349" s="15">
        <f>IF('ENCUESTA CONDUCTORES'!AN349="X",1,0)</f>
        <v>0</v>
      </c>
      <c r="AG349" s="15">
        <f>IF('ENCUESTA CONDUCTORES'!AO349="X",1,0)</f>
        <v>0</v>
      </c>
      <c r="AH349" s="15">
        <f>IF('ENCUESTA CONDUCTORES'!AP349="X",1,0)</f>
        <v>1</v>
      </c>
      <c r="AI349" s="15">
        <f>IF('ENCUESTA CONDUCTORES'!AQ349="X",1,0)</f>
        <v>0</v>
      </c>
      <c r="AJ349" s="15">
        <f>IF('ENCUESTA CONDUCTORES'!AR349="X",1,0)</f>
        <v>0</v>
      </c>
      <c r="AK349" s="15">
        <f>+'ENCUESTA CONDUCTORES'!AS349</f>
        <v>0</v>
      </c>
      <c r="AL349" s="15" t="str">
        <f>+'ENCUESTA CONDUCTORES'!AT349</f>
        <v>DETROIT</v>
      </c>
      <c r="AM349" s="1">
        <f>+'ENCUESTA CONDUCTORES'!AU349</f>
        <v>12000</v>
      </c>
      <c r="AN349" s="48">
        <f>+'ENCUESTA CONDUCTORES'!AV349</f>
        <v>0</v>
      </c>
      <c r="AO349" s="15">
        <f>+'ENCUESTA CONDUCTORES'!AW349</f>
        <v>2.8</v>
      </c>
      <c r="AP349" s="15">
        <f>+'ENCUESTA CONDUCTORES'!AX349</f>
        <v>2.5</v>
      </c>
      <c r="AQ349" s="15">
        <f>+'ENCUESTA CONDUCTORES'!AY349</f>
        <v>2</v>
      </c>
      <c r="AR349" s="15">
        <f>+'ENCUESTA CONDUCTORES'!AZ349</f>
        <v>770</v>
      </c>
      <c r="AS349" s="15">
        <f>+'ENCUESTA CONDUCTORES'!BA349</f>
        <v>2000</v>
      </c>
      <c r="AT349" s="15">
        <f>IF('ENCUESTA CONDUCTORES'!BB349="X",1,0)</f>
        <v>1</v>
      </c>
      <c r="AU349" s="15">
        <f>IF('ENCUESTA CONDUCTORES'!BC349="X",1,0)</f>
        <v>1</v>
      </c>
      <c r="AV349" s="15">
        <f>IF('ENCUESTA CONDUCTORES'!BD349="X",1,0)</f>
        <v>0</v>
      </c>
      <c r="AW349" s="1">
        <f>+'ENCUESTA CONDUCTORES'!BE349</f>
        <v>18000</v>
      </c>
      <c r="AX349" s="1">
        <f>+'ENCUESTA CONDUCTORES'!BF349</f>
        <v>220000</v>
      </c>
      <c r="AY349" s="1">
        <f>+'ENCUESTA CONDUCTORES'!BG349</f>
        <v>24000</v>
      </c>
      <c r="AZ349" s="1">
        <f>+'ENCUESTA CONDUCTORES'!BH349</f>
        <v>180000</v>
      </c>
      <c r="BA349" s="1" t="str">
        <f>+'ENCUESTA CONDUCTORES'!BI349</f>
        <v>NO SABE</v>
      </c>
      <c r="BB349" s="15">
        <f>IF('ENCUESTA CONDUCTORES'!BJ349="X",1,0)</f>
        <v>0</v>
      </c>
      <c r="BC349" s="15">
        <f>IF('ENCUESTA CONDUCTORES'!BK349="X",1,0)</f>
        <v>0</v>
      </c>
      <c r="BD349" s="15">
        <f>IF('ENCUESTA CONDUCTORES'!BL349="X",1,0)</f>
        <v>0</v>
      </c>
      <c r="BE349" s="15">
        <f>IF('ENCUESTA CONDUCTORES'!BM349="X",1,0)</f>
        <v>0</v>
      </c>
      <c r="BF349" s="15">
        <f>IF('ENCUESTA CONDUCTORES'!BN349="X",1,0)</f>
        <v>1</v>
      </c>
      <c r="BG349" s="15">
        <f>IF('ENCUESTA CONDUCTORES'!BO349="X",1,0)</f>
        <v>0</v>
      </c>
      <c r="BH349" s="15">
        <f>IF('ENCUESTA CONDUCTORES'!BP349="X",1,0)</f>
        <v>1</v>
      </c>
      <c r="BI349" s="15">
        <f>IF('ENCUESTA CONDUCTORES'!BQ349="X",1,0)</f>
        <v>0</v>
      </c>
      <c r="BJ349" s="15">
        <f>IF('ENCUESTA CONDUCTORES'!BR349="X",1,0)</f>
        <v>0</v>
      </c>
      <c r="BK349" s="15">
        <f>+'ENCUESTA CONDUCTORES'!BS349</f>
        <v>0</v>
      </c>
      <c r="BL349" s="15">
        <f>IF('ENCUESTA CONDUCTORES'!BT349="X",1,0)</f>
        <v>0</v>
      </c>
      <c r="BM349" s="15">
        <f>IF('ENCUESTA CONDUCTORES'!BU349="X",1,0)</f>
        <v>0</v>
      </c>
      <c r="BN349" s="15">
        <f>IF('ENCUESTA CONDUCTORES'!BV349="X",1,0)</f>
        <v>1</v>
      </c>
      <c r="BO349" s="15">
        <f>IF('ENCUESTA CONDUCTORES'!BW349="X",1,0)</f>
        <v>0</v>
      </c>
      <c r="BP349" s="15">
        <f>+'ENCUESTA CONDUCTORES'!BX349</f>
        <v>1</v>
      </c>
      <c r="BQ349" s="15">
        <f>+'ENCUESTA CONDUCTORES'!BY349</f>
        <v>3</v>
      </c>
      <c r="BR349" s="15">
        <f>+'ENCUESTA CONDUCTORES'!BZ349</f>
        <v>2</v>
      </c>
      <c r="BS349" s="15">
        <f>+'ENCUESTA CONDUCTORES'!CA349</f>
        <v>0</v>
      </c>
      <c r="BT349" s="15">
        <f>IF('ENCUESTA CONDUCTORES'!CB349="X",1,0)</f>
        <v>0</v>
      </c>
      <c r="BU349" s="15">
        <f>IF('ENCUESTA CONDUCTORES'!CC349="X",1,0)</f>
        <v>1</v>
      </c>
      <c r="BV349" s="15">
        <f>IF('ENCUESTA CONDUCTORES'!CD349="X",1,0)</f>
        <v>0</v>
      </c>
      <c r="BW349" s="15">
        <f>IF('ENCUESTA CONDUCTORES'!CE349="X",1,0)</f>
        <v>0</v>
      </c>
      <c r="BX349" s="15">
        <f>IF('ENCUESTA CONDUCTORES'!CF349="X",1,0)</f>
        <v>0</v>
      </c>
      <c r="BY349" s="15">
        <f>IF('ENCUESTA CONDUCTORES'!CG349="X",1,0)</f>
        <v>0</v>
      </c>
      <c r="BZ349" s="15">
        <f>IF('ENCUESTA CONDUCTORES'!CH349="X",1,0)</f>
        <v>1</v>
      </c>
      <c r="CA349" s="15">
        <f>IF('ENCUESTA CONDUCTORES'!CI349="X",1,0)</f>
        <v>0</v>
      </c>
      <c r="CB349" s="15">
        <f>IF('ENCUESTA CONDUCTORES'!CJ349="X",1,0)</f>
        <v>0</v>
      </c>
      <c r="CC349" s="15">
        <f>IF('ENCUESTA CONDUCTORES'!CK349="X",1,0)</f>
        <v>1</v>
      </c>
      <c r="CD349" s="15">
        <f>IF('ENCUESTA CONDUCTORES'!CL349="X",1,0)</f>
        <v>0</v>
      </c>
      <c r="CE349" s="15">
        <f>IF('ENCUESTA CONDUCTORES'!CM349="X",1,0)</f>
        <v>0</v>
      </c>
      <c r="CF349" s="15">
        <f>+'ENCUESTA CONDUCTORES'!CN349</f>
        <v>0</v>
      </c>
      <c r="CG349" s="15">
        <f>IF('ENCUESTA CONDUCTORES'!CO349="X",1,0)</f>
        <v>0</v>
      </c>
      <c r="CH349" s="15" t="str">
        <f>+'ENCUESTA CONDUCTORES'!CP349</f>
        <v>NO SABE</v>
      </c>
      <c r="CI349" s="15" t="str">
        <f>+'ENCUESTA CONDUCTORES'!CQ349</f>
        <v>NO SABE</v>
      </c>
      <c r="CJ349" s="15">
        <f>IF('ENCUESTA CONDUCTORES'!CR349="X",1,0)</f>
        <v>1</v>
      </c>
      <c r="CK349" s="15">
        <f>IF('ENCUESTA CONDUCTORES'!CS349="X",1,0)</f>
        <v>0</v>
      </c>
      <c r="CL349" s="15">
        <f>IF('ENCUESTA CONDUCTORES'!CT349="X",1,0)</f>
        <v>0</v>
      </c>
      <c r="CM349" s="15">
        <f>+'ENCUESTA CONDUCTORES'!CU349</f>
        <v>0</v>
      </c>
      <c r="CN349" s="15">
        <f>IF('ENCUESTA CONDUCTORES'!CV349="X",1,0)</f>
        <v>0</v>
      </c>
      <c r="CO349" s="15">
        <f>+'ENCUESTA CONDUCTORES'!CW349</f>
        <v>0</v>
      </c>
      <c r="CP349" s="15">
        <f>IF('ENCUESTA CONDUCTORES'!CX349="X",1,0)</f>
        <v>1</v>
      </c>
      <c r="CQ349" s="15">
        <f>IF('ENCUESTA CONDUCTORES'!CY349="X",1,0)</f>
        <v>0</v>
      </c>
      <c r="CR349" s="3">
        <f>+'ENCUESTA CONDUCTORES'!CZ349</f>
        <v>0</v>
      </c>
      <c r="CS349" s="49">
        <f>+'ENCUESTA CONDUCTORES'!DA349</f>
        <v>0</v>
      </c>
    </row>
    <row r="350" spans="2:97" x14ac:dyDescent="0.25">
      <c r="B350" s="14" t="str">
        <f>+'ENCUESTA CONDUCTORES'!D350</f>
        <v>C-361</v>
      </c>
      <c r="C350" s="15">
        <f>IF('ENCUESTA CONDUCTORES'!E350="X",1,0)</f>
        <v>0</v>
      </c>
      <c r="D350" s="15">
        <f>IF('ENCUESTA CONDUCTORES'!F350="X",1,0)</f>
        <v>0</v>
      </c>
      <c r="E350" s="15">
        <f>IF('ENCUESTA CONDUCTORES'!G350="X",1,0)</f>
        <v>0</v>
      </c>
      <c r="F350" s="15">
        <f>IF('ENCUESTA CONDUCTORES'!H350="X",1,0)</f>
        <v>1</v>
      </c>
      <c r="G350" s="15">
        <f>+'ENCUESTA CONDUCTORES'!I350</f>
        <v>42</v>
      </c>
      <c r="H350" s="15" t="str">
        <f>+'ENCUESTA CONDUCTORES'!J350</f>
        <v>M</v>
      </c>
      <c r="I350" s="15" t="str">
        <f>+'ENCUESTA CONDUCTORES'!K350</f>
        <v>PRIMARIA</v>
      </c>
      <c r="J350" s="15" t="str">
        <f>+'ENCUESTA CONDUCTORES'!L350</f>
        <v>TULA, HGO</v>
      </c>
      <c r="K350" s="15" t="str">
        <f>+'ENCUESTA CONDUCTORES'!M350</f>
        <v>TULA</v>
      </c>
      <c r="L350" s="15" t="str">
        <f>+'ENCUESTA CONDUCTORES'!N350</f>
        <v>HIDALGO</v>
      </c>
      <c r="M350" s="15">
        <f>+'ENCUESTA CONDUCTORES'!O350</f>
        <v>22</v>
      </c>
      <c r="N350" s="15">
        <f>IF('ENCUESTA CONDUCTORES'!P350="X",1,0)</f>
        <v>0</v>
      </c>
      <c r="O350" s="15">
        <f>IF('ENCUESTA CONDUCTORES'!Q350="X",1,0)</f>
        <v>0</v>
      </c>
      <c r="P350" s="15">
        <f>IF('ENCUESTA CONDUCTORES'!R350="X",1,0)</f>
        <v>0</v>
      </c>
      <c r="Q350" s="15">
        <f>IF('ENCUESTA CONDUCTORES'!S350="X",1,0)</f>
        <v>1</v>
      </c>
      <c r="R350" s="15">
        <f>IF('ENCUESTA CONDUCTORES'!T350="X",1,0)</f>
        <v>0</v>
      </c>
      <c r="S350" s="15">
        <f>IF('ENCUESTA CONDUCTORES'!U350="X",1,0)</f>
        <v>1</v>
      </c>
      <c r="T350" s="15">
        <f>IF('ENCUESTA CONDUCTORES'!V350="X",1,0)</f>
        <v>0</v>
      </c>
      <c r="U350" s="15">
        <f>IF('ENCUESTA CONDUCTORES'!W350="X",1,0)</f>
        <v>0</v>
      </c>
      <c r="V350" s="15">
        <f>IF('ENCUESTA CONDUCTORES'!X350="X",1,0)</f>
        <v>0</v>
      </c>
      <c r="W350" s="15">
        <f>IF('ENCUESTA CONDUCTORES'!Y350="X",1,0)</f>
        <v>0</v>
      </c>
      <c r="X350" s="15">
        <f>IF('ENCUESTA CONDUCTORES'!Z350="X",1,0)</f>
        <v>0</v>
      </c>
      <c r="Y350" s="15">
        <f>+'ENCUESTA CONDUCTORES'!AG350</f>
        <v>0</v>
      </c>
      <c r="Z350" s="15">
        <f>+'ENCUESTA CONDUCTORES'!AH350</f>
        <v>2008</v>
      </c>
      <c r="AA350" s="1">
        <f>+'ENCUESTA CONDUCTORES'!AI350</f>
        <v>478213</v>
      </c>
      <c r="AB350" s="15">
        <f>IF('ENCUESTA CONDUCTORES'!AJ350="X",1,0)</f>
        <v>0</v>
      </c>
      <c r="AC350" s="15">
        <f>IF('ENCUESTA CONDUCTORES'!AK350="X",1,0)</f>
        <v>0</v>
      </c>
      <c r="AD350" s="15">
        <f>IF('ENCUESTA CONDUCTORES'!AL350="X",1,0)</f>
        <v>1</v>
      </c>
      <c r="AE350" s="15">
        <f>IF('ENCUESTA CONDUCTORES'!AM350="X",1,0)</f>
        <v>0</v>
      </c>
      <c r="AF350" s="15">
        <f>IF('ENCUESTA CONDUCTORES'!AN350="X",1,0)</f>
        <v>0</v>
      </c>
      <c r="AG350" s="15">
        <f>IF('ENCUESTA CONDUCTORES'!AO350="X",1,0)</f>
        <v>0</v>
      </c>
      <c r="AH350" s="15">
        <f>IF('ENCUESTA CONDUCTORES'!AP350="X",1,0)</f>
        <v>1</v>
      </c>
      <c r="AI350" s="15">
        <f>IF('ENCUESTA CONDUCTORES'!AQ350="X",1,0)</f>
        <v>0</v>
      </c>
      <c r="AJ350" s="15">
        <f>IF('ENCUESTA CONDUCTORES'!AR350="X",1,0)</f>
        <v>0</v>
      </c>
      <c r="AK350" s="15">
        <f>+'ENCUESTA CONDUCTORES'!AS350</f>
        <v>0</v>
      </c>
      <c r="AL350" s="15" t="str">
        <f>+'ENCUESTA CONDUCTORES'!AT350</f>
        <v>CUMMINS</v>
      </c>
      <c r="AM350" s="1">
        <f>+'ENCUESTA CONDUCTORES'!AU350</f>
        <v>8000</v>
      </c>
      <c r="AN350" s="48">
        <f>+'ENCUESTA CONDUCTORES'!AV350</f>
        <v>0</v>
      </c>
      <c r="AO350" s="15">
        <f>+'ENCUESTA CONDUCTORES'!AW350</f>
        <v>2.9</v>
      </c>
      <c r="AP350" s="15">
        <f>+'ENCUESTA CONDUCTORES'!AX350</f>
        <v>2.5</v>
      </c>
      <c r="AQ350" s="15">
        <f>+'ENCUESTA CONDUCTORES'!AY350</f>
        <v>2</v>
      </c>
      <c r="AR350" s="15">
        <f>+'ENCUESTA CONDUCTORES'!AZ350</f>
        <v>930</v>
      </c>
      <c r="AS350" s="15">
        <f>+'ENCUESTA CONDUCTORES'!BA350</f>
        <v>2500</v>
      </c>
      <c r="AT350" s="15">
        <f>IF('ENCUESTA CONDUCTORES'!BB350="X",1,0)</f>
        <v>1</v>
      </c>
      <c r="AU350" s="15">
        <f>IF('ENCUESTA CONDUCTORES'!BC350="X",1,0)</f>
        <v>1</v>
      </c>
      <c r="AV350" s="15">
        <f>IF('ENCUESTA CONDUCTORES'!BD350="X",1,0)</f>
        <v>0</v>
      </c>
      <c r="AW350" s="1">
        <f>+'ENCUESTA CONDUCTORES'!BE350</f>
        <v>18000</v>
      </c>
      <c r="AX350" s="1">
        <f>+'ENCUESTA CONDUCTORES'!BF350</f>
        <v>140000</v>
      </c>
      <c r="AY350" s="1">
        <f>+'ENCUESTA CONDUCTORES'!BG350</f>
        <v>36000</v>
      </c>
      <c r="AZ350" s="1">
        <f>+'ENCUESTA CONDUCTORES'!BH350</f>
        <v>140000</v>
      </c>
      <c r="BA350" s="1" t="str">
        <f>+'ENCUESTA CONDUCTORES'!BI350</f>
        <v>NO SABE</v>
      </c>
      <c r="BB350" s="15">
        <f>IF('ENCUESTA CONDUCTORES'!BJ350="X",1,0)</f>
        <v>0</v>
      </c>
      <c r="BC350" s="15">
        <f>IF('ENCUESTA CONDUCTORES'!BK350="X",1,0)</f>
        <v>0</v>
      </c>
      <c r="BD350" s="15">
        <f>IF('ENCUESTA CONDUCTORES'!BL350="X",1,0)</f>
        <v>0</v>
      </c>
      <c r="BE350" s="15">
        <f>IF('ENCUESTA CONDUCTORES'!BM350="X",1,0)</f>
        <v>1</v>
      </c>
      <c r="BF350" s="15">
        <f>IF('ENCUESTA CONDUCTORES'!BN350="X",1,0)</f>
        <v>1</v>
      </c>
      <c r="BG350" s="15">
        <f>IF('ENCUESTA CONDUCTORES'!BO350="X",1,0)</f>
        <v>0</v>
      </c>
      <c r="BH350" s="15">
        <f>IF('ENCUESTA CONDUCTORES'!BP350="X",1,0)</f>
        <v>1</v>
      </c>
      <c r="BI350" s="15">
        <f>IF('ENCUESTA CONDUCTORES'!BQ350="X",1,0)</f>
        <v>0</v>
      </c>
      <c r="BJ350" s="15">
        <f>IF('ENCUESTA CONDUCTORES'!BR350="X",1,0)</f>
        <v>0</v>
      </c>
      <c r="BK350" s="15">
        <f>+'ENCUESTA CONDUCTORES'!BS350</f>
        <v>0</v>
      </c>
      <c r="BL350" s="15">
        <f>IF('ENCUESTA CONDUCTORES'!BT350="X",1,0)</f>
        <v>0</v>
      </c>
      <c r="BM350" s="15">
        <f>IF('ENCUESTA CONDUCTORES'!BU350="X",1,0)</f>
        <v>0</v>
      </c>
      <c r="BN350" s="15">
        <f>IF('ENCUESTA CONDUCTORES'!BV350="X",1,0)</f>
        <v>1</v>
      </c>
      <c r="BO350" s="15">
        <f>IF('ENCUESTA CONDUCTORES'!BW350="X",1,0)</f>
        <v>0</v>
      </c>
      <c r="BP350" s="15">
        <f>+'ENCUESTA CONDUCTORES'!BX350</f>
        <v>1</v>
      </c>
      <c r="BQ350" s="15">
        <f>+'ENCUESTA CONDUCTORES'!BY350</f>
        <v>3</v>
      </c>
      <c r="BR350" s="15">
        <f>+'ENCUESTA CONDUCTORES'!BZ350</f>
        <v>2</v>
      </c>
      <c r="BS350" s="15">
        <f>+'ENCUESTA CONDUCTORES'!CA350</f>
        <v>0</v>
      </c>
      <c r="BT350" s="15">
        <f>IF('ENCUESTA CONDUCTORES'!CB350="X",1,0)</f>
        <v>1</v>
      </c>
      <c r="BU350" s="15">
        <f>IF('ENCUESTA CONDUCTORES'!CC350="X",1,0)</f>
        <v>0</v>
      </c>
      <c r="BV350" s="15">
        <f>IF('ENCUESTA CONDUCTORES'!CD350="X",1,0)</f>
        <v>0</v>
      </c>
      <c r="BW350" s="15">
        <f>IF('ENCUESTA CONDUCTORES'!CE350="X",1,0)</f>
        <v>0</v>
      </c>
      <c r="BX350" s="15">
        <f>IF('ENCUESTA CONDUCTORES'!CF350="X",1,0)</f>
        <v>0</v>
      </c>
      <c r="BY350" s="15">
        <f>IF('ENCUESTA CONDUCTORES'!CG350="X",1,0)</f>
        <v>0</v>
      </c>
      <c r="BZ350" s="15">
        <f>IF('ENCUESTA CONDUCTORES'!CH350="X",1,0)</f>
        <v>0</v>
      </c>
      <c r="CA350" s="15">
        <f>IF('ENCUESTA CONDUCTORES'!CI350="X",1,0)</f>
        <v>0</v>
      </c>
      <c r="CB350" s="15">
        <f>IF('ENCUESTA CONDUCTORES'!CJ350="X",1,0)</f>
        <v>0</v>
      </c>
      <c r="CC350" s="15">
        <f>IF('ENCUESTA CONDUCTORES'!CK350="X",1,0)</f>
        <v>1</v>
      </c>
      <c r="CD350" s="15">
        <f>IF('ENCUESTA CONDUCTORES'!CL350="X",1,0)</f>
        <v>0</v>
      </c>
      <c r="CE350" s="15">
        <f>IF('ENCUESTA CONDUCTORES'!CM350="X",1,0)</f>
        <v>0</v>
      </c>
      <c r="CF350" s="15">
        <f>+'ENCUESTA CONDUCTORES'!CN350</f>
        <v>0</v>
      </c>
      <c r="CG350" s="15">
        <f>IF('ENCUESTA CONDUCTORES'!CO350="X",1,0)</f>
        <v>0</v>
      </c>
      <c r="CH350" s="15" t="str">
        <f>+'ENCUESTA CONDUCTORES'!CP350</f>
        <v>NO SABE</v>
      </c>
      <c r="CI350" s="15" t="str">
        <f>+'ENCUESTA CONDUCTORES'!CQ350</f>
        <v>NO SABE</v>
      </c>
      <c r="CJ350" s="15">
        <f>IF('ENCUESTA CONDUCTORES'!CR350="X",1,0)</f>
        <v>0</v>
      </c>
      <c r="CK350" s="15">
        <f>IF('ENCUESTA CONDUCTORES'!CS350="X",1,0)</f>
        <v>0</v>
      </c>
      <c r="CL350" s="15">
        <f>IF('ENCUESTA CONDUCTORES'!CT350="X",1,0)</f>
        <v>1</v>
      </c>
      <c r="CM350" s="15">
        <f>+'ENCUESTA CONDUCTORES'!CU350</f>
        <v>0</v>
      </c>
      <c r="CN350" s="15">
        <f>IF('ENCUESTA CONDUCTORES'!CV350="X",1,0)</f>
        <v>0</v>
      </c>
      <c r="CO350" s="15">
        <f>+'ENCUESTA CONDUCTORES'!CW350</f>
        <v>0</v>
      </c>
      <c r="CP350" s="15">
        <f>IF('ENCUESTA CONDUCTORES'!CX350="X",1,0)</f>
        <v>1</v>
      </c>
      <c r="CQ350" s="15">
        <f>IF('ENCUESTA CONDUCTORES'!CY350="X",1,0)</f>
        <v>0</v>
      </c>
      <c r="CR350" s="3">
        <f>+'ENCUESTA CONDUCTORES'!CZ350</f>
        <v>0</v>
      </c>
      <c r="CS350" s="49">
        <f>+'ENCUESTA CONDUCTORES'!DA350</f>
        <v>0</v>
      </c>
    </row>
    <row r="351" spans="2:97" x14ac:dyDescent="0.25">
      <c r="B351" s="14" t="str">
        <f>+'ENCUESTA CONDUCTORES'!D351</f>
        <v>C-362</v>
      </c>
      <c r="C351" s="15">
        <f>IF('ENCUESTA CONDUCTORES'!E351="X",1,0)</f>
        <v>0</v>
      </c>
      <c r="D351" s="15">
        <f>IF('ENCUESTA CONDUCTORES'!F351="X",1,0)</f>
        <v>1</v>
      </c>
      <c r="E351" s="15">
        <f>IF('ENCUESTA CONDUCTORES'!G351="X",1,0)</f>
        <v>0</v>
      </c>
      <c r="F351" s="15">
        <f>IF('ENCUESTA CONDUCTORES'!H351="X",1,0)</f>
        <v>0</v>
      </c>
      <c r="G351" s="15">
        <f>+'ENCUESTA CONDUCTORES'!I351</f>
        <v>31</v>
      </c>
      <c r="H351" s="15" t="str">
        <f>+'ENCUESTA CONDUCTORES'!J351</f>
        <v>M</v>
      </c>
      <c r="I351" s="15" t="str">
        <f>+'ENCUESTA CONDUCTORES'!K351</f>
        <v>PREPARATORIA</v>
      </c>
      <c r="J351" s="15" t="str">
        <f>+'ENCUESTA CONDUCTORES'!L351</f>
        <v>LEON, GTO</v>
      </c>
      <c r="K351" s="15" t="str">
        <f>+'ENCUESTA CONDUCTORES'!M351</f>
        <v>LEON</v>
      </c>
      <c r="L351" s="15" t="str">
        <f>+'ENCUESTA CONDUCTORES'!N351</f>
        <v>GUANAJUATO</v>
      </c>
      <c r="M351" s="15">
        <f>+'ENCUESTA CONDUCTORES'!O351</f>
        <v>10</v>
      </c>
      <c r="N351" s="15">
        <f>IF('ENCUESTA CONDUCTORES'!P351="X",1,0)</f>
        <v>0</v>
      </c>
      <c r="O351" s="15">
        <f>IF('ENCUESTA CONDUCTORES'!Q351="X",1,0)</f>
        <v>0</v>
      </c>
      <c r="P351" s="15">
        <f>IF('ENCUESTA CONDUCTORES'!R351="X",1,0)</f>
        <v>0</v>
      </c>
      <c r="Q351" s="15">
        <f>IF('ENCUESTA CONDUCTORES'!S351="X",1,0)</f>
        <v>1</v>
      </c>
      <c r="R351" s="15">
        <f>IF('ENCUESTA CONDUCTORES'!T351="X",1,0)</f>
        <v>0</v>
      </c>
      <c r="S351" s="15">
        <f>IF('ENCUESTA CONDUCTORES'!U351="X",1,0)</f>
        <v>1</v>
      </c>
      <c r="T351" s="15">
        <f>IF('ENCUESTA CONDUCTORES'!V351="X",1,0)</f>
        <v>0</v>
      </c>
      <c r="U351" s="15">
        <f>IF('ENCUESTA CONDUCTORES'!W351="X",1,0)</f>
        <v>0</v>
      </c>
      <c r="V351" s="15">
        <f>IF('ENCUESTA CONDUCTORES'!X351="X",1,0)</f>
        <v>0</v>
      </c>
      <c r="W351" s="15">
        <f>IF('ENCUESTA CONDUCTORES'!Y351="X",1,0)</f>
        <v>0</v>
      </c>
      <c r="X351" s="15">
        <f>IF('ENCUESTA CONDUCTORES'!Z351="X",1,0)</f>
        <v>0</v>
      </c>
      <c r="Y351" s="15">
        <f>+'ENCUESTA CONDUCTORES'!AG351</f>
        <v>0</v>
      </c>
      <c r="Z351" s="15">
        <f>+'ENCUESTA CONDUCTORES'!AH351</f>
        <v>2009</v>
      </c>
      <c r="AA351" s="1">
        <f>+'ENCUESTA CONDUCTORES'!AI351</f>
        <v>363248</v>
      </c>
      <c r="AB351" s="15">
        <f>IF('ENCUESTA CONDUCTORES'!AJ351="X",1,0)</f>
        <v>0</v>
      </c>
      <c r="AC351" s="15">
        <f>IF('ENCUESTA CONDUCTORES'!AK351="X",1,0)</f>
        <v>0</v>
      </c>
      <c r="AD351" s="15">
        <f>IF('ENCUESTA CONDUCTORES'!AL351="X",1,0)</f>
        <v>1</v>
      </c>
      <c r="AE351" s="15">
        <f>IF('ENCUESTA CONDUCTORES'!AM351="X",1,0)</f>
        <v>0</v>
      </c>
      <c r="AF351" s="15">
        <f>IF('ENCUESTA CONDUCTORES'!AN351="X",1,0)</f>
        <v>0</v>
      </c>
      <c r="AG351" s="15">
        <f>IF('ENCUESTA CONDUCTORES'!AO351="X",1,0)</f>
        <v>0</v>
      </c>
      <c r="AH351" s="15">
        <f>IF('ENCUESTA CONDUCTORES'!AP351="X",1,0)</f>
        <v>1</v>
      </c>
      <c r="AI351" s="15">
        <f>IF('ENCUESTA CONDUCTORES'!AQ351="X",1,0)</f>
        <v>0</v>
      </c>
      <c r="AJ351" s="15">
        <f>IF('ENCUESTA CONDUCTORES'!AR351="X",1,0)</f>
        <v>0</v>
      </c>
      <c r="AK351" s="15">
        <f>+'ENCUESTA CONDUCTORES'!AS351</f>
        <v>0</v>
      </c>
      <c r="AL351" s="15" t="str">
        <f>+'ENCUESTA CONDUCTORES'!AT351</f>
        <v>DETROIT</v>
      </c>
      <c r="AM351" s="1">
        <f>+'ENCUESTA CONDUCTORES'!AU351</f>
        <v>10000</v>
      </c>
      <c r="AN351" s="48">
        <f>+'ENCUESTA CONDUCTORES'!AV351</f>
        <v>0.1</v>
      </c>
      <c r="AO351" s="15">
        <f>+'ENCUESTA CONDUCTORES'!AW351</f>
        <v>2.8</v>
      </c>
      <c r="AP351" s="15">
        <f>+'ENCUESTA CONDUCTORES'!AX351</f>
        <v>2.4</v>
      </c>
      <c r="AQ351" s="15">
        <f>+'ENCUESTA CONDUCTORES'!AY351</f>
        <v>2</v>
      </c>
      <c r="AR351" s="15">
        <f>+'ENCUESTA CONDUCTORES'!AZ351</f>
        <v>920</v>
      </c>
      <c r="AS351" s="15">
        <f>+'ENCUESTA CONDUCTORES'!BA351</f>
        <v>2400</v>
      </c>
      <c r="AT351" s="15">
        <f>IF('ENCUESTA CONDUCTORES'!BB351="X",1,0)</f>
        <v>1</v>
      </c>
      <c r="AU351" s="15">
        <f>IF('ENCUESTA CONDUCTORES'!BC351="X",1,0)</f>
        <v>1</v>
      </c>
      <c r="AV351" s="15">
        <f>IF('ENCUESTA CONDUCTORES'!BD351="X",1,0)</f>
        <v>0</v>
      </c>
      <c r="AW351" s="1">
        <f>+'ENCUESTA CONDUCTORES'!BE351</f>
        <v>20000</v>
      </c>
      <c r="AX351" s="1">
        <f>+'ENCUESTA CONDUCTORES'!BF351</f>
        <v>160000</v>
      </c>
      <c r="AY351" s="1">
        <f>+'ENCUESTA CONDUCTORES'!BG351</f>
        <v>25000</v>
      </c>
      <c r="AZ351" s="1">
        <f>+'ENCUESTA CONDUCTORES'!BH351</f>
        <v>120000</v>
      </c>
      <c r="BA351" s="1" t="str">
        <f>+'ENCUESTA CONDUCTORES'!BI351</f>
        <v>NO SABE</v>
      </c>
      <c r="BB351" s="15">
        <f>IF('ENCUESTA CONDUCTORES'!BJ351="X",1,0)</f>
        <v>0</v>
      </c>
      <c r="BC351" s="15">
        <f>IF('ENCUESTA CONDUCTORES'!BK351="X",1,0)</f>
        <v>0</v>
      </c>
      <c r="BD351" s="15">
        <f>IF('ENCUESTA CONDUCTORES'!BL351="X",1,0)</f>
        <v>0</v>
      </c>
      <c r="BE351" s="15">
        <f>IF('ENCUESTA CONDUCTORES'!BM351="X",1,0)</f>
        <v>0</v>
      </c>
      <c r="BF351" s="15">
        <f>IF('ENCUESTA CONDUCTORES'!BN351="X",1,0)</f>
        <v>1</v>
      </c>
      <c r="BG351" s="15">
        <f>IF('ENCUESTA CONDUCTORES'!BO351="X",1,0)</f>
        <v>0</v>
      </c>
      <c r="BH351" s="15">
        <f>IF('ENCUESTA CONDUCTORES'!BP351="X",1,0)</f>
        <v>1</v>
      </c>
      <c r="BI351" s="15">
        <f>IF('ENCUESTA CONDUCTORES'!BQ351="X",1,0)</f>
        <v>0</v>
      </c>
      <c r="BJ351" s="15">
        <f>IF('ENCUESTA CONDUCTORES'!BR351="X",1,0)</f>
        <v>0</v>
      </c>
      <c r="BK351" s="15">
        <f>+'ENCUESTA CONDUCTORES'!BS351</f>
        <v>0</v>
      </c>
      <c r="BL351" s="15">
        <f>IF('ENCUESTA CONDUCTORES'!BT351="X",1,0)</f>
        <v>0</v>
      </c>
      <c r="BM351" s="15">
        <f>IF('ENCUESTA CONDUCTORES'!BU351="X",1,0)</f>
        <v>0</v>
      </c>
      <c r="BN351" s="15">
        <f>IF('ENCUESTA CONDUCTORES'!BV351="X",1,0)</f>
        <v>1</v>
      </c>
      <c r="BO351" s="15">
        <f>IF('ENCUESTA CONDUCTORES'!BW351="X",1,0)</f>
        <v>0</v>
      </c>
      <c r="BP351" s="15">
        <f>+'ENCUESTA CONDUCTORES'!BX351</f>
        <v>2</v>
      </c>
      <c r="BQ351" s="15">
        <f>+'ENCUESTA CONDUCTORES'!BY351</f>
        <v>3</v>
      </c>
      <c r="BR351" s="15">
        <f>+'ENCUESTA CONDUCTORES'!BZ351</f>
        <v>1</v>
      </c>
      <c r="BS351" s="15">
        <f>+'ENCUESTA CONDUCTORES'!CA351</f>
        <v>0</v>
      </c>
      <c r="BT351" s="15">
        <f>IF('ENCUESTA CONDUCTORES'!CB351="X",1,0)</f>
        <v>1</v>
      </c>
      <c r="BU351" s="15">
        <f>IF('ENCUESTA CONDUCTORES'!CC351="X",1,0)</f>
        <v>0</v>
      </c>
      <c r="BV351" s="15">
        <f>IF('ENCUESTA CONDUCTORES'!CD351="X",1,0)</f>
        <v>0</v>
      </c>
      <c r="BW351" s="15">
        <f>IF('ENCUESTA CONDUCTORES'!CE351="X",1,0)</f>
        <v>0</v>
      </c>
      <c r="BX351" s="15">
        <f>IF('ENCUESTA CONDUCTORES'!CF351="X",1,0)</f>
        <v>0</v>
      </c>
      <c r="BY351" s="15">
        <f>IF('ENCUESTA CONDUCTORES'!CG351="X",1,0)</f>
        <v>0</v>
      </c>
      <c r="BZ351" s="15">
        <f>IF('ENCUESTA CONDUCTORES'!CH351="X",1,0)</f>
        <v>0</v>
      </c>
      <c r="CA351" s="15">
        <f>IF('ENCUESTA CONDUCTORES'!CI351="X",1,0)</f>
        <v>0</v>
      </c>
      <c r="CB351" s="15">
        <f>IF('ENCUESTA CONDUCTORES'!CJ351="X",1,0)</f>
        <v>0</v>
      </c>
      <c r="CC351" s="15">
        <f>IF('ENCUESTA CONDUCTORES'!CK351="X",1,0)</f>
        <v>1</v>
      </c>
      <c r="CD351" s="15">
        <f>IF('ENCUESTA CONDUCTORES'!CL351="X",1,0)</f>
        <v>0</v>
      </c>
      <c r="CE351" s="15">
        <f>IF('ENCUESTA CONDUCTORES'!CM351="X",1,0)</f>
        <v>0</v>
      </c>
      <c r="CF351" s="15">
        <f>+'ENCUESTA CONDUCTORES'!CN351</f>
        <v>0</v>
      </c>
      <c r="CG351" s="15">
        <f>IF('ENCUESTA CONDUCTORES'!CO351="X",1,0)</f>
        <v>0</v>
      </c>
      <c r="CH351" s="15" t="str">
        <f>+'ENCUESTA CONDUCTORES'!CP351</f>
        <v>NO SABE</v>
      </c>
      <c r="CI351" s="15" t="str">
        <f>+'ENCUESTA CONDUCTORES'!CQ351</f>
        <v>NO SABE</v>
      </c>
      <c r="CJ351" s="15">
        <f>IF('ENCUESTA CONDUCTORES'!CR351="X",1,0)</f>
        <v>1</v>
      </c>
      <c r="CK351" s="15">
        <f>IF('ENCUESTA CONDUCTORES'!CS351="X",1,0)</f>
        <v>0</v>
      </c>
      <c r="CL351" s="15">
        <f>IF('ENCUESTA CONDUCTORES'!CT351="X",1,0)</f>
        <v>0</v>
      </c>
      <c r="CM351" s="15">
        <f>+'ENCUESTA CONDUCTORES'!CU351</f>
        <v>0</v>
      </c>
      <c r="CN351" s="15">
        <f>IF('ENCUESTA CONDUCTORES'!CV351="X",1,0)</f>
        <v>0</v>
      </c>
      <c r="CO351" s="15">
        <f>+'ENCUESTA CONDUCTORES'!CW351</f>
        <v>0</v>
      </c>
      <c r="CP351" s="15">
        <f>IF('ENCUESTA CONDUCTORES'!CX351="X",1,0)</f>
        <v>1</v>
      </c>
      <c r="CQ351" s="15">
        <f>IF('ENCUESTA CONDUCTORES'!CY351="X",1,0)</f>
        <v>1</v>
      </c>
      <c r="CR351" s="3">
        <f>+'ENCUESTA CONDUCTORES'!CZ351</f>
        <v>0</v>
      </c>
      <c r="CS351" s="49">
        <f>+'ENCUESTA CONDUCTORES'!DA351</f>
        <v>0</v>
      </c>
    </row>
    <row r="352" spans="2:97" x14ac:dyDescent="0.25">
      <c r="B352" s="14" t="str">
        <f>+'ENCUESTA CONDUCTORES'!D352</f>
        <v>C-363</v>
      </c>
      <c r="C352" s="15">
        <f>IF('ENCUESTA CONDUCTORES'!E352="X",1,0)</f>
        <v>0</v>
      </c>
      <c r="D352" s="15">
        <f>IF('ENCUESTA CONDUCTORES'!F352="X",1,0)</f>
        <v>0</v>
      </c>
      <c r="E352" s="15">
        <f>IF('ENCUESTA CONDUCTORES'!G352="X",1,0)</f>
        <v>1</v>
      </c>
      <c r="F352" s="15">
        <f>IF('ENCUESTA CONDUCTORES'!H352="X",1,0)</f>
        <v>0</v>
      </c>
      <c r="G352" s="15">
        <f>+'ENCUESTA CONDUCTORES'!I352</f>
        <v>42</v>
      </c>
      <c r="H352" s="15" t="str">
        <f>+'ENCUESTA CONDUCTORES'!J352</f>
        <v>M</v>
      </c>
      <c r="I352" s="15" t="str">
        <f>+'ENCUESTA CONDUCTORES'!K352</f>
        <v>SECUNDARIA</v>
      </c>
      <c r="J352" s="15" t="str">
        <f>+'ENCUESTA CONDUCTORES'!L352</f>
        <v>LEON, GTO</v>
      </c>
      <c r="K352" s="15" t="str">
        <f>+'ENCUESTA CONDUCTORES'!M352</f>
        <v>LEON</v>
      </c>
      <c r="L352" s="15" t="str">
        <f>+'ENCUESTA CONDUCTORES'!N352</f>
        <v>GUANAJUATO</v>
      </c>
      <c r="M352" s="15">
        <f>+'ENCUESTA CONDUCTORES'!O352</f>
        <v>15</v>
      </c>
      <c r="N352" s="15">
        <f>IF('ENCUESTA CONDUCTORES'!P352="X",1,0)</f>
        <v>0</v>
      </c>
      <c r="O352" s="15">
        <f>IF('ENCUESTA CONDUCTORES'!Q352="X",1,0)</f>
        <v>0</v>
      </c>
      <c r="P352" s="15">
        <f>IF('ENCUESTA CONDUCTORES'!R352="X",1,0)</f>
        <v>0</v>
      </c>
      <c r="Q352" s="15">
        <f>IF('ENCUESTA CONDUCTORES'!S352="X",1,0)</f>
        <v>1</v>
      </c>
      <c r="R352" s="15">
        <f>IF('ENCUESTA CONDUCTORES'!T352="X",1,0)</f>
        <v>0</v>
      </c>
      <c r="S352" s="15">
        <f>IF('ENCUESTA CONDUCTORES'!U352="X",1,0)</f>
        <v>1</v>
      </c>
      <c r="T352" s="15">
        <f>IF('ENCUESTA CONDUCTORES'!V352="X",1,0)</f>
        <v>0</v>
      </c>
      <c r="U352" s="15">
        <f>IF('ENCUESTA CONDUCTORES'!W352="X",1,0)</f>
        <v>0</v>
      </c>
      <c r="V352" s="15">
        <f>IF('ENCUESTA CONDUCTORES'!X352="X",1,0)</f>
        <v>0</v>
      </c>
      <c r="W352" s="15">
        <f>IF('ENCUESTA CONDUCTORES'!Y352="X",1,0)</f>
        <v>0</v>
      </c>
      <c r="X352" s="15">
        <f>IF('ENCUESTA CONDUCTORES'!Z352="X",1,0)</f>
        <v>0</v>
      </c>
      <c r="Y352" s="15">
        <f>+'ENCUESTA CONDUCTORES'!AG352</f>
        <v>0</v>
      </c>
      <c r="Z352" s="15">
        <f>+'ENCUESTA CONDUCTORES'!AH352</f>
        <v>2006</v>
      </c>
      <c r="AA352" s="1">
        <f>+'ENCUESTA CONDUCTORES'!AI352</f>
        <v>523219</v>
      </c>
      <c r="AB352" s="15">
        <f>IF('ENCUESTA CONDUCTORES'!AJ352="X",1,0)</f>
        <v>0</v>
      </c>
      <c r="AC352" s="15">
        <f>IF('ENCUESTA CONDUCTORES'!AK352="X",1,0)</f>
        <v>0</v>
      </c>
      <c r="AD352" s="15">
        <f>IF('ENCUESTA CONDUCTORES'!AL352="X",1,0)</f>
        <v>1</v>
      </c>
      <c r="AE352" s="15">
        <f>IF('ENCUESTA CONDUCTORES'!AM352="X",1,0)</f>
        <v>0</v>
      </c>
      <c r="AF352" s="15">
        <f>IF('ENCUESTA CONDUCTORES'!AN352="X",1,0)</f>
        <v>0</v>
      </c>
      <c r="AG352" s="15">
        <f>IF('ENCUESTA CONDUCTORES'!AO352="X",1,0)</f>
        <v>0</v>
      </c>
      <c r="AH352" s="15">
        <f>IF('ENCUESTA CONDUCTORES'!AP352="X",1,0)</f>
        <v>1</v>
      </c>
      <c r="AI352" s="15">
        <f>IF('ENCUESTA CONDUCTORES'!AQ352="X",1,0)</f>
        <v>0</v>
      </c>
      <c r="AJ352" s="15">
        <f>IF('ENCUESTA CONDUCTORES'!AR352="X",1,0)</f>
        <v>0</v>
      </c>
      <c r="AK352" s="15">
        <f>+'ENCUESTA CONDUCTORES'!AS352</f>
        <v>0</v>
      </c>
      <c r="AL352" s="15" t="str">
        <f>+'ENCUESTA CONDUCTORES'!AT352</f>
        <v>CUMMINS</v>
      </c>
      <c r="AM352" s="1">
        <f>+'ENCUESTA CONDUCTORES'!AU352</f>
        <v>12000</v>
      </c>
      <c r="AN352" s="48">
        <f>+'ENCUESTA CONDUCTORES'!AV352</f>
        <v>0.5</v>
      </c>
      <c r="AO352" s="15">
        <f>+'ENCUESTA CONDUCTORES'!AW352</f>
        <v>2.7</v>
      </c>
      <c r="AP352" s="15">
        <f>+'ENCUESTA CONDUCTORES'!AX352</f>
        <v>2.5</v>
      </c>
      <c r="AQ352" s="15">
        <f>+'ENCUESTA CONDUCTORES'!AY352</f>
        <v>3</v>
      </c>
      <c r="AR352" s="15">
        <f>+'ENCUESTA CONDUCTORES'!AZ352</f>
        <v>1080</v>
      </c>
      <c r="AS352" s="15">
        <f>+'ENCUESTA CONDUCTORES'!BA352</f>
        <v>2800</v>
      </c>
      <c r="AT352" s="15">
        <f>IF('ENCUESTA CONDUCTORES'!BB352="X",1,0)</f>
        <v>1</v>
      </c>
      <c r="AU352" s="15">
        <f>IF('ENCUESTA CONDUCTORES'!BC352="X",1,0)</f>
        <v>0</v>
      </c>
      <c r="AV352" s="15">
        <f>IF('ENCUESTA CONDUCTORES'!BD352="X",1,0)</f>
        <v>0</v>
      </c>
      <c r="AW352" s="1">
        <f>+'ENCUESTA CONDUCTORES'!BE352</f>
        <v>18000</v>
      </c>
      <c r="AX352" s="1" t="str">
        <f>+'ENCUESTA CONDUCTORES'!BF352</f>
        <v>NO SABE</v>
      </c>
      <c r="AY352" s="1">
        <f>+'ENCUESTA CONDUCTORES'!BG352</f>
        <v>24000</v>
      </c>
      <c r="AZ352" s="1">
        <f>+'ENCUESTA CONDUCTORES'!BH352</f>
        <v>120000</v>
      </c>
      <c r="BA352" s="1" t="str">
        <f>+'ENCUESTA CONDUCTORES'!BI352</f>
        <v>NO SABE</v>
      </c>
      <c r="BB352" s="15">
        <f>IF('ENCUESTA CONDUCTORES'!BJ352="X",1,0)</f>
        <v>0</v>
      </c>
      <c r="BC352" s="15">
        <f>IF('ENCUESTA CONDUCTORES'!BK352="X",1,0)</f>
        <v>0</v>
      </c>
      <c r="BD352" s="15">
        <f>IF('ENCUESTA CONDUCTORES'!BL352="X",1,0)</f>
        <v>0</v>
      </c>
      <c r="BE352" s="15">
        <f>IF('ENCUESTA CONDUCTORES'!BM352="X",1,0)</f>
        <v>0</v>
      </c>
      <c r="BF352" s="15">
        <f>IF('ENCUESTA CONDUCTORES'!BN352="X",1,0)</f>
        <v>1</v>
      </c>
      <c r="BG352" s="15">
        <f>IF('ENCUESTA CONDUCTORES'!BO352="X",1,0)</f>
        <v>0</v>
      </c>
      <c r="BH352" s="15">
        <f>IF('ENCUESTA CONDUCTORES'!BP352="X",1,0)</f>
        <v>1</v>
      </c>
      <c r="BI352" s="15">
        <f>IF('ENCUESTA CONDUCTORES'!BQ352="X",1,0)</f>
        <v>0</v>
      </c>
      <c r="BJ352" s="15">
        <f>IF('ENCUESTA CONDUCTORES'!BR352="X",1,0)</f>
        <v>0</v>
      </c>
      <c r="BK352" s="15">
        <f>+'ENCUESTA CONDUCTORES'!BS352</f>
        <v>0</v>
      </c>
      <c r="BL352" s="15">
        <f>IF('ENCUESTA CONDUCTORES'!BT352="X",1,0)</f>
        <v>0</v>
      </c>
      <c r="BM352" s="15">
        <f>IF('ENCUESTA CONDUCTORES'!BU352="X",1,0)</f>
        <v>0</v>
      </c>
      <c r="BN352" s="15">
        <f>IF('ENCUESTA CONDUCTORES'!BV352="X",1,0)</f>
        <v>1</v>
      </c>
      <c r="BO352" s="15">
        <f>IF('ENCUESTA CONDUCTORES'!BW352="X",1,0)</f>
        <v>0</v>
      </c>
      <c r="BP352" s="15">
        <f>+'ENCUESTA CONDUCTORES'!BX352</f>
        <v>1</v>
      </c>
      <c r="BQ352" s="15">
        <f>+'ENCUESTA CONDUCTORES'!BY352</f>
        <v>2</v>
      </c>
      <c r="BR352" s="15">
        <f>+'ENCUESTA CONDUCTORES'!BZ352</f>
        <v>3</v>
      </c>
      <c r="BS352" s="15">
        <f>+'ENCUESTA CONDUCTORES'!CA352</f>
        <v>0</v>
      </c>
      <c r="BT352" s="15">
        <f>IF('ENCUESTA CONDUCTORES'!CB352="X",1,0)</f>
        <v>1</v>
      </c>
      <c r="BU352" s="15">
        <f>IF('ENCUESTA CONDUCTORES'!CC352="X",1,0)</f>
        <v>0</v>
      </c>
      <c r="BV352" s="15">
        <f>IF('ENCUESTA CONDUCTORES'!CD352="X",1,0)</f>
        <v>0</v>
      </c>
      <c r="BW352" s="15">
        <f>IF('ENCUESTA CONDUCTORES'!CE352="X",1,0)</f>
        <v>0</v>
      </c>
      <c r="BX352" s="15">
        <f>IF('ENCUESTA CONDUCTORES'!CF352="X",1,0)</f>
        <v>0</v>
      </c>
      <c r="BY352" s="15">
        <f>IF('ENCUESTA CONDUCTORES'!CG352="X",1,0)</f>
        <v>0</v>
      </c>
      <c r="BZ352" s="15">
        <f>IF('ENCUESTA CONDUCTORES'!CH352="X",1,0)</f>
        <v>0</v>
      </c>
      <c r="CA352" s="15">
        <f>IF('ENCUESTA CONDUCTORES'!CI352="X",1,0)</f>
        <v>0</v>
      </c>
      <c r="CB352" s="15">
        <f>IF('ENCUESTA CONDUCTORES'!CJ352="X",1,0)</f>
        <v>0</v>
      </c>
      <c r="CC352" s="15">
        <f>IF('ENCUESTA CONDUCTORES'!CK352="X",1,0)</f>
        <v>1</v>
      </c>
      <c r="CD352" s="15">
        <f>IF('ENCUESTA CONDUCTORES'!CL352="X",1,0)</f>
        <v>0</v>
      </c>
      <c r="CE352" s="15">
        <f>IF('ENCUESTA CONDUCTORES'!CM352="X",1,0)</f>
        <v>0</v>
      </c>
      <c r="CF352" s="15">
        <f>+'ENCUESTA CONDUCTORES'!CN352</f>
        <v>0</v>
      </c>
      <c r="CG352" s="15">
        <f>IF('ENCUESTA CONDUCTORES'!CO352="X",1,0)</f>
        <v>0</v>
      </c>
      <c r="CH352" s="15" t="str">
        <f>+'ENCUESTA CONDUCTORES'!CP352</f>
        <v>NO SABE</v>
      </c>
      <c r="CI352" s="15" t="str">
        <f>+'ENCUESTA CONDUCTORES'!CQ352</f>
        <v>NO SABE</v>
      </c>
      <c r="CJ352" s="15">
        <f>IF('ENCUESTA CONDUCTORES'!CR352="X",1,0)</f>
        <v>0</v>
      </c>
      <c r="CK352" s="15">
        <f>IF('ENCUESTA CONDUCTORES'!CS352="X",1,0)</f>
        <v>1</v>
      </c>
      <c r="CL352" s="15">
        <f>IF('ENCUESTA CONDUCTORES'!CT352="X",1,0)</f>
        <v>0</v>
      </c>
      <c r="CM352" s="15">
        <f>+'ENCUESTA CONDUCTORES'!CU352</f>
        <v>0</v>
      </c>
      <c r="CN352" s="15">
        <f>IF('ENCUESTA CONDUCTORES'!CV352="X",1,0)</f>
        <v>0</v>
      </c>
      <c r="CO352" s="15">
        <f>+'ENCUESTA CONDUCTORES'!CW352</f>
        <v>0</v>
      </c>
      <c r="CP352" s="15">
        <f>IF('ENCUESTA CONDUCTORES'!CX352="X",1,0)</f>
        <v>0</v>
      </c>
      <c r="CQ352" s="15">
        <f>IF('ENCUESTA CONDUCTORES'!CY352="X",1,0)</f>
        <v>1</v>
      </c>
      <c r="CR352" s="3">
        <f>+'ENCUESTA CONDUCTORES'!CZ352</f>
        <v>0</v>
      </c>
      <c r="CS352" s="49">
        <f>+'ENCUESTA CONDUCTORES'!DA352</f>
        <v>0</v>
      </c>
    </row>
    <row r="353" spans="2:97" x14ac:dyDescent="0.25">
      <c r="B353" s="14" t="str">
        <f>+'ENCUESTA CONDUCTORES'!D353</f>
        <v>C-364</v>
      </c>
      <c r="C353" s="15">
        <f>IF('ENCUESTA CONDUCTORES'!E353="X",1,0)</f>
        <v>1</v>
      </c>
      <c r="D353" s="15">
        <f>IF('ENCUESTA CONDUCTORES'!F353="X",1,0)</f>
        <v>0</v>
      </c>
      <c r="E353" s="15">
        <f>IF('ENCUESTA CONDUCTORES'!G353="X",1,0)</f>
        <v>0</v>
      </c>
      <c r="F353" s="15">
        <f>IF('ENCUESTA CONDUCTORES'!H353="X",1,0)</f>
        <v>0</v>
      </c>
      <c r="G353" s="15">
        <f>+'ENCUESTA CONDUCTORES'!I353</f>
        <v>19</v>
      </c>
      <c r="H353" s="15" t="str">
        <f>+'ENCUESTA CONDUCTORES'!J353</f>
        <v>M</v>
      </c>
      <c r="I353" s="15" t="str">
        <f>+'ENCUESTA CONDUCTORES'!K353</f>
        <v>SECUNDARIA</v>
      </c>
      <c r="J353" s="15" t="str">
        <f>+'ENCUESTA CONDUCTORES'!L353</f>
        <v>PIEDRAS NEGRAS, COAH</v>
      </c>
      <c r="K353" s="15" t="str">
        <f>+'ENCUESTA CONDUCTORES'!M353</f>
        <v>PIEDRAS NEGRAS</v>
      </c>
      <c r="L353" s="15" t="str">
        <f>+'ENCUESTA CONDUCTORES'!N353</f>
        <v>COAHUILA</v>
      </c>
      <c r="M353" s="15">
        <f>+'ENCUESTA CONDUCTORES'!O353</f>
        <v>1</v>
      </c>
      <c r="N353" s="15">
        <f>IF('ENCUESTA CONDUCTORES'!P353="X",1,0)</f>
        <v>0</v>
      </c>
      <c r="O353" s="15">
        <f>IF('ENCUESTA CONDUCTORES'!Q353="X",1,0)</f>
        <v>0</v>
      </c>
      <c r="P353" s="15">
        <f>IF('ENCUESTA CONDUCTORES'!R353="X",1,0)</f>
        <v>0</v>
      </c>
      <c r="Q353" s="15">
        <f>IF('ENCUESTA CONDUCTORES'!S353="X",1,0)</f>
        <v>1</v>
      </c>
      <c r="R353" s="15">
        <f>IF('ENCUESTA CONDUCTORES'!T353="X",1,0)</f>
        <v>0</v>
      </c>
      <c r="S353" s="15">
        <f>IF('ENCUESTA CONDUCTORES'!U353="X",1,0)</f>
        <v>0</v>
      </c>
      <c r="T353" s="15">
        <f>IF('ENCUESTA CONDUCTORES'!V353="X",1,0)</f>
        <v>0</v>
      </c>
      <c r="U353" s="15">
        <f>IF('ENCUESTA CONDUCTORES'!W353="X",1,0)</f>
        <v>0</v>
      </c>
      <c r="V353" s="15">
        <f>IF('ENCUESTA CONDUCTORES'!X353="X",1,0)</f>
        <v>0</v>
      </c>
      <c r="W353" s="15">
        <f>IF('ENCUESTA CONDUCTORES'!Y353="X",1,0)</f>
        <v>0</v>
      </c>
      <c r="X353" s="15">
        <f>IF('ENCUESTA CONDUCTORES'!Z353="X",1,0)</f>
        <v>0</v>
      </c>
      <c r="Y353" s="15">
        <f>+'ENCUESTA CONDUCTORES'!AG353</f>
        <v>0</v>
      </c>
      <c r="Z353" s="15">
        <f>+'ENCUESTA CONDUCTORES'!AH353</f>
        <v>2004</v>
      </c>
      <c r="AA353" s="1">
        <f>+'ENCUESTA CONDUCTORES'!AI353</f>
        <v>651733</v>
      </c>
      <c r="AB353" s="15">
        <f>IF('ENCUESTA CONDUCTORES'!AJ353="X",1,0)</f>
        <v>0</v>
      </c>
      <c r="AC353" s="15">
        <f>IF('ENCUESTA CONDUCTORES'!AK353="X",1,0)</f>
        <v>0</v>
      </c>
      <c r="AD353" s="15">
        <f>IF('ENCUESTA CONDUCTORES'!AL353="X",1,0)</f>
        <v>1</v>
      </c>
      <c r="AE353" s="15">
        <f>IF('ENCUESTA CONDUCTORES'!AM353="X",1,0)</f>
        <v>0</v>
      </c>
      <c r="AF353" s="15">
        <f>IF('ENCUESTA CONDUCTORES'!AN353="X",1,0)</f>
        <v>0</v>
      </c>
      <c r="AG353" s="15">
        <f>IF('ENCUESTA CONDUCTORES'!AO353="X",1,0)</f>
        <v>0</v>
      </c>
      <c r="AH353" s="15">
        <f>IF('ENCUESTA CONDUCTORES'!AP353="X",1,0)</f>
        <v>1</v>
      </c>
      <c r="AI353" s="15">
        <f>IF('ENCUESTA CONDUCTORES'!AQ353="X",1,0)</f>
        <v>0</v>
      </c>
      <c r="AJ353" s="15">
        <f>IF('ENCUESTA CONDUCTORES'!AR353="X",1,0)</f>
        <v>0</v>
      </c>
      <c r="AK353" s="15">
        <f>+'ENCUESTA CONDUCTORES'!AS353</f>
        <v>0</v>
      </c>
      <c r="AL353" s="15" t="str">
        <f>+'ENCUESTA CONDUCTORES'!AT353</f>
        <v>CUMMINS</v>
      </c>
      <c r="AM353" s="1">
        <f>+'ENCUESTA CONDUCTORES'!AU353</f>
        <v>10000</v>
      </c>
      <c r="AN353" s="48">
        <f>+'ENCUESTA CONDUCTORES'!AV353</f>
        <v>0.05</v>
      </c>
      <c r="AO353" s="15">
        <f>+'ENCUESTA CONDUCTORES'!AW353</f>
        <v>1.7</v>
      </c>
      <c r="AP353" s="15">
        <f>+'ENCUESTA CONDUCTORES'!AX353</f>
        <v>1.5</v>
      </c>
      <c r="AQ353" s="15">
        <f>+'ENCUESTA CONDUCTORES'!AY353</f>
        <v>2</v>
      </c>
      <c r="AR353" s="15">
        <f>+'ENCUESTA CONDUCTORES'!AZ353</f>
        <v>580</v>
      </c>
      <c r="AS353" s="15">
        <f>+'ENCUESTA CONDUCTORES'!BA353</f>
        <v>1500</v>
      </c>
      <c r="AT353" s="15">
        <f>IF('ENCUESTA CONDUCTORES'!BB353="X",1,0)</f>
        <v>1</v>
      </c>
      <c r="AU353" s="15">
        <f>IF('ENCUESTA CONDUCTORES'!BC353="X",1,0)</f>
        <v>1</v>
      </c>
      <c r="AV353" s="15">
        <f>IF('ENCUESTA CONDUCTORES'!BD353="X",1,0)</f>
        <v>0</v>
      </c>
      <c r="AW353" s="1">
        <f>+'ENCUESTA CONDUCTORES'!BE353</f>
        <v>20000</v>
      </c>
      <c r="AX353" s="1">
        <f>+'ENCUESTA CONDUCTORES'!BF353</f>
        <v>120000</v>
      </c>
      <c r="AY353" s="1">
        <f>+'ENCUESTA CONDUCTORES'!BG353</f>
        <v>20000</v>
      </c>
      <c r="AZ353" s="1">
        <f>+'ENCUESTA CONDUCTORES'!BH353</f>
        <v>120000</v>
      </c>
      <c r="BA353" s="1" t="str">
        <f>+'ENCUESTA CONDUCTORES'!BI353</f>
        <v>NO SABE</v>
      </c>
      <c r="BB353" s="15">
        <f>IF('ENCUESTA CONDUCTORES'!BJ353="X",1,0)</f>
        <v>0</v>
      </c>
      <c r="BC353" s="15">
        <f>IF('ENCUESTA CONDUCTORES'!BK353="X",1,0)</f>
        <v>0</v>
      </c>
      <c r="BD353" s="15">
        <f>IF('ENCUESTA CONDUCTORES'!BL353="X",1,0)</f>
        <v>0</v>
      </c>
      <c r="BE353" s="15">
        <f>IF('ENCUESTA CONDUCTORES'!BM353="X",1,0)</f>
        <v>0</v>
      </c>
      <c r="BF353" s="15">
        <f>IF('ENCUESTA CONDUCTORES'!BN353="X",1,0)</f>
        <v>1</v>
      </c>
      <c r="BG353" s="15">
        <f>IF('ENCUESTA CONDUCTORES'!BO353="X",1,0)</f>
        <v>0</v>
      </c>
      <c r="BH353" s="15">
        <f>IF('ENCUESTA CONDUCTORES'!BP353="X",1,0)</f>
        <v>0</v>
      </c>
      <c r="BI353" s="15">
        <f>IF('ENCUESTA CONDUCTORES'!BQ353="X",1,0)</f>
        <v>0</v>
      </c>
      <c r="BJ353" s="15">
        <f>IF('ENCUESTA CONDUCTORES'!BR353="X",1,0)</f>
        <v>0</v>
      </c>
      <c r="BK353" s="15">
        <f>+'ENCUESTA CONDUCTORES'!BS353</f>
        <v>0</v>
      </c>
      <c r="BL353" s="15">
        <f>IF('ENCUESTA CONDUCTORES'!BT353="X",1,0)</f>
        <v>0</v>
      </c>
      <c r="BM353" s="15">
        <f>IF('ENCUESTA CONDUCTORES'!BU353="X",1,0)</f>
        <v>0</v>
      </c>
      <c r="BN353" s="15">
        <f>IF('ENCUESTA CONDUCTORES'!BV353="X",1,0)</f>
        <v>1</v>
      </c>
      <c r="BO353" s="15">
        <f>IF('ENCUESTA CONDUCTORES'!BW353="X",1,0)</f>
        <v>0</v>
      </c>
      <c r="BP353" s="15">
        <f>+'ENCUESTA CONDUCTORES'!BX353</f>
        <v>1</v>
      </c>
      <c r="BQ353" s="15">
        <f>+'ENCUESTA CONDUCTORES'!BY353</f>
        <v>3</v>
      </c>
      <c r="BR353" s="15">
        <f>+'ENCUESTA CONDUCTORES'!BZ353</f>
        <v>2</v>
      </c>
      <c r="BS353" s="15">
        <f>+'ENCUESTA CONDUCTORES'!CA353</f>
        <v>0</v>
      </c>
      <c r="BT353" s="15">
        <f>IF('ENCUESTA CONDUCTORES'!CB353="X",1,0)</f>
        <v>1</v>
      </c>
      <c r="BU353" s="15">
        <f>IF('ENCUESTA CONDUCTORES'!CC353="X",1,0)</f>
        <v>0</v>
      </c>
      <c r="BV353" s="15">
        <f>IF('ENCUESTA CONDUCTORES'!CD353="X",1,0)</f>
        <v>0</v>
      </c>
      <c r="BW353" s="15">
        <f>IF('ENCUESTA CONDUCTORES'!CE353="X",1,0)</f>
        <v>0</v>
      </c>
      <c r="BX353" s="15">
        <f>IF('ENCUESTA CONDUCTORES'!CF353="X",1,0)</f>
        <v>0</v>
      </c>
      <c r="BY353" s="15">
        <f>IF('ENCUESTA CONDUCTORES'!CG353="X",1,0)</f>
        <v>0</v>
      </c>
      <c r="BZ353" s="15">
        <f>IF('ENCUESTA CONDUCTORES'!CH353="X",1,0)</f>
        <v>0</v>
      </c>
      <c r="CA353" s="15">
        <f>IF('ENCUESTA CONDUCTORES'!CI353="X",1,0)</f>
        <v>0</v>
      </c>
      <c r="CB353" s="15">
        <f>IF('ENCUESTA CONDUCTORES'!CJ353="X",1,0)</f>
        <v>0</v>
      </c>
      <c r="CC353" s="15">
        <f>IF('ENCUESTA CONDUCTORES'!CK353="X",1,0)</f>
        <v>1</v>
      </c>
      <c r="CD353" s="15">
        <f>IF('ENCUESTA CONDUCTORES'!CL353="X",1,0)</f>
        <v>0</v>
      </c>
      <c r="CE353" s="15">
        <f>IF('ENCUESTA CONDUCTORES'!CM353="X",1,0)</f>
        <v>0</v>
      </c>
      <c r="CF353" s="15">
        <f>+'ENCUESTA CONDUCTORES'!CN353</f>
        <v>0</v>
      </c>
      <c r="CG353" s="15">
        <f>IF('ENCUESTA CONDUCTORES'!CO353="X",1,0)</f>
        <v>0</v>
      </c>
      <c r="CH353" s="15" t="str">
        <f>+'ENCUESTA CONDUCTORES'!CP353</f>
        <v>NO SABE</v>
      </c>
      <c r="CI353" s="15" t="str">
        <f>+'ENCUESTA CONDUCTORES'!CQ353</f>
        <v>NO SABE</v>
      </c>
      <c r="CJ353" s="15">
        <f>IF('ENCUESTA CONDUCTORES'!CR353="X",1,0)</f>
        <v>1</v>
      </c>
      <c r="CK353" s="15">
        <f>IF('ENCUESTA CONDUCTORES'!CS353="X",1,0)</f>
        <v>0</v>
      </c>
      <c r="CL353" s="15">
        <f>IF('ENCUESTA CONDUCTORES'!CT353="X",1,0)</f>
        <v>0</v>
      </c>
      <c r="CM353" s="15">
        <f>+'ENCUESTA CONDUCTORES'!CU353</f>
        <v>0</v>
      </c>
      <c r="CN353" s="15">
        <f>IF('ENCUESTA CONDUCTORES'!CV353="X",1,0)</f>
        <v>0</v>
      </c>
      <c r="CO353" s="15">
        <f>+'ENCUESTA CONDUCTORES'!CW353</f>
        <v>0</v>
      </c>
      <c r="CP353" s="15">
        <f>IF('ENCUESTA CONDUCTORES'!CX353="X",1,0)</f>
        <v>1</v>
      </c>
      <c r="CQ353" s="15">
        <f>IF('ENCUESTA CONDUCTORES'!CY353="X",1,0)</f>
        <v>1</v>
      </c>
      <c r="CR353" s="3">
        <f>+'ENCUESTA CONDUCTORES'!CZ353</f>
        <v>0</v>
      </c>
      <c r="CS353" s="49">
        <f>+'ENCUESTA CONDUCTORES'!DA353</f>
        <v>0</v>
      </c>
    </row>
    <row r="354" spans="2:97" x14ac:dyDescent="0.25">
      <c r="B354" s="14" t="str">
        <f>+'ENCUESTA CONDUCTORES'!D354</f>
        <v>C-365</v>
      </c>
      <c r="C354" s="15">
        <f>IF('ENCUESTA CONDUCTORES'!E354="X",1,0)</f>
        <v>0</v>
      </c>
      <c r="D354" s="15">
        <f>IF('ENCUESTA CONDUCTORES'!F354="X",1,0)</f>
        <v>0</v>
      </c>
      <c r="E354" s="15">
        <f>IF('ENCUESTA CONDUCTORES'!G354="X",1,0)</f>
        <v>1</v>
      </c>
      <c r="F354" s="15">
        <f>IF('ENCUESTA CONDUCTORES'!H354="X",1,0)</f>
        <v>0</v>
      </c>
      <c r="G354" s="15">
        <f>+'ENCUESTA CONDUCTORES'!I354</f>
        <v>36</v>
      </c>
      <c r="H354" s="15" t="str">
        <f>+'ENCUESTA CONDUCTORES'!J354</f>
        <v>M</v>
      </c>
      <c r="I354" s="15" t="str">
        <f>+'ENCUESTA CONDUCTORES'!K354</f>
        <v>SECUNDARIA</v>
      </c>
      <c r="J354" s="15" t="str">
        <f>+'ENCUESTA CONDUCTORES'!L354</f>
        <v>LEON, GTO</v>
      </c>
      <c r="K354" s="15" t="str">
        <f>+'ENCUESTA CONDUCTORES'!M354</f>
        <v>LEON</v>
      </c>
      <c r="L354" s="15" t="str">
        <f>+'ENCUESTA CONDUCTORES'!N354</f>
        <v>GUANAJUATO</v>
      </c>
      <c r="M354" s="15">
        <f>+'ENCUESTA CONDUCTORES'!O354</f>
        <v>10</v>
      </c>
      <c r="N354" s="15">
        <f>IF('ENCUESTA CONDUCTORES'!P354="X",1,0)</f>
        <v>0</v>
      </c>
      <c r="O354" s="15">
        <f>IF('ENCUESTA CONDUCTORES'!Q354="X",1,0)</f>
        <v>0</v>
      </c>
      <c r="P354" s="15">
        <f>IF('ENCUESTA CONDUCTORES'!R354="X",1,0)</f>
        <v>0</v>
      </c>
      <c r="Q354" s="15">
        <f>IF('ENCUESTA CONDUCTORES'!S354="X",1,0)</f>
        <v>1</v>
      </c>
      <c r="R354" s="15">
        <f>IF('ENCUESTA CONDUCTORES'!T354="X",1,0)</f>
        <v>0</v>
      </c>
      <c r="S354" s="15">
        <f>IF('ENCUESTA CONDUCTORES'!U354="X",1,0)</f>
        <v>0</v>
      </c>
      <c r="T354" s="15">
        <f>IF('ENCUESTA CONDUCTORES'!V354="X",1,0)</f>
        <v>0</v>
      </c>
      <c r="U354" s="15">
        <f>IF('ENCUESTA CONDUCTORES'!W354="X",1,0)</f>
        <v>0</v>
      </c>
      <c r="V354" s="15">
        <f>IF('ENCUESTA CONDUCTORES'!X354="X",1,0)</f>
        <v>0</v>
      </c>
      <c r="W354" s="15">
        <f>IF('ENCUESTA CONDUCTORES'!Y354="X",1,0)</f>
        <v>0</v>
      </c>
      <c r="X354" s="15">
        <f>IF('ENCUESTA CONDUCTORES'!Z354="X",1,0)</f>
        <v>0</v>
      </c>
      <c r="Y354" s="15">
        <f>+'ENCUESTA CONDUCTORES'!AG354</f>
        <v>0</v>
      </c>
      <c r="Z354" s="15">
        <f>+'ENCUESTA CONDUCTORES'!AH354</f>
        <v>2011</v>
      </c>
      <c r="AA354" s="1">
        <f>+'ENCUESTA CONDUCTORES'!AI354</f>
        <v>490372</v>
      </c>
      <c r="AB354" s="15">
        <f>IF('ENCUESTA CONDUCTORES'!AJ354="X",1,0)</f>
        <v>0</v>
      </c>
      <c r="AC354" s="15">
        <f>IF('ENCUESTA CONDUCTORES'!AK354="X",1,0)</f>
        <v>0</v>
      </c>
      <c r="AD354" s="15">
        <f>IF('ENCUESTA CONDUCTORES'!AL354="X",1,0)</f>
        <v>1</v>
      </c>
      <c r="AE354" s="15">
        <f>IF('ENCUESTA CONDUCTORES'!AM354="X",1,0)</f>
        <v>0</v>
      </c>
      <c r="AF354" s="15">
        <f>IF('ENCUESTA CONDUCTORES'!AN354="X",1,0)</f>
        <v>0</v>
      </c>
      <c r="AG354" s="15">
        <f>IF('ENCUESTA CONDUCTORES'!AO354="X",1,0)</f>
        <v>0</v>
      </c>
      <c r="AH354" s="15">
        <f>IF('ENCUESTA CONDUCTORES'!AP354="X",1,0)</f>
        <v>1</v>
      </c>
      <c r="AI354" s="15">
        <f>IF('ENCUESTA CONDUCTORES'!AQ354="X",1,0)</f>
        <v>0</v>
      </c>
      <c r="AJ354" s="15">
        <f>IF('ENCUESTA CONDUCTORES'!AR354="X",1,0)</f>
        <v>0</v>
      </c>
      <c r="AK354" s="15">
        <f>+'ENCUESTA CONDUCTORES'!AS354</f>
        <v>0</v>
      </c>
      <c r="AL354" s="15" t="str">
        <f>+'ENCUESTA CONDUCTORES'!AT354</f>
        <v>CUMMINS</v>
      </c>
      <c r="AM354" s="1">
        <f>+'ENCUESTA CONDUCTORES'!AU354</f>
        <v>10000</v>
      </c>
      <c r="AN354" s="48">
        <f>+'ENCUESTA CONDUCTORES'!AV354</f>
        <v>0.5</v>
      </c>
      <c r="AO354" s="15">
        <f>+'ENCUESTA CONDUCTORES'!AW354</f>
        <v>3</v>
      </c>
      <c r="AP354" s="15">
        <f>+'ENCUESTA CONDUCTORES'!AX354</f>
        <v>2.6</v>
      </c>
      <c r="AQ354" s="15">
        <f>+'ENCUESTA CONDUCTORES'!AY354</f>
        <v>2</v>
      </c>
      <c r="AR354" s="15">
        <f>+'ENCUESTA CONDUCTORES'!AZ354</f>
        <v>860</v>
      </c>
      <c r="AS354" s="15">
        <f>+'ENCUESTA CONDUCTORES'!BA354</f>
        <v>2400</v>
      </c>
      <c r="AT354" s="15">
        <f>IF('ENCUESTA CONDUCTORES'!BB354="X",1,0)</f>
        <v>1</v>
      </c>
      <c r="AU354" s="15">
        <f>IF('ENCUESTA CONDUCTORES'!BC354="X",1,0)</f>
        <v>1</v>
      </c>
      <c r="AV354" s="15">
        <f>IF('ENCUESTA CONDUCTORES'!BD354="X",1,0)</f>
        <v>0</v>
      </c>
      <c r="AW354" s="1">
        <f>+'ENCUESTA CONDUCTORES'!BE354</f>
        <v>25000</v>
      </c>
      <c r="AX354" s="1">
        <f>+'ENCUESTA CONDUCTORES'!BF354</f>
        <v>150000</v>
      </c>
      <c r="AY354" s="1">
        <f>+'ENCUESTA CONDUCTORES'!BG354</f>
        <v>25000</v>
      </c>
      <c r="AZ354" s="1">
        <f>+'ENCUESTA CONDUCTORES'!BH354</f>
        <v>150000</v>
      </c>
      <c r="BA354" s="1" t="str">
        <f>+'ENCUESTA CONDUCTORES'!BI354</f>
        <v>NO SABE</v>
      </c>
      <c r="BB354" s="15">
        <f>IF('ENCUESTA CONDUCTORES'!BJ354="X",1,0)</f>
        <v>0</v>
      </c>
      <c r="BC354" s="15">
        <f>IF('ENCUESTA CONDUCTORES'!BK354="X",1,0)</f>
        <v>0</v>
      </c>
      <c r="BD354" s="15">
        <f>IF('ENCUESTA CONDUCTORES'!BL354="X",1,0)</f>
        <v>0</v>
      </c>
      <c r="BE354" s="15">
        <f>IF('ENCUESTA CONDUCTORES'!BM354="X",1,0)</f>
        <v>1</v>
      </c>
      <c r="BF354" s="15">
        <f>IF('ENCUESTA CONDUCTORES'!BN354="X",1,0)</f>
        <v>1</v>
      </c>
      <c r="BG354" s="15">
        <f>IF('ENCUESTA CONDUCTORES'!BO354="X",1,0)</f>
        <v>0</v>
      </c>
      <c r="BH354" s="15">
        <f>IF('ENCUESTA CONDUCTORES'!BP354="X",1,0)</f>
        <v>0</v>
      </c>
      <c r="BI354" s="15">
        <f>IF('ENCUESTA CONDUCTORES'!BQ354="X",1,0)</f>
        <v>0</v>
      </c>
      <c r="BJ354" s="15">
        <f>IF('ENCUESTA CONDUCTORES'!BR354="X",1,0)</f>
        <v>0</v>
      </c>
      <c r="BK354" s="15">
        <f>+'ENCUESTA CONDUCTORES'!BS354</f>
        <v>0</v>
      </c>
      <c r="BL354" s="15">
        <f>IF('ENCUESTA CONDUCTORES'!BT354="X",1,0)</f>
        <v>0</v>
      </c>
      <c r="BM354" s="15">
        <f>IF('ENCUESTA CONDUCTORES'!BU354="X",1,0)</f>
        <v>0</v>
      </c>
      <c r="BN354" s="15">
        <f>IF('ENCUESTA CONDUCTORES'!BV354="X",1,0)</f>
        <v>1</v>
      </c>
      <c r="BO354" s="15">
        <f>IF('ENCUESTA CONDUCTORES'!BW354="X",1,0)</f>
        <v>0</v>
      </c>
      <c r="BP354" s="15">
        <f>+'ENCUESTA CONDUCTORES'!BX354</f>
        <v>1</v>
      </c>
      <c r="BQ354" s="15">
        <f>+'ENCUESTA CONDUCTORES'!BY354</f>
        <v>3</v>
      </c>
      <c r="BR354" s="15">
        <f>+'ENCUESTA CONDUCTORES'!BZ354</f>
        <v>2</v>
      </c>
      <c r="BS354" s="15">
        <f>+'ENCUESTA CONDUCTORES'!CA354</f>
        <v>0</v>
      </c>
      <c r="BT354" s="15">
        <f>IF('ENCUESTA CONDUCTORES'!CB354="X",1,0)</f>
        <v>1</v>
      </c>
      <c r="BU354" s="15">
        <f>IF('ENCUESTA CONDUCTORES'!CC354="X",1,0)</f>
        <v>0</v>
      </c>
      <c r="BV354" s="15">
        <f>IF('ENCUESTA CONDUCTORES'!CD354="X",1,0)</f>
        <v>0</v>
      </c>
      <c r="BW354" s="15">
        <f>IF('ENCUESTA CONDUCTORES'!CE354="X",1,0)</f>
        <v>0</v>
      </c>
      <c r="BX354" s="15">
        <f>IF('ENCUESTA CONDUCTORES'!CF354="X",1,0)</f>
        <v>0</v>
      </c>
      <c r="BY354" s="15">
        <f>IF('ENCUESTA CONDUCTORES'!CG354="X",1,0)</f>
        <v>0</v>
      </c>
      <c r="BZ354" s="15">
        <f>IF('ENCUESTA CONDUCTORES'!CH354="X",1,0)</f>
        <v>0</v>
      </c>
      <c r="CA354" s="15">
        <f>IF('ENCUESTA CONDUCTORES'!CI354="X",1,0)</f>
        <v>0</v>
      </c>
      <c r="CB354" s="15">
        <f>IF('ENCUESTA CONDUCTORES'!CJ354="X",1,0)</f>
        <v>0</v>
      </c>
      <c r="CC354" s="15">
        <f>IF('ENCUESTA CONDUCTORES'!CK354="X",1,0)</f>
        <v>1</v>
      </c>
      <c r="CD354" s="15">
        <f>IF('ENCUESTA CONDUCTORES'!CL354="X",1,0)</f>
        <v>0</v>
      </c>
      <c r="CE354" s="15">
        <f>IF('ENCUESTA CONDUCTORES'!CM354="X",1,0)</f>
        <v>0</v>
      </c>
      <c r="CF354" s="15">
        <f>+'ENCUESTA CONDUCTORES'!CN354</f>
        <v>0</v>
      </c>
      <c r="CG354" s="15">
        <f>IF('ENCUESTA CONDUCTORES'!CO354="X",1,0)</f>
        <v>0</v>
      </c>
      <c r="CH354" s="15" t="str">
        <f>+'ENCUESTA CONDUCTORES'!CP354</f>
        <v>NO SABE</v>
      </c>
      <c r="CI354" s="15" t="str">
        <f>+'ENCUESTA CONDUCTORES'!CQ354</f>
        <v>NO SABE</v>
      </c>
      <c r="CJ354" s="15">
        <f>IF('ENCUESTA CONDUCTORES'!CR354="X",1,0)</f>
        <v>1</v>
      </c>
      <c r="CK354" s="15">
        <f>IF('ENCUESTA CONDUCTORES'!CS354="X",1,0)</f>
        <v>0</v>
      </c>
      <c r="CL354" s="15">
        <f>IF('ENCUESTA CONDUCTORES'!CT354="X",1,0)</f>
        <v>0</v>
      </c>
      <c r="CM354" s="15">
        <f>+'ENCUESTA CONDUCTORES'!CU354</f>
        <v>0</v>
      </c>
      <c r="CN354" s="15">
        <f>IF('ENCUESTA CONDUCTORES'!CV354="X",1,0)</f>
        <v>1</v>
      </c>
      <c r="CO354" s="15" t="str">
        <f>+'ENCUESTA CONDUCTORES'!CW354</f>
        <v>NO TIENE TIEMPO</v>
      </c>
      <c r="CP354" s="15">
        <f>IF('ENCUESTA CONDUCTORES'!CX354="X",1,0)</f>
        <v>0</v>
      </c>
      <c r="CQ354" s="15">
        <f>IF('ENCUESTA CONDUCTORES'!CY354="X",1,0)</f>
        <v>0</v>
      </c>
      <c r="CR354" s="3">
        <f>+'ENCUESTA CONDUCTORES'!CZ354</f>
        <v>0</v>
      </c>
      <c r="CS354" s="49">
        <f>+'ENCUESTA CONDUCTORES'!DA354</f>
        <v>0</v>
      </c>
    </row>
    <row r="355" spans="2:97" x14ac:dyDescent="0.25">
      <c r="B355" s="14" t="str">
        <f>+'ENCUESTA CONDUCTORES'!D355</f>
        <v>C-366</v>
      </c>
      <c r="C355" s="15">
        <f>IF('ENCUESTA CONDUCTORES'!E355="X",1,0)</f>
        <v>0</v>
      </c>
      <c r="D355" s="15">
        <f>IF('ENCUESTA CONDUCTORES'!F355="X",1,0)</f>
        <v>0</v>
      </c>
      <c r="E355" s="15">
        <f>IF('ENCUESTA CONDUCTORES'!G355="X",1,0)</f>
        <v>0</v>
      </c>
      <c r="F355" s="15">
        <f>IF('ENCUESTA CONDUCTORES'!H355="X",1,0)</f>
        <v>1</v>
      </c>
      <c r="G355" s="15">
        <f>+'ENCUESTA CONDUCTORES'!I355</f>
        <v>44</v>
      </c>
      <c r="H355" s="15" t="str">
        <f>+'ENCUESTA CONDUCTORES'!J355</f>
        <v>M</v>
      </c>
      <c r="I355" s="15" t="str">
        <f>+'ENCUESTA CONDUCTORES'!K355</f>
        <v>PRIMARIA</v>
      </c>
      <c r="J355" s="15" t="str">
        <f>+'ENCUESTA CONDUCTORES'!L355</f>
        <v>ZAPOPAN, JALISCO</v>
      </c>
      <c r="K355" s="15" t="str">
        <f>+'ENCUESTA CONDUCTORES'!M355</f>
        <v>ZAPOPAN</v>
      </c>
      <c r="L355" s="15" t="str">
        <f>+'ENCUESTA CONDUCTORES'!N355</f>
        <v>JALISCO</v>
      </c>
      <c r="M355" s="15">
        <f>+'ENCUESTA CONDUCTORES'!O355</f>
        <v>20</v>
      </c>
      <c r="N355" s="15">
        <f>IF('ENCUESTA CONDUCTORES'!P355="X",1,0)</f>
        <v>0</v>
      </c>
      <c r="O355" s="15">
        <f>IF('ENCUESTA CONDUCTORES'!Q355="X",1,0)</f>
        <v>0</v>
      </c>
      <c r="P355" s="15">
        <f>IF('ENCUESTA CONDUCTORES'!R355="X",1,0)</f>
        <v>0</v>
      </c>
      <c r="Q355" s="15">
        <f>IF('ENCUESTA CONDUCTORES'!S355="X",1,0)</f>
        <v>1</v>
      </c>
      <c r="R355" s="15">
        <f>IF('ENCUESTA CONDUCTORES'!T355="X",1,0)</f>
        <v>0</v>
      </c>
      <c r="S355" s="15">
        <f>IF('ENCUESTA CONDUCTORES'!U355="X",1,0)</f>
        <v>0</v>
      </c>
      <c r="T355" s="15">
        <f>IF('ENCUESTA CONDUCTORES'!V355="X",1,0)</f>
        <v>0</v>
      </c>
      <c r="U355" s="15">
        <f>IF('ENCUESTA CONDUCTORES'!W355="X",1,0)</f>
        <v>0</v>
      </c>
      <c r="V355" s="15">
        <f>IF('ENCUESTA CONDUCTORES'!X355="X",1,0)</f>
        <v>0</v>
      </c>
      <c r="W355" s="15">
        <f>IF('ENCUESTA CONDUCTORES'!Y355="X",1,0)</f>
        <v>0</v>
      </c>
      <c r="X355" s="15">
        <f>IF('ENCUESTA CONDUCTORES'!Z355="X",1,0)</f>
        <v>0</v>
      </c>
      <c r="Y355" s="15">
        <f>+'ENCUESTA CONDUCTORES'!AG355</f>
        <v>0</v>
      </c>
      <c r="Z355" s="15">
        <f>+'ENCUESTA CONDUCTORES'!AH355</f>
        <v>2008</v>
      </c>
      <c r="AA355" s="1">
        <f>+'ENCUESTA CONDUCTORES'!AI355</f>
        <v>550273</v>
      </c>
      <c r="AB355" s="15">
        <f>IF('ENCUESTA CONDUCTORES'!AJ355="X",1,0)</f>
        <v>0</v>
      </c>
      <c r="AC355" s="15">
        <f>IF('ENCUESTA CONDUCTORES'!AK355="X",1,0)</f>
        <v>0</v>
      </c>
      <c r="AD355" s="15">
        <f>IF('ENCUESTA CONDUCTORES'!AL355="X",1,0)</f>
        <v>1</v>
      </c>
      <c r="AE355" s="15">
        <f>IF('ENCUESTA CONDUCTORES'!AM355="X",1,0)</f>
        <v>0</v>
      </c>
      <c r="AF355" s="15">
        <f>IF('ENCUESTA CONDUCTORES'!AN355="X",1,0)</f>
        <v>0</v>
      </c>
      <c r="AG355" s="15">
        <f>IF('ENCUESTA CONDUCTORES'!AO355="X",1,0)</f>
        <v>0</v>
      </c>
      <c r="AH355" s="15">
        <f>IF('ENCUESTA CONDUCTORES'!AP355="X",1,0)</f>
        <v>1</v>
      </c>
      <c r="AI355" s="15">
        <f>IF('ENCUESTA CONDUCTORES'!AQ355="X",1,0)</f>
        <v>0</v>
      </c>
      <c r="AJ355" s="15">
        <f>IF('ENCUESTA CONDUCTORES'!AR355="X",1,0)</f>
        <v>0</v>
      </c>
      <c r="AK355" s="15">
        <f>+'ENCUESTA CONDUCTORES'!AS355</f>
        <v>0</v>
      </c>
      <c r="AL355" s="15" t="str">
        <f>+'ENCUESTA CONDUCTORES'!AT355</f>
        <v>CUMMINS</v>
      </c>
      <c r="AM355" s="1">
        <f>+'ENCUESTA CONDUCTORES'!AU355</f>
        <v>10000</v>
      </c>
      <c r="AN355" s="48">
        <f>+'ENCUESTA CONDUCTORES'!AV355</f>
        <v>0.3</v>
      </c>
      <c r="AO355" s="15">
        <f>+'ENCUESTA CONDUCTORES'!AW355</f>
        <v>1.7</v>
      </c>
      <c r="AP355" s="15">
        <f>+'ENCUESTA CONDUCTORES'!AX355</f>
        <v>1.4</v>
      </c>
      <c r="AQ355" s="15">
        <f>+'ENCUESTA CONDUCTORES'!AY355</f>
        <v>2</v>
      </c>
      <c r="AR355" s="15">
        <f>+'ENCUESTA CONDUCTORES'!AZ355</f>
        <v>940</v>
      </c>
      <c r="AS355" s="15">
        <f>+'ENCUESTA CONDUCTORES'!BA355</f>
        <v>1500</v>
      </c>
      <c r="AT355" s="15">
        <f>IF('ENCUESTA CONDUCTORES'!BB355="X",1,0)</f>
        <v>1</v>
      </c>
      <c r="AU355" s="15">
        <f>IF('ENCUESTA CONDUCTORES'!BC355="X",1,0)</f>
        <v>1</v>
      </c>
      <c r="AV355" s="15">
        <f>IF('ENCUESTA CONDUCTORES'!BD355="X",1,0)</f>
        <v>0</v>
      </c>
      <c r="AW355" s="1">
        <f>+'ENCUESTA CONDUCTORES'!BE355</f>
        <v>18000</v>
      </c>
      <c r="AX355" s="1">
        <f>+'ENCUESTA CONDUCTORES'!BF355</f>
        <v>100000</v>
      </c>
      <c r="AY355" s="1">
        <f>+'ENCUESTA CONDUCTORES'!BG355</f>
        <v>24000</v>
      </c>
      <c r="AZ355" s="1">
        <f>+'ENCUESTA CONDUCTORES'!BH355</f>
        <v>100000</v>
      </c>
      <c r="BA355" s="1" t="str">
        <f>+'ENCUESTA CONDUCTORES'!BI355</f>
        <v>NO SABE</v>
      </c>
      <c r="BB355" s="15">
        <f>IF('ENCUESTA CONDUCTORES'!BJ355="X",1,0)</f>
        <v>0</v>
      </c>
      <c r="BC355" s="15">
        <f>IF('ENCUESTA CONDUCTORES'!BK355="X",1,0)</f>
        <v>0</v>
      </c>
      <c r="BD355" s="15">
        <f>IF('ENCUESTA CONDUCTORES'!BL355="X",1,0)</f>
        <v>0</v>
      </c>
      <c r="BE355" s="15">
        <f>IF('ENCUESTA CONDUCTORES'!BM355="X",1,0)</f>
        <v>1</v>
      </c>
      <c r="BF355" s="15">
        <f>IF('ENCUESTA CONDUCTORES'!BN355="X",1,0)</f>
        <v>1</v>
      </c>
      <c r="BG355" s="15">
        <f>IF('ENCUESTA CONDUCTORES'!BO355="X",1,0)</f>
        <v>0</v>
      </c>
      <c r="BH355" s="15">
        <f>IF('ENCUESTA CONDUCTORES'!BP355="X",1,0)</f>
        <v>1</v>
      </c>
      <c r="BI355" s="15">
        <f>IF('ENCUESTA CONDUCTORES'!BQ355="X",1,0)</f>
        <v>0</v>
      </c>
      <c r="BJ355" s="15">
        <f>IF('ENCUESTA CONDUCTORES'!BR355="X",1,0)</f>
        <v>0</v>
      </c>
      <c r="BK355" s="15">
        <f>+'ENCUESTA CONDUCTORES'!BS355</f>
        <v>0</v>
      </c>
      <c r="BL355" s="15">
        <f>IF('ENCUESTA CONDUCTORES'!BT355="X",1,0)</f>
        <v>0</v>
      </c>
      <c r="BM355" s="15">
        <f>IF('ENCUESTA CONDUCTORES'!BU355="X",1,0)</f>
        <v>0</v>
      </c>
      <c r="BN355" s="15">
        <f>IF('ENCUESTA CONDUCTORES'!BV355="X",1,0)</f>
        <v>1</v>
      </c>
      <c r="BO355" s="15">
        <f>IF('ENCUESTA CONDUCTORES'!BW355="X",1,0)</f>
        <v>0</v>
      </c>
      <c r="BP355" s="15">
        <f>+'ENCUESTA CONDUCTORES'!BX355</f>
        <v>1</v>
      </c>
      <c r="BQ355" s="15">
        <f>+'ENCUESTA CONDUCTORES'!BY355</f>
        <v>3</v>
      </c>
      <c r="BR355" s="15">
        <f>+'ENCUESTA CONDUCTORES'!BZ355</f>
        <v>2</v>
      </c>
      <c r="BS355" s="15">
        <f>+'ENCUESTA CONDUCTORES'!CA355</f>
        <v>0</v>
      </c>
      <c r="BT355" s="15">
        <f>IF('ENCUESTA CONDUCTORES'!CB355="X",1,0)</f>
        <v>1</v>
      </c>
      <c r="BU355" s="15">
        <f>IF('ENCUESTA CONDUCTORES'!CC355="X",1,0)</f>
        <v>0</v>
      </c>
      <c r="BV355" s="15">
        <f>IF('ENCUESTA CONDUCTORES'!CD355="X",1,0)</f>
        <v>0</v>
      </c>
      <c r="BW355" s="15">
        <f>IF('ENCUESTA CONDUCTORES'!CE355="X",1,0)</f>
        <v>0</v>
      </c>
      <c r="BX355" s="15">
        <f>IF('ENCUESTA CONDUCTORES'!CF355="X",1,0)</f>
        <v>0</v>
      </c>
      <c r="BY355" s="15">
        <f>IF('ENCUESTA CONDUCTORES'!CG355="X",1,0)</f>
        <v>0</v>
      </c>
      <c r="BZ355" s="15">
        <f>IF('ENCUESTA CONDUCTORES'!CH355="X",1,0)</f>
        <v>0</v>
      </c>
      <c r="CA355" s="15">
        <f>IF('ENCUESTA CONDUCTORES'!CI355="X",1,0)</f>
        <v>0</v>
      </c>
      <c r="CB355" s="15">
        <f>IF('ENCUESTA CONDUCTORES'!CJ355="X",1,0)</f>
        <v>0</v>
      </c>
      <c r="CC355" s="15">
        <f>IF('ENCUESTA CONDUCTORES'!CK355="X",1,0)</f>
        <v>1</v>
      </c>
      <c r="CD355" s="15">
        <f>IF('ENCUESTA CONDUCTORES'!CL355="X",1,0)</f>
        <v>0</v>
      </c>
      <c r="CE355" s="15">
        <f>IF('ENCUESTA CONDUCTORES'!CM355="X",1,0)</f>
        <v>0</v>
      </c>
      <c r="CF355" s="15">
        <f>+'ENCUESTA CONDUCTORES'!CN355</f>
        <v>0</v>
      </c>
      <c r="CG355" s="15">
        <f>IF('ENCUESTA CONDUCTORES'!CO355="X",1,0)</f>
        <v>0</v>
      </c>
      <c r="CH355" s="15" t="str">
        <f>+'ENCUESTA CONDUCTORES'!CP355</f>
        <v>NO SABE</v>
      </c>
      <c r="CI355" s="15" t="str">
        <f>+'ENCUESTA CONDUCTORES'!CQ355</f>
        <v>NO SABE</v>
      </c>
      <c r="CJ355" s="15">
        <f>IF('ENCUESTA CONDUCTORES'!CR355="X",1,0)</f>
        <v>1</v>
      </c>
      <c r="CK355" s="15">
        <f>IF('ENCUESTA CONDUCTORES'!CS355="X",1,0)</f>
        <v>0</v>
      </c>
      <c r="CL355" s="15">
        <f>IF('ENCUESTA CONDUCTORES'!CT355="X",1,0)</f>
        <v>0</v>
      </c>
      <c r="CM355" s="15">
        <f>+'ENCUESTA CONDUCTORES'!CU355</f>
        <v>0</v>
      </c>
      <c r="CN355" s="15">
        <f>IF('ENCUESTA CONDUCTORES'!CV355="X",1,0)</f>
        <v>1</v>
      </c>
      <c r="CO355" s="15" t="str">
        <f>+'ENCUESTA CONDUCTORES'!CW355</f>
        <v>NO SIRVEN</v>
      </c>
      <c r="CP355" s="15">
        <f>IF('ENCUESTA CONDUCTORES'!CX355="X",1,0)</f>
        <v>0</v>
      </c>
      <c r="CQ355" s="15">
        <f>IF('ENCUESTA CONDUCTORES'!CY355="X",1,0)</f>
        <v>0</v>
      </c>
      <c r="CR355" s="3">
        <f>+'ENCUESTA CONDUCTORES'!CZ355</f>
        <v>0</v>
      </c>
      <c r="CS355" s="49">
        <f>+'ENCUESTA CONDUCTORES'!DA355</f>
        <v>0</v>
      </c>
    </row>
    <row r="356" spans="2:97" x14ac:dyDescent="0.25">
      <c r="B356" s="14" t="str">
        <f>+'ENCUESTA CONDUCTORES'!D356</f>
        <v>C-367</v>
      </c>
      <c r="C356" s="15">
        <f>IF('ENCUESTA CONDUCTORES'!E356="X",1,0)</f>
        <v>0</v>
      </c>
      <c r="D356" s="15">
        <f>IF('ENCUESTA CONDUCTORES'!F356="X",1,0)</f>
        <v>0</v>
      </c>
      <c r="E356" s="15">
        <f>IF('ENCUESTA CONDUCTORES'!G356="X",1,0)</f>
        <v>0</v>
      </c>
      <c r="F356" s="15">
        <f>IF('ENCUESTA CONDUCTORES'!H356="X",1,0)</f>
        <v>1</v>
      </c>
      <c r="G356" s="15">
        <f>+'ENCUESTA CONDUCTORES'!I356</f>
        <v>28</v>
      </c>
      <c r="H356" s="15" t="str">
        <f>+'ENCUESTA CONDUCTORES'!J356</f>
        <v>M</v>
      </c>
      <c r="I356" s="15" t="str">
        <f>+'ENCUESTA CONDUCTORES'!K356</f>
        <v>PREPARATORIA</v>
      </c>
      <c r="J356" s="15" t="str">
        <f>+'ENCUESTA CONDUCTORES'!L356</f>
        <v>CELAYA, GTO.</v>
      </c>
      <c r="K356" s="15" t="str">
        <f>+'ENCUESTA CONDUCTORES'!M356</f>
        <v>CELAYA</v>
      </c>
      <c r="L356" s="15" t="str">
        <f>+'ENCUESTA CONDUCTORES'!N356</f>
        <v>GUANAJUATO</v>
      </c>
      <c r="M356" s="15">
        <f>+'ENCUESTA CONDUCTORES'!O356</f>
        <v>5</v>
      </c>
      <c r="N356" s="15">
        <f>IF('ENCUESTA CONDUCTORES'!P356="X",1,0)</f>
        <v>0</v>
      </c>
      <c r="O356" s="15">
        <f>IF('ENCUESTA CONDUCTORES'!Q356="X",1,0)</f>
        <v>0</v>
      </c>
      <c r="P356" s="15">
        <f>IF('ENCUESTA CONDUCTORES'!R356="X",1,0)</f>
        <v>0</v>
      </c>
      <c r="Q356" s="15">
        <f>IF('ENCUESTA CONDUCTORES'!S356="X",1,0)</f>
        <v>1</v>
      </c>
      <c r="R356" s="15">
        <f>IF('ENCUESTA CONDUCTORES'!T356="X",1,0)</f>
        <v>0</v>
      </c>
      <c r="S356" s="15">
        <f>IF('ENCUESTA CONDUCTORES'!U356="X",1,0)</f>
        <v>1</v>
      </c>
      <c r="T356" s="15">
        <f>IF('ENCUESTA CONDUCTORES'!V356="X",1,0)</f>
        <v>0</v>
      </c>
      <c r="U356" s="15">
        <f>IF('ENCUESTA CONDUCTORES'!W356="X",1,0)</f>
        <v>0</v>
      </c>
      <c r="V356" s="15">
        <f>IF('ENCUESTA CONDUCTORES'!X356="X",1,0)</f>
        <v>0</v>
      </c>
      <c r="W356" s="15">
        <f>IF('ENCUESTA CONDUCTORES'!Y356="X",1,0)</f>
        <v>0</v>
      </c>
      <c r="X356" s="15">
        <f>IF('ENCUESTA CONDUCTORES'!Z356="X",1,0)</f>
        <v>0</v>
      </c>
      <c r="Y356" s="15">
        <f>+'ENCUESTA CONDUCTORES'!AG356</f>
        <v>0</v>
      </c>
      <c r="Z356" s="15">
        <f>+'ENCUESTA CONDUCTORES'!AH356</f>
        <v>2000</v>
      </c>
      <c r="AA356" s="1">
        <f>+'ENCUESTA CONDUCTORES'!AI356</f>
        <v>1053216</v>
      </c>
      <c r="AB356" s="15">
        <f>IF('ENCUESTA CONDUCTORES'!AJ356="X",1,0)</f>
        <v>0</v>
      </c>
      <c r="AC356" s="15">
        <f>IF('ENCUESTA CONDUCTORES'!AK356="X",1,0)</f>
        <v>0</v>
      </c>
      <c r="AD356" s="15">
        <f>IF('ENCUESTA CONDUCTORES'!AL356="X",1,0)</f>
        <v>1</v>
      </c>
      <c r="AE356" s="15">
        <f>IF('ENCUESTA CONDUCTORES'!AM356="X",1,0)</f>
        <v>0</v>
      </c>
      <c r="AF356" s="15">
        <f>IF('ENCUESTA CONDUCTORES'!AN356="X",1,0)</f>
        <v>0</v>
      </c>
      <c r="AG356" s="15">
        <f>IF('ENCUESTA CONDUCTORES'!AO356="X",1,0)</f>
        <v>1</v>
      </c>
      <c r="AH356" s="15">
        <f>IF('ENCUESTA CONDUCTORES'!AP356="X",1,0)</f>
        <v>0</v>
      </c>
      <c r="AI356" s="15">
        <f>IF('ENCUESTA CONDUCTORES'!AQ356="X",1,0)</f>
        <v>0</v>
      </c>
      <c r="AJ356" s="15">
        <f>IF('ENCUESTA CONDUCTORES'!AR356="X",1,0)</f>
        <v>0</v>
      </c>
      <c r="AK356" s="15">
        <f>+'ENCUESTA CONDUCTORES'!AS356</f>
        <v>0</v>
      </c>
      <c r="AL356" s="15" t="str">
        <f>+'ENCUESTA CONDUCTORES'!AT356</f>
        <v>CUMMINS</v>
      </c>
      <c r="AM356" s="1">
        <f>+'ENCUESTA CONDUCTORES'!AU356</f>
        <v>8000</v>
      </c>
      <c r="AN356" s="48">
        <f>+'ENCUESTA CONDUCTORES'!AV356</f>
        <v>0.1</v>
      </c>
      <c r="AO356" s="15">
        <f>+'ENCUESTA CONDUCTORES'!AW356</f>
        <v>2.75</v>
      </c>
      <c r="AP356" s="15">
        <f>+'ENCUESTA CONDUCTORES'!AX356</f>
        <v>2.4</v>
      </c>
      <c r="AQ356" s="15">
        <f>+'ENCUESTA CONDUCTORES'!AY356</f>
        <v>2</v>
      </c>
      <c r="AR356" s="15">
        <f>+'ENCUESTA CONDUCTORES'!AZ356</f>
        <v>880</v>
      </c>
      <c r="AS356" s="15">
        <f>+'ENCUESTA CONDUCTORES'!BA356</f>
        <v>2200</v>
      </c>
      <c r="AT356" s="15">
        <f>IF('ENCUESTA CONDUCTORES'!BB356="X",1,0)</f>
        <v>1</v>
      </c>
      <c r="AU356" s="15">
        <f>IF('ENCUESTA CONDUCTORES'!BC356="X",1,0)</f>
        <v>0</v>
      </c>
      <c r="AV356" s="15">
        <f>IF('ENCUESTA CONDUCTORES'!BD356="X",1,0)</f>
        <v>0</v>
      </c>
      <c r="AW356" s="1">
        <f>+'ENCUESTA CONDUCTORES'!BE356</f>
        <v>24000</v>
      </c>
      <c r="AX356" s="1" t="str">
        <f>+'ENCUESTA CONDUCTORES'!BF356</f>
        <v>NO SABE</v>
      </c>
      <c r="AY356" s="1">
        <f>+'ENCUESTA CONDUCTORES'!BG356</f>
        <v>24000</v>
      </c>
      <c r="AZ356" s="1">
        <f>+'ENCUESTA CONDUCTORES'!BH356</f>
        <v>100000</v>
      </c>
      <c r="BA356" s="1" t="str">
        <f>+'ENCUESTA CONDUCTORES'!BI356</f>
        <v>NO SABE</v>
      </c>
      <c r="BB356" s="15">
        <f>IF('ENCUESTA CONDUCTORES'!BJ356="X",1,0)</f>
        <v>0</v>
      </c>
      <c r="BC356" s="15">
        <f>IF('ENCUESTA CONDUCTORES'!BK356="X",1,0)</f>
        <v>0</v>
      </c>
      <c r="BD356" s="15">
        <f>IF('ENCUESTA CONDUCTORES'!BL356="X",1,0)</f>
        <v>0</v>
      </c>
      <c r="BE356" s="15">
        <f>IF('ENCUESTA CONDUCTORES'!BM356="X",1,0)</f>
        <v>0</v>
      </c>
      <c r="BF356" s="15">
        <f>IF('ENCUESTA CONDUCTORES'!BN356="X",1,0)</f>
        <v>1</v>
      </c>
      <c r="BG356" s="15">
        <f>IF('ENCUESTA CONDUCTORES'!BO356="X",1,0)</f>
        <v>0</v>
      </c>
      <c r="BH356" s="15">
        <f>IF('ENCUESTA CONDUCTORES'!BP356="X",1,0)</f>
        <v>1</v>
      </c>
      <c r="BI356" s="15">
        <f>IF('ENCUESTA CONDUCTORES'!BQ356="X",1,0)</f>
        <v>0</v>
      </c>
      <c r="BJ356" s="15">
        <f>IF('ENCUESTA CONDUCTORES'!BR356="X",1,0)</f>
        <v>0</v>
      </c>
      <c r="BK356" s="15">
        <f>+'ENCUESTA CONDUCTORES'!BS356</f>
        <v>0</v>
      </c>
      <c r="BL356" s="15">
        <f>IF('ENCUESTA CONDUCTORES'!BT356="X",1,0)</f>
        <v>0</v>
      </c>
      <c r="BM356" s="15">
        <f>IF('ENCUESTA CONDUCTORES'!BU356="X",1,0)</f>
        <v>0</v>
      </c>
      <c r="BN356" s="15">
        <f>IF('ENCUESTA CONDUCTORES'!BV356="X",1,0)</f>
        <v>1</v>
      </c>
      <c r="BO356" s="15">
        <f>IF('ENCUESTA CONDUCTORES'!BW356="X",1,0)</f>
        <v>0</v>
      </c>
      <c r="BP356" s="15">
        <f>+'ENCUESTA CONDUCTORES'!BX356</f>
        <v>1</v>
      </c>
      <c r="BQ356" s="15">
        <f>+'ENCUESTA CONDUCTORES'!BY356</f>
        <v>3</v>
      </c>
      <c r="BR356" s="15">
        <f>+'ENCUESTA CONDUCTORES'!BZ356</f>
        <v>2</v>
      </c>
      <c r="BS356" s="15">
        <f>+'ENCUESTA CONDUCTORES'!CA356</f>
        <v>0</v>
      </c>
      <c r="BT356" s="15">
        <f>IF('ENCUESTA CONDUCTORES'!CB356="X",1,0)</f>
        <v>1</v>
      </c>
      <c r="BU356" s="15">
        <f>IF('ENCUESTA CONDUCTORES'!CC356="X",1,0)</f>
        <v>0</v>
      </c>
      <c r="BV356" s="15">
        <f>IF('ENCUESTA CONDUCTORES'!CD356="X",1,0)</f>
        <v>0</v>
      </c>
      <c r="BW356" s="15">
        <f>IF('ENCUESTA CONDUCTORES'!CE356="X",1,0)</f>
        <v>0</v>
      </c>
      <c r="BX356" s="15">
        <f>IF('ENCUESTA CONDUCTORES'!CF356="X",1,0)</f>
        <v>0</v>
      </c>
      <c r="BY356" s="15">
        <f>IF('ENCUESTA CONDUCTORES'!CG356="X",1,0)</f>
        <v>0</v>
      </c>
      <c r="BZ356" s="15">
        <f>IF('ENCUESTA CONDUCTORES'!CH356="X",1,0)</f>
        <v>0</v>
      </c>
      <c r="CA356" s="15">
        <f>IF('ENCUESTA CONDUCTORES'!CI356="X",1,0)</f>
        <v>0</v>
      </c>
      <c r="CB356" s="15">
        <f>IF('ENCUESTA CONDUCTORES'!CJ356="X",1,0)</f>
        <v>0</v>
      </c>
      <c r="CC356" s="15">
        <f>IF('ENCUESTA CONDUCTORES'!CK356="X",1,0)</f>
        <v>1</v>
      </c>
      <c r="CD356" s="15">
        <f>IF('ENCUESTA CONDUCTORES'!CL356="X",1,0)</f>
        <v>0</v>
      </c>
      <c r="CE356" s="15">
        <f>IF('ENCUESTA CONDUCTORES'!CM356="X",1,0)</f>
        <v>0</v>
      </c>
      <c r="CF356" s="15">
        <f>+'ENCUESTA CONDUCTORES'!CN356</f>
        <v>0</v>
      </c>
      <c r="CG356" s="15">
        <f>IF('ENCUESTA CONDUCTORES'!CO356="X",1,0)</f>
        <v>0</v>
      </c>
      <c r="CH356" s="15" t="str">
        <f>+'ENCUESTA CONDUCTORES'!CP356</f>
        <v>NO SABE</v>
      </c>
      <c r="CI356" s="15" t="str">
        <f>+'ENCUESTA CONDUCTORES'!CQ356</f>
        <v>NO SABE</v>
      </c>
      <c r="CJ356" s="15">
        <f>IF('ENCUESTA CONDUCTORES'!CR356="X",1,0)</f>
        <v>1</v>
      </c>
      <c r="CK356" s="15">
        <f>IF('ENCUESTA CONDUCTORES'!CS356="X",1,0)</f>
        <v>0</v>
      </c>
      <c r="CL356" s="15">
        <f>IF('ENCUESTA CONDUCTORES'!CT356="X",1,0)</f>
        <v>0</v>
      </c>
      <c r="CM356" s="15">
        <f>+'ENCUESTA CONDUCTORES'!CU356</f>
        <v>0</v>
      </c>
      <c r="CN356" s="15">
        <f>IF('ENCUESTA CONDUCTORES'!CV356="X",1,0)</f>
        <v>0</v>
      </c>
      <c r="CO356" s="15">
        <f>+'ENCUESTA CONDUCTORES'!CW356</f>
        <v>0</v>
      </c>
      <c r="CP356" s="15">
        <f>IF('ENCUESTA CONDUCTORES'!CX356="X",1,0)</f>
        <v>1</v>
      </c>
      <c r="CQ356" s="15">
        <f>IF('ENCUESTA CONDUCTORES'!CY356="X",1,0)</f>
        <v>1</v>
      </c>
      <c r="CR356" s="3">
        <f>+'ENCUESTA CONDUCTORES'!CZ356</f>
        <v>0</v>
      </c>
      <c r="CS356" s="49">
        <f>+'ENCUESTA CONDUCTORES'!DA356</f>
        <v>0</v>
      </c>
    </row>
    <row r="357" spans="2:97" x14ac:dyDescent="0.25">
      <c r="B357" s="14" t="str">
        <f>+'ENCUESTA CONDUCTORES'!D357</f>
        <v>C-368</v>
      </c>
      <c r="C357" s="15">
        <f>IF('ENCUESTA CONDUCTORES'!E357="X",1,0)</f>
        <v>0</v>
      </c>
      <c r="D357" s="15">
        <f>IF('ENCUESTA CONDUCTORES'!F357="X",1,0)</f>
        <v>0</v>
      </c>
      <c r="E357" s="15">
        <f>IF('ENCUESTA CONDUCTORES'!G357="X",1,0)</f>
        <v>0</v>
      </c>
      <c r="F357" s="15">
        <f>IF('ENCUESTA CONDUCTORES'!H357="X",1,0)</f>
        <v>1</v>
      </c>
      <c r="G357" s="15">
        <f>+'ENCUESTA CONDUCTORES'!I357</f>
        <v>33</v>
      </c>
      <c r="H357" s="15" t="str">
        <f>+'ENCUESTA CONDUCTORES'!J357</f>
        <v>M</v>
      </c>
      <c r="I357" s="15" t="str">
        <f>+'ENCUESTA CONDUCTORES'!K357</f>
        <v>SECUNDARIA</v>
      </c>
      <c r="J357" s="15" t="str">
        <f>+'ENCUESTA CONDUCTORES'!L357</f>
        <v>CORREGIDORA, QRO.</v>
      </c>
      <c r="K357" s="15" t="str">
        <f>+'ENCUESTA CONDUCTORES'!M357</f>
        <v>CORREGIDORA</v>
      </c>
      <c r="L357" s="15" t="str">
        <f>+'ENCUESTA CONDUCTORES'!N357</f>
        <v>QUERÉTARO</v>
      </c>
      <c r="M357" s="15">
        <f>+'ENCUESTA CONDUCTORES'!O357</f>
        <v>15</v>
      </c>
      <c r="N357" s="15">
        <f>IF('ENCUESTA CONDUCTORES'!P357="X",1,0)</f>
        <v>0</v>
      </c>
      <c r="O357" s="15">
        <f>IF('ENCUESTA CONDUCTORES'!Q357="X",1,0)</f>
        <v>0</v>
      </c>
      <c r="P357" s="15">
        <f>IF('ENCUESTA CONDUCTORES'!R357="X",1,0)</f>
        <v>0</v>
      </c>
      <c r="Q357" s="15">
        <f>IF('ENCUESTA CONDUCTORES'!S357="X",1,0)</f>
        <v>1</v>
      </c>
      <c r="R357" s="15">
        <f>IF('ENCUESTA CONDUCTORES'!T357="X",1,0)</f>
        <v>0</v>
      </c>
      <c r="S357" s="15">
        <f>IF('ENCUESTA CONDUCTORES'!U357="X",1,0)</f>
        <v>0</v>
      </c>
      <c r="T357" s="15">
        <f>IF('ENCUESTA CONDUCTORES'!V357="X",1,0)</f>
        <v>0</v>
      </c>
      <c r="U357" s="15">
        <f>IF('ENCUESTA CONDUCTORES'!W357="X",1,0)</f>
        <v>0</v>
      </c>
      <c r="V357" s="15">
        <f>IF('ENCUESTA CONDUCTORES'!X357="X",1,0)</f>
        <v>0</v>
      </c>
      <c r="W357" s="15">
        <f>IF('ENCUESTA CONDUCTORES'!Y357="X",1,0)</f>
        <v>0</v>
      </c>
      <c r="X357" s="15">
        <f>IF('ENCUESTA CONDUCTORES'!Z357="X",1,0)</f>
        <v>0</v>
      </c>
      <c r="Y357" s="15">
        <f>+'ENCUESTA CONDUCTORES'!AG357</f>
        <v>0</v>
      </c>
      <c r="Z357" s="15">
        <f>+'ENCUESTA CONDUCTORES'!AH357</f>
        <v>2008</v>
      </c>
      <c r="AA357" s="1">
        <f>+'ENCUESTA CONDUCTORES'!AI357</f>
        <v>425617</v>
      </c>
      <c r="AB357" s="15">
        <f>IF('ENCUESTA CONDUCTORES'!AJ357="X",1,0)</f>
        <v>0</v>
      </c>
      <c r="AC357" s="15">
        <f>IF('ENCUESTA CONDUCTORES'!AK357="X",1,0)</f>
        <v>0</v>
      </c>
      <c r="AD357" s="15">
        <f>IF('ENCUESTA CONDUCTORES'!AL357="X",1,0)</f>
        <v>1</v>
      </c>
      <c r="AE357" s="15">
        <f>IF('ENCUESTA CONDUCTORES'!AM357="X",1,0)</f>
        <v>0</v>
      </c>
      <c r="AF357" s="15">
        <f>IF('ENCUESTA CONDUCTORES'!AN357="X",1,0)</f>
        <v>0</v>
      </c>
      <c r="AG357" s="15">
        <f>IF('ENCUESTA CONDUCTORES'!AO357="X",1,0)</f>
        <v>0</v>
      </c>
      <c r="AH357" s="15">
        <f>IF('ENCUESTA CONDUCTORES'!AP357="X",1,0)</f>
        <v>1</v>
      </c>
      <c r="AI357" s="15">
        <f>IF('ENCUESTA CONDUCTORES'!AQ357="X",1,0)</f>
        <v>0</v>
      </c>
      <c r="AJ357" s="15">
        <f>IF('ENCUESTA CONDUCTORES'!AR357="X",1,0)</f>
        <v>0</v>
      </c>
      <c r="AK357" s="15">
        <f>+'ENCUESTA CONDUCTORES'!AS357</f>
        <v>0</v>
      </c>
      <c r="AL357" s="15" t="str">
        <f>+'ENCUESTA CONDUCTORES'!AT357</f>
        <v>CUMMINS</v>
      </c>
      <c r="AM357" s="1">
        <f>+'ENCUESTA CONDUCTORES'!AU357</f>
        <v>8000</v>
      </c>
      <c r="AN357" s="48">
        <f>+'ENCUESTA CONDUCTORES'!AV357</f>
        <v>0</v>
      </c>
      <c r="AO357" s="15">
        <f>+'ENCUESTA CONDUCTORES'!AW357</f>
        <v>2.9</v>
      </c>
      <c r="AP357" s="15">
        <f>+'ENCUESTA CONDUCTORES'!AX357</f>
        <v>2.4</v>
      </c>
      <c r="AQ357" s="15">
        <f>+'ENCUESTA CONDUCTORES'!AY357</f>
        <v>2</v>
      </c>
      <c r="AR357" s="15">
        <f>+'ENCUESTA CONDUCTORES'!AZ357</f>
        <v>740</v>
      </c>
      <c r="AS357" s="15">
        <f>+'ENCUESTA CONDUCTORES'!BA357</f>
        <v>2000</v>
      </c>
      <c r="AT357" s="15">
        <f>IF('ENCUESTA CONDUCTORES'!BB357="X",1,0)</f>
        <v>1</v>
      </c>
      <c r="AU357" s="15">
        <f>IF('ENCUESTA CONDUCTORES'!BC357="X",1,0)</f>
        <v>1</v>
      </c>
      <c r="AV357" s="15">
        <f>IF('ENCUESTA CONDUCTORES'!BD357="X",1,0)</f>
        <v>0</v>
      </c>
      <c r="AW357" s="1">
        <f>+'ENCUESTA CONDUCTORES'!BE357</f>
        <v>16000</v>
      </c>
      <c r="AX357" s="1">
        <f>+'ENCUESTA CONDUCTORES'!BF357</f>
        <v>120000</v>
      </c>
      <c r="AY357" s="1">
        <f>+'ENCUESTA CONDUCTORES'!BG357</f>
        <v>32000</v>
      </c>
      <c r="AZ357" s="1">
        <f>+'ENCUESTA CONDUCTORES'!BH357</f>
        <v>120000</v>
      </c>
      <c r="BA357" s="1" t="str">
        <f>+'ENCUESTA CONDUCTORES'!BI357</f>
        <v>NO SABE</v>
      </c>
      <c r="BB357" s="15">
        <f>IF('ENCUESTA CONDUCTORES'!BJ357="X",1,0)</f>
        <v>0</v>
      </c>
      <c r="BC357" s="15">
        <f>IF('ENCUESTA CONDUCTORES'!BK357="X",1,0)</f>
        <v>0</v>
      </c>
      <c r="BD357" s="15">
        <f>IF('ENCUESTA CONDUCTORES'!BL357="X",1,0)</f>
        <v>0</v>
      </c>
      <c r="BE357" s="15">
        <f>IF('ENCUESTA CONDUCTORES'!BM357="X",1,0)</f>
        <v>0</v>
      </c>
      <c r="BF357" s="15">
        <f>IF('ENCUESTA CONDUCTORES'!BN357="X",1,0)</f>
        <v>1</v>
      </c>
      <c r="BG357" s="15">
        <f>IF('ENCUESTA CONDUCTORES'!BO357="X",1,0)</f>
        <v>0</v>
      </c>
      <c r="BH357" s="15">
        <f>IF('ENCUESTA CONDUCTORES'!BP357="X",1,0)</f>
        <v>1</v>
      </c>
      <c r="BI357" s="15">
        <f>IF('ENCUESTA CONDUCTORES'!BQ357="X",1,0)</f>
        <v>0</v>
      </c>
      <c r="BJ357" s="15">
        <f>IF('ENCUESTA CONDUCTORES'!BR357="X",1,0)</f>
        <v>0</v>
      </c>
      <c r="BK357" s="15">
        <f>+'ENCUESTA CONDUCTORES'!BS357</f>
        <v>0</v>
      </c>
      <c r="BL357" s="15">
        <f>IF('ENCUESTA CONDUCTORES'!BT357="X",1,0)</f>
        <v>0</v>
      </c>
      <c r="BM357" s="15">
        <f>IF('ENCUESTA CONDUCTORES'!BU357="X",1,0)</f>
        <v>0</v>
      </c>
      <c r="BN357" s="15">
        <f>IF('ENCUESTA CONDUCTORES'!BV357="X",1,0)</f>
        <v>1</v>
      </c>
      <c r="BO357" s="15">
        <f>IF('ENCUESTA CONDUCTORES'!BW357="X",1,0)</f>
        <v>0</v>
      </c>
      <c r="BP357" s="15">
        <f>+'ENCUESTA CONDUCTORES'!BX357</f>
        <v>1</v>
      </c>
      <c r="BQ357" s="15">
        <f>+'ENCUESTA CONDUCTORES'!BY357</f>
        <v>3</v>
      </c>
      <c r="BR357" s="15">
        <f>+'ENCUESTA CONDUCTORES'!BZ357</f>
        <v>2</v>
      </c>
      <c r="BS357" s="15">
        <f>+'ENCUESTA CONDUCTORES'!CA357</f>
        <v>0</v>
      </c>
      <c r="BT357" s="15">
        <f>IF('ENCUESTA CONDUCTORES'!CB357="X",1,0)</f>
        <v>1</v>
      </c>
      <c r="BU357" s="15">
        <f>IF('ENCUESTA CONDUCTORES'!CC357="X",1,0)</f>
        <v>0</v>
      </c>
      <c r="BV357" s="15">
        <f>IF('ENCUESTA CONDUCTORES'!CD357="X",1,0)</f>
        <v>0</v>
      </c>
      <c r="BW357" s="15">
        <f>IF('ENCUESTA CONDUCTORES'!CE357="X",1,0)</f>
        <v>0</v>
      </c>
      <c r="BX357" s="15">
        <f>IF('ENCUESTA CONDUCTORES'!CF357="X",1,0)</f>
        <v>0</v>
      </c>
      <c r="BY357" s="15">
        <f>IF('ENCUESTA CONDUCTORES'!CG357="X",1,0)</f>
        <v>0</v>
      </c>
      <c r="BZ357" s="15">
        <f>IF('ENCUESTA CONDUCTORES'!CH357="X",1,0)</f>
        <v>0</v>
      </c>
      <c r="CA357" s="15">
        <f>IF('ENCUESTA CONDUCTORES'!CI357="X",1,0)</f>
        <v>0</v>
      </c>
      <c r="CB357" s="15">
        <f>IF('ENCUESTA CONDUCTORES'!CJ357="X",1,0)</f>
        <v>0</v>
      </c>
      <c r="CC357" s="15">
        <f>IF('ENCUESTA CONDUCTORES'!CK357="X",1,0)</f>
        <v>1</v>
      </c>
      <c r="CD357" s="15">
        <f>IF('ENCUESTA CONDUCTORES'!CL357="X",1,0)</f>
        <v>0</v>
      </c>
      <c r="CE357" s="15">
        <f>IF('ENCUESTA CONDUCTORES'!CM357="X",1,0)</f>
        <v>0</v>
      </c>
      <c r="CF357" s="15">
        <f>+'ENCUESTA CONDUCTORES'!CN357</f>
        <v>0</v>
      </c>
      <c r="CG357" s="15">
        <f>IF('ENCUESTA CONDUCTORES'!CO357="X",1,0)</f>
        <v>0</v>
      </c>
      <c r="CH357" s="15" t="str">
        <f>+'ENCUESTA CONDUCTORES'!CP357</f>
        <v>NO SABE</v>
      </c>
      <c r="CI357" s="15" t="str">
        <f>+'ENCUESTA CONDUCTORES'!CQ357</f>
        <v>NO SABE</v>
      </c>
      <c r="CJ357" s="15">
        <f>IF('ENCUESTA CONDUCTORES'!CR357="X",1,0)</f>
        <v>0</v>
      </c>
      <c r="CK357" s="15">
        <f>IF('ENCUESTA CONDUCTORES'!CS357="X",1,0)</f>
        <v>0</v>
      </c>
      <c r="CL357" s="15">
        <f>IF('ENCUESTA CONDUCTORES'!CT357="X",1,0)</f>
        <v>0</v>
      </c>
      <c r="CM357" s="15" t="str">
        <f>+'ENCUESTA CONDUCTORES'!CU357</f>
        <v>MANEJO SEGURO</v>
      </c>
      <c r="CN357" s="15">
        <f>IF('ENCUESTA CONDUCTORES'!CV357="X",1,0)</f>
        <v>0</v>
      </c>
      <c r="CO357" s="15">
        <f>+'ENCUESTA CONDUCTORES'!CW357</f>
        <v>0</v>
      </c>
      <c r="CP357" s="15">
        <f>IF('ENCUESTA CONDUCTORES'!CX357="X",1,0)</f>
        <v>0</v>
      </c>
      <c r="CQ357" s="15">
        <f>IF('ENCUESTA CONDUCTORES'!CY357="X",1,0)</f>
        <v>1</v>
      </c>
      <c r="CR357" s="3">
        <f>+'ENCUESTA CONDUCTORES'!CZ357</f>
        <v>0</v>
      </c>
      <c r="CS357" s="49">
        <f>+'ENCUESTA CONDUCTORES'!DA357</f>
        <v>0</v>
      </c>
    </row>
    <row r="358" spans="2:97" x14ac:dyDescent="0.25">
      <c r="B358" s="14" t="str">
        <f>+'ENCUESTA CONDUCTORES'!D358</f>
        <v>C-369</v>
      </c>
      <c r="C358" s="15">
        <f>IF('ENCUESTA CONDUCTORES'!E358="X",1,0)</f>
        <v>1</v>
      </c>
      <c r="D358" s="15">
        <f>IF('ENCUESTA CONDUCTORES'!F358="X",1,0)</f>
        <v>0</v>
      </c>
      <c r="E358" s="15">
        <f>IF('ENCUESTA CONDUCTORES'!G358="X",1,0)</f>
        <v>0</v>
      </c>
      <c r="F358" s="15">
        <f>IF('ENCUESTA CONDUCTORES'!H358="X",1,0)</f>
        <v>0</v>
      </c>
      <c r="G358" s="15">
        <f>+'ENCUESTA CONDUCTORES'!I358</f>
        <v>24</v>
      </c>
      <c r="H358" s="15" t="str">
        <f>+'ENCUESTA CONDUCTORES'!J358</f>
        <v>M</v>
      </c>
      <c r="I358" s="15" t="str">
        <f>+'ENCUESTA CONDUCTORES'!K358</f>
        <v>SECUNDARIA</v>
      </c>
      <c r="J358" s="15" t="str">
        <f>+'ENCUESTA CONDUCTORES'!L358</f>
        <v>LEON, GTO</v>
      </c>
      <c r="K358" s="15" t="str">
        <f>+'ENCUESTA CONDUCTORES'!M358</f>
        <v>LEON</v>
      </c>
      <c r="L358" s="15" t="str">
        <f>+'ENCUESTA CONDUCTORES'!N358</f>
        <v>GUANAJUATO</v>
      </c>
      <c r="M358" s="15">
        <f>+'ENCUESTA CONDUCTORES'!O358</f>
        <v>2</v>
      </c>
      <c r="N358" s="15">
        <f>IF('ENCUESTA CONDUCTORES'!P358="X",1,0)</f>
        <v>0</v>
      </c>
      <c r="O358" s="15">
        <f>IF('ENCUESTA CONDUCTORES'!Q358="X",1,0)</f>
        <v>0</v>
      </c>
      <c r="P358" s="15">
        <f>IF('ENCUESTA CONDUCTORES'!R358="X",1,0)</f>
        <v>0</v>
      </c>
      <c r="Q358" s="15">
        <f>IF('ENCUESTA CONDUCTORES'!S358="X",1,0)</f>
        <v>1</v>
      </c>
      <c r="R358" s="15">
        <f>IF('ENCUESTA CONDUCTORES'!T358="X",1,0)</f>
        <v>0</v>
      </c>
      <c r="S358" s="15">
        <f>IF('ENCUESTA CONDUCTORES'!U358="X",1,0)</f>
        <v>1</v>
      </c>
      <c r="T358" s="15">
        <f>IF('ENCUESTA CONDUCTORES'!V358="X",1,0)</f>
        <v>0</v>
      </c>
      <c r="U358" s="15">
        <f>IF('ENCUESTA CONDUCTORES'!W358="X",1,0)</f>
        <v>0</v>
      </c>
      <c r="V358" s="15">
        <f>IF('ENCUESTA CONDUCTORES'!X358="X",1,0)</f>
        <v>0</v>
      </c>
      <c r="W358" s="15">
        <f>IF('ENCUESTA CONDUCTORES'!Y358="X",1,0)</f>
        <v>0</v>
      </c>
      <c r="X358" s="15">
        <f>IF('ENCUESTA CONDUCTORES'!Z358="X",1,0)</f>
        <v>0</v>
      </c>
      <c r="Y358" s="15">
        <f>+'ENCUESTA CONDUCTORES'!AG358</f>
        <v>0</v>
      </c>
      <c r="Z358" s="15">
        <f>+'ENCUESTA CONDUCTORES'!AH358</f>
        <v>2003</v>
      </c>
      <c r="AA358" s="1">
        <f>+'ENCUESTA CONDUCTORES'!AI358</f>
        <v>658299</v>
      </c>
      <c r="AB358" s="15">
        <f>IF('ENCUESTA CONDUCTORES'!AJ358="X",1,0)</f>
        <v>0</v>
      </c>
      <c r="AC358" s="15">
        <f>IF('ENCUESTA CONDUCTORES'!AK358="X",1,0)</f>
        <v>0</v>
      </c>
      <c r="AD358" s="15">
        <f>IF('ENCUESTA CONDUCTORES'!AL358="X",1,0)</f>
        <v>1</v>
      </c>
      <c r="AE358" s="15">
        <f>IF('ENCUESTA CONDUCTORES'!AM358="X",1,0)</f>
        <v>0</v>
      </c>
      <c r="AF358" s="15">
        <f>IF('ENCUESTA CONDUCTORES'!AN358="X",1,0)</f>
        <v>0</v>
      </c>
      <c r="AG358" s="15">
        <f>IF('ENCUESTA CONDUCTORES'!AO358="X",1,0)</f>
        <v>0</v>
      </c>
      <c r="AH358" s="15">
        <f>IF('ENCUESTA CONDUCTORES'!AP358="X",1,0)</f>
        <v>1</v>
      </c>
      <c r="AI358" s="15">
        <f>IF('ENCUESTA CONDUCTORES'!AQ358="X",1,0)</f>
        <v>0</v>
      </c>
      <c r="AJ358" s="15">
        <f>IF('ENCUESTA CONDUCTORES'!AR358="X",1,0)</f>
        <v>0</v>
      </c>
      <c r="AK358" s="15">
        <f>+'ENCUESTA CONDUCTORES'!AS358</f>
        <v>0</v>
      </c>
      <c r="AL358" s="15" t="str">
        <f>+'ENCUESTA CONDUCTORES'!AT358</f>
        <v>CUMMINS</v>
      </c>
      <c r="AM358" s="1">
        <f>+'ENCUESTA CONDUCTORES'!AU358</f>
        <v>8000</v>
      </c>
      <c r="AN358" s="48">
        <f>+'ENCUESTA CONDUCTORES'!AV358</f>
        <v>0.1</v>
      </c>
      <c r="AO358" s="15">
        <f>+'ENCUESTA CONDUCTORES'!AW358</f>
        <v>2.7</v>
      </c>
      <c r="AP358" s="15">
        <f>+'ENCUESTA CONDUCTORES'!AX358</f>
        <v>2.4</v>
      </c>
      <c r="AQ358" s="15">
        <f>+'ENCUESTA CONDUCTORES'!AY358</f>
        <v>2</v>
      </c>
      <c r="AR358" s="15">
        <f>+'ENCUESTA CONDUCTORES'!AZ358</f>
        <v>920</v>
      </c>
      <c r="AS358" s="15">
        <f>+'ENCUESTA CONDUCTORES'!BA358</f>
        <v>2400</v>
      </c>
      <c r="AT358" s="15">
        <f>IF('ENCUESTA CONDUCTORES'!BB358="X",1,0)</f>
        <v>1</v>
      </c>
      <c r="AU358" s="15">
        <f>IF('ENCUESTA CONDUCTORES'!BC358="X",1,0)</f>
        <v>0</v>
      </c>
      <c r="AV358" s="15">
        <f>IF('ENCUESTA CONDUCTORES'!BD358="X",1,0)</f>
        <v>0</v>
      </c>
      <c r="AW358" s="1">
        <f>+'ENCUESTA CONDUCTORES'!BE358</f>
        <v>24000</v>
      </c>
      <c r="AX358" s="1">
        <f>+'ENCUESTA CONDUCTORES'!BF358</f>
        <v>130000</v>
      </c>
      <c r="AY358" s="1">
        <f>+'ENCUESTA CONDUCTORES'!BG358</f>
        <v>24000</v>
      </c>
      <c r="AZ358" s="1">
        <f>+'ENCUESTA CONDUCTORES'!BH358</f>
        <v>130000</v>
      </c>
      <c r="BA358" s="1" t="str">
        <f>+'ENCUESTA CONDUCTORES'!BI358</f>
        <v xml:space="preserve">NO SABE </v>
      </c>
      <c r="BB358" s="15">
        <f>IF('ENCUESTA CONDUCTORES'!BJ358="X",1,0)</f>
        <v>0</v>
      </c>
      <c r="BC358" s="15">
        <f>IF('ENCUESTA CONDUCTORES'!BK358="X",1,0)</f>
        <v>0</v>
      </c>
      <c r="BD358" s="15">
        <f>IF('ENCUESTA CONDUCTORES'!BL358="X",1,0)</f>
        <v>0</v>
      </c>
      <c r="BE358" s="15">
        <f>IF('ENCUESTA CONDUCTORES'!BM358="X",1,0)</f>
        <v>0</v>
      </c>
      <c r="BF358" s="15">
        <f>IF('ENCUESTA CONDUCTORES'!BN358="X",1,0)</f>
        <v>1</v>
      </c>
      <c r="BG358" s="15">
        <f>IF('ENCUESTA CONDUCTORES'!BO358="X",1,0)</f>
        <v>0</v>
      </c>
      <c r="BH358" s="15">
        <f>IF('ENCUESTA CONDUCTORES'!BP358="X",1,0)</f>
        <v>1</v>
      </c>
      <c r="BI358" s="15">
        <f>IF('ENCUESTA CONDUCTORES'!BQ358="X",1,0)</f>
        <v>0</v>
      </c>
      <c r="BJ358" s="15">
        <f>IF('ENCUESTA CONDUCTORES'!BR358="X",1,0)</f>
        <v>0</v>
      </c>
      <c r="BK358" s="15">
        <f>+'ENCUESTA CONDUCTORES'!BS358</f>
        <v>0</v>
      </c>
      <c r="BL358" s="15">
        <f>IF('ENCUESTA CONDUCTORES'!BT358="X",1,0)</f>
        <v>0</v>
      </c>
      <c r="BM358" s="15">
        <f>IF('ENCUESTA CONDUCTORES'!BU358="X",1,0)</f>
        <v>0</v>
      </c>
      <c r="BN358" s="15">
        <f>IF('ENCUESTA CONDUCTORES'!BV358="X",1,0)</f>
        <v>1</v>
      </c>
      <c r="BO358" s="15">
        <f>IF('ENCUESTA CONDUCTORES'!BW358="X",1,0)</f>
        <v>0</v>
      </c>
      <c r="BP358" s="15">
        <f>+'ENCUESTA CONDUCTORES'!BX358</f>
        <v>1</v>
      </c>
      <c r="BQ358" s="15">
        <f>+'ENCUESTA CONDUCTORES'!BY358</f>
        <v>3</v>
      </c>
      <c r="BR358" s="15">
        <f>+'ENCUESTA CONDUCTORES'!BZ358</f>
        <v>2</v>
      </c>
      <c r="BS358" s="15">
        <f>+'ENCUESTA CONDUCTORES'!CA358</f>
        <v>0</v>
      </c>
      <c r="BT358" s="15">
        <f>IF('ENCUESTA CONDUCTORES'!CB358="X",1,0)</f>
        <v>1</v>
      </c>
      <c r="BU358" s="15">
        <f>IF('ENCUESTA CONDUCTORES'!CC358="X",1,0)</f>
        <v>0</v>
      </c>
      <c r="BV358" s="15">
        <f>IF('ENCUESTA CONDUCTORES'!CD358="X",1,0)</f>
        <v>0</v>
      </c>
      <c r="BW358" s="15">
        <f>IF('ENCUESTA CONDUCTORES'!CE358="X",1,0)</f>
        <v>0</v>
      </c>
      <c r="BX358" s="15">
        <f>IF('ENCUESTA CONDUCTORES'!CF358="X",1,0)</f>
        <v>0</v>
      </c>
      <c r="BY358" s="15">
        <f>IF('ENCUESTA CONDUCTORES'!CG358="X",1,0)</f>
        <v>0</v>
      </c>
      <c r="BZ358" s="15">
        <f>IF('ENCUESTA CONDUCTORES'!CH358="X",1,0)</f>
        <v>0</v>
      </c>
      <c r="CA358" s="15">
        <f>IF('ENCUESTA CONDUCTORES'!CI358="X",1,0)</f>
        <v>0</v>
      </c>
      <c r="CB358" s="15">
        <f>IF('ENCUESTA CONDUCTORES'!CJ358="X",1,0)</f>
        <v>0</v>
      </c>
      <c r="CC358" s="15">
        <f>IF('ENCUESTA CONDUCTORES'!CK358="X",1,0)</f>
        <v>1</v>
      </c>
      <c r="CD358" s="15">
        <f>IF('ENCUESTA CONDUCTORES'!CL358="X",1,0)</f>
        <v>0</v>
      </c>
      <c r="CE358" s="15">
        <f>IF('ENCUESTA CONDUCTORES'!CM358="X",1,0)</f>
        <v>0</v>
      </c>
      <c r="CF358" s="15">
        <f>+'ENCUESTA CONDUCTORES'!CN358</f>
        <v>0</v>
      </c>
      <c r="CG358" s="15">
        <f>IF('ENCUESTA CONDUCTORES'!CO358="X",1,0)</f>
        <v>0</v>
      </c>
      <c r="CH358" s="15" t="str">
        <f>+'ENCUESTA CONDUCTORES'!CP358</f>
        <v>NO SABE</v>
      </c>
      <c r="CI358" s="15" t="str">
        <f>+'ENCUESTA CONDUCTORES'!CQ358</f>
        <v>NO SABE</v>
      </c>
      <c r="CJ358" s="15">
        <f>IF('ENCUESTA CONDUCTORES'!CR358="X",1,0)</f>
        <v>1</v>
      </c>
      <c r="CK358" s="15">
        <f>IF('ENCUESTA CONDUCTORES'!CS358="X",1,0)</f>
        <v>0</v>
      </c>
      <c r="CL358" s="15">
        <f>IF('ENCUESTA CONDUCTORES'!CT358="X",1,0)</f>
        <v>0</v>
      </c>
      <c r="CM358" s="15">
        <f>+'ENCUESTA CONDUCTORES'!CU358</f>
        <v>0</v>
      </c>
      <c r="CN358" s="15">
        <f>IF('ENCUESTA CONDUCTORES'!CV358="X",1,0)</f>
        <v>1</v>
      </c>
      <c r="CO358" s="15" t="str">
        <f>+'ENCUESTA CONDUCTORES'!CW358</f>
        <v>NO SIRVEN</v>
      </c>
      <c r="CP358" s="15">
        <f>IF('ENCUESTA CONDUCTORES'!CX358="X",1,0)</f>
        <v>0</v>
      </c>
      <c r="CQ358" s="15">
        <f>IF('ENCUESTA CONDUCTORES'!CY358="X",1,0)</f>
        <v>0</v>
      </c>
      <c r="CR358" s="3">
        <f>+'ENCUESTA CONDUCTORES'!CZ358</f>
        <v>0</v>
      </c>
      <c r="CS358" s="49">
        <f>+'ENCUESTA CONDUCTORES'!DA358</f>
        <v>0</v>
      </c>
    </row>
    <row r="359" spans="2:97" x14ac:dyDescent="0.25">
      <c r="B359" s="14" t="str">
        <f>+'ENCUESTA CONDUCTORES'!D359</f>
        <v>C-370</v>
      </c>
      <c r="C359" s="15">
        <f>IF('ENCUESTA CONDUCTORES'!E359="X",1,0)</f>
        <v>1</v>
      </c>
      <c r="D359" s="15">
        <f>IF('ENCUESTA CONDUCTORES'!F359="X",1,0)</f>
        <v>0</v>
      </c>
      <c r="E359" s="15">
        <f>IF('ENCUESTA CONDUCTORES'!G359="X",1,0)</f>
        <v>0</v>
      </c>
      <c r="F359" s="15">
        <f>IF('ENCUESTA CONDUCTORES'!H359="X",1,0)</f>
        <v>0</v>
      </c>
      <c r="G359" s="15">
        <f>+'ENCUESTA CONDUCTORES'!I359</f>
        <v>57</v>
      </c>
      <c r="H359" s="15" t="str">
        <f>+'ENCUESTA CONDUCTORES'!J359</f>
        <v>M</v>
      </c>
      <c r="I359" s="15" t="str">
        <f>+'ENCUESTA CONDUCTORES'!K359</f>
        <v>SIN ESTUDIOS</v>
      </c>
      <c r="J359" s="15" t="str">
        <f>+'ENCUESTA CONDUCTORES'!L359</f>
        <v>LA PIEDAD, MICH</v>
      </c>
      <c r="K359" s="15" t="str">
        <f>+'ENCUESTA CONDUCTORES'!M359</f>
        <v>LA PIEDAD</v>
      </c>
      <c r="L359" s="15" t="str">
        <f>+'ENCUESTA CONDUCTORES'!N359</f>
        <v>MICHOACAN</v>
      </c>
      <c r="M359" s="15">
        <f>+'ENCUESTA CONDUCTORES'!O359</f>
        <v>38</v>
      </c>
      <c r="N359" s="15">
        <f>IF('ENCUESTA CONDUCTORES'!P359="X",1,0)</f>
        <v>0</v>
      </c>
      <c r="O359" s="15">
        <f>IF('ENCUESTA CONDUCTORES'!Q359="X",1,0)</f>
        <v>0</v>
      </c>
      <c r="P359" s="15">
        <f>IF('ENCUESTA CONDUCTORES'!R359="X",1,0)</f>
        <v>0</v>
      </c>
      <c r="Q359" s="15">
        <f>IF('ENCUESTA CONDUCTORES'!S359="X",1,0)</f>
        <v>1</v>
      </c>
      <c r="R359" s="15">
        <f>IF('ENCUESTA CONDUCTORES'!T359="X",1,0)</f>
        <v>0</v>
      </c>
      <c r="S359" s="15">
        <f>IF('ENCUESTA CONDUCTORES'!U359="X",1,0)</f>
        <v>1</v>
      </c>
      <c r="T359" s="15">
        <f>IF('ENCUESTA CONDUCTORES'!V359="X",1,0)</f>
        <v>0</v>
      </c>
      <c r="U359" s="15">
        <f>IF('ENCUESTA CONDUCTORES'!W359="X",1,0)</f>
        <v>0</v>
      </c>
      <c r="V359" s="15">
        <f>IF('ENCUESTA CONDUCTORES'!X359="X",1,0)</f>
        <v>0</v>
      </c>
      <c r="W359" s="15">
        <f>IF('ENCUESTA CONDUCTORES'!Y359="X",1,0)</f>
        <v>0</v>
      </c>
      <c r="X359" s="15">
        <f>IF('ENCUESTA CONDUCTORES'!Z359="X",1,0)</f>
        <v>0</v>
      </c>
      <c r="Y359" s="15">
        <f>+'ENCUESTA CONDUCTORES'!AG359</f>
        <v>0</v>
      </c>
      <c r="Z359" s="15">
        <f>+'ENCUESTA CONDUCTORES'!AH359</f>
        <v>2001</v>
      </c>
      <c r="AA359" s="1">
        <f>+'ENCUESTA CONDUCTORES'!AI359</f>
        <v>861478</v>
      </c>
      <c r="AB359" s="15">
        <f>IF('ENCUESTA CONDUCTORES'!AJ359="X",1,0)</f>
        <v>0</v>
      </c>
      <c r="AC359" s="15">
        <f>IF('ENCUESTA CONDUCTORES'!AK359="X",1,0)</f>
        <v>0</v>
      </c>
      <c r="AD359" s="15">
        <f>IF('ENCUESTA CONDUCTORES'!AL359="X",1,0)</f>
        <v>1</v>
      </c>
      <c r="AE359" s="15">
        <f>IF('ENCUESTA CONDUCTORES'!AM359="X",1,0)</f>
        <v>0</v>
      </c>
      <c r="AF359" s="15">
        <f>IF('ENCUESTA CONDUCTORES'!AN359="X",1,0)</f>
        <v>0</v>
      </c>
      <c r="AG359" s="15">
        <f>IF('ENCUESTA CONDUCTORES'!AO359="X",1,0)</f>
        <v>0</v>
      </c>
      <c r="AH359" s="15">
        <f>IF('ENCUESTA CONDUCTORES'!AP359="X",1,0)</f>
        <v>1</v>
      </c>
      <c r="AI359" s="15">
        <f>IF('ENCUESTA CONDUCTORES'!AQ359="X",1,0)</f>
        <v>0</v>
      </c>
      <c r="AJ359" s="15">
        <f>IF('ENCUESTA CONDUCTORES'!AR359="X",1,0)</f>
        <v>0</v>
      </c>
      <c r="AK359" s="15">
        <f>+'ENCUESTA CONDUCTORES'!AS359</f>
        <v>0</v>
      </c>
      <c r="AL359" s="15" t="str">
        <f>+'ENCUESTA CONDUCTORES'!AT359</f>
        <v>CUMMINS</v>
      </c>
      <c r="AM359" s="1">
        <f>+'ENCUESTA CONDUCTORES'!AU359</f>
        <v>9000</v>
      </c>
      <c r="AN359" s="48">
        <f>+'ENCUESTA CONDUCTORES'!AV359</f>
        <v>0.5</v>
      </c>
      <c r="AO359" s="15">
        <f>+'ENCUESTA CONDUCTORES'!AW359</f>
        <v>2.7</v>
      </c>
      <c r="AP359" s="15">
        <f>+'ENCUESTA CONDUCTORES'!AX359</f>
        <v>2.5</v>
      </c>
      <c r="AQ359" s="15">
        <f>+'ENCUESTA CONDUCTORES'!AY359</f>
        <v>2</v>
      </c>
      <c r="AR359" s="15">
        <f>+'ENCUESTA CONDUCTORES'!AZ359</f>
        <v>1080</v>
      </c>
      <c r="AS359" s="15">
        <f>+'ENCUESTA CONDUCTORES'!BA359</f>
        <v>2800</v>
      </c>
      <c r="AT359" s="15">
        <f>IF('ENCUESTA CONDUCTORES'!BB359="X",1,0)</f>
        <v>1</v>
      </c>
      <c r="AU359" s="15">
        <f>IF('ENCUESTA CONDUCTORES'!BC359="X",1,0)</f>
        <v>0</v>
      </c>
      <c r="AV359" s="15">
        <f>IF('ENCUESTA CONDUCTORES'!BD359="X",1,0)</f>
        <v>0</v>
      </c>
      <c r="AW359" s="1">
        <f>+'ENCUESTA CONDUCTORES'!BE359</f>
        <v>25000</v>
      </c>
      <c r="AX359" s="1">
        <f>+'ENCUESTA CONDUCTORES'!BF359</f>
        <v>100000</v>
      </c>
      <c r="AY359" s="1">
        <f>+'ENCUESTA CONDUCTORES'!BG359</f>
        <v>25000</v>
      </c>
      <c r="AZ359" s="1">
        <f>+'ENCUESTA CONDUCTORES'!BH359</f>
        <v>100000</v>
      </c>
      <c r="BA359" s="1" t="str">
        <f>+'ENCUESTA CONDUCTORES'!BI359</f>
        <v>NO SABE</v>
      </c>
      <c r="BB359" s="15">
        <f>IF('ENCUESTA CONDUCTORES'!BJ359="X",1,0)</f>
        <v>0</v>
      </c>
      <c r="BC359" s="15">
        <f>IF('ENCUESTA CONDUCTORES'!BK359="X",1,0)</f>
        <v>0</v>
      </c>
      <c r="BD359" s="15">
        <f>IF('ENCUESTA CONDUCTORES'!BL359="X",1,0)</f>
        <v>0</v>
      </c>
      <c r="BE359" s="15">
        <f>IF('ENCUESTA CONDUCTORES'!BM359="X",1,0)</f>
        <v>0</v>
      </c>
      <c r="BF359" s="15">
        <f>IF('ENCUESTA CONDUCTORES'!BN359="X",1,0)</f>
        <v>1</v>
      </c>
      <c r="BG359" s="15">
        <f>IF('ENCUESTA CONDUCTORES'!BO359="X",1,0)</f>
        <v>0</v>
      </c>
      <c r="BH359" s="15">
        <f>IF('ENCUESTA CONDUCTORES'!BP359="X",1,0)</f>
        <v>1</v>
      </c>
      <c r="BI359" s="15">
        <f>IF('ENCUESTA CONDUCTORES'!BQ359="X",1,0)</f>
        <v>0</v>
      </c>
      <c r="BJ359" s="15">
        <f>IF('ENCUESTA CONDUCTORES'!BR359="X",1,0)</f>
        <v>0</v>
      </c>
      <c r="BK359" s="15">
        <f>+'ENCUESTA CONDUCTORES'!BS359</f>
        <v>0</v>
      </c>
      <c r="BL359" s="15">
        <f>IF('ENCUESTA CONDUCTORES'!BT359="X",1,0)</f>
        <v>0</v>
      </c>
      <c r="BM359" s="15">
        <f>IF('ENCUESTA CONDUCTORES'!BU359="X",1,0)</f>
        <v>0</v>
      </c>
      <c r="BN359" s="15">
        <f>IF('ENCUESTA CONDUCTORES'!BV359="X",1,0)</f>
        <v>1</v>
      </c>
      <c r="BO359" s="15">
        <f>IF('ENCUESTA CONDUCTORES'!BW359="X",1,0)</f>
        <v>0</v>
      </c>
      <c r="BP359" s="15">
        <f>+'ENCUESTA CONDUCTORES'!BX359</f>
        <v>1</v>
      </c>
      <c r="BQ359" s="15">
        <f>+'ENCUESTA CONDUCTORES'!BY359</f>
        <v>3</v>
      </c>
      <c r="BR359" s="15">
        <f>+'ENCUESTA CONDUCTORES'!BZ359</f>
        <v>2</v>
      </c>
      <c r="BS359" s="15">
        <f>+'ENCUESTA CONDUCTORES'!CA359</f>
        <v>0</v>
      </c>
      <c r="BT359" s="15">
        <f>IF('ENCUESTA CONDUCTORES'!CB359="X",1,0)</f>
        <v>1</v>
      </c>
      <c r="BU359" s="15">
        <f>IF('ENCUESTA CONDUCTORES'!CC359="X",1,0)</f>
        <v>0</v>
      </c>
      <c r="BV359" s="15">
        <f>IF('ENCUESTA CONDUCTORES'!CD359="X",1,0)</f>
        <v>0</v>
      </c>
      <c r="BW359" s="15">
        <f>IF('ENCUESTA CONDUCTORES'!CE359="X",1,0)</f>
        <v>0</v>
      </c>
      <c r="BX359" s="15">
        <f>IF('ENCUESTA CONDUCTORES'!CF359="X",1,0)</f>
        <v>0</v>
      </c>
      <c r="BY359" s="15">
        <f>IF('ENCUESTA CONDUCTORES'!CG359="X",1,0)</f>
        <v>0</v>
      </c>
      <c r="BZ359" s="15">
        <f>IF('ENCUESTA CONDUCTORES'!CH359="X",1,0)</f>
        <v>0</v>
      </c>
      <c r="CA359" s="15">
        <f>IF('ENCUESTA CONDUCTORES'!CI359="X",1,0)</f>
        <v>0</v>
      </c>
      <c r="CB359" s="15">
        <f>IF('ENCUESTA CONDUCTORES'!CJ359="X",1,0)</f>
        <v>0</v>
      </c>
      <c r="CC359" s="15">
        <f>IF('ENCUESTA CONDUCTORES'!CK359="X",1,0)</f>
        <v>1</v>
      </c>
      <c r="CD359" s="15">
        <f>IF('ENCUESTA CONDUCTORES'!CL359="X",1,0)</f>
        <v>0</v>
      </c>
      <c r="CE359" s="15">
        <f>IF('ENCUESTA CONDUCTORES'!CM359="X",1,0)</f>
        <v>0</v>
      </c>
      <c r="CF359" s="15">
        <f>+'ENCUESTA CONDUCTORES'!CN359</f>
        <v>0</v>
      </c>
      <c r="CG359" s="15">
        <f>IF('ENCUESTA CONDUCTORES'!CO359="X",1,0)</f>
        <v>0</v>
      </c>
      <c r="CH359" s="15" t="str">
        <f>+'ENCUESTA CONDUCTORES'!CP359</f>
        <v>NO SABE</v>
      </c>
      <c r="CI359" s="15" t="str">
        <f>+'ENCUESTA CONDUCTORES'!CQ359</f>
        <v>NO SABE</v>
      </c>
      <c r="CJ359" s="15">
        <f>IF('ENCUESTA CONDUCTORES'!CR359="X",1,0)</f>
        <v>1</v>
      </c>
      <c r="CK359" s="15">
        <f>IF('ENCUESTA CONDUCTORES'!CS359="X",1,0)</f>
        <v>0</v>
      </c>
      <c r="CL359" s="15">
        <f>IF('ENCUESTA CONDUCTORES'!CT359="X",1,0)</f>
        <v>0</v>
      </c>
      <c r="CM359" s="15">
        <f>+'ENCUESTA CONDUCTORES'!CU359</f>
        <v>0</v>
      </c>
      <c r="CN359" s="15">
        <f>IF('ENCUESTA CONDUCTORES'!CV359="X",1,0)</f>
        <v>0</v>
      </c>
      <c r="CO359" s="15">
        <f>+'ENCUESTA CONDUCTORES'!CW359</f>
        <v>0</v>
      </c>
      <c r="CP359" s="15">
        <f>IF('ENCUESTA CONDUCTORES'!CX359="X",1,0)</f>
        <v>0</v>
      </c>
      <c r="CQ359" s="15">
        <f>IF('ENCUESTA CONDUCTORES'!CY359="X",1,0)</f>
        <v>1</v>
      </c>
      <c r="CR359" s="3">
        <f>+'ENCUESTA CONDUCTORES'!CZ359</f>
        <v>0</v>
      </c>
      <c r="CS359" s="49">
        <f>+'ENCUESTA CONDUCTORES'!DA359</f>
        <v>0</v>
      </c>
    </row>
    <row r="360" spans="2:97" x14ac:dyDescent="0.25">
      <c r="B360" s="14" t="str">
        <f>+'ENCUESTA CONDUCTORES'!D360</f>
        <v>C-371</v>
      </c>
      <c r="C360" s="15">
        <f>IF('ENCUESTA CONDUCTORES'!E360="X",1,0)</f>
        <v>0</v>
      </c>
      <c r="D360" s="15">
        <f>IF('ENCUESTA CONDUCTORES'!F360="X",1,0)</f>
        <v>1</v>
      </c>
      <c r="E360" s="15">
        <f>IF('ENCUESTA CONDUCTORES'!G360="X",1,0)</f>
        <v>0</v>
      </c>
      <c r="F360" s="15">
        <f>IF('ENCUESTA CONDUCTORES'!H360="X",1,0)</f>
        <v>0</v>
      </c>
      <c r="G360" s="15">
        <f>+'ENCUESTA CONDUCTORES'!I360</f>
        <v>61</v>
      </c>
      <c r="H360" s="15" t="str">
        <f>+'ENCUESTA CONDUCTORES'!J360</f>
        <v>M</v>
      </c>
      <c r="I360" s="15" t="str">
        <f>+'ENCUESTA CONDUCTORES'!K360</f>
        <v>SIN ESTUDIOS</v>
      </c>
      <c r="J360" s="15" t="str">
        <f>+'ENCUESTA CONDUCTORES'!L360</f>
        <v>SAN FRANCISCO DEL RICON. GTO</v>
      </c>
      <c r="K360" s="15" t="str">
        <f>+'ENCUESTA CONDUCTORES'!M360</f>
        <v>SAN FRANCISCO DEL RICON</v>
      </c>
      <c r="L360" s="15" t="str">
        <f>+'ENCUESTA CONDUCTORES'!N360</f>
        <v>GUANAJUATO</v>
      </c>
      <c r="M360" s="15">
        <f>+'ENCUESTA CONDUCTORES'!O360</f>
        <v>42</v>
      </c>
      <c r="N360" s="15">
        <f>IF('ENCUESTA CONDUCTORES'!P360="X",1,0)</f>
        <v>0</v>
      </c>
      <c r="O360" s="15">
        <f>IF('ENCUESTA CONDUCTORES'!Q360="X",1,0)</f>
        <v>0</v>
      </c>
      <c r="P360" s="15">
        <f>IF('ENCUESTA CONDUCTORES'!R360="X",1,0)</f>
        <v>0</v>
      </c>
      <c r="Q360" s="15">
        <f>IF('ENCUESTA CONDUCTORES'!S360="X",1,0)</f>
        <v>1</v>
      </c>
      <c r="R360" s="15">
        <f>IF('ENCUESTA CONDUCTORES'!T360="X",1,0)</f>
        <v>0</v>
      </c>
      <c r="S360" s="15">
        <f>IF('ENCUESTA CONDUCTORES'!U360="X",1,0)</f>
        <v>1</v>
      </c>
      <c r="T360" s="15">
        <f>IF('ENCUESTA CONDUCTORES'!V360="X",1,0)</f>
        <v>0</v>
      </c>
      <c r="U360" s="15">
        <f>IF('ENCUESTA CONDUCTORES'!W360="X",1,0)</f>
        <v>0</v>
      </c>
      <c r="V360" s="15">
        <f>IF('ENCUESTA CONDUCTORES'!X360="X",1,0)</f>
        <v>0</v>
      </c>
      <c r="W360" s="15">
        <f>IF('ENCUESTA CONDUCTORES'!Y360="X",1,0)</f>
        <v>0</v>
      </c>
      <c r="X360" s="15">
        <f>IF('ENCUESTA CONDUCTORES'!Z360="X",1,0)</f>
        <v>0</v>
      </c>
      <c r="Y360" s="15">
        <f>+'ENCUESTA CONDUCTORES'!AG360</f>
        <v>0</v>
      </c>
      <c r="Z360" s="15">
        <f>+'ENCUESTA CONDUCTORES'!AH360</f>
        <v>2006</v>
      </c>
      <c r="AA360" s="1">
        <f>+'ENCUESTA CONDUCTORES'!AI360</f>
        <v>623850</v>
      </c>
      <c r="AB360" s="15">
        <f>IF('ENCUESTA CONDUCTORES'!AJ360="X",1,0)</f>
        <v>0</v>
      </c>
      <c r="AC360" s="15">
        <f>IF('ENCUESTA CONDUCTORES'!AK360="X",1,0)</f>
        <v>0</v>
      </c>
      <c r="AD360" s="15">
        <f>IF('ENCUESTA CONDUCTORES'!AL360="X",1,0)</f>
        <v>1</v>
      </c>
      <c r="AE360" s="15">
        <f>IF('ENCUESTA CONDUCTORES'!AM360="X",1,0)</f>
        <v>0</v>
      </c>
      <c r="AF360" s="15">
        <f>IF('ENCUESTA CONDUCTORES'!AN360="X",1,0)</f>
        <v>0</v>
      </c>
      <c r="AG360" s="15">
        <f>IF('ENCUESTA CONDUCTORES'!AO360="X",1,0)</f>
        <v>1</v>
      </c>
      <c r="AH360" s="15">
        <f>IF('ENCUESTA CONDUCTORES'!AP360="X",1,0)</f>
        <v>0</v>
      </c>
      <c r="AI360" s="15">
        <f>IF('ENCUESTA CONDUCTORES'!AQ360="X",1,0)</f>
        <v>0</v>
      </c>
      <c r="AJ360" s="15">
        <f>IF('ENCUESTA CONDUCTORES'!AR360="X",1,0)</f>
        <v>0</v>
      </c>
      <c r="AK360" s="15">
        <f>+'ENCUESTA CONDUCTORES'!AS360</f>
        <v>0</v>
      </c>
      <c r="AL360" s="15" t="str">
        <f>+'ENCUESTA CONDUCTORES'!AT360</f>
        <v>DETROIT</v>
      </c>
      <c r="AM360" s="1">
        <f>+'ENCUESTA CONDUCTORES'!AU360</f>
        <v>8000</v>
      </c>
      <c r="AN360" s="48">
        <f>+'ENCUESTA CONDUCTORES'!AV360</f>
        <v>0.1</v>
      </c>
      <c r="AO360" s="15">
        <f>+'ENCUESTA CONDUCTORES'!AW360</f>
        <v>2.8</v>
      </c>
      <c r="AP360" s="15">
        <f>+'ENCUESTA CONDUCTORES'!AX360</f>
        <v>2.5</v>
      </c>
      <c r="AQ360" s="15">
        <f>+'ENCUESTA CONDUCTORES'!AY360</f>
        <v>2</v>
      </c>
      <c r="AR360" s="15">
        <f>+'ENCUESTA CONDUCTORES'!AZ360</f>
        <v>740</v>
      </c>
      <c r="AS360" s="15">
        <f>+'ENCUESTA CONDUCTORES'!BA360</f>
        <v>2000</v>
      </c>
      <c r="AT360" s="15">
        <f>IF('ENCUESTA CONDUCTORES'!BB360="X",1,0)</f>
        <v>1</v>
      </c>
      <c r="AU360" s="15">
        <f>IF('ENCUESTA CONDUCTORES'!BC360="X",1,0)</f>
        <v>0</v>
      </c>
      <c r="AV360" s="15">
        <f>IF('ENCUESTA CONDUCTORES'!BD360="X",1,0)</f>
        <v>0</v>
      </c>
      <c r="AW360" s="1">
        <f>+'ENCUESTA CONDUCTORES'!BE360</f>
        <v>18000</v>
      </c>
      <c r="AX360" s="1" t="str">
        <f>+'ENCUESTA CONDUCTORES'!BF360</f>
        <v>NO SABE</v>
      </c>
      <c r="AY360" s="1">
        <f>+'ENCUESTA CONDUCTORES'!BG360</f>
        <v>24000</v>
      </c>
      <c r="AZ360" s="1">
        <f>+'ENCUESTA CONDUCTORES'!BH360</f>
        <v>150000</v>
      </c>
      <c r="BA360" s="1" t="str">
        <f>+'ENCUESTA CONDUCTORES'!BI360</f>
        <v>NO SABE</v>
      </c>
      <c r="BB360" s="15">
        <f>IF('ENCUESTA CONDUCTORES'!BJ360="X",1,0)</f>
        <v>0</v>
      </c>
      <c r="BC360" s="15">
        <f>IF('ENCUESTA CONDUCTORES'!BK360="X",1,0)</f>
        <v>0</v>
      </c>
      <c r="BD360" s="15">
        <f>IF('ENCUESTA CONDUCTORES'!BL360="X",1,0)</f>
        <v>0</v>
      </c>
      <c r="BE360" s="15">
        <f>IF('ENCUESTA CONDUCTORES'!BM360="X",1,0)</f>
        <v>0</v>
      </c>
      <c r="BF360" s="15">
        <f>IF('ENCUESTA CONDUCTORES'!BN360="X",1,0)</f>
        <v>1</v>
      </c>
      <c r="BG360" s="15">
        <f>IF('ENCUESTA CONDUCTORES'!BO360="X",1,0)</f>
        <v>0</v>
      </c>
      <c r="BH360" s="15">
        <f>IF('ENCUESTA CONDUCTORES'!BP360="X",1,0)</f>
        <v>1</v>
      </c>
      <c r="BI360" s="15">
        <f>IF('ENCUESTA CONDUCTORES'!BQ360="X",1,0)</f>
        <v>0</v>
      </c>
      <c r="BJ360" s="15">
        <f>IF('ENCUESTA CONDUCTORES'!BR360="X",1,0)</f>
        <v>0</v>
      </c>
      <c r="BK360" s="15">
        <f>+'ENCUESTA CONDUCTORES'!BS360</f>
        <v>0</v>
      </c>
      <c r="BL360" s="15">
        <f>IF('ENCUESTA CONDUCTORES'!BT360="X",1,0)</f>
        <v>0</v>
      </c>
      <c r="BM360" s="15">
        <f>IF('ENCUESTA CONDUCTORES'!BU360="X",1,0)</f>
        <v>0</v>
      </c>
      <c r="BN360" s="15">
        <f>IF('ENCUESTA CONDUCTORES'!BV360="X",1,0)</f>
        <v>1</v>
      </c>
      <c r="BO360" s="15">
        <f>IF('ENCUESTA CONDUCTORES'!BW360="X",1,0)</f>
        <v>0</v>
      </c>
      <c r="BP360" s="15">
        <f>+'ENCUESTA CONDUCTORES'!BX360</f>
        <v>1</v>
      </c>
      <c r="BQ360" s="15">
        <f>+'ENCUESTA CONDUCTORES'!BY360</f>
        <v>3</v>
      </c>
      <c r="BR360" s="15">
        <f>+'ENCUESTA CONDUCTORES'!BZ360</f>
        <v>2</v>
      </c>
      <c r="BS360" s="15">
        <f>+'ENCUESTA CONDUCTORES'!CA360</f>
        <v>0</v>
      </c>
      <c r="BT360" s="15">
        <f>IF('ENCUESTA CONDUCTORES'!CB360="X",1,0)</f>
        <v>1</v>
      </c>
      <c r="BU360" s="15">
        <f>IF('ENCUESTA CONDUCTORES'!CC360="X",1,0)</f>
        <v>0</v>
      </c>
      <c r="BV360" s="15">
        <f>IF('ENCUESTA CONDUCTORES'!CD360="X",1,0)</f>
        <v>0</v>
      </c>
      <c r="BW360" s="15">
        <f>IF('ENCUESTA CONDUCTORES'!CE360="X",1,0)</f>
        <v>0</v>
      </c>
      <c r="BX360" s="15">
        <f>IF('ENCUESTA CONDUCTORES'!CF360="X",1,0)</f>
        <v>0</v>
      </c>
      <c r="BY360" s="15">
        <f>IF('ENCUESTA CONDUCTORES'!CG360="X",1,0)</f>
        <v>0</v>
      </c>
      <c r="BZ360" s="15">
        <f>IF('ENCUESTA CONDUCTORES'!CH360="X",1,0)</f>
        <v>0</v>
      </c>
      <c r="CA360" s="15">
        <f>IF('ENCUESTA CONDUCTORES'!CI360="X",1,0)</f>
        <v>0</v>
      </c>
      <c r="CB360" s="15">
        <f>IF('ENCUESTA CONDUCTORES'!CJ360="X",1,0)</f>
        <v>0</v>
      </c>
      <c r="CC360" s="15">
        <f>IF('ENCUESTA CONDUCTORES'!CK360="X",1,0)</f>
        <v>1</v>
      </c>
      <c r="CD360" s="15">
        <f>IF('ENCUESTA CONDUCTORES'!CL360="X",1,0)</f>
        <v>0</v>
      </c>
      <c r="CE360" s="15">
        <f>IF('ENCUESTA CONDUCTORES'!CM360="X",1,0)</f>
        <v>0</v>
      </c>
      <c r="CF360" s="15">
        <f>+'ENCUESTA CONDUCTORES'!CN360</f>
        <v>0</v>
      </c>
      <c r="CG360" s="15">
        <f>IF('ENCUESTA CONDUCTORES'!CO360="X",1,0)</f>
        <v>0</v>
      </c>
      <c r="CH360" s="15" t="str">
        <f>+'ENCUESTA CONDUCTORES'!CP360</f>
        <v>NO SABE</v>
      </c>
      <c r="CI360" s="15" t="str">
        <f>+'ENCUESTA CONDUCTORES'!CQ360</f>
        <v>NO SABE</v>
      </c>
      <c r="CJ360" s="15">
        <f>IF('ENCUESTA CONDUCTORES'!CR360="X",1,0)</f>
        <v>1</v>
      </c>
      <c r="CK360" s="15">
        <f>IF('ENCUESTA CONDUCTORES'!CS360="X",1,0)</f>
        <v>0</v>
      </c>
      <c r="CL360" s="15">
        <f>IF('ENCUESTA CONDUCTORES'!CT360="X",1,0)</f>
        <v>0</v>
      </c>
      <c r="CM360" s="15">
        <f>+'ENCUESTA CONDUCTORES'!CU360</f>
        <v>0</v>
      </c>
      <c r="CN360" s="15">
        <f>IF('ENCUESTA CONDUCTORES'!CV360="X",1,0)</f>
        <v>0</v>
      </c>
      <c r="CO360" s="15">
        <f>+'ENCUESTA CONDUCTORES'!CW360</f>
        <v>0</v>
      </c>
      <c r="CP360" s="15">
        <f>IF('ENCUESTA CONDUCTORES'!CX360="X",1,0)</f>
        <v>1</v>
      </c>
      <c r="CQ360" s="15">
        <f>IF('ENCUESTA CONDUCTORES'!CY360="X",1,0)</f>
        <v>1</v>
      </c>
      <c r="CR360" s="3">
        <f>+'ENCUESTA CONDUCTORES'!CZ360</f>
        <v>0</v>
      </c>
      <c r="CS360" s="49">
        <f>+'ENCUESTA CONDUCTORES'!DA360</f>
        <v>0</v>
      </c>
    </row>
    <row r="361" spans="2:97" x14ac:dyDescent="0.25">
      <c r="B361" s="14" t="str">
        <f>+'ENCUESTA CONDUCTORES'!D361</f>
        <v>C-372</v>
      </c>
      <c r="C361" s="15">
        <f>IF('ENCUESTA CONDUCTORES'!E361="X",1,0)</f>
        <v>1</v>
      </c>
      <c r="D361" s="15">
        <f>IF('ENCUESTA CONDUCTORES'!F361="X",1,0)</f>
        <v>0</v>
      </c>
      <c r="E361" s="15">
        <f>IF('ENCUESTA CONDUCTORES'!G361="X",1,0)</f>
        <v>0</v>
      </c>
      <c r="F361" s="15">
        <f>IF('ENCUESTA CONDUCTORES'!H361="X",1,0)</f>
        <v>0</v>
      </c>
      <c r="G361" s="15">
        <f>+'ENCUESTA CONDUCTORES'!I361</f>
        <v>55</v>
      </c>
      <c r="H361" s="15" t="str">
        <f>+'ENCUESTA CONDUCTORES'!J361</f>
        <v>M</v>
      </c>
      <c r="I361" s="15" t="str">
        <f>+'ENCUESTA CONDUCTORES'!K361</f>
        <v>PRIMARIA</v>
      </c>
      <c r="J361" s="15" t="str">
        <f>+'ENCUESTA CONDUCTORES'!L361</f>
        <v>LEON, GTO</v>
      </c>
      <c r="K361" s="15" t="str">
        <f>+'ENCUESTA CONDUCTORES'!M361</f>
        <v>LEON</v>
      </c>
      <c r="L361" s="15" t="str">
        <f>+'ENCUESTA CONDUCTORES'!N361</f>
        <v>GUANAJUATO</v>
      </c>
      <c r="M361" s="15">
        <f>+'ENCUESTA CONDUCTORES'!O361</f>
        <v>33</v>
      </c>
      <c r="N361" s="15">
        <f>IF('ENCUESTA CONDUCTORES'!P361="X",1,0)</f>
        <v>0</v>
      </c>
      <c r="O361" s="15">
        <f>IF('ENCUESTA CONDUCTORES'!Q361="X",1,0)</f>
        <v>0</v>
      </c>
      <c r="P361" s="15">
        <f>IF('ENCUESTA CONDUCTORES'!R361="X",1,0)</f>
        <v>0</v>
      </c>
      <c r="Q361" s="15">
        <f>IF('ENCUESTA CONDUCTORES'!S361="X",1,0)</f>
        <v>1</v>
      </c>
      <c r="R361" s="15">
        <f>IF('ENCUESTA CONDUCTORES'!T361="X",1,0)</f>
        <v>0</v>
      </c>
      <c r="S361" s="15">
        <f>IF('ENCUESTA CONDUCTORES'!U361="X",1,0)</f>
        <v>1</v>
      </c>
      <c r="T361" s="15">
        <f>IF('ENCUESTA CONDUCTORES'!V361="X",1,0)</f>
        <v>0</v>
      </c>
      <c r="U361" s="15">
        <f>IF('ENCUESTA CONDUCTORES'!W361="X",1,0)</f>
        <v>0</v>
      </c>
      <c r="V361" s="15">
        <f>IF('ENCUESTA CONDUCTORES'!X361="X",1,0)</f>
        <v>0</v>
      </c>
      <c r="W361" s="15">
        <f>IF('ENCUESTA CONDUCTORES'!Y361="X",1,0)</f>
        <v>0</v>
      </c>
      <c r="X361" s="15">
        <f>IF('ENCUESTA CONDUCTORES'!Z361="X",1,0)</f>
        <v>0</v>
      </c>
      <c r="Y361" s="15">
        <f>+'ENCUESTA CONDUCTORES'!AG361</f>
        <v>0</v>
      </c>
      <c r="Z361" s="15">
        <f>+'ENCUESTA CONDUCTORES'!AH361</f>
        <v>2004</v>
      </c>
      <c r="AA361" s="1">
        <f>+'ENCUESTA CONDUCTORES'!AI361</f>
        <v>715608</v>
      </c>
      <c r="AB361" s="15">
        <f>IF('ENCUESTA CONDUCTORES'!AJ361="X",1,0)</f>
        <v>0</v>
      </c>
      <c r="AC361" s="15">
        <f>IF('ENCUESTA CONDUCTORES'!AK361="X",1,0)</f>
        <v>0</v>
      </c>
      <c r="AD361" s="15">
        <f>IF('ENCUESTA CONDUCTORES'!AL361="X",1,0)</f>
        <v>1</v>
      </c>
      <c r="AE361" s="15">
        <f>IF('ENCUESTA CONDUCTORES'!AM361="X",1,0)</f>
        <v>0</v>
      </c>
      <c r="AF361" s="15">
        <f>IF('ENCUESTA CONDUCTORES'!AN361="X",1,0)</f>
        <v>0</v>
      </c>
      <c r="AG361" s="15">
        <f>IF('ENCUESTA CONDUCTORES'!AO361="X",1,0)</f>
        <v>0</v>
      </c>
      <c r="AH361" s="15">
        <f>IF('ENCUESTA CONDUCTORES'!AP361="X",1,0)</f>
        <v>1</v>
      </c>
      <c r="AI361" s="15">
        <f>IF('ENCUESTA CONDUCTORES'!AQ361="X",1,0)</f>
        <v>0</v>
      </c>
      <c r="AJ361" s="15">
        <f>IF('ENCUESTA CONDUCTORES'!AR361="X",1,0)</f>
        <v>0</v>
      </c>
      <c r="AK361" s="15">
        <f>+'ENCUESTA CONDUCTORES'!AS361</f>
        <v>0</v>
      </c>
      <c r="AL361" s="15" t="str">
        <f>+'ENCUESTA CONDUCTORES'!AT361</f>
        <v>CUMMINS</v>
      </c>
      <c r="AM361" s="1">
        <f>+'ENCUESTA CONDUCTORES'!AU361</f>
        <v>10000</v>
      </c>
      <c r="AN361" s="48">
        <f>+'ENCUESTA CONDUCTORES'!AV361</f>
        <v>0.05</v>
      </c>
      <c r="AO361" s="15">
        <f>+'ENCUESTA CONDUCTORES'!AW361</f>
        <v>2.7</v>
      </c>
      <c r="AP361" s="15">
        <f>+'ENCUESTA CONDUCTORES'!AX361</f>
        <v>2.4</v>
      </c>
      <c r="AQ361" s="15">
        <f>+'ENCUESTA CONDUCTORES'!AY361</f>
        <v>2</v>
      </c>
      <c r="AR361" s="15">
        <f>+'ENCUESTA CONDUCTORES'!AZ361</f>
        <v>880</v>
      </c>
      <c r="AS361" s="15">
        <f>+'ENCUESTA CONDUCTORES'!BA361</f>
        <v>2200</v>
      </c>
      <c r="AT361" s="15">
        <f>IF('ENCUESTA CONDUCTORES'!BB361="X",1,0)</f>
        <v>1</v>
      </c>
      <c r="AU361" s="15">
        <f>IF('ENCUESTA CONDUCTORES'!BC361="X",1,0)</f>
        <v>1</v>
      </c>
      <c r="AV361" s="15">
        <f>IF('ENCUESTA CONDUCTORES'!BD361="X",1,0)</f>
        <v>0</v>
      </c>
      <c r="AW361" s="1">
        <f>+'ENCUESTA CONDUCTORES'!BE361</f>
        <v>20000</v>
      </c>
      <c r="AX361" s="1">
        <f>+'ENCUESTA CONDUCTORES'!BF361</f>
        <v>120000</v>
      </c>
      <c r="AY361" s="1">
        <f>+'ENCUESTA CONDUCTORES'!BG361</f>
        <v>30000</v>
      </c>
      <c r="AZ361" s="1">
        <f>+'ENCUESTA CONDUCTORES'!BH361</f>
        <v>100000</v>
      </c>
      <c r="BA361" s="1" t="str">
        <f>+'ENCUESTA CONDUCTORES'!BI361</f>
        <v xml:space="preserve">NO SABE </v>
      </c>
      <c r="BB361" s="15">
        <f>IF('ENCUESTA CONDUCTORES'!BJ361="X",1,0)</f>
        <v>0</v>
      </c>
      <c r="BC361" s="15">
        <f>IF('ENCUESTA CONDUCTORES'!BK361="X",1,0)</f>
        <v>0</v>
      </c>
      <c r="BD361" s="15">
        <f>IF('ENCUESTA CONDUCTORES'!BL361="X",1,0)</f>
        <v>0</v>
      </c>
      <c r="BE361" s="15">
        <f>IF('ENCUESTA CONDUCTORES'!BM361="X",1,0)</f>
        <v>0</v>
      </c>
      <c r="BF361" s="15">
        <f>IF('ENCUESTA CONDUCTORES'!BN361="X",1,0)</f>
        <v>1</v>
      </c>
      <c r="BG361" s="15">
        <f>IF('ENCUESTA CONDUCTORES'!BO361="X",1,0)</f>
        <v>0</v>
      </c>
      <c r="BH361" s="15">
        <f>IF('ENCUESTA CONDUCTORES'!BP361="X",1,0)</f>
        <v>1</v>
      </c>
      <c r="BI361" s="15">
        <f>IF('ENCUESTA CONDUCTORES'!BQ361="X",1,0)</f>
        <v>0</v>
      </c>
      <c r="BJ361" s="15">
        <f>IF('ENCUESTA CONDUCTORES'!BR361="X",1,0)</f>
        <v>0</v>
      </c>
      <c r="BK361" s="15">
        <f>+'ENCUESTA CONDUCTORES'!BS361</f>
        <v>0</v>
      </c>
      <c r="BL361" s="15">
        <f>IF('ENCUESTA CONDUCTORES'!BT361="X",1,0)</f>
        <v>0</v>
      </c>
      <c r="BM361" s="15">
        <f>IF('ENCUESTA CONDUCTORES'!BU361="X",1,0)</f>
        <v>0</v>
      </c>
      <c r="BN361" s="15">
        <f>IF('ENCUESTA CONDUCTORES'!BV361="X",1,0)</f>
        <v>1</v>
      </c>
      <c r="BO361" s="15">
        <f>IF('ENCUESTA CONDUCTORES'!BW361="X",1,0)</f>
        <v>0</v>
      </c>
      <c r="BP361" s="15">
        <f>+'ENCUESTA CONDUCTORES'!BX361</f>
        <v>1</v>
      </c>
      <c r="BQ361" s="15">
        <f>+'ENCUESTA CONDUCTORES'!BY361</f>
        <v>3</v>
      </c>
      <c r="BR361" s="15">
        <f>+'ENCUESTA CONDUCTORES'!BZ361</f>
        <v>2</v>
      </c>
      <c r="BS361" s="15">
        <f>+'ENCUESTA CONDUCTORES'!CA361</f>
        <v>0</v>
      </c>
      <c r="BT361" s="15">
        <f>IF('ENCUESTA CONDUCTORES'!CB361="X",1,0)</f>
        <v>1</v>
      </c>
      <c r="BU361" s="15">
        <f>IF('ENCUESTA CONDUCTORES'!CC361="X",1,0)</f>
        <v>0</v>
      </c>
      <c r="BV361" s="15">
        <f>IF('ENCUESTA CONDUCTORES'!CD361="X",1,0)</f>
        <v>0</v>
      </c>
      <c r="BW361" s="15">
        <f>IF('ENCUESTA CONDUCTORES'!CE361="X",1,0)</f>
        <v>0</v>
      </c>
      <c r="BX361" s="15">
        <f>IF('ENCUESTA CONDUCTORES'!CF361="X",1,0)</f>
        <v>0</v>
      </c>
      <c r="BY361" s="15">
        <f>IF('ENCUESTA CONDUCTORES'!CG361="X",1,0)</f>
        <v>0</v>
      </c>
      <c r="BZ361" s="15">
        <f>IF('ENCUESTA CONDUCTORES'!CH361="X",1,0)</f>
        <v>0</v>
      </c>
      <c r="CA361" s="15">
        <f>IF('ENCUESTA CONDUCTORES'!CI361="X",1,0)</f>
        <v>0</v>
      </c>
      <c r="CB361" s="15">
        <f>IF('ENCUESTA CONDUCTORES'!CJ361="X",1,0)</f>
        <v>0</v>
      </c>
      <c r="CC361" s="15">
        <f>IF('ENCUESTA CONDUCTORES'!CK361="X",1,0)</f>
        <v>1</v>
      </c>
      <c r="CD361" s="15">
        <f>IF('ENCUESTA CONDUCTORES'!CL361="X",1,0)</f>
        <v>0</v>
      </c>
      <c r="CE361" s="15">
        <f>IF('ENCUESTA CONDUCTORES'!CM361="X",1,0)</f>
        <v>0</v>
      </c>
      <c r="CF361" s="15">
        <f>+'ENCUESTA CONDUCTORES'!CN361</f>
        <v>0</v>
      </c>
      <c r="CG361" s="15">
        <f>IF('ENCUESTA CONDUCTORES'!CO361="X",1,0)</f>
        <v>0</v>
      </c>
      <c r="CH361" s="15" t="str">
        <f>+'ENCUESTA CONDUCTORES'!CP361</f>
        <v>NO SABE</v>
      </c>
      <c r="CI361" s="15" t="str">
        <f>+'ENCUESTA CONDUCTORES'!CQ361</f>
        <v>NO SABE</v>
      </c>
      <c r="CJ361" s="15">
        <f>IF('ENCUESTA CONDUCTORES'!CR361="X",1,0)</f>
        <v>0</v>
      </c>
      <c r="CK361" s="15">
        <f>IF('ENCUESTA CONDUCTORES'!CS361="X",1,0)</f>
        <v>1</v>
      </c>
      <c r="CL361" s="15">
        <f>IF('ENCUESTA CONDUCTORES'!CT361="X",1,0)</f>
        <v>0</v>
      </c>
      <c r="CM361" s="15">
        <f>+'ENCUESTA CONDUCTORES'!CU361</f>
        <v>0</v>
      </c>
      <c r="CN361" s="15">
        <f>IF('ENCUESTA CONDUCTORES'!CV361="X",1,0)</f>
        <v>0</v>
      </c>
      <c r="CO361" s="15">
        <f>+'ENCUESTA CONDUCTORES'!CW361</f>
        <v>0</v>
      </c>
      <c r="CP361" s="15">
        <f>IF('ENCUESTA CONDUCTORES'!CX361="X",1,0)</f>
        <v>0</v>
      </c>
      <c r="CQ361" s="15">
        <f>IF('ENCUESTA CONDUCTORES'!CY361="X",1,0)</f>
        <v>1</v>
      </c>
      <c r="CR361" s="3">
        <f>+'ENCUESTA CONDUCTORES'!CZ361</f>
        <v>0</v>
      </c>
      <c r="CS361" s="49">
        <f>+'ENCUESTA CONDUCTORES'!DA361</f>
        <v>0</v>
      </c>
    </row>
    <row r="362" spans="2:97" x14ac:dyDescent="0.25">
      <c r="B362" s="14" t="str">
        <f>+'ENCUESTA CONDUCTORES'!D362</f>
        <v>C-373</v>
      </c>
      <c r="C362" s="15">
        <f>IF('ENCUESTA CONDUCTORES'!E362="X",1,0)</f>
        <v>0</v>
      </c>
      <c r="D362" s="15">
        <f>IF('ENCUESTA CONDUCTORES'!F362="X",1,0)</f>
        <v>0</v>
      </c>
      <c r="E362" s="15">
        <f>IF('ENCUESTA CONDUCTORES'!G362="X",1,0)</f>
        <v>0</v>
      </c>
      <c r="F362" s="15">
        <f>IF('ENCUESTA CONDUCTORES'!H362="X",1,0)</f>
        <v>1</v>
      </c>
      <c r="G362" s="15">
        <f>+'ENCUESTA CONDUCTORES'!I362</f>
        <v>35</v>
      </c>
      <c r="H362" s="15" t="str">
        <f>+'ENCUESTA CONDUCTORES'!J362</f>
        <v>M</v>
      </c>
      <c r="I362" s="15" t="str">
        <f>+'ENCUESTA CONDUCTORES'!K362</f>
        <v>SECUNDARIA</v>
      </c>
      <c r="J362" s="15" t="str">
        <f>+'ENCUESTA CONDUCTORES'!L362</f>
        <v>CELAYA, GTO.</v>
      </c>
      <c r="K362" s="15" t="str">
        <f>+'ENCUESTA CONDUCTORES'!M362</f>
        <v>CELAYA</v>
      </c>
      <c r="L362" s="15" t="str">
        <f>+'ENCUESTA CONDUCTORES'!N362</f>
        <v>GUANAJUATO</v>
      </c>
      <c r="M362" s="15">
        <f>+'ENCUESTA CONDUCTORES'!O362</f>
        <v>17</v>
      </c>
      <c r="N362" s="15">
        <f>IF('ENCUESTA CONDUCTORES'!P362="X",1,0)</f>
        <v>0</v>
      </c>
      <c r="O362" s="15">
        <f>IF('ENCUESTA CONDUCTORES'!Q362="X",1,0)</f>
        <v>0</v>
      </c>
      <c r="P362" s="15">
        <f>IF('ENCUESTA CONDUCTORES'!R362="X",1,0)</f>
        <v>0</v>
      </c>
      <c r="Q362" s="15">
        <f>IF('ENCUESTA CONDUCTORES'!S362="X",1,0)</f>
        <v>1</v>
      </c>
      <c r="R362" s="15">
        <f>IF('ENCUESTA CONDUCTORES'!T362="X",1,0)</f>
        <v>0</v>
      </c>
      <c r="S362" s="15">
        <f>IF('ENCUESTA CONDUCTORES'!U362="X",1,0)</f>
        <v>0</v>
      </c>
      <c r="T362" s="15">
        <f>IF('ENCUESTA CONDUCTORES'!V362="X",1,0)</f>
        <v>0</v>
      </c>
      <c r="U362" s="15">
        <f>IF('ENCUESTA CONDUCTORES'!W362="X",1,0)</f>
        <v>0</v>
      </c>
      <c r="V362" s="15">
        <f>IF('ENCUESTA CONDUCTORES'!X362="X",1,0)</f>
        <v>0</v>
      </c>
      <c r="W362" s="15">
        <f>IF('ENCUESTA CONDUCTORES'!Y362="X",1,0)</f>
        <v>0</v>
      </c>
      <c r="X362" s="15">
        <f>IF('ENCUESTA CONDUCTORES'!Z362="X",1,0)</f>
        <v>0</v>
      </c>
      <c r="Y362" s="15">
        <f>+'ENCUESTA CONDUCTORES'!AG362</f>
        <v>0</v>
      </c>
      <c r="Z362" s="15">
        <f>+'ENCUESTA CONDUCTORES'!AH362</f>
        <v>2008</v>
      </c>
      <c r="AA362" s="1">
        <f>+'ENCUESTA CONDUCTORES'!AI362</f>
        <v>517629</v>
      </c>
      <c r="AB362" s="15">
        <f>IF('ENCUESTA CONDUCTORES'!AJ362="X",1,0)</f>
        <v>0</v>
      </c>
      <c r="AC362" s="15">
        <f>IF('ENCUESTA CONDUCTORES'!AK362="X",1,0)</f>
        <v>0</v>
      </c>
      <c r="AD362" s="15">
        <f>IF('ENCUESTA CONDUCTORES'!AL362="X",1,0)</f>
        <v>1</v>
      </c>
      <c r="AE362" s="15">
        <f>IF('ENCUESTA CONDUCTORES'!AM362="X",1,0)</f>
        <v>0</v>
      </c>
      <c r="AF362" s="15">
        <f>IF('ENCUESTA CONDUCTORES'!AN362="X",1,0)</f>
        <v>0</v>
      </c>
      <c r="AG362" s="15">
        <f>IF('ENCUESTA CONDUCTORES'!AO362="X",1,0)</f>
        <v>0</v>
      </c>
      <c r="AH362" s="15">
        <f>IF('ENCUESTA CONDUCTORES'!AP362="X",1,0)</f>
        <v>1</v>
      </c>
      <c r="AI362" s="15">
        <f>IF('ENCUESTA CONDUCTORES'!AQ362="X",1,0)</f>
        <v>0</v>
      </c>
      <c r="AJ362" s="15">
        <f>IF('ENCUESTA CONDUCTORES'!AR362="X",1,0)</f>
        <v>0</v>
      </c>
      <c r="AK362" s="15">
        <f>+'ENCUESTA CONDUCTORES'!AS362</f>
        <v>0</v>
      </c>
      <c r="AL362" s="15" t="str">
        <f>+'ENCUESTA CONDUCTORES'!AT362</f>
        <v>DETROIT</v>
      </c>
      <c r="AM362" s="1">
        <f>+'ENCUESTA CONDUCTORES'!AU362</f>
        <v>10000</v>
      </c>
      <c r="AN362" s="48">
        <f>+'ENCUESTA CONDUCTORES'!AV362</f>
        <v>0.4</v>
      </c>
      <c r="AO362" s="15">
        <f>+'ENCUESTA CONDUCTORES'!AW362</f>
        <v>1.6</v>
      </c>
      <c r="AP362" s="15">
        <f>+'ENCUESTA CONDUCTORES'!AX362</f>
        <v>1.4</v>
      </c>
      <c r="AQ362" s="15">
        <f>+'ENCUESTA CONDUCTORES'!AY362</f>
        <v>2</v>
      </c>
      <c r="AR362" s="15">
        <f>+'ENCUESTA CONDUCTORES'!AZ362</f>
        <v>1000</v>
      </c>
      <c r="AS362" s="15">
        <f>+'ENCUESTA CONDUCTORES'!BA362</f>
        <v>1500</v>
      </c>
      <c r="AT362" s="15">
        <f>IF('ENCUESTA CONDUCTORES'!BB362="X",1,0)</f>
        <v>1</v>
      </c>
      <c r="AU362" s="15">
        <f>IF('ENCUESTA CONDUCTORES'!BC362="X",1,0)</f>
        <v>1</v>
      </c>
      <c r="AV362" s="15">
        <f>IF('ENCUESTA CONDUCTORES'!BD362="X",1,0)</f>
        <v>0</v>
      </c>
      <c r="AW362" s="1">
        <f>+'ENCUESTA CONDUCTORES'!BE362</f>
        <v>20000</v>
      </c>
      <c r="AX362" s="1">
        <f>+'ENCUESTA CONDUCTORES'!BF362</f>
        <v>80000</v>
      </c>
      <c r="AY362" s="1">
        <f>+'ENCUESTA CONDUCTORES'!BG362</f>
        <v>20000</v>
      </c>
      <c r="AZ362" s="1">
        <f>+'ENCUESTA CONDUCTORES'!BH362</f>
        <v>80000</v>
      </c>
      <c r="BA362" s="1" t="str">
        <f>+'ENCUESTA CONDUCTORES'!BI362</f>
        <v xml:space="preserve">NO SABE </v>
      </c>
      <c r="BB362" s="15">
        <f>IF('ENCUESTA CONDUCTORES'!BJ362="X",1,0)</f>
        <v>0</v>
      </c>
      <c r="BC362" s="15">
        <f>IF('ENCUESTA CONDUCTORES'!BK362="X",1,0)</f>
        <v>0</v>
      </c>
      <c r="BD362" s="15">
        <f>IF('ENCUESTA CONDUCTORES'!BL362="X",1,0)</f>
        <v>0</v>
      </c>
      <c r="BE362" s="15">
        <f>IF('ENCUESTA CONDUCTORES'!BM362="X",1,0)</f>
        <v>0</v>
      </c>
      <c r="BF362" s="15">
        <f>IF('ENCUESTA CONDUCTORES'!BN362="X",1,0)</f>
        <v>1</v>
      </c>
      <c r="BG362" s="15">
        <f>IF('ENCUESTA CONDUCTORES'!BO362="X",1,0)</f>
        <v>0</v>
      </c>
      <c r="BH362" s="15">
        <f>IF('ENCUESTA CONDUCTORES'!BP362="X",1,0)</f>
        <v>0</v>
      </c>
      <c r="BI362" s="15">
        <f>IF('ENCUESTA CONDUCTORES'!BQ362="X",1,0)</f>
        <v>0</v>
      </c>
      <c r="BJ362" s="15">
        <f>IF('ENCUESTA CONDUCTORES'!BR362="X",1,0)</f>
        <v>0</v>
      </c>
      <c r="BK362" s="15">
        <f>+'ENCUESTA CONDUCTORES'!BS362</f>
        <v>0</v>
      </c>
      <c r="BL362" s="15">
        <f>IF('ENCUESTA CONDUCTORES'!BT362="X",1,0)</f>
        <v>0</v>
      </c>
      <c r="BM362" s="15">
        <f>IF('ENCUESTA CONDUCTORES'!BU362="X",1,0)</f>
        <v>0</v>
      </c>
      <c r="BN362" s="15">
        <f>IF('ENCUESTA CONDUCTORES'!BV362="X",1,0)</f>
        <v>1</v>
      </c>
      <c r="BO362" s="15">
        <f>IF('ENCUESTA CONDUCTORES'!BW362="X",1,0)</f>
        <v>0</v>
      </c>
      <c r="BP362" s="15">
        <f>+'ENCUESTA CONDUCTORES'!BX362</f>
        <v>1</v>
      </c>
      <c r="BQ362" s="15">
        <f>+'ENCUESTA CONDUCTORES'!BY362</f>
        <v>2</v>
      </c>
      <c r="BR362" s="15">
        <f>+'ENCUESTA CONDUCTORES'!BZ362</f>
        <v>3</v>
      </c>
      <c r="BS362" s="15">
        <f>+'ENCUESTA CONDUCTORES'!CA362</f>
        <v>0</v>
      </c>
      <c r="BT362" s="15">
        <f>IF('ENCUESTA CONDUCTORES'!CB362="X",1,0)</f>
        <v>1</v>
      </c>
      <c r="BU362" s="15">
        <f>IF('ENCUESTA CONDUCTORES'!CC362="X",1,0)</f>
        <v>0</v>
      </c>
      <c r="BV362" s="15">
        <f>IF('ENCUESTA CONDUCTORES'!CD362="X",1,0)</f>
        <v>0</v>
      </c>
      <c r="BW362" s="15">
        <f>IF('ENCUESTA CONDUCTORES'!CE362="X",1,0)</f>
        <v>0</v>
      </c>
      <c r="BX362" s="15">
        <f>IF('ENCUESTA CONDUCTORES'!CF362="X",1,0)</f>
        <v>0</v>
      </c>
      <c r="BY362" s="15">
        <f>IF('ENCUESTA CONDUCTORES'!CG362="X",1,0)</f>
        <v>0</v>
      </c>
      <c r="BZ362" s="15">
        <f>IF('ENCUESTA CONDUCTORES'!CH362="X",1,0)</f>
        <v>0</v>
      </c>
      <c r="CA362" s="15">
        <f>IF('ENCUESTA CONDUCTORES'!CI362="X",1,0)</f>
        <v>0</v>
      </c>
      <c r="CB362" s="15">
        <f>IF('ENCUESTA CONDUCTORES'!CJ362="X",1,0)</f>
        <v>0</v>
      </c>
      <c r="CC362" s="15">
        <f>IF('ENCUESTA CONDUCTORES'!CK362="X",1,0)</f>
        <v>1</v>
      </c>
      <c r="CD362" s="15">
        <f>IF('ENCUESTA CONDUCTORES'!CL362="X",1,0)</f>
        <v>0</v>
      </c>
      <c r="CE362" s="15">
        <f>IF('ENCUESTA CONDUCTORES'!CM362="X",1,0)</f>
        <v>0</v>
      </c>
      <c r="CF362" s="15">
        <f>+'ENCUESTA CONDUCTORES'!CN362</f>
        <v>0</v>
      </c>
      <c r="CG362" s="15">
        <f>IF('ENCUESTA CONDUCTORES'!CO362="X",1,0)</f>
        <v>0</v>
      </c>
      <c r="CH362" s="15" t="str">
        <f>+'ENCUESTA CONDUCTORES'!CP362</f>
        <v>NO SABE</v>
      </c>
      <c r="CI362" s="15" t="str">
        <f>+'ENCUESTA CONDUCTORES'!CQ362</f>
        <v>NO SABE</v>
      </c>
      <c r="CJ362" s="15">
        <f>IF('ENCUESTA CONDUCTORES'!CR362="X",1,0)</f>
        <v>0</v>
      </c>
      <c r="CK362" s="15">
        <f>IF('ENCUESTA CONDUCTORES'!CS362="X",1,0)</f>
        <v>0</v>
      </c>
      <c r="CL362" s="15">
        <f>IF('ENCUESTA CONDUCTORES'!CT362="X",1,0)</f>
        <v>1</v>
      </c>
      <c r="CM362" s="15">
        <f>+'ENCUESTA CONDUCTORES'!CU362</f>
        <v>0</v>
      </c>
      <c r="CN362" s="15">
        <f>IF('ENCUESTA CONDUCTORES'!CV362="X",1,0)</f>
        <v>0</v>
      </c>
      <c r="CO362" s="15">
        <f>+'ENCUESTA CONDUCTORES'!CW362</f>
        <v>0</v>
      </c>
      <c r="CP362" s="15">
        <f>IF('ENCUESTA CONDUCTORES'!CX362="X",1,0)</f>
        <v>1</v>
      </c>
      <c r="CQ362" s="15">
        <f>IF('ENCUESTA CONDUCTORES'!CY362="X",1,0)</f>
        <v>0</v>
      </c>
      <c r="CR362" s="3">
        <f>+'ENCUESTA CONDUCTORES'!CZ362</f>
        <v>0</v>
      </c>
      <c r="CS362" s="49">
        <f>+'ENCUESTA CONDUCTORES'!DA362</f>
        <v>0</v>
      </c>
    </row>
    <row r="363" spans="2:97" x14ac:dyDescent="0.25">
      <c r="B363" s="14" t="str">
        <f>+'ENCUESTA CONDUCTORES'!D363</f>
        <v>C-374</v>
      </c>
      <c r="C363" s="15">
        <f>IF('ENCUESTA CONDUCTORES'!E363="X",1,0)</f>
        <v>1</v>
      </c>
      <c r="D363" s="15">
        <f>IF('ENCUESTA CONDUCTORES'!F363="X",1,0)</f>
        <v>0</v>
      </c>
      <c r="E363" s="15">
        <f>IF('ENCUESTA CONDUCTORES'!G363="X",1,0)</f>
        <v>0</v>
      </c>
      <c r="F363" s="15">
        <f>IF('ENCUESTA CONDUCTORES'!H363="X",1,0)</f>
        <v>0</v>
      </c>
      <c r="G363" s="15">
        <f>+'ENCUESTA CONDUCTORES'!I363</f>
        <v>23</v>
      </c>
      <c r="H363" s="15" t="str">
        <f>+'ENCUESTA CONDUCTORES'!J363</f>
        <v>M</v>
      </c>
      <c r="I363" s="15" t="str">
        <f>+'ENCUESTA CONDUCTORES'!K363</f>
        <v>SECUNDARIA</v>
      </c>
      <c r="J363" s="15" t="str">
        <f>+'ENCUESTA CONDUCTORES'!L363</f>
        <v>ROMITA, GTO.</v>
      </c>
      <c r="K363" s="15" t="str">
        <f>+'ENCUESTA CONDUCTORES'!M363</f>
        <v>ROMITA</v>
      </c>
      <c r="L363" s="15" t="str">
        <f>+'ENCUESTA CONDUCTORES'!N363</f>
        <v>GUANAJUATO</v>
      </c>
      <c r="M363" s="15">
        <f>+'ENCUESTA CONDUCTORES'!O363</f>
        <v>5</v>
      </c>
      <c r="N363" s="15">
        <f>IF('ENCUESTA CONDUCTORES'!P363="X",1,0)</f>
        <v>0</v>
      </c>
      <c r="O363" s="15">
        <f>IF('ENCUESTA CONDUCTORES'!Q363="X",1,0)</f>
        <v>0</v>
      </c>
      <c r="P363" s="15">
        <f>IF('ENCUESTA CONDUCTORES'!R363="X",1,0)</f>
        <v>0</v>
      </c>
      <c r="Q363" s="15">
        <f>IF('ENCUESTA CONDUCTORES'!S363="X",1,0)</f>
        <v>1</v>
      </c>
      <c r="R363" s="15">
        <f>IF('ENCUESTA CONDUCTORES'!T363="X",1,0)</f>
        <v>0</v>
      </c>
      <c r="S363" s="15">
        <f>IF('ENCUESTA CONDUCTORES'!U363="X",1,0)</f>
        <v>1</v>
      </c>
      <c r="T363" s="15">
        <f>IF('ENCUESTA CONDUCTORES'!V363="X",1,0)</f>
        <v>0</v>
      </c>
      <c r="U363" s="15">
        <f>IF('ENCUESTA CONDUCTORES'!W363="X",1,0)</f>
        <v>0</v>
      </c>
      <c r="V363" s="15">
        <f>IF('ENCUESTA CONDUCTORES'!X363="X",1,0)</f>
        <v>0</v>
      </c>
      <c r="W363" s="15">
        <f>IF('ENCUESTA CONDUCTORES'!Y363="X",1,0)</f>
        <v>0</v>
      </c>
      <c r="X363" s="15">
        <f>IF('ENCUESTA CONDUCTORES'!Z363="X",1,0)</f>
        <v>0</v>
      </c>
      <c r="Y363" s="15">
        <f>+'ENCUESTA CONDUCTORES'!AG363</f>
        <v>0</v>
      </c>
      <c r="Z363" s="15">
        <f>+'ENCUESTA CONDUCTORES'!AH363</f>
        <v>2006</v>
      </c>
      <c r="AA363" s="1">
        <f>+'ENCUESTA CONDUCTORES'!AI363</f>
        <v>712601</v>
      </c>
      <c r="AB363" s="15">
        <f>IF('ENCUESTA CONDUCTORES'!AJ363="X",1,0)</f>
        <v>0</v>
      </c>
      <c r="AC363" s="15">
        <f>IF('ENCUESTA CONDUCTORES'!AK363="X",1,0)</f>
        <v>0</v>
      </c>
      <c r="AD363" s="15">
        <f>IF('ENCUESTA CONDUCTORES'!AL363="X",1,0)</f>
        <v>1</v>
      </c>
      <c r="AE363" s="15">
        <f>IF('ENCUESTA CONDUCTORES'!AM363="X",1,0)</f>
        <v>0</v>
      </c>
      <c r="AF363" s="15">
        <f>IF('ENCUESTA CONDUCTORES'!AN363="X",1,0)</f>
        <v>0</v>
      </c>
      <c r="AG363" s="15">
        <f>IF('ENCUESTA CONDUCTORES'!AO363="X",1,0)</f>
        <v>0</v>
      </c>
      <c r="AH363" s="15">
        <f>IF('ENCUESTA CONDUCTORES'!AP363="X",1,0)</f>
        <v>1</v>
      </c>
      <c r="AI363" s="15">
        <f>IF('ENCUESTA CONDUCTORES'!AQ363="X",1,0)</f>
        <v>0</v>
      </c>
      <c r="AJ363" s="15">
        <f>IF('ENCUESTA CONDUCTORES'!AR363="X",1,0)</f>
        <v>0</v>
      </c>
      <c r="AK363" s="15">
        <f>+'ENCUESTA CONDUCTORES'!AS363</f>
        <v>0</v>
      </c>
      <c r="AL363" s="15" t="str">
        <f>+'ENCUESTA CONDUCTORES'!AT363</f>
        <v>CUMMINS</v>
      </c>
      <c r="AM363" s="1">
        <f>+'ENCUESTA CONDUCTORES'!AU363</f>
        <v>10000</v>
      </c>
      <c r="AN363" s="48">
        <f>+'ENCUESTA CONDUCTORES'!AV363</f>
        <v>0.3</v>
      </c>
      <c r="AO363" s="15">
        <f>+'ENCUESTA CONDUCTORES'!AW363</f>
        <v>2.8</v>
      </c>
      <c r="AP363" s="15">
        <f>+'ENCUESTA CONDUCTORES'!AX363</f>
        <v>2.5</v>
      </c>
      <c r="AQ363" s="15">
        <f>+'ENCUESTA CONDUCTORES'!AY363</f>
        <v>2</v>
      </c>
      <c r="AR363" s="15">
        <f>+'ENCUESTA CONDUCTORES'!AZ363</f>
        <v>810</v>
      </c>
      <c r="AS363" s="15">
        <f>+'ENCUESTA CONDUCTORES'!BA363</f>
        <v>2200</v>
      </c>
      <c r="AT363" s="15">
        <f>IF('ENCUESTA CONDUCTORES'!BB363="X",1,0)</f>
        <v>1</v>
      </c>
      <c r="AU363" s="15">
        <f>IF('ENCUESTA CONDUCTORES'!BC363="X",1,0)</f>
        <v>0</v>
      </c>
      <c r="AV363" s="15">
        <f>IF('ENCUESTA CONDUCTORES'!BD363="X",1,0)</f>
        <v>0</v>
      </c>
      <c r="AW363" s="1">
        <f>+'ENCUESTA CONDUCTORES'!BE363</f>
        <v>18000</v>
      </c>
      <c r="AX363" s="1">
        <f>+'ENCUESTA CONDUCTORES'!BF363</f>
        <v>120000</v>
      </c>
      <c r="AY363" s="1">
        <f>+'ENCUESTA CONDUCTORES'!BG363</f>
        <v>24000</v>
      </c>
      <c r="AZ363" s="1">
        <f>+'ENCUESTA CONDUCTORES'!BH363</f>
        <v>120000</v>
      </c>
      <c r="BA363" s="1" t="str">
        <f>+'ENCUESTA CONDUCTORES'!BI363</f>
        <v xml:space="preserve">NO SABE </v>
      </c>
      <c r="BB363" s="15">
        <f>IF('ENCUESTA CONDUCTORES'!BJ363="X",1,0)</f>
        <v>0</v>
      </c>
      <c r="BC363" s="15">
        <f>IF('ENCUESTA CONDUCTORES'!BK363="X",1,0)</f>
        <v>0</v>
      </c>
      <c r="BD363" s="15">
        <f>IF('ENCUESTA CONDUCTORES'!BL363="X",1,0)</f>
        <v>0</v>
      </c>
      <c r="BE363" s="15">
        <f>IF('ENCUESTA CONDUCTORES'!BM363="X",1,0)</f>
        <v>0</v>
      </c>
      <c r="BF363" s="15">
        <f>IF('ENCUESTA CONDUCTORES'!BN363="X",1,0)</f>
        <v>1</v>
      </c>
      <c r="BG363" s="15">
        <f>IF('ENCUESTA CONDUCTORES'!BO363="X",1,0)</f>
        <v>0</v>
      </c>
      <c r="BH363" s="15">
        <f>IF('ENCUESTA CONDUCTORES'!BP363="X",1,0)</f>
        <v>1</v>
      </c>
      <c r="BI363" s="15">
        <f>IF('ENCUESTA CONDUCTORES'!BQ363="X",1,0)</f>
        <v>0</v>
      </c>
      <c r="BJ363" s="15">
        <f>IF('ENCUESTA CONDUCTORES'!BR363="X",1,0)</f>
        <v>0</v>
      </c>
      <c r="BK363" s="15">
        <f>+'ENCUESTA CONDUCTORES'!BS363</f>
        <v>0</v>
      </c>
      <c r="BL363" s="15">
        <f>IF('ENCUESTA CONDUCTORES'!BT363="X",1,0)</f>
        <v>0</v>
      </c>
      <c r="BM363" s="15">
        <f>IF('ENCUESTA CONDUCTORES'!BU363="X",1,0)</f>
        <v>0</v>
      </c>
      <c r="BN363" s="15">
        <f>IF('ENCUESTA CONDUCTORES'!BV363="X",1,0)</f>
        <v>1</v>
      </c>
      <c r="BO363" s="15">
        <f>IF('ENCUESTA CONDUCTORES'!BW363="X",1,0)</f>
        <v>0</v>
      </c>
      <c r="BP363" s="15">
        <f>+'ENCUESTA CONDUCTORES'!BX363</f>
        <v>1</v>
      </c>
      <c r="BQ363" s="15">
        <f>+'ENCUESTA CONDUCTORES'!BY363</f>
        <v>3</v>
      </c>
      <c r="BR363" s="15">
        <f>+'ENCUESTA CONDUCTORES'!BZ363</f>
        <v>2</v>
      </c>
      <c r="BS363" s="15">
        <f>+'ENCUESTA CONDUCTORES'!CA363</f>
        <v>0</v>
      </c>
      <c r="BT363" s="15">
        <f>IF('ENCUESTA CONDUCTORES'!CB363="X",1,0)</f>
        <v>1</v>
      </c>
      <c r="BU363" s="15">
        <f>IF('ENCUESTA CONDUCTORES'!CC363="X",1,0)</f>
        <v>0</v>
      </c>
      <c r="BV363" s="15">
        <f>IF('ENCUESTA CONDUCTORES'!CD363="X",1,0)</f>
        <v>0</v>
      </c>
      <c r="BW363" s="15">
        <f>IF('ENCUESTA CONDUCTORES'!CE363="X",1,0)</f>
        <v>0</v>
      </c>
      <c r="BX363" s="15">
        <f>IF('ENCUESTA CONDUCTORES'!CF363="X",1,0)</f>
        <v>0</v>
      </c>
      <c r="BY363" s="15">
        <f>IF('ENCUESTA CONDUCTORES'!CG363="X",1,0)</f>
        <v>0</v>
      </c>
      <c r="BZ363" s="15">
        <f>IF('ENCUESTA CONDUCTORES'!CH363="X",1,0)</f>
        <v>0</v>
      </c>
      <c r="CA363" s="15">
        <f>IF('ENCUESTA CONDUCTORES'!CI363="X",1,0)</f>
        <v>0</v>
      </c>
      <c r="CB363" s="15">
        <f>IF('ENCUESTA CONDUCTORES'!CJ363="X",1,0)</f>
        <v>0</v>
      </c>
      <c r="CC363" s="15">
        <f>IF('ENCUESTA CONDUCTORES'!CK363="X",1,0)</f>
        <v>1</v>
      </c>
      <c r="CD363" s="15">
        <f>IF('ENCUESTA CONDUCTORES'!CL363="X",1,0)</f>
        <v>0</v>
      </c>
      <c r="CE363" s="15">
        <f>IF('ENCUESTA CONDUCTORES'!CM363="X",1,0)</f>
        <v>0</v>
      </c>
      <c r="CF363" s="15">
        <f>+'ENCUESTA CONDUCTORES'!CN363</f>
        <v>0</v>
      </c>
      <c r="CG363" s="15">
        <f>IF('ENCUESTA CONDUCTORES'!CO363="X",1,0)</f>
        <v>0</v>
      </c>
      <c r="CH363" s="15" t="str">
        <f>+'ENCUESTA CONDUCTORES'!CP363</f>
        <v>NO SABE</v>
      </c>
      <c r="CI363" s="15" t="str">
        <f>+'ENCUESTA CONDUCTORES'!CQ363</f>
        <v>NO SABE</v>
      </c>
      <c r="CJ363" s="15">
        <f>IF('ENCUESTA CONDUCTORES'!CR363="X",1,0)</f>
        <v>1</v>
      </c>
      <c r="CK363" s="15">
        <f>IF('ENCUESTA CONDUCTORES'!CS363="X",1,0)</f>
        <v>0</v>
      </c>
      <c r="CL363" s="15">
        <f>IF('ENCUESTA CONDUCTORES'!CT363="X",1,0)</f>
        <v>0</v>
      </c>
      <c r="CM363" s="15">
        <f>+'ENCUESTA CONDUCTORES'!CU363</f>
        <v>0</v>
      </c>
      <c r="CN363" s="15">
        <f>IF('ENCUESTA CONDUCTORES'!CV363="X",1,0)</f>
        <v>0</v>
      </c>
      <c r="CO363" s="15">
        <f>+'ENCUESTA CONDUCTORES'!CW363</f>
        <v>0</v>
      </c>
      <c r="CP363" s="15">
        <f>IF('ENCUESTA CONDUCTORES'!CX363="X",1,0)</f>
        <v>1</v>
      </c>
      <c r="CQ363" s="15">
        <f>IF('ENCUESTA CONDUCTORES'!CY363="X",1,0)</f>
        <v>1</v>
      </c>
      <c r="CR363" s="3">
        <f>+'ENCUESTA CONDUCTORES'!CZ363</f>
        <v>0</v>
      </c>
      <c r="CS363" s="49">
        <f>+'ENCUESTA CONDUCTORES'!DA363</f>
        <v>0</v>
      </c>
    </row>
    <row r="364" spans="2:97" x14ac:dyDescent="0.25">
      <c r="B364" s="14" t="str">
        <f>+'ENCUESTA CONDUCTORES'!D364</f>
        <v>C-375</v>
      </c>
      <c r="C364" s="15">
        <f>IF('ENCUESTA CONDUCTORES'!E364="X",1,0)</f>
        <v>0</v>
      </c>
      <c r="D364" s="15">
        <f>IF('ENCUESTA CONDUCTORES'!F364="X",1,0)</f>
        <v>0</v>
      </c>
      <c r="E364" s="15">
        <f>IF('ENCUESTA CONDUCTORES'!G364="X",1,0)</f>
        <v>0</v>
      </c>
      <c r="F364" s="15">
        <f>IF('ENCUESTA CONDUCTORES'!H364="X",1,0)</f>
        <v>1</v>
      </c>
      <c r="G364" s="15">
        <f>+'ENCUESTA CONDUCTORES'!I364</f>
        <v>31</v>
      </c>
      <c r="H364" s="15" t="str">
        <f>+'ENCUESTA CONDUCTORES'!J364</f>
        <v>M</v>
      </c>
      <c r="I364" s="15" t="str">
        <f>+'ENCUESTA CONDUCTORES'!K364</f>
        <v>SECUNDARIA</v>
      </c>
      <c r="J364" s="15" t="str">
        <f>+'ENCUESTA CONDUCTORES'!L364</f>
        <v>LEON, GTO</v>
      </c>
      <c r="K364" s="15" t="str">
        <f>+'ENCUESTA CONDUCTORES'!M364</f>
        <v>LEON</v>
      </c>
      <c r="L364" s="15" t="str">
        <f>+'ENCUESTA CONDUCTORES'!N364</f>
        <v>GUANAJUATO</v>
      </c>
      <c r="M364" s="15">
        <f>+'ENCUESTA CONDUCTORES'!O364</f>
        <v>6</v>
      </c>
      <c r="N364" s="15">
        <f>IF('ENCUESTA CONDUCTORES'!P364="X",1,0)</f>
        <v>0</v>
      </c>
      <c r="O364" s="15">
        <f>IF('ENCUESTA CONDUCTORES'!Q364="X",1,0)</f>
        <v>0</v>
      </c>
      <c r="P364" s="15">
        <f>IF('ENCUESTA CONDUCTORES'!R364="X",1,0)</f>
        <v>0</v>
      </c>
      <c r="Q364" s="15">
        <f>IF('ENCUESTA CONDUCTORES'!S364="X",1,0)</f>
        <v>1</v>
      </c>
      <c r="R364" s="15">
        <f>IF('ENCUESTA CONDUCTORES'!T364="X",1,0)</f>
        <v>0</v>
      </c>
      <c r="S364" s="15">
        <f>IF('ENCUESTA CONDUCTORES'!U364="X",1,0)</f>
        <v>1</v>
      </c>
      <c r="T364" s="15">
        <f>IF('ENCUESTA CONDUCTORES'!V364="X",1,0)</f>
        <v>0</v>
      </c>
      <c r="U364" s="15">
        <f>IF('ENCUESTA CONDUCTORES'!W364="X",1,0)</f>
        <v>0</v>
      </c>
      <c r="V364" s="15">
        <f>IF('ENCUESTA CONDUCTORES'!X364="X",1,0)</f>
        <v>0</v>
      </c>
      <c r="W364" s="15">
        <f>IF('ENCUESTA CONDUCTORES'!Y364="X",1,0)</f>
        <v>0</v>
      </c>
      <c r="X364" s="15">
        <f>IF('ENCUESTA CONDUCTORES'!Z364="X",1,0)</f>
        <v>0</v>
      </c>
      <c r="Y364" s="15">
        <f>+'ENCUESTA CONDUCTORES'!AG364</f>
        <v>0</v>
      </c>
      <c r="Z364" s="15">
        <f>+'ENCUESTA CONDUCTORES'!AH364</f>
        <v>2008</v>
      </c>
      <c r="AA364" s="1">
        <f>+'ENCUESTA CONDUCTORES'!AI364</f>
        <v>453115</v>
      </c>
      <c r="AB364" s="15">
        <f>IF('ENCUESTA CONDUCTORES'!AJ364="X",1,0)</f>
        <v>0</v>
      </c>
      <c r="AC364" s="15">
        <f>IF('ENCUESTA CONDUCTORES'!AK364="X",1,0)</f>
        <v>0</v>
      </c>
      <c r="AD364" s="15">
        <f>IF('ENCUESTA CONDUCTORES'!AL364="X",1,0)</f>
        <v>1</v>
      </c>
      <c r="AE364" s="15">
        <f>IF('ENCUESTA CONDUCTORES'!AM364="X",1,0)</f>
        <v>0</v>
      </c>
      <c r="AF364" s="15">
        <f>IF('ENCUESTA CONDUCTORES'!AN364="X",1,0)</f>
        <v>0</v>
      </c>
      <c r="AG364" s="15">
        <f>IF('ENCUESTA CONDUCTORES'!AO364="X",1,0)</f>
        <v>0</v>
      </c>
      <c r="AH364" s="15">
        <f>IF('ENCUESTA CONDUCTORES'!AP364="X",1,0)</f>
        <v>1</v>
      </c>
      <c r="AI364" s="15">
        <f>IF('ENCUESTA CONDUCTORES'!AQ364="X",1,0)</f>
        <v>0</v>
      </c>
      <c r="AJ364" s="15">
        <f>IF('ENCUESTA CONDUCTORES'!AR364="X",1,0)</f>
        <v>0</v>
      </c>
      <c r="AK364" s="15">
        <f>+'ENCUESTA CONDUCTORES'!AS364</f>
        <v>0</v>
      </c>
      <c r="AL364" s="15" t="str">
        <f>+'ENCUESTA CONDUCTORES'!AT364</f>
        <v>CUMMINS</v>
      </c>
      <c r="AM364" s="1">
        <f>+'ENCUESTA CONDUCTORES'!AU364</f>
        <v>12000</v>
      </c>
      <c r="AN364" s="48">
        <f>+'ENCUESTA CONDUCTORES'!AV364</f>
        <v>0.5</v>
      </c>
      <c r="AO364" s="15">
        <f>+'ENCUESTA CONDUCTORES'!AW364</f>
        <v>2.7</v>
      </c>
      <c r="AP364" s="15">
        <f>+'ENCUESTA CONDUCTORES'!AX364</f>
        <v>2.5</v>
      </c>
      <c r="AQ364" s="15">
        <f>+'ENCUESTA CONDUCTORES'!AY364</f>
        <v>2</v>
      </c>
      <c r="AR364" s="15">
        <f>+'ENCUESTA CONDUCTORES'!AZ364</f>
        <v>960</v>
      </c>
      <c r="AS364" s="15">
        <f>+'ENCUESTA CONDUCTORES'!BA364</f>
        <v>2500</v>
      </c>
      <c r="AT364" s="15">
        <f>IF('ENCUESTA CONDUCTORES'!BB364="X",1,0)</f>
        <v>1</v>
      </c>
      <c r="AU364" s="15">
        <f>IF('ENCUESTA CONDUCTORES'!BC364="X",1,0)</f>
        <v>1</v>
      </c>
      <c r="AV364" s="15">
        <f>IF('ENCUESTA CONDUCTORES'!BD364="X",1,0)</f>
        <v>0</v>
      </c>
      <c r="AW364" s="1">
        <f>+'ENCUESTA CONDUCTORES'!BE364</f>
        <v>24000</v>
      </c>
      <c r="AX364" s="1">
        <f>+'ENCUESTA CONDUCTORES'!BF364</f>
        <v>140000</v>
      </c>
      <c r="AY364" s="1">
        <f>+'ENCUESTA CONDUCTORES'!BG364</f>
        <v>24000</v>
      </c>
      <c r="AZ364" s="1">
        <f>+'ENCUESTA CONDUCTORES'!BH364</f>
        <v>120000</v>
      </c>
      <c r="BA364" s="1" t="str">
        <f>+'ENCUESTA CONDUCTORES'!BI364</f>
        <v>NO SABE</v>
      </c>
      <c r="BB364" s="15">
        <f>IF('ENCUESTA CONDUCTORES'!BJ364="X",1,0)</f>
        <v>0</v>
      </c>
      <c r="BC364" s="15">
        <f>IF('ENCUESTA CONDUCTORES'!BK364="X",1,0)</f>
        <v>0</v>
      </c>
      <c r="BD364" s="15">
        <f>IF('ENCUESTA CONDUCTORES'!BL364="X",1,0)</f>
        <v>0</v>
      </c>
      <c r="BE364" s="15">
        <f>IF('ENCUESTA CONDUCTORES'!BM364="X",1,0)</f>
        <v>1</v>
      </c>
      <c r="BF364" s="15">
        <f>IF('ENCUESTA CONDUCTORES'!BN364="X",1,0)</f>
        <v>1</v>
      </c>
      <c r="BG364" s="15">
        <f>IF('ENCUESTA CONDUCTORES'!BO364="X",1,0)</f>
        <v>0</v>
      </c>
      <c r="BH364" s="15">
        <f>IF('ENCUESTA CONDUCTORES'!BP364="X",1,0)</f>
        <v>1</v>
      </c>
      <c r="BI364" s="15">
        <f>IF('ENCUESTA CONDUCTORES'!BQ364="X",1,0)</f>
        <v>0</v>
      </c>
      <c r="BJ364" s="15">
        <f>IF('ENCUESTA CONDUCTORES'!BR364="X",1,0)</f>
        <v>0</v>
      </c>
      <c r="BK364" s="15">
        <f>+'ENCUESTA CONDUCTORES'!BS364</f>
        <v>0</v>
      </c>
      <c r="BL364" s="15">
        <f>IF('ENCUESTA CONDUCTORES'!BT364="X",1,0)</f>
        <v>0</v>
      </c>
      <c r="BM364" s="15">
        <f>IF('ENCUESTA CONDUCTORES'!BU364="X",1,0)</f>
        <v>1</v>
      </c>
      <c r="BN364" s="15">
        <f>IF('ENCUESTA CONDUCTORES'!BV364="X",1,0)</f>
        <v>0</v>
      </c>
      <c r="BO364" s="15">
        <f>IF('ENCUESTA CONDUCTORES'!BW364="X",1,0)</f>
        <v>0</v>
      </c>
      <c r="BP364" s="15">
        <f>+'ENCUESTA CONDUCTORES'!BX364</f>
        <v>1</v>
      </c>
      <c r="BQ364" s="15">
        <f>+'ENCUESTA CONDUCTORES'!BY364</f>
        <v>2</v>
      </c>
      <c r="BR364" s="15">
        <f>+'ENCUESTA CONDUCTORES'!BZ364</f>
        <v>3</v>
      </c>
      <c r="BS364" s="15">
        <f>+'ENCUESTA CONDUCTORES'!CA364</f>
        <v>0</v>
      </c>
      <c r="BT364" s="15">
        <f>IF('ENCUESTA CONDUCTORES'!CB364="X",1,0)</f>
        <v>1</v>
      </c>
      <c r="BU364" s="15">
        <f>IF('ENCUESTA CONDUCTORES'!CC364="X",1,0)</f>
        <v>0</v>
      </c>
      <c r="BV364" s="15">
        <f>IF('ENCUESTA CONDUCTORES'!CD364="X",1,0)</f>
        <v>0</v>
      </c>
      <c r="BW364" s="15">
        <f>IF('ENCUESTA CONDUCTORES'!CE364="X",1,0)</f>
        <v>0</v>
      </c>
      <c r="BX364" s="15">
        <f>IF('ENCUESTA CONDUCTORES'!CF364="X",1,0)</f>
        <v>0</v>
      </c>
      <c r="BY364" s="15">
        <f>IF('ENCUESTA CONDUCTORES'!CG364="X",1,0)</f>
        <v>0</v>
      </c>
      <c r="BZ364" s="15">
        <f>IF('ENCUESTA CONDUCTORES'!CH364="X",1,0)</f>
        <v>0</v>
      </c>
      <c r="CA364" s="15">
        <f>IF('ENCUESTA CONDUCTORES'!CI364="X",1,0)</f>
        <v>0</v>
      </c>
      <c r="CB364" s="15">
        <f>IF('ENCUESTA CONDUCTORES'!CJ364="X",1,0)</f>
        <v>0</v>
      </c>
      <c r="CC364" s="15">
        <f>IF('ENCUESTA CONDUCTORES'!CK364="X",1,0)</f>
        <v>1</v>
      </c>
      <c r="CD364" s="15">
        <f>IF('ENCUESTA CONDUCTORES'!CL364="X",1,0)</f>
        <v>0</v>
      </c>
      <c r="CE364" s="15">
        <f>IF('ENCUESTA CONDUCTORES'!CM364="X",1,0)</f>
        <v>0</v>
      </c>
      <c r="CF364" s="15">
        <f>+'ENCUESTA CONDUCTORES'!CN364</f>
        <v>0</v>
      </c>
      <c r="CG364" s="15">
        <f>IF('ENCUESTA CONDUCTORES'!CO364="X",1,0)</f>
        <v>0</v>
      </c>
      <c r="CH364" s="15" t="str">
        <f>+'ENCUESTA CONDUCTORES'!CP364</f>
        <v>NO SABE</v>
      </c>
      <c r="CI364" s="15" t="str">
        <f>+'ENCUESTA CONDUCTORES'!CQ364</f>
        <v>NO SABE</v>
      </c>
      <c r="CJ364" s="15">
        <f>IF('ENCUESTA CONDUCTORES'!CR364="X",1,0)</f>
        <v>0</v>
      </c>
      <c r="CK364" s="15">
        <f>IF('ENCUESTA CONDUCTORES'!CS364="X",1,0)</f>
        <v>1</v>
      </c>
      <c r="CL364" s="15">
        <f>IF('ENCUESTA CONDUCTORES'!CT364="X",1,0)</f>
        <v>0</v>
      </c>
      <c r="CM364" s="15">
        <f>+'ENCUESTA CONDUCTORES'!CU364</f>
        <v>0</v>
      </c>
      <c r="CN364" s="15">
        <f>IF('ENCUESTA CONDUCTORES'!CV364="X",1,0)</f>
        <v>0</v>
      </c>
      <c r="CO364" s="15">
        <f>+'ENCUESTA CONDUCTORES'!CW364</f>
        <v>0</v>
      </c>
      <c r="CP364" s="15">
        <f>IF('ENCUESTA CONDUCTORES'!CX364="X",1,0)</f>
        <v>0</v>
      </c>
      <c r="CQ364" s="15">
        <f>IF('ENCUESTA CONDUCTORES'!CY364="X",1,0)</f>
        <v>1</v>
      </c>
      <c r="CR364" s="3">
        <f>+'ENCUESTA CONDUCTORES'!CZ364</f>
        <v>0</v>
      </c>
      <c r="CS364" s="49">
        <f>+'ENCUESTA CONDUCTORES'!DA364</f>
        <v>0</v>
      </c>
    </row>
    <row r="365" spans="2:97" x14ac:dyDescent="0.25">
      <c r="B365" s="14" t="str">
        <f>+'ENCUESTA CONDUCTORES'!D365</f>
        <v>C-376</v>
      </c>
      <c r="C365" s="15">
        <f>IF('ENCUESTA CONDUCTORES'!E365="X",1,0)</f>
        <v>0</v>
      </c>
      <c r="D365" s="15">
        <f>IF('ENCUESTA CONDUCTORES'!F365="X",1,0)</f>
        <v>0</v>
      </c>
      <c r="E365" s="15">
        <f>IF('ENCUESTA CONDUCTORES'!G365="X",1,0)</f>
        <v>1</v>
      </c>
      <c r="F365" s="15">
        <f>IF('ENCUESTA CONDUCTORES'!H365="X",1,0)</f>
        <v>0</v>
      </c>
      <c r="G365" s="15">
        <f>+'ENCUESTA CONDUCTORES'!I365</f>
        <v>47</v>
      </c>
      <c r="H365" s="15" t="str">
        <f>+'ENCUESTA CONDUCTORES'!J365</f>
        <v>M</v>
      </c>
      <c r="I365" s="15" t="str">
        <f>+'ENCUESTA CONDUCTORES'!K365</f>
        <v>SECUNDARIA</v>
      </c>
      <c r="J365" s="15" t="str">
        <f>+'ENCUESTA CONDUCTORES'!L365</f>
        <v>CELAYA, GTO.</v>
      </c>
      <c r="K365" s="15" t="str">
        <f>+'ENCUESTA CONDUCTORES'!M365</f>
        <v>CELAYA</v>
      </c>
      <c r="L365" s="15" t="str">
        <f>+'ENCUESTA CONDUCTORES'!N365</f>
        <v>GUANAJUATO</v>
      </c>
      <c r="M365" s="15">
        <f>+'ENCUESTA CONDUCTORES'!O365</f>
        <v>22</v>
      </c>
      <c r="N365" s="15">
        <f>IF('ENCUESTA CONDUCTORES'!P365="X",1,0)</f>
        <v>0</v>
      </c>
      <c r="O365" s="15">
        <f>IF('ENCUESTA CONDUCTORES'!Q365="X",1,0)</f>
        <v>0</v>
      </c>
      <c r="P365" s="15">
        <f>IF('ENCUESTA CONDUCTORES'!R365="X",1,0)</f>
        <v>0</v>
      </c>
      <c r="Q365" s="15">
        <f>IF('ENCUESTA CONDUCTORES'!S365="X",1,0)</f>
        <v>1</v>
      </c>
      <c r="R365" s="15">
        <f>IF('ENCUESTA CONDUCTORES'!T365="X",1,0)</f>
        <v>0</v>
      </c>
      <c r="S365" s="15">
        <f>IF('ENCUESTA CONDUCTORES'!U365="X",1,0)</f>
        <v>0</v>
      </c>
      <c r="T365" s="15">
        <f>IF('ENCUESTA CONDUCTORES'!V365="X",1,0)</f>
        <v>0</v>
      </c>
      <c r="U365" s="15">
        <f>IF('ENCUESTA CONDUCTORES'!W365="X",1,0)</f>
        <v>0</v>
      </c>
      <c r="V365" s="15">
        <f>IF('ENCUESTA CONDUCTORES'!X365="X",1,0)</f>
        <v>0</v>
      </c>
      <c r="W365" s="15">
        <f>IF('ENCUESTA CONDUCTORES'!Y365="X",1,0)</f>
        <v>0</v>
      </c>
      <c r="X365" s="15">
        <f>IF('ENCUESTA CONDUCTORES'!Z365="X",1,0)</f>
        <v>0</v>
      </c>
      <c r="Y365" s="15">
        <f>+'ENCUESTA CONDUCTORES'!AG365</f>
        <v>0</v>
      </c>
      <c r="Z365" s="15">
        <f>+'ENCUESTA CONDUCTORES'!AH365</f>
        <v>2007</v>
      </c>
      <c r="AA365" s="1">
        <f>+'ENCUESTA CONDUCTORES'!AI365</f>
        <v>612828</v>
      </c>
      <c r="AB365" s="15">
        <f>IF('ENCUESTA CONDUCTORES'!AJ365="X",1,0)</f>
        <v>0</v>
      </c>
      <c r="AC365" s="15">
        <f>IF('ENCUESTA CONDUCTORES'!AK365="X",1,0)</f>
        <v>0</v>
      </c>
      <c r="AD365" s="15">
        <f>IF('ENCUESTA CONDUCTORES'!AL365="X",1,0)</f>
        <v>1</v>
      </c>
      <c r="AE365" s="15">
        <f>IF('ENCUESTA CONDUCTORES'!AM365="X",1,0)</f>
        <v>0</v>
      </c>
      <c r="AF365" s="15">
        <f>IF('ENCUESTA CONDUCTORES'!AN365="X",1,0)</f>
        <v>0</v>
      </c>
      <c r="AG365" s="15">
        <f>IF('ENCUESTA CONDUCTORES'!AO365="X",1,0)</f>
        <v>0</v>
      </c>
      <c r="AH365" s="15">
        <f>IF('ENCUESTA CONDUCTORES'!AP365="X",1,0)</f>
        <v>1</v>
      </c>
      <c r="AI365" s="15">
        <f>IF('ENCUESTA CONDUCTORES'!AQ365="X",1,0)</f>
        <v>0</v>
      </c>
      <c r="AJ365" s="15">
        <f>IF('ENCUESTA CONDUCTORES'!AR365="X",1,0)</f>
        <v>0</v>
      </c>
      <c r="AK365" s="15">
        <f>+'ENCUESTA CONDUCTORES'!AS365</f>
        <v>0</v>
      </c>
      <c r="AL365" s="15" t="str">
        <f>+'ENCUESTA CONDUCTORES'!AT365</f>
        <v>DETROIT</v>
      </c>
      <c r="AM365" s="1">
        <f>+'ENCUESTA CONDUCTORES'!AU365</f>
        <v>10000</v>
      </c>
      <c r="AN365" s="48">
        <f>+'ENCUESTA CONDUCTORES'!AV365</f>
        <v>0.5</v>
      </c>
      <c r="AO365" s="15">
        <f>+'ENCUESTA CONDUCTORES'!AW365</f>
        <v>2.7</v>
      </c>
      <c r="AP365" s="15">
        <f>+'ENCUESTA CONDUCTORES'!AX365</f>
        <v>2.2999999999999998</v>
      </c>
      <c r="AQ365" s="15">
        <f>+'ENCUESTA CONDUCTORES'!AY365</f>
        <v>2</v>
      </c>
      <c r="AR365" s="15">
        <f>+'ENCUESTA CONDUCTORES'!AZ365</f>
        <v>800</v>
      </c>
      <c r="AS365" s="15">
        <f>+'ENCUESTA CONDUCTORES'!BA365</f>
        <v>2000</v>
      </c>
      <c r="AT365" s="15">
        <f>IF('ENCUESTA CONDUCTORES'!BB365="X",1,0)</f>
        <v>1</v>
      </c>
      <c r="AU365" s="15">
        <f>IF('ENCUESTA CONDUCTORES'!BC365="X",1,0)</f>
        <v>1</v>
      </c>
      <c r="AV365" s="15">
        <f>IF('ENCUESTA CONDUCTORES'!BD365="X",1,0)</f>
        <v>0</v>
      </c>
      <c r="AW365" s="1">
        <f>+'ENCUESTA CONDUCTORES'!BE365</f>
        <v>20000</v>
      </c>
      <c r="AX365" s="1">
        <f>+'ENCUESTA CONDUCTORES'!BF365</f>
        <v>120000</v>
      </c>
      <c r="AY365" s="1">
        <f>+'ENCUESTA CONDUCTORES'!BG365</f>
        <v>30000</v>
      </c>
      <c r="AZ365" s="1">
        <f>+'ENCUESTA CONDUCTORES'!BH365</f>
        <v>120000</v>
      </c>
      <c r="BA365" s="1" t="str">
        <f>+'ENCUESTA CONDUCTORES'!BI365</f>
        <v>NO SABE</v>
      </c>
      <c r="BB365" s="15">
        <f>IF('ENCUESTA CONDUCTORES'!BJ365="X",1,0)</f>
        <v>0</v>
      </c>
      <c r="BC365" s="15">
        <f>IF('ENCUESTA CONDUCTORES'!BK365="X",1,0)</f>
        <v>0</v>
      </c>
      <c r="BD365" s="15">
        <f>IF('ENCUESTA CONDUCTORES'!BL365="X",1,0)</f>
        <v>0</v>
      </c>
      <c r="BE365" s="15">
        <f>IF('ENCUESTA CONDUCTORES'!BM365="X",1,0)</f>
        <v>0</v>
      </c>
      <c r="BF365" s="15">
        <f>IF('ENCUESTA CONDUCTORES'!BN365="X",1,0)</f>
        <v>1</v>
      </c>
      <c r="BG365" s="15">
        <f>IF('ENCUESTA CONDUCTORES'!BO365="X",1,0)</f>
        <v>0</v>
      </c>
      <c r="BH365" s="15">
        <f>IF('ENCUESTA CONDUCTORES'!BP365="X",1,0)</f>
        <v>0</v>
      </c>
      <c r="BI365" s="15">
        <f>IF('ENCUESTA CONDUCTORES'!BQ365="X",1,0)</f>
        <v>0</v>
      </c>
      <c r="BJ365" s="15">
        <f>IF('ENCUESTA CONDUCTORES'!BR365="X",1,0)</f>
        <v>0</v>
      </c>
      <c r="BK365" s="15">
        <f>+'ENCUESTA CONDUCTORES'!BS365</f>
        <v>0</v>
      </c>
      <c r="BL365" s="15">
        <f>IF('ENCUESTA CONDUCTORES'!BT365="X",1,0)</f>
        <v>0</v>
      </c>
      <c r="BM365" s="15">
        <f>IF('ENCUESTA CONDUCTORES'!BU365="X",1,0)</f>
        <v>1</v>
      </c>
      <c r="BN365" s="15">
        <f>IF('ENCUESTA CONDUCTORES'!BV365="X",1,0)</f>
        <v>0</v>
      </c>
      <c r="BO365" s="15">
        <f>IF('ENCUESTA CONDUCTORES'!BW365="X",1,0)</f>
        <v>0</v>
      </c>
      <c r="BP365" s="15">
        <f>+'ENCUESTA CONDUCTORES'!BX365</f>
        <v>2</v>
      </c>
      <c r="BQ365" s="15">
        <f>+'ENCUESTA CONDUCTORES'!BY365</f>
        <v>1</v>
      </c>
      <c r="BR365" s="15">
        <f>+'ENCUESTA CONDUCTORES'!BZ365</f>
        <v>3</v>
      </c>
      <c r="BS365" s="15">
        <f>+'ENCUESTA CONDUCTORES'!CA365</f>
        <v>0</v>
      </c>
      <c r="BT365" s="15">
        <f>IF('ENCUESTA CONDUCTORES'!CB365="X",1,0)</f>
        <v>1</v>
      </c>
      <c r="BU365" s="15">
        <f>IF('ENCUESTA CONDUCTORES'!CC365="X",1,0)</f>
        <v>0</v>
      </c>
      <c r="BV365" s="15">
        <f>IF('ENCUESTA CONDUCTORES'!CD365="X",1,0)</f>
        <v>0</v>
      </c>
      <c r="BW365" s="15">
        <f>IF('ENCUESTA CONDUCTORES'!CE365="X",1,0)</f>
        <v>0</v>
      </c>
      <c r="BX365" s="15">
        <f>IF('ENCUESTA CONDUCTORES'!CF365="X",1,0)</f>
        <v>0</v>
      </c>
      <c r="BY365" s="15">
        <f>IF('ENCUESTA CONDUCTORES'!CG365="X",1,0)</f>
        <v>0</v>
      </c>
      <c r="BZ365" s="15">
        <f>IF('ENCUESTA CONDUCTORES'!CH365="X",1,0)</f>
        <v>0</v>
      </c>
      <c r="CA365" s="15">
        <f>IF('ENCUESTA CONDUCTORES'!CI365="X",1,0)</f>
        <v>0</v>
      </c>
      <c r="CB365" s="15">
        <f>IF('ENCUESTA CONDUCTORES'!CJ365="X",1,0)</f>
        <v>0</v>
      </c>
      <c r="CC365" s="15">
        <f>IF('ENCUESTA CONDUCTORES'!CK365="X",1,0)</f>
        <v>1</v>
      </c>
      <c r="CD365" s="15">
        <f>IF('ENCUESTA CONDUCTORES'!CL365="X",1,0)</f>
        <v>0</v>
      </c>
      <c r="CE365" s="15">
        <f>IF('ENCUESTA CONDUCTORES'!CM365="X",1,0)</f>
        <v>0</v>
      </c>
      <c r="CF365" s="15">
        <f>+'ENCUESTA CONDUCTORES'!CN365</f>
        <v>0</v>
      </c>
      <c r="CG365" s="15">
        <f>IF('ENCUESTA CONDUCTORES'!CO365="X",1,0)</f>
        <v>0</v>
      </c>
      <c r="CH365" s="15" t="str">
        <f>+'ENCUESTA CONDUCTORES'!CP365</f>
        <v>NO SABE</v>
      </c>
      <c r="CI365" s="15" t="str">
        <f>+'ENCUESTA CONDUCTORES'!CQ365</f>
        <v>NO SABE</v>
      </c>
      <c r="CJ365" s="15">
        <f>IF('ENCUESTA CONDUCTORES'!CR365="X",1,0)</f>
        <v>1</v>
      </c>
      <c r="CK365" s="15">
        <f>IF('ENCUESTA CONDUCTORES'!CS365="X",1,0)</f>
        <v>0</v>
      </c>
      <c r="CL365" s="15">
        <f>IF('ENCUESTA CONDUCTORES'!CT365="X",1,0)</f>
        <v>0</v>
      </c>
      <c r="CM365" s="15">
        <f>+'ENCUESTA CONDUCTORES'!CU365</f>
        <v>0</v>
      </c>
      <c r="CN365" s="15">
        <f>IF('ENCUESTA CONDUCTORES'!CV365="X",1,0)</f>
        <v>0</v>
      </c>
      <c r="CO365" s="15">
        <f>+'ENCUESTA CONDUCTORES'!CW365</f>
        <v>0</v>
      </c>
      <c r="CP365" s="15">
        <f>IF('ENCUESTA CONDUCTORES'!CX365="X",1,0)</f>
        <v>1</v>
      </c>
      <c r="CQ365" s="15">
        <f>IF('ENCUESTA CONDUCTORES'!CY365="X",1,0)</f>
        <v>1</v>
      </c>
      <c r="CR365" s="3">
        <f>+'ENCUESTA CONDUCTORES'!CZ365</f>
        <v>0</v>
      </c>
      <c r="CS365" s="49">
        <f>+'ENCUESTA CONDUCTORES'!DA365</f>
        <v>0</v>
      </c>
    </row>
    <row r="366" spans="2:97" x14ac:dyDescent="0.25">
      <c r="B366" s="14" t="str">
        <f>+'ENCUESTA CONDUCTORES'!D366</f>
        <v>C-377</v>
      </c>
      <c r="C366" s="15">
        <f>IF('ENCUESTA CONDUCTORES'!E366="X",1,0)</f>
        <v>0</v>
      </c>
      <c r="D366" s="15">
        <f>IF('ENCUESTA CONDUCTORES'!F366="X",1,0)</f>
        <v>0</v>
      </c>
      <c r="E366" s="15">
        <f>IF('ENCUESTA CONDUCTORES'!G366="X",1,0)</f>
        <v>0</v>
      </c>
      <c r="F366" s="15">
        <f>IF('ENCUESTA CONDUCTORES'!H366="X",1,0)</f>
        <v>1</v>
      </c>
      <c r="G366" s="15">
        <f>+'ENCUESTA CONDUCTORES'!I366</f>
        <v>38</v>
      </c>
      <c r="H366" s="15" t="str">
        <f>+'ENCUESTA CONDUCTORES'!J366</f>
        <v>M</v>
      </c>
      <c r="I366" s="15" t="str">
        <f>+'ENCUESTA CONDUCTORES'!K366</f>
        <v>SECUNDARIA</v>
      </c>
      <c r="J366" s="15" t="str">
        <f>+'ENCUESTA CONDUCTORES'!L366</f>
        <v>MONTERREY, NVO. LEON</v>
      </c>
      <c r="K366" s="15" t="str">
        <f>+'ENCUESTA CONDUCTORES'!M366</f>
        <v>MONTERREY</v>
      </c>
      <c r="L366" s="15" t="str">
        <f>+'ENCUESTA CONDUCTORES'!N366</f>
        <v>NVO. LEON</v>
      </c>
      <c r="M366" s="15">
        <f>+'ENCUESTA CONDUCTORES'!O366</f>
        <v>18</v>
      </c>
      <c r="N366" s="15">
        <f>IF('ENCUESTA CONDUCTORES'!P366="X",1,0)</f>
        <v>0</v>
      </c>
      <c r="O366" s="15">
        <f>IF('ENCUESTA CONDUCTORES'!Q366="X",1,0)</f>
        <v>0</v>
      </c>
      <c r="P366" s="15">
        <f>IF('ENCUESTA CONDUCTORES'!R366="X",1,0)</f>
        <v>0</v>
      </c>
      <c r="Q366" s="15">
        <f>IF('ENCUESTA CONDUCTORES'!S366="X",1,0)</f>
        <v>1</v>
      </c>
      <c r="R366" s="15">
        <f>IF('ENCUESTA CONDUCTORES'!T366="X",1,0)</f>
        <v>0</v>
      </c>
      <c r="S366" s="15">
        <f>IF('ENCUESTA CONDUCTORES'!U366="X",1,0)</f>
        <v>1</v>
      </c>
      <c r="T366" s="15">
        <f>IF('ENCUESTA CONDUCTORES'!V366="X",1,0)</f>
        <v>0</v>
      </c>
      <c r="U366" s="15">
        <f>IF('ENCUESTA CONDUCTORES'!W366="X",1,0)</f>
        <v>0</v>
      </c>
      <c r="V366" s="15">
        <f>IF('ENCUESTA CONDUCTORES'!X366="X",1,0)</f>
        <v>0</v>
      </c>
      <c r="W366" s="15">
        <f>IF('ENCUESTA CONDUCTORES'!Y366="X",1,0)</f>
        <v>0</v>
      </c>
      <c r="X366" s="15">
        <f>IF('ENCUESTA CONDUCTORES'!Z366="X",1,0)</f>
        <v>0</v>
      </c>
      <c r="Y366" s="15">
        <f>+'ENCUESTA CONDUCTORES'!AG366</f>
        <v>0</v>
      </c>
      <c r="Z366" s="15">
        <f>+'ENCUESTA CONDUCTORES'!AH366</f>
        <v>2009</v>
      </c>
      <c r="AA366" s="1">
        <f>+'ENCUESTA CONDUCTORES'!AI366</f>
        <v>375213</v>
      </c>
      <c r="AB366" s="15">
        <f>IF('ENCUESTA CONDUCTORES'!AJ366="X",1,0)</f>
        <v>0</v>
      </c>
      <c r="AC366" s="15">
        <f>IF('ENCUESTA CONDUCTORES'!AK366="X",1,0)</f>
        <v>0</v>
      </c>
      <c r="AD366" s="15">
        <f>IF('ENCUESTA CONDUCTORES'!AL366="X",1,0)</f>
        <v>1</v>
      </c>
      <c r="AE366" s="15">
        <f>IF('ENCUESTA CONDUCTORES'!AM366="X",1,0)</f>
        <v>0</v>
      </c>
      <c r="AF366" s="15">
        <f>IF('ENCUESTA CONDUCTORES'!AN366="X",1,0)</f>
        <v>0</v>
      </c>
      <c r="AG366" s="15">
        <f>IF('ENCUESTA CONDUCTORES'!AO366="X",1,0)</f>
        <v>0</v>
      </c>
      <c r="AH366" s="15">
        <f>IF('ENCUESTA CONDUCTORES'!AP366="X",1,0)</f>
        <v>1</v>
      </c>
      <c r="AI366" s="15">
        <f>IF('ENCUESTA CONDUCTORES'!AQ366="X",1,0)</f>
        <v>0</v>
      </c>
      <c r="AJ366" s="15">
        <f>IF('ENCUESTA CONDUCTORES'!AR366="X",1,0)</f>
        <v>0</v>
      </c>
      <c r="AK366" s="15">
        <f>+'ENCUESTA CONDUCTORES'!AS366</f>
        <v>0</v>
      </c>
      <c r="AL366" s="15" t="str">
        <f>+'ENCUESTA CONDUCTORES'!AT366</f>
        <v>CUMMINS</v>
      </c>
      <c r="AM366" s="1">
        <f>+'ENCUESTA CONDUCTORES'!AU366</f>
        <v>10000</v>
      </c>
      <c r="AN366" s="48">
        <f>+'ENCUESTA CONDUCTORES'!AV366</f>
        <v>0.5</v>
      </c>
      <c r="AO366" s="15">
        <f>+'ENCUESTA CONDUCTORES'!AW366</f>
        <v>2.7</v>
      </c>
      <c r="AP366" s="15">
        <f>+'ENCUESTA CONDUCTORES'!AX366</f>
        <v>2.5</v>
      </c>
      <c r="AQ366" s="15">
        <f>+'ENCUESTA CONDUCTORES'!AY366</f>
        <v>2</v>
      </c>
      <c r="AR366" s="15">
        <f>+'ENCUESTA CONDUCTORES'!AZ366</f>
        <v>780</v>
      </c>
      <c r="AS366" s="15">
        <f>+'ENCUESTA CONDUCTORES'!BA366</f>
        <v>2000</v>
      </c>
      <c r="AT366" s="15">
        <f>IF('ENCUESTA CONDUCTORES'!BB366="X",1,0)</f>
        <v>1</v>
      </c>
      <c r="AU366" s="15">
        <f>IF('ENCUESTA CONDUCTORES'!BC366="X",1,0)</f>
        <v>1</v>
      </c>
      <c r="AV366" s="15">
        <f>IF('ENCUESTA CONDUCTORES'!BD366="X",1,0)</f>
        <v>0</v>
      </c>
      <c r="AW366" s="1">
        <f>+'ENCUESTA CONDUCTORES'!BE366</f>
        <v>20000</v>
      </c>
      <c r="AX366" s="1" t="str">
        <f>+'ENCUESTA CONDUCTORES'!BF366</f>
        <v>NO SABE</v>
      </c>
      <c r="AY366" s="1">
        <f>+'ENCUESTA CONDUCTORES'!BG366</f>
        <v>20000</v>
      </c>
      <c r="AZ366" s="1">
        <f>+'ENCUESTA CONDUCTORES'!BH366</f>
        <v>120000</v>
      </c>
      <c r="BA366" s="1" t="str">
        <f>+'ENCUESTA CONDUCTORES'!BI366</f>
        <v>NO SABE</v>
      </c>
      <c r="BB366" s="15">
        <f>IF('ENCUESTA CONDUCTORES'!BJ366="X",1,0)</f>
        <v>0</v>
      </c>
      <c r="BC366" s="15">
        <f>IF('ENCUESTA CONDUCTORES'!BK366="X",1,0)</f>
        <v>0</v>
      </c>
      <c r="BD366" s="15">
        <f>IF('ENCUESTA CONDUCTORES'!BL366="X",1,0)</f>
        <v>0</v>
      </c>
      <c r="BE366" s="15">
        <f>IF('ENCUESTA CONDUCTORES'!BM366="X",1,0)</f>
        <v>0</v>
      </c>
      <c r="BF366" s="15">
        <f>IF('ENCUESTA CONDUCTORES'!BN366="X",1,0)</f>
        <v>1</v>
      </c>
      <c r="BG366" s="15">
        <f>IF('ENCUESTA CONDUCTORES'!BO366="X",1,0)</f>
        <v>0</v>
      </c>
      <c r="BH366" s="15">
        <f>IF('ENCUESTA CONDUCTORES'!BP366="X",1,0)</f>
        <v>1</v>
      </c>
      <c r="BI366" s="15">
        <f>IF('ENCUESTA CONDUCTORES'!BQ366="X",1,0)</f>
        <v>0</v>
      </c>
      <c r="BJ366" s="15">
        <f>IF('ENCUESTA CONDUCTORES'!BR366="X",1,0)</f>
        <v>0</v>
      </c>
      <c r="BK366" s="15">
        <f>+'ENCUESTA CONDUCTORES'!BS366</f>
        <v>0</v>
      </c>
      <c r="BL366" s="15">
        <f>IF('ENCUESTA CONDUCTORES'!BT366="X",1,0)</f>
        <v>0</v>
      </c>
      <c r="BM366" s="15">
        <f>IF('ENCUESTA CONDUCTORES'!BU366="X",1,0)</f>
        <v>0</v>
      </c>
      <c r="BN366" s="15">
        <f>IF('ENCUESTA CONDUCTORES'!BV366="X",1,0)</f>
        <v>1</v>
      </c>
      <c r="BO366" s="15">
        <f>IF('ENCUESTA CONDUCTORES'!BW366="X",1,0)</f>
        <v>0</v>
      </c>
      <c r="BP366" s="15">
        <f>+'ENCUESTA CONDUCTORES'!BX366</f>
        <v>1</v>
      </c>
      <c r="BQ366" s="15">
        <f>+'ENCUESTA CONDUCTORES'!BY366</f>
        <v>3</v>
      </c>
      <c r="BR366" s="15">
        <f>+'ENCUESTA CONDUCTORES'!BZ366</f>
        <v>2</v>
      </c>
      <c r="BS366" s="15">
        <f>+'ENCUESTA CONDUCTORES'!CA366</f>
        <v>0</v>
      </c>
      <c r="BT366" s="15">
        <f>IF('ENCUESTA CONDUCTORES'!CB366="X",1,0)</f>
        <v>1</v>
      </c>
      <c r="BU366" s="15">
        <f>IF('ENCUESTA CONDUCTORES'!CC366="X",1,0)</f>
        <v>0</v>
      </c>
      <c r="BV366" s="15">
        <f>IF('ENCUESTA CONDUCTORES'!CD366="X",1,0)</f>
        <v>0</v>
      </c>
      <c r="BW366" s="15">
        <f>IF('ENCUESTA CONDUCTORES'!CE366="X",1,0)</f>
        <v>0</v>
      </c>
      <c r="BX366" s="15">
        <f>IF('ENCUESTA CONDUCTORES'!CF366="X",1,0)</f>
        <v>0</v>
      </c>
      <c r="BY366" s="15">
        <f>IF('ENCUESTA CONDUCTORES'!CG366="X",1,0)</f>
        <v>0</v>
      </c>
      <c r="BZ366" s="15">
        <f>IF('ENCUESTA CONDUCTORES'!CH366="X",1,0)</f>
        <v>0</v>
      </c>
      <c r="CA366" s="15">
        <f>IF('ENCUESTA CONDUCTORES'!CI366="X",1,0)</f>
        <v>0</v>
      </c>
      <c r="CB366" s="15">
        <f>IF('ENCUESTA CONDUCTORES'!CJ366="X",1,0)</f>
        <v>0</v>
      </c>
      <c r="CC366" s="15">
        <f>IF('ENCUESTA CONDUCTORES'!CK366="X",1,0)</f>
        <v>1</v>
      </c>
      <c r="CD366" s="15">
        <f>IF('ENCUESTA CONDUCTORES'!CL366="X",1,0)</f>
        <v>0</v>
      </c>
      <c r="CE366" s="15">
        <f>IF('ENCUESTA CONDUCTORES'!CM366="X",1,0)</f>
        <v>0</v>
      </c>
      <c r="CF366" s="15">
        <f>+'ENCUESTA CONDUCTORES'!CN366</f>
        <v>0</v>
      </c>
      <c r="CG366" s="15">
        <f>IF('ENCUESTA CONDUCTORES'!CO366="X",1,0)</f>
        <v>0</v>
      </c>
      <c r="CH366" s="15" t="str">
        <f>+'ENCUESTA CONDUCTORES'!CP366</f>
        <v>NO SABE</v>
      </c>
      <c r="CI366" s="15" t="str">
        <f>+'ENCUESTA CONDUCTORES'!CQ366</f>
        <v>NO SABE</v>
      </c>
      <c r="CJ366" s="15">
        <f>IF('ENCUESTA CONDUCTORES'!CR366="X",1,0)</f>
        <v>1</v>
      </c>
      <c r="CK366" s="15">
        <f>IF('ENCUESTA CONDUCTORES'!CS366="X",1,0)</f>
        <v>0</v>
      </c>
      <c r="CL366" s="15">
        <f>IF('ENCUESTA CONDUCTORES'!CT366="X",1,0)</f>
        <v>0</v>
      </c>
      <c r="CM366" s="15">
        <f>+'ENCUESTA CONDUCTORES'!CU366</f>
        <v>0</v>
      </c>
      <c r="CN366" s="15">
        <f>IF('ENCUESTA CONDUCTORES'!CV366="X",1,0)</f>
        <v>0</v>
      </c>
      <c r="CO366" s="15">
        <f>+'ENCUESTA CONDUCTORES'!CW366</f>
        <v>0</v>
      </c>
      <c r="CP366" s="15">
        <f>IF('ENCUESTA CONDUCTORES'!CX366="X",1,0)</f>
        <v>1</v>
      </c>
      <c r="CQ366" s="15">
        <f>IF('ENCUESTA CONDUCTORES'!CY366="X",1,0)</f>
        <v>1</v>
      </c>
      <c r="CR366" s="3">
        <f>+'ENCUESTA CONDUCTORES'!CZ366</f>
        <v>0</v>
      </c>
      <c r="CS366" s="49">
        <f>+'ENCUESTA CONDUCTORES'!DA366</f>
        <v>0</v>
      </c>
    </row>
    <row r="367" spans="2:97" x14ac:dyDescent="0.25">
      <c r="B367" s="14" t="str">
        <f>+'ENCUESTA CONDUCTORES'!D367</f>
        <v>C-378</v>
      </c>
      <c r="C367" s="15">
        <f>IF('ENCUESTA CONDUCTORES'!E367="X",1,0)</f>
        <v>0</v>
      </c>
      <c r="D367" s="15">
        <f>IF('ENCUESTA CONDUCTORES'!F367="X",1,0)</f>
        <v>0</v>
      </c>
      <c r="E367" s="15">
        <f>IF('ENCUESTA CONDUCTORES'!G367="X",1,0)</f>
        <v>1</v>
      </c>
      <c r="F367" s="15">
        <f>IF('ENCUESTA CONDUCTORES'!H367="X",1,0)</f>
        <v>0</v>
      </c>
      <c r="G367" s="15">
        <f>+'ENCUESTA CONDUCTORES'!I367</f>
        <v>27</v>
      </c>
      <c r="H367" s="15" t="str">
        <f>+'ENCUESTA CONDUCTORES'!J367</f>
        <v>M</v>
      </c>
      <c r="I367" s="15" t="str">
        <f>+'ENCUESTA CONDUCTORES'!K367</f>
        <v>SECUNDARIA</v>
      </c>
      <c r="J367" s="15" t="str">
        <f>+'ENCUESTA CONDUCTORES'!L367</f>
        <v>SILAO, GTO</v>
      </c>
      <c r="K367" s="15" t="str">
        <f>+'ENCUESTA CONDUCTORES'!M367</f>
        <v>SILAO</v>
      </c>
      <c r="L367" s="15" t="str">
        <f>+'ENCUESTA CONDUCTORES'!N367</f>
        <v>GUANAJUATO</v>
      </c>
      <c r="M367" s="15">
        <f>+'ENCUESTA CONDUCTORES'!O367</f>
        <v>4</v>
      </c>
      <c r="N367" s="15">
        <f>IF('ENCUESTA CONDUCTORES'!P367="X",1,0)</f>
        <v>0</v>
      </c>
      <c r="O367" s="15">
        <f>IF('ENCUESTA CONDUCTORES'!Q367="X",1,0)</f>
        <v>0</v>
      </c>
      <c r="P367" s="15">
        <f>IF('ENCUESTA CONDUCTORES'!R367="X",1,0)</f>
        <v>0</v>
      </c>
      <c r="Q367" s="15">
        <f>IF('ENCUESTA CONDUCTORES'!S367="X",1,0)</f>
        <v>1</v>
      </c>
      <c r="R367" s="15">
        <f>IF('ENCUESTA CONDUCTORES'!T367="X",1,0)</f>
        <v>0</v>
      </c>
      <c r="S367" s="15">
        <f>IF('ENCUESTA CONDUCTORES'!U367="X",1,0)</f>
        <v>1</v>
      </c>
      <c r="T367" s="15">
        <f>IF('ENCUESTA CONDUCTORES'!V367="X",1,0)</f>
        <v>0</v>
      </c>
      <c r="U367" s="15">
        <f>IF('ENCUESTA CONDUCTORES'!W367="X",1,0)</f>
        <v>0</v>
      </c>
      <c r="V367" s="15">
        <f>IF('ENCUESTA CONDUCTORES'!X367="X",1,0)</f>
        <v>0</v>
      </c>
      <c r="W367" s="15">
        <f>IF('ENCUESTA CONDUCTORES'!Y367="X",1,0)</f>
        <v>0</v>
      </c>
      <c r="X367" s="15">
        <f>IF('ENCUESTA CONDUCTORES'!Z367="X",1,0)</f>
        <v>0</v>
      </c>
      <c r="Y367" s="15">
        <f>+'ENCUESTA CONDUCTORES'!AG367</f>
        <v>0</v>
      </c>
      <c r="Z367" s="15">
        <f>+'ENCUESTA CONDUCTORES'!AH367</f>
        <v>2005</v>
      </c>
      <c r="AA367" s="1">
        <f>+'ENCUESTA CONDUCTORES'!AI367</f>
        <v>654812</v>
      </c>
      <c r="AB367" s="15">
        <f>IF('ENCUESTA CONDUCTORES'!AJ367="X",1,0)</f>
        <v>0</v>
      </c>
      <c r="AC367" s="15">
        <f>IF('ENCUESTA CONDUCTORES'!AK367="X",1,0)</f>
        <v>0</v>
      </c>
      <c r="AD367" s="15">
        <f>IF('ENCUESTA CONDUCTORES'!AL367="X",1,0)</f>
        <v>1</v>
      </c>
      <c r="AE367" s="15">
        <f>IF('ENCUESTA CONDUCTORES'!AM367="X",1,0)</f>
        <v>0</v>
      </c>
      <c r="AF367" s="15">
        <f>IF('ENCUESTA CONDUCTORES'!AN367="X",1,0)</f>
        <v>0</v>
      </c>
      <c r="AG367" s="15">
        <f>IF('ENCUESTA CONDUCTORES'!AO367="X",1,0)</f>
        <v>0</v>
      </c>
      <c r="AH367" s="15">
        <f>IF('ENCUESTA CONDUCTORES'!AP367="X",1,0)</f>
        <v>1</v>
      </c>
      <c r="AI367" s="15">
        <f>IF('ENCUESTA CONDUCTORES'!AQ367="X",1,0)</f>
        <v>0</v>
      </c>
      <c r="AJ367" s="15">
        <f>IF('ENCUESTA CONDUCTORES'!AR367="X",1,0)</f>
        <v>0</v>
      </c>
      <c r="AK367" s="15">
        <f>+'ENCUESTA CONDUCTORES'!AS367</f>
        <v>0</v>
      </c>
      <c r="AL367" s="15" t="str">
        <f>+'ENCUESTA CONDUCTORES'!AT367</f>
        <v>DETROIT</v>
      </c>
      <c r="AM367" s="1">
        <f>+'ENCUESTA CONDUCTORES'!AU367</f>
        <v>8000</v>
      </c>
      <c r="AN367" s="48">
        <f>+'ENCUESTA CONDUCTORES'!AV367</f>
        <v>0.1</v>
      </c>
      <c r="AO367" s="15">
        <f>+'ENCUESTA CONDUCTORES'!AW367</f>
        <v>2.8</v>
      </c>
      <c r="AP367" s="15">
        <f>+'ENCUESTA CONDUCTORES'!AX367</f>
        <v>2.5</v>
      </c>
      <c r="AQ367" s="15">
        <f>+'ENCUESTA CONDUCTORES'!AY367</f>
        <v>2</v>
      </c>
      <c r="AR367" s="15">
        <f>+'ENCUESTA CONDUCTORES'!AZ367</f>
        <v>960</v>
      </c>
      <c r="AS367" s="15">
        <f>+'ENCUESTA CONDUCTORES'!BA367</f>
        <v>2500</v>
      </c>
      <c r="AT367" s="15">
        <f>IF('ENCUESTA CONDUCTORES'!BB367="X",1,0)</f>
        <v>1</v>
      </c>
      <c r="AU367" s="15">
        <f>IF('ENCUESTA CONDUCTORES'!BC367="X",1,0)</f>
        <v>1</v>
      </c>
      <c r="AV367" s="15">
        <f>IF('ENCUESTA CONDUCTORES'!BD367="X",1,0)</f>
        <v>0</v>
      </c>
      <c r="AW367" s="1">
        <f>+'ENCUESTA CONDUCTORES'!BE367</f>
        <v>18000</v>
      </c>
      <c r="AX367" s="1">
        <f>+'ENCUESTA CONDUCTORES'!BF367</f>
        <v>180000</v>
      </c>
      <c r="AY367" s="1">
        <f>+'ENCUESTA CONDUCTORES'!BG367</f>
        <v>30000</v>
      </c>
      <c r="AZ367" s="1">
        <f>+'ENCUESTA CONDUCTORES'!BH367</f>
        <v>120000</v>
      </c>
      <c r="BA367" s="1" t="str">
        <f>+'ENCUESTA CONDUCTORES'!BI367</f>
        <v>NO SABE</v>
      </c>
      <c r="BB367" s="15">
        <f>IF('ENCUESTA CONDUCTORES'!BJ367="X",1,0)</f>
        <v>0</v>
      </c>
      <c r="BC367" s="15">
        <f>IF('ENCUESTA CONDUCTORES'!BK367="X",1,0)</f>
        <v>0</v>
      </c>
      <c r="BD367" s="15">
        <f>IF('ENCUESTA CONDUCTORES'!BL367="X",1,0)</f>
        <v>0</v>
      </c>
      <c r="BE367" s="15">
        <f>IF('ENCUESTA CONDUCTORES'!BM367="X",1,0)</f>
        <v>0</v>
      </c>
      <c r="BF367" s="15">
        <f>IF('ENCUESTA CONDUCTORES'!BN367="X",1,0)</f>
        <v>1</v>
      </c>
      <c r="BG367" s="15">
        <f>IF('ENCUESTA CONDUCTORES'!BO367="X",1,0)</f>
        <v>0</v>
      </c>
      <c r="BH367" s="15">
        <f>IF('ENCUESTA CONDUCTORES'!BP367="X",1,0)</f>
        <v>1</v>
      </c>
      <c r="BI367" s="15">
        <f>IF('ENCUESTA CONDUCTORES'!BQ367="X",1,0)</f>
        <v>0</v>
      </c>
      <c r="BJ367" s="15">
        <f>IF('ENCUESTA CONDUCTORES'!BR367="X",1,0)</f>
        <v>0</v>
      </c>
      <c r="BK367" s="15">
        <f>+'ENCUESTA CONDUCTORES'!BS367</f>
        <v>0</v>
      </c>
      <c r="BL367" s="15">
        <f>IF('ENCUESTA CONDUCTORES'!BT367="X",1,0)</f>
        <v>0</v>
      </c>
      <c r="BM367" s="15">
        <f>IF('ENCUESTA CONDUCTORES'!BU367="X",1,0)</f>
        <v>1</v>
      </c>
      <c r="BN367" s="15">
        <f>IF('ENCUESTA CONDUCTORES'!BV367="X",1,0)</f>
        <v>0</v>
      </c>
      <c r="BO367" s="15">
        <f>IF('ENCUESTA CONDUCTORES'!BW367="X",1,0)</f>
        <v>0</v>
      </c>
      <c r="BP367" s="15">
        <f>+'ENCUESTA CONDUCTORES'!BX367</f>
        <v>1</v>
      </c>
      <c r="BQ367" s="15">
        <f>+'ENCUESTA CONDUCTORES'!BY367</f>
        <v>2</v>
      </c>
      <c r="BR367" s="15">
        <f>+'ENCUESTA CONDUCTORES'!BZ367</f>
        <v>3</v>
      </c>
      <c r="BS367" s="15">
        <f>+'ENCUESTA CONDUCTORES'!CA367</f>
        <v>0</v>
      </c>
      <c r="BT367" s="15">
        <f>IF('ENCUESTA CONDUCTORES'!CB367="X",1,0)</f>
        <v>1</v>
      </c>
      <c r="BU367" s="15">
        <f>IF('ENCUESTA CONDUCTORES'!CC367="X",1,0)</f>
        <v>0</v>
      </c>
      <c r="BV367" s="15">
        <f>IF('ENCUESTA CONDUCTORES'!CD367="X",1,0)</f>
        <v>0</v>
      </c>
      <c r="BW367" s="15">
        <f>IF('ENCUESTA CONDUCTORES'!CE367="X",1,0)</f>
        <v>0</v>
      </c>
      <c r="BX367" s="15">
        <f>IF('ENCUESTA CONDUCTORES'!CF367="X",1,0)</f>
        <v>0</v>
      </c>
      <c r="BY367" s="15">
        <f>IF('ENCUESTA CONDUCTORES'!CG367="X",1,0)</f>
        <v>0</v>
      </c>
      <c r="BZ367" s="15">
        <f>IF('ENCUESTA CONDUCTORES'!CH367="X",1,0)</f>
        <v>0</v>
      </c>
      <c r="CA367" s="15">
        <f>IF('ENCUESTA CONDUCTORES'!CI367="X",1,0)</f>
        <v>0</v>
      </c>
      <c r="CB367" s="15">
        <f>IF('ENCUESTA CONDUCTORES'!CJ367="X",1,0)</f>
        <v>0</v>
      </c>
      <c r="CC367" s="15">
        <f>IF('ENCUESTA CONDUCTORES'!CK367="X",1,0)</f>
        <v>1</v>
      </c>
      <c r="CD367" s="15">
        <f>IF('ENCUESTA CONDUCTORES'!CL367="X",1,0)</f>
        <v>0</v>
      </c>
      <c r="CE367" s="15">
        <f>IF('ENCUESTA CONDUCTORES'!CM367="X",1,0)</f>
        <v>0</v>
      </c>
      <c r="CF367" s="15">
        <f>+'ENCUESTA CONDUCTORES'!CN367</f>
        <v>0</v>
      </c>
      <c r="CG367" s="15">
        <f>IF('ENCUESTA CONDUCTORES'!CO367="X",1,0)</f>
        <v>0</v>
      </c>
      <c r="CH367" s="15" t="str">
        <f>+'ENCUESTA CONDUCTORES'!CP367</f>
        <v>NO SABE</v>
      </c>
      <c r="CI367" s="15" t="str">
        <f>+'ENCUESTA CONDUCTORES'!CQ367</f>
        <v>NO SABE</v>
      </c>
      <c r="CJ367" s="15">
        <f>IF('ENCUESTA CONDUCTORES'!CR367="X",1,0)</f>
        <v>1</v>
      </c>
      <c r="CK367" s="15">
        <f>IF('ENCUESTA CONDUCTORES'!CS367="X",1,0)</f>
        <v>0</v>
      </c>
      <c r="CL367" s="15">
        <f>IF('ENCUESTA CONDUCTORES'!CT367="X",1,0)</f>
        <v>0</v>
      </c>
      <c r="CM367" s="15">
        <f>+'ENCUESTA CONDUCTORES'!CU367</f>
        <v>0</v>
      </c>
      <c r="CN367" s="15">
        <f>IF('ENCUESTA CONDUCTORES'!CV367="X",1,0)</f>
        <v>0</v>
      </c>
      <c r="CO367" s="15">
        <f>+'ENCUESTA CONDUCTORES'!CW367</f>
        <v>0</v>
      </c>
      <c r="CP367" s="15">
        <f>IF('ENCUESTA CONDUCTORES'!CX367="X",1,0)</f>
        <v>1</v>
      </c>
      <c r="CQ367" s="15">
        <f>IF('ENCUESTA CONDUCTORES'!CY367="X",1,0)</f>
        <v>0</v>
      </c>
      <c r="CR367" s="3">
        <f>+'ENCUESTA CONDUCTORES'!CZ367</f>
        <v>0</v>
      </c>
      <c r="CS367" s="49">
        <f>+'ENCUESTA CONDUCTORES'!DA367</f>
        <v>0</v>
      </c>
    </row>
    <row r="368" spans="2:97" x14ac:dyDescent="0.25">
      <c r="B368" s="14" t="str">
        <f>+'ENCUESTA CONDUCTORES'!D368</f>
        <v>C-379</v>
      </c>
      <c r="C368" s="15">
        <f>IF('ENCUESTA CONDUCTORES'!E368="X",1,0)</f>
        <v>0</v>
      </c>
      <c r="D368" s="15">
        <f>IF('ENCUESTA CONDUCTORES'!F368="X",1,0)</f>
        <v>1</v>
      </c>
      <c r="E368" s="15">
        <f>IF('ENCUESTA CONDUCTORES'!G368="X",1,0)</f>
        <v>0</v>
      </c>
      <c r="F368" s="15">
        <f>IF('ENCUESTA CONDUCTORES'!H368="X",1,0)</f>
        <v>0</v>
      </c>
      <c r="G368" s="15">
        <f>+'ENCUESTA CONDUCTORES'!I368</f>
        <v>60</v>
      </c>
      <c r="H368" s="15" t="str">
        <f>+'ENCUESTA CONDUCTORES'!J368</f>
        <v>M</v>
      </c>
      <c r="I368" s="15" t="str">
        <f>+'ENCUESTA CONDUCTORES'!K368</f>
        <v>SIN ESTUDIOS</v>
      </c>
      <c r="J368" s="15" t="str">
        <f>+'ENCUESTA CONDUCTORES'!L368</f>
        <v>SILAO, GTO</v>
      </c>
      <c r="K368" s="15" t="str">
        <f>+'ENCUESTA CONDUCTORES'!M368</f>
        <v>SILAO</v>
      </c>
      <c r="L368" s="15" t="str">
        <f>+'ENCUESTA CONDUCTORES'!N368</f>
        <v>GUANAJUATO</v>
      </c>
      <c r="M368" s="15">
        <f>+'ENCUESTA CONDUCTORES'!O368</f>
        <v>40</v>
      </c>
      <c r="N368" s="15">
        <f>IF('ENCUESTA CONDUCTORES'!P368="X",1,0)</f>
        <v>0</v>
      </c>
      <c r="O368" s="15">
        <f>IF('ENCUESTA CONDUCTORES'!Q368="X",1,0)</f>
        <v>0</v>
      </c>
      <c r="P368" s="15">
        <f>IF('ENCUESTA CONDUCTORES'!R368="X",1,0)</f>
        <v>0</v>
      </c>
      <c r="Q368" s="15">
        <f>IF('ENCUESTA CONDUCTORES'!S368="X",1,0)</f>
        <v>1</v>
      </c>
      <c r="R368" s="15">
        <f>IF('ENCUESTA CONDUCTORES'!T368="X",1,0)</f>
        <v>0</v>
      </c>
      <c r="S368" s="15">
        <f>IF('ENCUESTA CONDUCTORES'!U368="X",1,0)</f>
        <v>0</v>
      </c>
      <c r="T368" s="15">
        <f>IF('ENCUESTA CONDUCTORES'!V368="X",1,0)</f>
        <v>0</v>
      </c>
      <c r="U368" s="15">
        <f>IF('ENCUESTA CONDUCTORES'!W368="X",1,0)</f>
        <v>0</v>
      </c>
      <c r="V368" s="15">
        <f>IF('ENCUESTA CONDUCTORES'!X368="X",1,0)</f>
        <v>0</v>
      </c>
      <c r="W368" s="15">
        <f>IF('ENCUESTA CONDUCTORES'!Y368="X",1,0)</f>
        <v>0</v>
      </c>
      <c r="X368" s="15">
        <f>IF('ENCUESTA CONDUCTORES'!Z368="X",1,0)</f>
        <v>0</v>
      </c>
      <c r="Y368" s="15">
        <f>+'ENCUESTA CONDUCTORES'!AG368</f>
        <v>0</v>
      </c>
      <c r="Z368" s="15">
        <f>+'ENCUESTA CONDUCTORES'!AH368</f>
        <v>2004</v>
      </c>
      <c r="AA368" s="1">
        <f>+'ENCUESTA CONDUCTORES'!AI368</f>
        <v>768496</v>
      </c>
      <c r="AB368" s="15">
        <f>IF('ENCUESTA CONDUCTORES'!AJ368="X",1,0)</f>
        <v>0</v>
      </c>
      <c r="AC368" s="15">
        <f>IF('ENCUESTA CONDUCTORES'!AK368="X",1,0)</f>
        <v>0</v>
      </c>
      <c r="AD368" s="15">
        <f>IF('ENCUESTA CONDUCTORES'!AL368="X",1,0)</f>
        <v>1</v>
      </c>
      <c r="AE368" s="15">
        <f>IF('ENCUESTA CONDUCTORES'!AM368="X",1,0)</f>
        <v>0</v>
      </c>
      <c r="AF368" s="15">
        <f>IF('ENCUESTA CONDUCTORES'!AN368="X",1,0)</f>
        <v>0</v>
      </c>
      <c r="AG368" s="15">
        <f>IF('ENCUESTA CONDUCTORES'!AO368="X",1,0)</f>
        <v>0</v>
      </c>
      <c r="AH368" s="15">
        <f>IF('ENCUESTA CONDUCTORES'!AP368="X",1,0)</f>
        <v>1</v>
      </c>
      <c r="AI368" s="15">
        <f>IF('ENCUESTA CONDUCTORES'!AQ368="X",1,0)</f>
        <v>0</v>
      </c>
      <c r="AJ368" s="15">
        <f>IF('ENCUESTA CONDUCTORES'!AR368="X",1,0)</f>
        <v>0</v>
      </c>
      <c r="AK368" s="15">
        <f>+'ENCUESTA CONDUCTORES'!AS368</f>
        <v>0</v>
      </c>
      <c r="AL368" s="15" t="str">
        <f>+'ENCUESTA CONDUCTORES'!AT368</f>
        <v>CUMMINS</v>
      </c>
      <c r="AM368" s="1">
        <f>+'ENCUESTA CONDUCTORES'!AU368</f>
        <v>6000</v>
      </c>
      <c r="AN368" s="48">
        <f>+'ENCUESTA CONDUCTORES'!AV368</f>
        <v>0.5</v>
      </c>
      <c r="AO368" s="15">
        <f>+'ENCUESTA CONDUCTORES'!AW368</f>
        <v>2.8</v>
      </c>
      <c r="AP368" s="15">
        <f>+'ENCUESTA CONDUCTORES'!AX368</f>
        <v>2.5</v>
      </c>
      <c r="AQ368" s="15">
        <f>+'ENCUESTA CONDUCTORES'!AY368</f>
        <v>2</v>
      </c>
      <c r="AR368" s="15">
        <f>+'ENCUESTA CONDUCTORES'!AZ368</f>
        <v>850</v>
      </c>
      <c r="AS368" s="15">
        <f>+'ENCUESTA CONDUCTORES'!BA368</f>
        <v>2200</v>
      </c>
      <c r="AT368" s="15">
        <f>IF('ENCUESTA CONDUCTORES'!BB368="X",1,0)</f>
        <v>1</v>
      </c>
      <c r="AU368" s="15">
        <f>IF('ENCUESTA CONDUCTORES'!BC368="X",1,0)</f>
        <v>1</v>
      </c>
      <c r="AV368" s="15">
        <f>IF('ENCUESTA CONDUCTORES'!BD368="X",1,0)</f>
        <v>0</v>
      </c>
      <c r="AW368" s="1">
        <f>+'ENCUESTA CONDUCTORES'!BE368</f>
        <v>18000</v>
      </c>
      <c r="AX368" s="1">
        <f>+'ENCUESTA CONDUCTORES'!BF368</f>
        <v>200000</v>
      </c>
      <c r="AY368" s="1">
        <f>+'ENCUESTA CONDUCTORES'!BG368</f>
        <v>24000</v>
      </c>
      <c r="AZ368" s="1">
        <f>+'ENCUESTA CONDUCTORES'!BH368</f>
        <v>140000</v>
      </c>
      <c r="BA368" s="1" t="str">
        <f>+'ENCUESTA CONDUCTORES'!BI368</f>
        <v>NO SABE</v>
      </c>
      <c r="BB368" s="15">
        <f>IF('ENCUESTA CONDUCTORES'!BJ368="X",1,0)</f>
        <v>0</v>
      </c>
      <c r="BC368" s="15">
        <f>IF('ENCUESTA CONDUCTORES'!BK368="X",1,0)</f>
        <v>0</v>
      </c>
      <c r="BD368" s="15">
        <f>IF('ENCUESTA CONDUCTORES'!BL368="X",1,0)</f>
        <v>0</v>
      </c>
      <c r="BE368" s="15">
        <f>IF('ENCUESTA CONDUCTORES'!BM368="X",1,0)</f>
        <v>0</v>
      </c>
      <c r="BF368" s="15">
        <f>IF('ENCUESTA CONDUCTORES'!BN368="X",1,0)</f>
        <v>1</v>
      </c>
      <c r="BG368" s="15">
        <f>IF('ENCUESTA CONDUCTORES'!BO368="X",1,0)</f>
        <v>0</v>
      </c>
      <c r="BH368" s="15">
        <f>IF('ENCUESTA CONDUCTORES'!BP368="X",1,0)</f>
        <v>1</v>
      </c>
      <c r="BI368" s="15">
        <f>IF('ENCUESTA CONDUCTORES'!BQ368="X",1,0)</f>
        <v>0</v>
      </c>
      <c r="BJ368" s="15">
        <f>IF('ENCUESTA CONDUCTORES'!BR368="X",1,0)</f>
        <v>0</v>
      </c>
      <c r="BK368" s="15">
        <f>+'ENCUESTA CONDUCTORES'!BS368</f>
        <v>0</v>
      </c>
      <c r="BL368" s="15">
        <f>IF('ENCUESTA CONDUCTORES'!BT368="X",1,0)</f>
        <v>0</v>
      </c>
      <c r="BM368" s="15">
        <f>IF('ENCUESTA CONDUCTORES'!BU368="X",1,0)</f>
        <v>1</v>
      </c>
      <c r="BN368" s="15">
        <f>IF('ENCUESTA CONDUCTORES'!BV368="X",1,0)</f>
        <v>0</v>
      </c>
      <c r="BO368" s="15">
        <f>IF('ENCUESTA CONDUCTORES'!BW368="X",1,0)</f>
        <v>0</v>
      </c>
      <c r="BP368" s="15">
        <f>+'ENCUESTA CONDUCTORES'!BX368</f>
        <v>2</v>
      </c>
      <c r="BQ368" s="15">
        <f>+'ENCUESTA CONDUCTORES'!BY368</f>
        <v>3</v>
      </c>
      <c r="BR368" s="15">
        <f>+'ENCUESTA CONDUCTORES'!BZ368</f>
        <v>1</v>
      </c>
      <c r="BS368" s="15">
        <f>+'ENCUESTA CONDUCTORES'!CA368</f>
        <v>0</v>
      </c>
      <c r="BT368" s="15">
        <f>IF('ENCUESTA CONDUCTORES'!CB368="X",1,0)</f>
        <v>1</v>
      </c>
      <c r="BU368" s="15">
        <f>IF('ENCUESTA CONDUCTORES'!CC368="X",1,0)</f>
        <v>0</v>
      </c>
      <c r="BV368" s="15">
        <f>IF('ENCUESTA CONDUCTORES'!CD368="X",1,0)</f>
        <v>0</v>
      </c>
      <c r="BW368" s="15">
        <f>IF('ENCUESTA CONDUCTORES'!CE368="X",1,0)</f>
        <v>0</v>
      </c>
      <c r="BX368" s="15">
        <f>IF('ENCUESTA CONDUCTORES'!CF368="X",1,0)</f>
        <v>0</v>
      </c>
      <c r="BY368" s="15">
        <f>IF('ENCUESTA CONDUCTORES'!CG368="X",1,0)</f>
        <v>0</v>
      </c>
      <c r="BZ368" s="15">
        <f>IF('ENCUESTA CONDUCTORES'!CH368="X",1,0)</f>
        <v>0</v>
      </c>
      <c r="CA368" s="15">
        <f>IF('ENCUESTA CONDUCTORES'!CI368="X",1,0)</f>
        <v>0</v>
      </c>
      <c r="CB368" s="15">
        <f>IF('ENCUESTA CONDUCTORES'!CJ368="X",1,0)</f>
        <v>0</v>
      </c>
      <c r="CC368" s="15">
        <f>IF('ENCUESTA CONDUCTORES'!CK368="X",1,0)</f>
        <v>1</v>
      </c>
      <c r="CD368" s="15">
        <f>IF('ENCUESTA CONDUCTORES'!CL368="X",1,0)</f>
        <v>0</v>
      </c>
      <c r="CE368" s="15">
        <f>IF('ENCUESTA CONDUCTORES'!CM368="X",1,0)</f>
        <v>0</v>
      </c>
      <c r="CF368" s="15">
        <f>+'ENCUESTA CONDUCTORES'!CN368</f>
        <v>0</v>
      </c>
      <c r="CG368" s="15">
        <f>IF('ENCUESTA CONDUCTORES'!CO368="X",1,0)</f>
        <v>0</v>
      </c>
      <c r="CH368" s="15" t="str">
        <f>+'ENCUESTA CONDUCTORES'!CP368</f>
        <v>NO SABE</v>
      </c>
      <c r="CI368" s="15" t="str">
        <f>+'ENCUESTA CONDUCTORES'!CQ368</f>
        <v>NO SABE</v>
      </c>
      <c r="CJ368" s="15">
        <f>IF('ENCUESTA CONDUCTORES'!CR368="X",1,0)</f>
        <v>0</v>
      </c>
      <c r="CK368" s="15">
        <f>IF('ENCUESTA CONDUCTORES'!CS368="X",1,0)</f>
        <v>0</v>
      </c>
      <c r="CL368" s="15">
        <f>IF('ENCUESTA CONDUCTORES'!CT368="X",1,0)</f>
        <v>1</v>
      </c>
      <c r="CM368" s="15">
        <f>+'ENCUESTA CONDUCTORES'!CU368</f>
        <v>0</v>
      </c>
      <c r="CN368" s="15">
        <f>IF('ENCUESTA CONDUCTORES'!CV368="X",1,0)</f>
        <v>0</v>
      </c>
      <c r="CO368" s="15">
        <f>+'ENCUESTA CONDUCTORES'!CW368</f>
        <v>0</v>
      </c>
      <c r="CP368" s="15">
        <f>IF('ENCUESTA CONDUCTORES'!CX368="X",1,0)</f>
        <v>1</v>
      </c>
      <c r="CQ368" s="15">
        <f>IF('ENCUESTA CONDUCTORES'!CY368="X",1,0)</f>
        <v>0</v>
      </c>
      <c r="CR368" s="3">
        <f>+'ENCUESTA CONDUCTORES'!CZ368</f>
        <v>0</v>
      </c>
      <c r="CS368" s="49">
        <f>+'ENCUESTA CONDUCTORES'!DA368</f>
        <v>0</v>
      </c>
    </row>
    <row r="369" spans="2:97" x14ac:dyDescent="0.25">
      <c r="B369" s="14" t="str">
        <f>+'ENCUESTA CONDUCTORES'!D369</f>
        <v>C-380</v>
      </c>
      <c r="C369" s="15">
        <f>IF('ENCUESTA CONDUCTORES'!E369="X",1,0)</f>
        <v>1</v>
      </c>
      <c r="D369" s="15">
        <f>IF('ENCUESTA CONDUCTORES'!F369="X",1,0)</f>
        <v>0</v>
      </c>
      <c r="E369" s="15">
        <f>IF('ENCUESTA CONDUCTORES'!G369="X",1,0)</f>
        <v>0</v>
      </c>
      <c r="F369" s="15">
        <f>IF('ENCUESTA CONDUCTORES'!H369="X",1,0)</f>
        <v>0</v>
      </c>
      <c r="G369" s="15">
        <f>+'ENCUESTA CONDUCTORES'!I369</f>
        <v>32</v>
      </c>
      <c r="H369" s="15" t="str">
        <f>+'ENCUESTA CONDUCTORES'!J369</f>
        <v>M</v>
      </c>
      <c r="I369" s="15" t="str">
        <f>+'ENCUESTA CONDUCTORES'!K369</f>
        <v>SECUNDARIA</v>
      </c>
      <c r="J369" s="15" t="str">
        <f>+'ENCUESTA CONDUCTORES'!L369</f>
        <v>SALAMANCA, GTO.</v>
      </c>
      <c r="K369" s="15" t="str">
        <f>+'ENCUESTA CONDUCTORES'!M369</f>
        <v>SALAMANCA</v>
      </c>
      <c r="L369" s="15" t="str">
        <f>+'ENCUESTA CONDUCTORES'!N369</f>
        <v>GUANAJUATO</v>
      </c>
      <c r="M369" s="15">
        <f>+'ENCUESTA CONDUCTORES'!O369</f>
        <v>8</v>
      </c>
      <c r="N369" s="15">
        <f>IF('ENCUESTA CONDUCTORES'!P369="X",1,0)</f>
        <v>0</v>
      </c>
      <c r="O369" s="15">
        <f>IF('ENCUESTA CONDUCTORES'!Q369="X",1,0)</f>
        <v>0</v>
      </c>
      <c r="P369" s="15">
        <f>IF('ENCUESTA CONDUCTORES'!R369="X",1,0)</f>
        <v>0</v>
      </c>
      <c r="Q369" s="15">
        <f>IF('ENCUESTA CONDUCTORES'!S369="X",1,0)</f>
        <v>1</v>
      </c>
      <c r="R369" s="15">
        <f>IF('ENCUESTA CONDUCTORES'!T369="X",1,0)</f>
        <v>0</v>
      </c>
      <c r="S369" s="15">
        <f>IF('ENCUESTA CONDUCTORES'!U369="X",1,0)</f>
        <v>0</v>
      </c>
      <c r="T369" s="15">
        <f>IF('ENCUESTA CONDUCTORES'!V369="X",1,0)</f>
        <v>0</v>
      </c>
      <c r="U369" s="15">
        <f>IF('ENCUESTA CONDUCTORES'!W369="X",1,0)</f>
        <v>0</v>
      </c>
      <c r="V369" s="15">
        <f>IF('ENCUESTA CONDUCTORES'!X369="X",1,0)</f>
        <v>0</v>
      </c>
      <c r="W369" s="15">
        <f>IF('ENCUESTA CONDUCTORES'!Y369="X",1,0)</f>
        <v>0</v>
      </c>
      <c r="X369" s="15">
        <f>IF('ENCUESTA CONDUCTORES'!Z369="X",1,0)</f>
        <v>0</v>
      </c>
      <c r="Y369" s="15">
        <f>+'ENCUESTA CONDUCTORES'!AG369</f>
        <v>0</v>
      </c>
      <c r="Z369" s="15">
        <f>+'ENCUESTA CONDUCTORES'!AH369</f>
        <v>2005</v>
      </c>
      <c r="AA369" s="1">
        <f>+'ENCUESTA CONDUCTORES'!AI369</f>
        <v>823661</v>
      </c>
      <c r="AB369" s="15">
        <f>IF('ENCUESTA CONDUCTORES'!AJ369="X",1,0)</f>
        <v>0</v>
      </c>
      <c r="AC369" s="15">
        <f>IF('ENCUESTA CONDUCTORES'!AK369="X",1,0)</f>
        <v>0</v>
      </c>
      <c r="AD369" s="15">
        <f>IF('ENCUESTA CONDUCTORES'!AL369="X",1,0)</f>
        <v>1</v>
      </c>
      <c r="AE369" s="15">
        <f>IF('ENCUESTA CONDUCTORES'!AM369="X",1,0)</f>
        <v>0</v>
      </c>
      <c r="AF369" s="15">
        <f>IF('ENCUESTA CONDUCTORES'!AN369="X",1,0)</f>
        <v>0</v>
      </c>
      <c r="AG369" s="15">
        <f>IF('ENCUESTA CONDUCTORES'!AO369="X",1,0)</f>
        <v>0</v>
      </c>
      <c r="AH369" s="15">
        <f>IF('ENCUESTA CONDUCTORES'!AP369="X",1,0)</f>
        <v>1</v>
      </c>
      <c r="AI369" s="15">
        <f>IF('ENCUESTA CONDUCTORES'!AQ369="X",1,0)</f>
        <v>0</v>
      </c>
      <c r="AJ369" s="15">
        <f>IF('ENCUESTA CONDUCTORES'!AR369="X",1,0)</f>
        <v>0</v>
      </c>
      <c r="AK369" s="15">
        <f>+'ENCUESTA CONDUCTORES'!AS369</f>
        <v>0</v>
      </c>
      <c r="AL369" s="15" t="str">
        <f>+'ENCUESTA CONDUCTORES'!AT369</f>
        <v>DETROIT</v>
      </c>
      <c r="AM369" s="1">
        <f>+'ENCUESTA CONDUCTORES'!AU369</f>
        <v>8000</v>
      </c>
      <c r="AN369" s="48">
        <f>+'ENCUESTA CONDUCTORES'!AV369</f>
        <v>0.3</v>
      </c>
      <c r="AO369" s="15">
        <f>+'ENCUESTA CONDUCTORES'!AW369</f>
        <v>2.9</v>
      </c>
      <c r="AP369" s="15">
        <f>+'ENCUESTA CONDUCTORES'!AX369</f>
        <v>2.5</v>
      </c>
      <c r="AQ369" s="15">
        <f>+'ENCUESTA CONDUCTORES'!AY369</f>
        <v>2</v>
      </c>
      <c r="AR369" s="15">
        <f>+'ENCUESTA CONDUCTORES'!AZ369</f>
        <v>810</v>
      </c>
      <c r="AS369" s="15">
        <f>+'ENCUESTA CONDUCTORES'!BA369</f>
        <v>2200</v>
      </c>
      <c r="AT369" s="15">
        <f>IF('ENCUESTA CONDUCTORES'!BB369="X",1,0)</f>
        <v>1</v>
      </c>
      <c r="AU369" s="15">
        <f>IF('ENCUESTA CONDUCTORES'!BC369="X",1,0)</f>
        <v>1</v>
      </c>
      <c r="AV369" s="15">
        <f>IF('ENCUESTA CONDUCTORES'!BD369="X",1,0)</f>
        <v>0</v>
      </c>
      <c r="AW369" s="1">
        <f>+'ENCUESTA CONDUCTORES'!BE369</f>
        <v>20000</v>
      </c>
      <c r="AX369" s="1">
        <f>+'ENCUESTA CONDUCTORES'!BF369</f>
        <v>100000</v>
      </c>
      <c r="AY369" s="1">
        <f>+'ENCUESTA CONDUCTORES'!BG369</f>
        <v>25000</v>
      </c>
      <c r="AZ369" s="1">
        <f>+'ENCUESTA CONDUCTORES'!BH369</f>
        <v>100000</v>
      </c>
      <c r="BA369" s="1" t="str">
        <f>+'ENCUESTA CONDUCTORES'!BI369</f>
        <v>NO SABE</v>
      </c>
      <c r="BB369" s="15">
        <f>IF('ENCUESTA CONDUCTORES'!BJ369="X",1,0)</f>
        <v>0</v>
      </c>
      <c r="BC369" s="15">
        <f>IF('ENCUESTA CONDUCTORES'!BK369="X",1,0)</f>
        <v>0</v>
      </c>
      <c r="BD369" s="15">
        <f>IF('ENCUESTA CONDUCTORES'!BL369="X",1,0)</f>
        <v>1</v>
      </c>
      <c r="BE369" s="15">
        <f>IF('ENCUESTA CONDUCTORES'!BM369="X",1,0)</f>
        <v>0</v>
      </c>
      <c r="BF369" s="15">
        <f>IF('ENCUESTA CONDUCTORES'!BN369="X",1,0)</f>
        <v>1</v>
      </c>
      <c r="BG369" s="15">
        <f>IF('ENCUESTA CONDUCTORES'!BO369="X",1,0)</f>
        <v>0</v>
      </c>
      <c r="BH369" s="15">
        <f>IF('ENCUESTA CONDUCTORES'!BP369="X",1,0)</f>
        <v>0</v>
      </c>
      <c r="BI369" s="15">
        <f>IF('ENCUESTA CONDUCTORES'!BQ369="X",1,0)</f>
        <v>0</v>
      </c>
      <c r="BJ369" s="15">
        <f>IF('ENCUESTA CONDUCTORES'!BR369="X",1,0)</f>
        <v>1</v>
      </c>
      <c r="BK369" s="15">
        <f>+'ENCUESTA CONDUCTORES'!BS369</f>
        <v>0</v>
      </c>
      <c r="BL369" s="15">
        <f>IF('ENCUESTA CONDUCTORES'!BT369="X",1,0)</f>
        <v>0</v>
      </c>
      <c r="BM369" s="15">
        <f>IF('ENCUESTA CONDUCTORES'!BU369="X",1,0)</f>
        <v>1</v>
      </c>
      <c r="BN369" s="15">
        <f>IF('ENCUESTA CONDUCTORES'!BV369="X",1,0)</f>
        <v>0</v>
      </c>
      <c r="BO369" s="15">
        <f>IF('ENCUESTA CONDUCTORES'!BW369="X",1,0)</f>
        <v>0</v>
      </c>
      <c r="BP369" s="15">
        <f>+'ENCUESTA CONDUCTORES'!BX369</f>
        <v>2</v>
      </c>
      <c r="BQ369" s="15">
        <f>+'ENCUESTA CONDUCTORES'!BY369</f>
        <v>3</v>
      </c>
      <c r="BR369" s="15">
        <f>+'ENCUESTA CONDUCTORES'!BZ369</f>
        <v>4</v>
      </c>
      <c r="BS369" s="15" t="str">
        <f>+'ENCUESTA CONDUCTORES'!CA369</f>
        <v>SEGURIDAD</v>
      </c>
      <c r="BT369" s="15">
        <f>IF('ENCUESTA CONDUCTORES'!CB369="X",1,0)</f>
        <v>1</v>
      </c>
      <c r="BU369" s="15">
        <f>IF('ENCUESTA CONDUCTORES'!CC369="X",1,0)</f>
        <v>0</v>
      </c>
      <c r="BV369" s="15">
        <f>IF('ENCUESTA CONDUCTORES'!CD369="X",1,0)</f>
        <v>0</v>
      </c>
      <c r="BW369" s="15">
        <f>IF('ENCUESTA CONDUCTORES'!CE369="X",1,0)</f>
        <v>0</v>
      </c>
      <c r="BX369" s="15">
        <f>IF('ENCUESTA CONDUCTORES'!CF369="X",1,0)</f>
        <v>0</v>
      </c>
      <c r="BY369" s="15">
        <f>IF('ENCUESTA CONDUCTORES'!CG369="X",1,0)</f>
        <v>0</v>
      </c>
      <c r="BZ369" s="15">
        <f>IF('ENCUESTA CONDUCTORES'!CH369="X",1,0)</f>
        <v>0</v>
      </c>
      <c r="CA369" s="15">
        <f>IF('ENCUESTA CONDUCTORES'!CI369="X",1,0)</f>
        <v>0</v>
      </c>
      <c r="CB369" s="15">
        <f>IF('ENCUESTA CONDUCTORES'!CJ369="X",1,0)</f>
        <v>0</v>
      </c>
      <c r="CC369" s="15">
        <f>IF('ENCUESTA CONDUCTORES'!CK369="X",1,0)</f>
        <v>1</v>
      </c>
      <c r="CD369" s="15">
        <f>IF('ENCUESTA CONDUCTORES'!CL369="X",1,0)</f>
        <v>0</v>
      </c>
      <c r="CE369" s="15">
        <f>IF('ENCUESTA CONDUCTORES'!CM369="X",1,0)</f>
        <v>0</v>
      </c>
      <c r="CF369" s="15">
        <f>+'ENCUESTA CONDUCTORES'!CN369</f>
        <v>0</v>
      </c>
      <c r="CG369" s="15">
        <f>IF('ENCUESTA CONDUCTORES'!CO369="X",1,0)</f>
        <v>0</v>
      </c>
      <c r="CH369" s="15" t="str">
        <f>+'ENCUESTA CONDUCTORES'!CP369</f>
        <v>NO SABE</v>
      </c>
      <c r="CI369" s="15" t="str">
        <f>+'ENCUESTA CONDUCTORES'!CQ369</f>
        <v>NO SABE</v>
      </c>
      <c r="CJ369" s="15">
        <f>IF('ENCUESTA CONDUCTORES'!CR369="X",1,0)</f>
        <v>0</v>
      </c>
      <c r="CK369" s="15">
        <f>IF('ENCUESTA CONDUCTORES'!CS369="X",1,0)</f>
        <v>0</v>
      </c>
      <c r="CL369" s="15">
        <f>IF('ENCUESTA CONDUCTORES'!CT369="X",1,0)</f>
        <v>0</v>
      </c>
      <c r="CM369" s="15" t="str">
        <f>+'ENCUESTA CONDUCTORES'!CU369</f>
        <v>CONTINGENCIA AMBIENTAL</v>
      </c>
      <c r="CN369" s="15">
        <f>IF('ENCUESTA CONDUCTORES'!CV369="X",1,0)</f>
        <v>0</v>
      </c>
      <c r="CO369" s="15">
        <f>+'ENCUESTA CONDUCTORES'!CW369</f>
        <v>0</v>
      </c>
      <c r="CP369" s="15">
        <f>IF('ENCUESTA CONDUCTORES'!CX369="X",1,0)</f>
        <v>1</v>
      </c>
      <c r="CQ369" s="15">
        <f>IF('ENCUESTA CONDUCTORES'!CY369="X",1,0)</f>
        <v>0</v>
      </c>
      <c r="CR369" s="3">
        <f>+'ENCUESTA CONDUCTORES'!CZ369</f>
        <v>0</v>
      </c>
      <c r="CS369" s="49">
        <f>+'ENCUESTA CONDUCTORES'!DA369</f>
        <v>0</v>
      </c>
    </row>
    <row r="370" spans="2:97" x14ac:dyDescent="0.25">
      <c r="B370" s="14" t="str">
        <f>+'ENCUESTA CONDUCTORES'!D370</f>
        <v>C-381</v>
      </c>
      <c r="C370" s="15">
        <f>IF('ENCUESTA CONDUCTORES'!E370="X",1,0)</f>
        <v>1</v>
      </c>
      <c r="D370" s="15">
        <f>IF('ENCUESTA CONDUCTORES'!F370="X",1,0)</f>
        <v>0</v>
      </c>
      <c r="E370" s="15">
        <f>IF('ENCUESTA CONDUCTORES'!G370="X",1,0)</f>
        <v>0</v>
      </c>
      <c r="F370" s="15">
        <f>IF('ENCUESTA CONDUCTORES'!H370="X",1,0)</f>
        <v>0</v>
      </c>
      <c r="G370" s="15">
        <f>+'ENCUESTA CONDUCTORES'!I370</f>
        <v>54</v>
      </c>
      <c r="H370" s="15" t="str">
        <f>+'ENCUESTA CONDUCTORES'!J370</f>
        <v>M</v>
      </c>
      <c r="I370" s="15" t="str">
        <f>+'ENCUESTA CONDUCTORES'!K370</f>
        <v>PRIMARIA</v>
      </c>
      <c r="J370" s="15" t="str">
        <f>+'ENCUESTA CONDUCTORES'!L370</f>
        <v>SILAO, GTO</v>
      </c>
      <c r="K370" s="15" t="str">
        <f>+'ENCUESTA CONDUCTORES'!M370</f>
        <v>SILAO</v>
      </c>
      <c r="L370" s="15" t="str">
        <f>+'ENCUESTA CONDUCTORES'!N370</f>
        <v>GUANAJUATO</v>
      </c>
      <c r="M370" s="15">
        <f>+'ENCUESTA CONDUCTORES'!O370</f>
        <v>35</v>
      </c>
      <c r="N370" s="15">
        <f>IF('ENCUESTA CONDUCTORES'!P370="X",1,0)</f>
        <v>0</v>
      </c>
      <c r="O370" s="15">
        <f>IF('ENCUESTA CONDUCTORES'!Q370="X",1,0)</f>
        <v>0</v>
      </c>
      <c r="P370" s="15">
        <f>IF('ENCUESTA CONDUCTORES'!R370="X",1,0)</f>
        <v>0</v>
      </c>
      <c r="Q370" s="15">
        <f>IF('ENCUESTA CONDUCTORES'!S370="X",1,0)</f>
        <v>1</v>
      </c>
      <c r="R370" s="15">
        <f>IF('ENCUESTA CONDUCTORES'!T370="X",1,0)</f>
        <v>0</v>
      </c>
      <c r="S370" s="15">
        <f>IF('ENCUESTA CONDUCTORES'!U370="X",1,0)</f>
        <v>0</v>
      </c>
      <c r="T370" s="15">
        <f>IF('ENCUESTA CONDUCTORES'!V370="X",1,0)</f>
        <v>0</v>
      </c>
      <c r="U370" s="15">
        <f>IF('ENCUESTA CONDUCTORES'!W370="X",1,0)</f>
        <v>0</v>
      </c>
      <c r="V370" s="15">
        <f>IF('ENCUESTA CONDUCTORES'!X370="X",1,0)</f>
        <v>0</v>
      </c>
      <c r="W370" s="15">
        <f>IF('ENCUESTA CONDUCTORES'!Y370="X",1,0)</f>
        <v>0</v>
      </c>
      <c r="X370" s="15">
        <f>IF('ENCUESTA CONDUCTORES'!Z370="X",1,0)</f>
        <v>0</v>
      </c>
      <c r="Y370" s="15">
        <f>+'ENCUESTA CONDUCTORES'!AG370</f>
        <v>0</v>
      </c>
      <c r="Z370" s="15">
        <f>+'ENCUESTA CONDUCTORES'!AH370</f>
        <v>2004</v>
      </c>
      <c r="AA370" s="1">
        <f>+'ENCUESTA CONDUCTORES'!AI370</f>
        <v>724392</v>
      </c>
      <c r="AB370" s="15">
        <f>IF('ENCUESTA CONDUCTORES'!AJ370="X",1,0)</f>
        <v>0</v>
      </c>
      <c r="AC370" s="15">
        <f>IF('ENCUESTA CONDUCTORES'!AK370="X",1,0)</f>
        <v>0</v>
      </c>
      <c r="AD370" s="15">
        <f>IF('ENCUESTA CONDUCTORES'!AL370="X",1,0)</f>
        <v>1</v>
      </c>
      <c r="AE370" s="15">
        <f>IF('ENCUESTA CONDUCTORES'!AM370="X",1,0)</f>
        <v>0</v>
      </c>
      <c r="AF370" s="15">
        <f>IF('ENCUESTA CONDUCTORES'!AN370="X",1,0)</f>
        <v>0</v>
      </c>
      <c r="AG370" s="15">
        <f>IF('ENCUESTA CONDUCTORES'!AO370="X",1,0)</f>
        <v>0</v>
      </c>
      <c r="AH370" s="15">
        <f>IF('ENCUESTA CONDUCTORES'!AP370="X",1,0)</f>
        <v>1</v>
      </c>
      <c r="AI370" s="15">
        <f>IF('ENCUESTA CONDUCTORES'!AQ370="X",1,0)</f>
        <v>0</v>
      </c>
      <c r="AJ370" s="15">
        <f>IF('ENCUESTA CONDUCTORES'!AR370="X",1,0)</f>
        <v>0</v>
      </c>
      <c r="AK370" s="15">
        <f>+'ENCUESTA CONDUCTORES'!AS370</f>
        <v>0</v>
      </c>
      <c r="AL370" s="15" t="str">
        <f>+'ENCUESTA CONDUCTORES'!AT370</f>
        <v>CUMMINS</v>
      </c>
      <c r="AM370" s="1">
        <f>+'ENCUESTA CONDUCTORES'!AU370</f>
        <v>8000</v>
      </c>
      <c r="AN370" s="48">
        <f>+'ENCUESTA CONDUCTORES'!AV370</f>
        <v>0.25</v>
      </c>
      <c r="AO370" s="15">
        <f>+'ENCUESTA CONDUCTORES'!AW370</f>
        <v>2.9</v>
      </c>
      <c r="AP370" s="15">
        <f>+'ENCUESTA CONDUCTORES'!AX370</f>
        <v>2.5</v>
      </c>
      <c r="AQ370" s="15">
        <f>+'ENCUESTA CONDUCTORES'!AY370</f>
        <v>2</v>
      </c>
      <c r="AR370" s="15">
        <f>+'ENCUESTA CONDUCTORES'!AZ370</f>
        <v>920</v>
      </c>
      <c r="AS370" s="15">
        <f>+'ENCUESTA CONDUCTORES'!BA370</f>
        <v>2500</v>
      </c>
      <c r="AT370" s="15">
        <f>IF('ENCUESTA CONDUCTORES'!BB370="X",1,0)</f>
        <v>1</v>
      </c>
      <c r="AU370" s="15">
        <f>IF('ENCUESTA CONDUCTORES'!BC370="X",1,0)</f>
        <v>1</v>
      </c>
      <c r="AV370" s="15">
        <f>IF('ENCUESTA CONDUCTORES'!BD370="X",1,0)</f>
        <v>0</v>
      </c>
      <c r="AW370" s="1">
        <f>+'ENCUESTA CONDUCTORES'!BE370</f>
        <v>18000</v>
      </c>
      <c r="AX370" s="1">
        <f>+'ENCUESTA CONDUCTORES'!BF370</f>
        <v>120000</v>
      </c>
      <c r="AY370" s="1">
        <f>+'ENCUESTA CONDUCTORES'!BG370</f>
        <v>36000</v>
      </c>
      <c r="AZ370" s="1">
        <f>+'ENCUESTA CONDUCTORES'!BH370</f>
        <v>120000</v>
      </c>
      <c r="BA370" s="1" t="str">
        <f>+'ENCUESTA CONDUCTORES'!BI370</f>
        <v>NO SABE</v>
      </c>
      <c r="BB370" s="15">
        <f>IF('ENCUESTA CONDUCTORES'!BJ370="X",1,0)</f>
        <v>0</v>
      </c>
      <c r="BC370" s="15">
        <f>IF('ENCUESTA CONDUCTORES'!BK370="X",1,0)</f>
        <v>0</v>
      </c>
      <c r="BD370" s="15">
        <f>IF('ENCUESTA CONDUCTORES'!BL370="X",1,0)</f>
        <v>0</v>
      </c>
      <c r="BE370" s="15">
        <f>IF('ENCUESTA CONDUCTORES'!BM370="X",1,0)</f>
        <v>0</v>
      </c>
      <c r="BF370" s="15">
        <f>IF('ENCUESTA CONDUCTORES'!BN370="X",1,0)</f>
        <v>0</v>
      </c>
      <c r="BG370" s="15">
        <f>IF('ENCUESTA CONDUCTORES'!BO370="X",1,0)</f>
        <v>0</v>
      </c>
      <c r="BH370" s="15">
        <f>IF('ENCUESTA CONDUCTORES'!BP370="X",1,0)</f>
        <v>0</v>
      </c>
      <c r="BI370" s="15">
        <f>IF('ENCUESTA CONDUCTORES'!BQ370="X",1,0)</f>
        <v>0</v>
      </c>
      <c r="BJ370" s="15">
        <f>IF('ENCUESTA CONDUCTORES'!BR370="X",1,0)</f>
        <v>0</v>
      </c>
      <c r="BK370" s="15" t="str">
        <f>+'ENCUESTA CONDUCTORES'!BS370</f>
        <v>CONTENEDORES</v>
      </c>
      <c r="BL370" s="15">
        <f>IF('ENCUESTA CONDUCTORES'!BT370="X",1,0)</f>
        <v>0</v>
      </c>
      <c r="BM370" s="15">
        <f>IF('ENCUESTA CONDUCTORES'!BU370="X",1,0)</f>
        <v>0</v>
      </c>
      <c r="BN370" s="15">
        <f>IF('ENCUESTA CONDUCTORES'!BV370="X",1,0)</f>
        <v>1</v>
      </c>
      <c r="BO370" s="15">
        <f>IF('ENCUESTA CONDUCTORES'!BW370="X",1,0)</f>
        <v>0</v>
      </c>
      <c r="BP370" s="15">
        <f>+'ENCUESTA CONDUCTORES'!BX370</f>
        <v>1</v>
      </c>
      <c r="BQ370" s="15">
        <f>+'ENCUESTA CONDUCTORES'!BY370</f>
        <v>3</v>
      </c>
      <c r="BR370" s="15">
        <f>+'ENCUESTA CONDUCTORES'!BZ370</f>
        <v>2</v>
      </c>
      <c r="BS370" s="15">
        <f>+'ENCUESTA CONDUCTORES'!CA370</f>
        <v>0</v>
      </c>
      <c r="BT370" s="15">
        <f>IF('ENCUESTA CONDUCTORES'!CB370="X",1,0)</f>
        <v>1</v>
      </c>
      <c r="BU370" s="15">
        <f>IF('ENCUESTA CONDUCTORES'!CC370="X",1,0)</f>
        <v>0</v>
      </c>
      <c r="BV370" s="15">
        <f>IF('ENCUESTA CONDUCTORES'!CD370="X",1,0)</f>
        <v>0</v>
      </c>
      <c r="BW370" s="15">
        <f>IF('ENCUESTA CONDUCTORES'!CE370="X",1,0)</f>
        <v>0</v>
      </c>
      <c r="BX370" s="15">
        <f>IF('ENCUESTA CONDUCTORES'!CF370="X",1,0)</f>
        <v>0</v>
      </c>
      <c r="BY370" s="15">
        <f>IF('ENCUESTA CONDUCTORES'!CG370="X",1,0)</f>
        <v>0</v>
      </c>
      <c r="BZ370" s="15">
        <f>IF('ENCUESTA CONDUCTORES'!CH370="X",1,0)</f>
        <v>0</v>
      </c>
      <c r="CA370" s="15">
        <f>IF('ENCUESTA CONDUCTORES'!CI370="X",1,0)</f>
        <v>0</v>
      </c>
      <c r="CB370" s="15">
        <f>IF('ENCUESTA CONDUCTORES'!CJ370="X",1,0)</f>
        <v>0</v>
      </c>
      <c r="CC370" s="15">
        <f>IF('ENCUESTA CONDUCTORES'!CK370="X",1,0)</f>
        <v>1</v>
      </c>
      <c r="CD370" s="15">
        <f>IF('ENCUESTA CONDUCTORES'!CL370="X",1,0)</f>
        <v>0</v>
      </c>
      <c r="CE370" s="15">
        <f>IF('ENCUESTA CONDUCTORES'!CM370="X",1,0)</f>
        <v>0</v>
      </c>
      <c r="CF370" s="15">
        <f>+'ENCUESTA CONDUCTORES'!CN370</f>
        <v>0</v>
      </c>
      <c r="CG370" s="15">
        <f>IF('ENCUESTA CONDUCTORES'!CO370="X",1,0)</f>
        <v>0</v>
      </c>
      <c r="CH370" s="15" t="str">
        <f>+'ENCUESTA CONDUCTORES'!CP370</f>
        <v>NO SABE</v>
      </c>
      <c r="CI370" s="15" t="str">
        <f>+'ENCUESTA CONDUCTORES'!CQ370</f>
        <v>NO SABE</v>
      </c>
      <c r="CJ370" s="15">
        <f>IF('ENCUESTA CONDUCTORES'!CR370="X",1,0)</f>
        <v>1</v>
      </c>
      <c r="CK370" s="15">
        <f>IF('ENCUESTA CONDUCTORES'!CS370="X",1,0)</f>
        <v>0</v>
      </c>
      <c r="CL370" s="15">
        <f>IF('ENCUESTA CONDUCTORES'!CT370="X",1,0)</f>
        <v>0</v>
      </c>
      <c r="CM370" s="15">
        <f>+'ENCUESTA CONDUCTORES'!CU370</f>
        <v>0</v>
      </c>
      <c r="CN370" s="15">
        <f>IF('ENCUESTA CONDUCTORES'!CV370="X",1,0)</f>
        <v>0</v>
      </c>
      <c r="CO370" s="15">
        <f>+'ENCUESTA CONDUCTORES'!CW370</f>
        <v>0</v>
      </c>
      <c r="CP370" s="15">
        <f>IF('ENCUESTA CONDUCTORES'!CX370="X",1,0)</f>
        <v>0</v>
      </c>
      <c r="CQ370" s="15">
        <f>IF('ENCUESTA CONDUCTORES'!CY370="X",1,0)</f>
        <v>1</v>
      </c>
      <c r="CR370" s="3">
        <f>+'ENCUESTA CONDUCTORES'!CZ370</f>
        <v>0</v>
      </c>
      <c r="CS370" s="49">
        <f>+'ENCUESTA CONDUCTORES'!DA370</f>
        <v>0</v>
      </c>
    </row>
    <row r="371" spans="2:97" x14ac:dyDescent="0.25">
      <c r="B371" s="14" t="str">
        <f>+'ENCUESTA CONDUCTORES'!D371</f>
        <v>C-382</v>
      </c>
      <c r="C371" s="15">
        <f>IF('ENCUESTA CONDUCTORES'!E371="X",1,0)</f>
        <v>0</v>
      </c>
      <c r="D371" s="15">
        <f>IF('ENCUESTA CONDUCTORES'!F371="X",1,0)</f>
        <v>0</v>
      </c>
      <c r="E371" s="15">
        <f>IF('ENCUESTA CONDUCTORES'!G371="X",1,0)</f>
        <v>0</v>
      </c>
      <c r="F371" s="15">
        <f>IF('ENCUESTA CONDUCTORES'!H371="X",1,0)</f>
        <v>1</v>
      </c>
      <c r="G371" s="15">
        <f>+'ENCUESTA CONDUCTORES'!I371</f>
        <v>42</v>
      </c>
      <c r="H371" s="15" t="str">
        <f>+'ENCUESTA CONDUCTORES'!J371</f>
        <v>M</v>
      </c>
      <c r="I371" s="15" t="str">
        <f>+'ENCUESTA CONDUCTORES'!K371</f>
        <v>SECUNDARIA</v>
      </c>
      <c r="J371" s="15" t="str">
        <f>+'ENCUESTA CONDUCTORES'!L371</f>
        <v>CELAYA, GTO.</v>
      </c>
      <c r="K371" s="15" t="str">
        <f>+'ENCUESTA CONDUCTORES'!M371</f>
        <v>CELAYA</v>
      </c>
      <c r="L371" s="15" t="str">
        <f>+'ENCUESTA CONDUCTORES'!N371</f>
        <v>GUANAJUATO</v>
      </c>
      <c r="M371" s="15">
        <f>+'ENCUESTA CONDUCTORES'!O371</f>
        <v>20</v>
      </c>
      <c r="N371" s="15">
        <f>IF('ENCUESTA CONDUCTORES'!P371="X",1,0)</f>
        <v>0</v>
      </c>
      <c r="O371" s="15">
        <f>IF('ENCUESTA CONDUCTORES'!Q371="X",1,0)</f>
        <v>0</v>
      </c>
      <c r="P371" s="15">
        <f>IF('ENCUESTA CONDUCTORES'!R371="X",1,0)</f>
        <v>0</v>
      </c>
      <c r="Q371" s="15">
        <f>IF('ENCUESTA CONDUCTORES'!S371="X",1,0)</f>
        <v>1</v>
      </c>
      <c r="R371" s="15">
        <f>IF('ENCUESTA CONDUCTORES'!T371="X",1,0)</f>
        <v>0</v>
      </c>
      <c r="S371" s="15">
        <f>IF('ENCUESTA CONDUCTORES'!U371="X",1,0)</f>
        <v>0</v>
      </c>
      <c r="T371" s="15">
        <f>IF('ENCUESTA CONDUCTORES'!V371="X",1,0)</f>
        <v>0</v>
      </c>
      <c r="U371" s="15">
        <f>IF('ENCUESTA CONDUCTORES'!W371="X",1,0)</f>
        <v>0</v>
      </c>
      <c r="V371" s="15">
        <f>IF('ENCUESTA CONDUCTORES'!X371="X",1,0)</f>
        <v>0</v>
      </c>
      <c r="W371" s="15">
        <f>IF('ENCUESTA CONDUCTORES'!Y371="X",1,0)</f>
        <v>0</v>
      </c>
      <c r="X371" s="15">
        <f>IF('ENCUESTA CONDUCTORES'!Z371="X",1,0)</f>
        <v>0</v>
      </c>
      <c r="Y371" s="15">
        <f>+'ENCUESTA CONDUCTORES'!AG371</f>
        <v>0</v>
      </c>
      <c r="Z371" s="15">
        <f>+'ENCUESTA CONDUCTORES'!AH371</f>
        <v>2008</v>
      </c>
      <c r="AA371" s="1">
        <f>+'ENCUESTA CONDUCTORES'!AI371</f>
        <v>452820</v>
      </c>
      <c r="AB371" s="15">
        <f>IF('ENCUESTA CONDUCTORES'!AJ371="X",1,0)</f>
        <v>0</v>
      </c>
      <c r="AC371" s="15">
        <f>IF('ENCUESTA CONDUCTORES'!AK371="X",1,0)</f>
        <v>0</v>
      </c>
      <c r="AD371" s="15">
        <f>IF('ENCUESTA CONDUCTORES'!AL371="X",1,0)</f>
        <v>1</v>
      </c>
      <c r="AE371" s="15">
        <f>IF('ENCUESTA CONDUCTORES'!AM371="X",1,0)</f>
        <v>0</v>
      </c>
      <c r="AF371" s="15">
        <f>IF('ENCUESTA CONDUCTORES'!AN371="X",1,0)</f>
        <v>0</v>
      </c>
      <c r="AG371" s="15">
        <f>IF('ENCUESTA CONDUCTORES'!AO371="X",1,0)</f>
        <v>1</v>
      </c>
      <c r="AH371" s="15">
        <f>IF('ENCUESTA CONDUCTORES'!AP371="X",1,0)</f>
        <v>0</v>
      </c>
      <c r="AI371" s="15">
        <f>IF('ENCUESTA CONDUCTORES'!AQ371="X",1,0)</f>
        <v>0</v>
      </c>
      <c r="AJ371" s="15">
        <f>IF('ENCUESTA CONDUCTORES'!AR371="X",1,0)</f>
        <v>0</v>
      </c>
      <c r="AK371" s="15">
        <f>+'ENCUESTA CONDUCTORES'!AS371</f>
        <v>0</v>
      </c>
      <c r="AL371" s="15" t="str">
        <f>+'ENCUESTA CONDUCTORES'!AT371</f>
        <v>NO SABE</v>
      </c>
      <c r="AM371" s="1">
        <f>+'ENCUESTA CONDUCTORES'!AU371</f>
        <v>6000</v>
      </c>
      <c r="AN371" s="48">
        <f>+'ENCUESTA CONDUCTORES'!AV371</f>
        <v>0.5</v>
      </c>
      <c r="AO371" s="15">
        <f>+'ENCUESTA CONDUCTORES'!AW371</f>
        <v>1.7</v>
      </c>
      <c r="AP371" s="15">
        <f>+'ENCUESTA CONDUCTORES'!AX371</f>
        <v>1.4</v>
      </c>
      <c r="AQ371" s="15">
        <f>+'ENCUESTA CONDUCTORES'!AY371</f>
        <v>2</v>
      </c>
      <c r="AR371" s="15">
        <f>+'ENCUESTA CONDUCTORES'!AZ371</f>
        <v>1000</v>
      </c>
      <c r="AS371" s="15">
        <f>+'ENCUESTA CONDUCTORES'!BA371</f>
        <v>1600</v>
      </c>
      <c r="AT371" s="15">
        <f>IF('ENCUESTA CONDUCTORES'!BB371="X",1,0)</f>
        <v>1</v>
      </c>
      <c r="AU371" s="15">
        <f>IF('ENCUESTA CONDUCTORES'!BC371="X",1,0)</f>
        <v>1</v>
      </c>
      <c r="AV371" s="15">
        <f>IF('ENCUESTA CONDUCTORES'!BD371="X",1,0)</f>
        <v>0</v>
      </c>
      <c r="AW371" s="1">
        <f>+'ENCUESTA CONDUCTORES'!BE371</f>
        <v>18000</v>
      </c>
      <c r="AX371" s="1">
        <f>+'ENCUESTA CONDUCTORES'!BF371</f>
        <v>140000</v>
      </c>
      <c r="AY371" s="1">
        <f>+'ENCUESTA CONDUCTORES'!BG371</f>
        <v>18000</v>
      </c>
      <c r="AZ371" s="1">
        <f>+'ENCUESTA CONDUCTORES'!BH371</f>
        <v>140000</v>
      </c>
      <c r="BA371" s="1" t="str">
        <f>+'ENCUESTA CONDUCTORES'!BI371</f>
        <v>NO SABE</v>
      </c>
      <c r="BB371" s="15">
        <f>IF('ENCUESTA CONDUCTORES'!BJ371="X",1,0)</f>
        <v>0</v>
      </c>
      <c r="BC371" s="15">
        <f>IF('ENCUESTA CONDUCTORES'!BK371="X",1,0)</f>
        <v>0</v>
      </c>
      <c r="BD371" s="15">
        <f>IF('ENCUESTA CONDUCTORES'!BL371="X",1,0)</f>
        <v>0</v>
      </c>
      <c r="BE371" s="15">
        <f>IF('ENCUESTA CONDUCTORES'!BM371="X",1,0)</f>
        <v>0</v>
      </c>
      <c r="BF371" s="15">
        <f>IF('ENCUESTA CONDUCTORES'!BN371="X",1,0)</f>
        <v>1</v>
      </c>
      <c r="BG371" s="15">
        <f>IF('ENCUESTA CONDUCTORES'!BO371="X",1,0)</f>
        <v>0</v>
      </c>
      <c r="BH371" s="15">
        <f>IF('ENCUESTA CONDUCTORES'!BP371="X",1,0)</f>
        <v>1</v>
      </c>
      <c r="BI371" s="15">
        <f>IF('ENCUESTA CONDUCTORES'!BQ371="X",1,0)</f>
        <v>0</v>
      </c>
      <c r="BJ371" s="15">
        <f>IF('ENCUESTA CONDUCTORES'!BR371="X",1,0)</f>
        <v>0</v>
      </c>
      <c r="BK371" s="15">
        <f>+'ENCUESTA CONDUCTORES'!BS371</f>
        <v>0</v>
      </c>
      <c r="BL371" s="15">
        <f>IF('ENCUESTA CONDUCTORES'!BT371="X",1,0)</f>
        <v>0</v>
      </c>
      <c r="BM371" s="15">
        <f>IF('ENCUESTA CONDUCTORES'!BU371="X",1,0)</f>
        <v>0</v>
      </c>
      <c r="BN371" s="15">
        <f>IF('ENCUESTA CONDUCTORES'!BV371="X",1,0)</f>
        <v>1</v>
      </c>
      <c r="BO371" s="15">
        <f>IF('ENCUESTA CONDUCTORES'!BW371="X",1,0)</f>
        <v>0</v>
      </c>
      <c r="BP371" s="15">
        <f>+'ENCUESTA CONDUCTORES'!BX371</f>
        <v>1</v>
      </c>
      <c r="BQ371" s="15">
        <f>+'ENCUESTA CONDUCTORES'!BY371</f>
        <v>3</v>
      </c>
      <c r="BR371" s="15">
        <f>+'ENCUESTA CONDUCTORES'!BZ371</f>
        <v>2</v>
      </c>
      <c r="BS371" s="15">
        <f>+'ENCUESTA CONDUCTORES'!CA371</f>
        <v>0</v>
      </c>
      <c r="BT371" s="15">
        <f>IF('ENCUESTA CONDUCTORES'!CB371="X",1,0)</f>
        <v>1</v>
      </c>
      <c r="BU371" s="15">
        <f>IF('ENCUESTA CONDUCTORES'!CC371="X",1,0)</f>
        <v>0</v>
      </c>
      <c r="BV371" s="15">
        <f>IF('ENCUESTA CONDUCTORES'!CD371="X",1,0)</f>
        <v>0</v>
      </c>
      <c r="BW371" s="15">
        <f>IF('ENCUESTA CONDUCTORES'!CE371="X",1,0)</f>
        <v>0</v>
      </c>
      <c r="BX371" s="15">
        <f>IF('ENCUESTA CONDUCTORES'!CF371="X",1,0)</f>
        <v>0</v>
      </c>
      <c r="BY371" s="15">
        <f>IF('ENCUESTA CONDUCTORES'!CG371="X",1,0)</f>
        <v>0</v>
      </c>
      <c r="BZ371" s="15">
        <f>IF('ENCUESTA CONDUCTORES'!CH371="X",1,0)</f>
        <v>0</v>
      </c>
      <c r="CA371" s="15">
        <f>IF('ENCUESTA CONDUCTORES'!CI371="X",1,0)</f>
        <v>0</v>
      </c>
      <c r="CB371" s="15">
        <f>IF('ENCUESTA CONDUCTORES'!CJ371="X",1,0)</f>
        <v>0</v>
      </c>
      <c r="CC371" s="15">
        <f>IF('ENCUESTA CONDUCTORES'!CK371="X",1,0)</f>
        <v>1</v>
      </c>
      <c r="CD371" s="15">
        <f>IF('ENCUESTA CONDUCTORES'!CL371="X",1,0)</f>
        <v>0</v>
      </c>
      <c r="CE371" s="15">
        <f>IF('ENCUESTA CONDUCTORES'!CM371="X",1,0)</f>
        <v>0</v>
      </c>
      <c r="CF371" s="15">
        <f>+'ENCUESTA CONDUCTORES'!CN371</f>
        <v>0</v>
      </c>
      <c r="CG371" s="15">
        <f>IF('ENCUESTA CONDUCTORES'!CO371="X",1,0)</f>
        <v>0</v>
      </c>
      <c r="CH371" s="15" t="str">
        <f>+'ENCUESTA CONDUCTORES'!CP371</f>
        <v>NO SABE</v>
      </c>
      <c r="CI371" s="15" t="str">
        <f>+'ENCUESTA CONDUCTORES'!CQ371</f>
        <v>NO SABE</v>
      </c>
      <c r="CJ371" s="15">
        <f>IF('ENCUESTA CONDUCTORES'!CR371="X",1,0)</f>
        <v>1</v>
      </c>
      <c r="CK371" s="15">
        <f>IF('ENCUESTA CONDUCTORES'!CS371="X",1,0)</f>
        <v>0</v>
      </c>
      <c r="CL371" s="15">
        <f>IF('ENCUESTA CONDUCTORES'!CT371="X",1,0)</f>
        <v>0</v>
      </c>
      <c r="CM371" s="15">
        <f>+'ENCUESTA CONDUCTORES'!CU371</f>
        <v>0</v>
      </c>
      <c r="CN371" s="15">
        <f>IF('ENCUESTA CONDUCTORES'!CV371="X",1,0)</f>
        <v>0</v>
      </c>
      <c r="CO371" s="15">
        <f>+'ENCUESTA CONDUCTORES'!CW371</f>
        <v>0</v>
      </c>
      <c r="CP371" s="15">
        <f>IF('ENCUESTA CONDUCTORES'!CX371="X",1,0)</f>
        <v>1</v>
      </c>
      <c r="CQ371" s="15">
        <f>IF('ENCUESTA CONDUCTORES'!CY371="X",1,0)</f>
        <v>1</v>
      </c>
      <c r="CR371" s="3">
        <f>+'ENCUESTA CONDUCTORES'!CZ371</f>
        <v>0</v>
      </c>
      <c r="CS371" s="49">
        <f>+'ENCUESTA CONDUCTORES'!DA371</f>
        <v>0</v>
      </c>
    </row>
    <row r="372" spans="2:97" x14ac:dyDescent="0.25">
      <c r="B372" s="14" t="str">
        <f>+'ENCUESTA CONDUCTORES'!D372</f>
        <v>C-383</v>
      </c>
      <c r="C372" s="15">
        <f>IF('ENCUESTA CONDUCTORES'!E372="X",1,0)</f>
        <v>0</v>
      </c>
      <c r="D372" s="15">
        <f>IF('ENCUESTA CONDUCTORES'!F372="X",1,0)</f>
        <v>0</v>
      </c>
      <c r="E372" s="15">
        <f>IF('ENCUESTA CONDUCTORES'!G372="X",1,0)</f>
        <v>1</v>
      </c>
      <c r="F372" s="15">
        <f>IF('ENCUESTA CONDUCTORES'!H372="X",1,0)</f>
        <v>0</v>
      </c>
      <c r="G372" s="15">
        <f>+'ENCUESTA CONDUCTORES'!I372</f>
        <v>29</v>
      </c>
      <c r="H372" s="15" t="str">
        <f>+'ENCUESTA CONDUCTORES'!J372</f>
        <v>M</v>
      </c>
      <c r="I372" s="15" t="str">
        <f>+'ENCUESTA CONDUCTORES'!K372</f>
        <v>SECUNDARIA</v>
      </c>
      <c r="J372" s="15" t="str">
        <f>+'ENCUESTA CONDUCTORES'!L372</f>
        <v>LEON, GTO</v>
      </c>
      <c r="K372" s="15" t="str">
        <f>+'ENCUESTA CONDUCTORES'!M372</f>
        <v>LEON</v>
      </c>
      <c r="L372" s="15" t="str">
        <f>+'ENCUESTA CONDUCTORES'!N372</f>
        <v>GUANAJUATO</v>
      </c>
      <c r="M372" s="15">
        <f>+'ENCUESTA CONDUCTORES'!O372</f>
        <v>3</v>
      </c>
      <c r="N372" s="15">
        <f>IF('ENCUESTA CONDUCTORES'!P372="X",1,0)</f>
        <v>0</v>
      </c>
      <c r="O372" s="15">
        <f>IF('ENCUESTA CONDUCTORES'!Q372="X",1,0)</f>
        <v>0</v>
      </c>
      <c r="P372" s="15">
        <f>IF('ENCUESTA CONDUCTORES'!R372="X",1,0)</f>
        <v>0</v>
      </c>
      <c r="Q372" s="15">
        <f>IF('ENCUESTA CONDUCTORES'!S372="X",1,0)</f>
        <v>1</v>
      </c>
      <c r="R372" s="15">
        <f>IF('ENCUESTA CONDUCTORES'!T372="X",1,0)</f>
        <v>0</v>
      </c>
      <c r="S372" s="15">
        <f>IF('ENCUESTA CONDUCTORES'!U372="X",1,0)</f>
        <v>0</v>
      </c>
      <c r="T372" s="15">
        <f>IF('ENCUESTA CONDUCTORES'!V372="X",1,0)</f>
        <v>0</v>
      </c>
      <c r="U372" s="15">
        <f>IF('ENCUESTA CONDUCTORES'!W372="X",1,0)</f>
        <v>0</v>
      </c>
      <c r="V372" s="15">
        <f>IF('ENCUESTA CONDUCTORES'!X372="X",1,0)</f>
        <v>0</v>
      </c>
      <c r="W372" s="15">
        <f>IF('ENCUESTA CONDUCTORES'!Y372="X",1,0)</f>
        <v>0</v>
      </c>
      <c r="X372" s="15">
        <f>IF('ENCUESTA CONDUCTORES'!Z372="X",1,0)</f>
        <v>0</v>
      </c>
      <c r="Y372" s="15">
        <f>+'ENCUESTA CONDUCTORES'!AG372</f>
        <v>0</v>
      </c>
      <c r="Z372" s="15">
        <f>+'ENCUESTA CONDUCTORES'!AH372</f>
        <v>2008</v>
      </c>
      <c r="AA372" s="1">
        <f>+'ENCUESTA CONDUCTORES'!AI372</f>
        <v>388700</v>
      </c>
      <c r="AB372" s="15">
        <f>IF('ENCUESTA CONDUCTORES'!AJ372="X",1,0)</f>
        <v>0</v>
      </c>
      <c r="AC372" s="15">
        <f>IF('ENCUESTA CONDUCTORES'!AK372="X",1,0)</f>
        <v>0</v>
      </c>
      <c r="AD372" s="15">
        <f>IF('ENCUESTA CONDUCTORES'!AL372="X",1,0)</f>
        <v>1</v>
      </c>
      <c r="AE372" s="15">
        <f>IF('ENCUESTA CONDUCTORES'!AM372="X",1,0)</f>
        <v>0</v>
      </c>
      <c r="AF372" s="15">
        <f>IF('ENCUESTA CONDUCTORES'!AN372="X",1,0)</f>
        <v>0</v>
      </c>
      <c r="AG372" s="15">
        <f>IF('ENCUESTA CONDUCTORES'!AO372="X",1,0)</f>
        <v>0</v>
      </c>
      <c r="AH372" s="15">
        <f>IF('ENCUESTA CONDUCTORES'!AP372="X",1,0)</f>
        <v>1</v>
      </c>
      <c r="AI372" s="15">
        <f>IF('ENCUESTA CONDUCTORES'!AQ372="X",1,0)</f>
        <v>0</v>
      </c>
      <c r="AJ372" s="15">
        <f>IF('ENCUESTA CONDUCTORES'!AR372="X",1,0)</f>
        <v>0</v>
      </c>
      <c r="AK372" s="15">
        <f>+'ENCUESTA CONDUCTORES'!AS372</f>
        <v>0</v>
      </c>
      <c r="AL372" s="15" t="str">
        <f>+'ENCUESTA CONDUCTORES'!AT372</f>
        <v>DETROIT</v>
      </c>
      <c r="AM372" s="1">
        <f>+'ENCUESTA CONDUCTORES'!AU372</f>
        <v>8000</v>
      </c>
      <c r="AN372" s="48">
        <f>+'ENCUESTA CONDUCTORES'!AV372</f>
        <v>0.5</v>
      </c>
      <c r="AO372" s="15">
        <f>+'ENCUESTA CONDUCTORES'!AW372</f>
        <v>2.9</v>
      </c>
      <c r="AP372" s="15">
        <f>+'ENCUESTA CONDUCTORES'!AX372</f>
        <v>2.5</v>
      </c>
      <c r="AQ372" s="15">
        <f>+'ENCUESTA CONDUCTORES'!AY372</f>
        <v>2</v>
      </c>
      <c r="AR372" s="15">
        <f>+'ENCUESTA CONDUCTORES'!AZ372</f>
        <v>780</v>
      </c>
      <c r="AS372" s="15">
        <f>+'ENCUESTA CONDUCTORES'!BA372</f>
        <v>2200</v>
      </c>
      <c r="AT372" s="15">
        <f>IF('ENCUESTA CONDUCTORES'!BB372="X",1,0)</f>
        <v>1</v>
      </c>
      <c r="AU372" s="15">
        <f>IF('ENCUESTA CONDUCTORES'!BC372="X",1,0)</f>
        <v>1</v>
      </c>
      <c r="AV372" s="15">
        <f>IF('ENCUESTA CONDUCTORES'!BD372="X",1,0)</f>
        <v>0</v>
      </c>
      <c r="AW372" s="1">
        <f>+'ENCUESTA CONDUCTORES'!BE372</f>
        <v>16000</v>
      </c>
      <c r="AX372" s="1">
        <f>+'ENCUESTA CONDUCTORES'!BF372</f>
        <v>180000</v>
      </c>
      <c r="AY372" s="1">
        <f>+'ENCUESTA CONDUCTORES'!BG372</f>
        <v>24000</v>
      </c>
      <c r="AZ372" s="1">
        <f>+'ENCUESTA CONDUCTORES'!BH372</f>
        <v>120000</v>
      </c>
      <c r="BA372" s="1" t="str">
        <f>+'ENCUESTA CONDUCTORES'!BI372</f>
        <v>NO SABE</v>
      </c>
      <c r="BB372" s="15">
        <f>IF('ENCUESTA CONDUCTORES'!BJ372="X",1,0)</f>
        <v>0</v>
      </c>
      <c r="BC372" s="15">
        <f>IF('ENCUESTA CONDUCTORES'!BK372="X",1,0)</f>
        <v>0</v>
      </c>
      <c r="BD372" s="15">
        <f>IF('ENCUESTA CONDUCTORES'!BL372="X",1,0)</f>
        <v>0</v>
      </c>
      <c r="BE372" s="15">
        <f>IF('ENCUESTA CONDUCTORES'!BM372="X",1,0)</f>
        <v>0</v>
      </c>
      <c r="BF372" s="15">
        <f>IF('ENCUESTA CONDUCTORES'!BN372="X",1,0)</f>
        <v>1</v>
      </c>
      <c r="BG372" s="15">
        <f>IF('ENCUESTA CONDUCTORES'!BO372="X",1,0)</f>
        <v>0</v>
      </c>
      <c r="BH372" s="15">
        <f>IF('ENCUESTA CONDUCTORES'!BP372="X",1,0)</f>
        <v>1</v>
      </c>
      <c r="BI372" s="15">
        <f>IF('ENCUESTA CONDUCTORES'!BQ372="X",1,0)</f>
        <v>0</v>
      </c>
      <c r="BJ372" s="15">
        <f>IF('ENCUESTA CONDUCTORES'!BR372="X",1,0)</f>
        <v>0</v>
      </c>
      <c r="BK372" s="15" t="str">
        <f>+'ENCUESTA CONDUCTORES'!BS372</f>
        <v>CONTENEDORES</v>
      </c>
      <c r="BL372" s="15">
        <f>IF('ENCUESTA CONDUCTORES'!BT372="X",1,0)</f>
        <v>0</v>
      </c>
      <c r="BM372" s="15">
        <f>IF('ENCUESTA CONDUCTORES'!BU372="X",1,0)</f>
        <v>1</v>
      </c>
      <c r="BN372" s="15">
        <f>IF('ENCUESTA CONDUCTORES'!BV372="X",1,0)</f>
        <v>0</v>
      </c>
      <c r="BO372" s="15">
        <f>IF('ENCUESTA CONDUCTORES'!BW372="X",1,0)</f>
        <v>0</v>
      </c>
      <c r="BP372" s="15">
        <f>+'ENCUESTA CONDUCTORES'!BX372</f>
        <v>1</v>
      </c>
      <c r="BQ372" s="15">
        <f>+'ENCUESTA CONDUCTORES'!BY372</f>
        <v>3</v>
      </c>
      <c r="BR372" s="15">
        <f>+'ENCUESTA CONDUCTORES'!BZ372</f>
        <v>2</v>
      </c>
      <c r="BS372" s="15">
        <f>+'ENCUESTA CONDUCTORES'!CA372</f>
        <v>0</v>
      </c>
      <c r="BT372" s="15">
        <f>IF('ENCUESTA CONDUCTORES'!CB372="X",1,0)</f>
        <v>1</v>
      </c>
      <c r="BU372" s="15">
        <f>IF('ENCUESTA CONDUCTORES'!CC372="X",1,0)</f>
        <v>0</v>
      </c>
      <c r="BV372" s="15">
        <f>IF('ENCUESTA CONDUCTORES'!CD372="X",1,0)</f>
        <v>0</v>
      </c>
      <c r="BW372" s="15">
        <f>IF('ENCUESTA CONDUCTORES'!CE372="X",1,0)</f>
        <v>0</v>
      </c>
      <c r="BX372" s="15">
        <f>IF('ENCUESTA CONDUCTORES'!CF372="X",1,0)</f>
        <v>0</v>
      </c>
      <c r="BY372" s="15">
        <f>IF('ENCUESTA CONDUCTORES'!CG372="X",1,0)</f>
        <v>0</v>
      </c>
      <c r="BZ372" s="15">
        <f>IF('ENCUESTA CONDUCTORES'!CH372="X",1,0)</f>
        <v>0</v>
      </c>
      <c r="CA372" s="15">
        <f>IF('ENCUESTA CONDUCTORES'!CI372="X",1,0)</f>
        <v>0</v>
      </c>
      <c r="CB372" s="15">
        <f>IF('ENCUESTA CONDUCTORES'!CJ372="X",1,0)</f>
        <v>0</v>
      </c>
      <c r="CC372" s="15">
        <f>IF('ENCUESTA CONDUCTORES'!CK372="X",1,0)</f>
        <v>1</v>
      </c>
      <c r="CD372" s="15">
        <f>IF('ENCUESTA CONDUCTORES'!CL372="X",1,0)</f>
        <v>0</v>
      </c>
      <c r="CE372" s="15">
        <f>IF('ENCUESTA CONDUCTORES'!CM372="X",1,0)</f>
        <v>0</v>
      </c>
      <c r="CF372" s="15">
        <f>+'ENCUESTA CONDUCTORES'!CN372</f>
        <v>0</v>
      </c>
      <c r="CG372" s="15">
        <f>IF('ENCUESTA CONDUCTORES'!CO372="X",1,0)</f>
        <v>0</v>
      </c>
      <c r="CH372" s="15" t="str">
        <f>+'ENCUESTA CONDUCTORES'!CP372</f>
        <v>NO SABE</v>
      </c>
      <c r="CI372" s="15" t="str">
        <f>+'ENCUESTA CONDUCTORES'!CQ372</f>
        <v>NO SABE</v>
      </c>
      <c r="CJ372" s="15">
        <f>IF('ENCUESTA CONDUCTORES'!CR372="X",1,0)</f>
        <v>0</v>
      </c>
      <c r="CK372" s="15">
        <f>IF('ENCUESTA CONDUCTORES'!CS372="X",1,0)</f>
        <v>0</v>
      </c>
      <c r="CL372" s="15">
        <f>IF('ENCUESTA CONDUCTORES'!CT372="X",1,0)</f>
        <v>1</v>
      </c>
      <c r="CM372" s="15">
        <f>+'ENCUESTA CONDUCTORES'!CU372</f>
        <v>0</v>
      </c>
      <c r="CN372" s="15">
        <f>IF('ENCUESTA CONDUCTORES'!CV372="X",1,0)</f>
        <v>0</v>
      </c>
      <c r="CO372" s="15">
        <f>+'ENCUESTA CONDUCTORES'!CW372</f>
        <v>0</v>
      </c>
      <c r="CP372" s="15">
        <f>IF('ENCUESTA CONDUCTORES'!CX372="X",1,0)</f>
        <v>1</v>
      </c>
      <c r="CQ372" s="15">
        <f>IF('ENCUESTA CONDUCTORES'!CY372="X",1,0)</f>
        <v>0</v>
      </c>
      <c r="CR372" s="3">
        <f>+'ENCUESTA CONDUCTORES'!CZ372</f>
        <v>0</v>
      </c>
      <c r="CS372" s="49">
        <f>+'ENCUESTA CONDUCTORES'!DA372</f>
        <v>0</v>
      </c>
    </row>
    <row r="373" spans="2:97" x14ac:dyDescent="0.25">
      <c r="B373" s="14" t="str">
        <f>+'ENCUESTA CONDUCTORES'!D373</f>
        <v>C-384</v>
      </c>
      <c r="C373" s="15">
        <f>IF('ENCUESTA CONDUCTORES'!E373="X",1,0)</f>
        <v>0</v>
      </c>
      <c r="D373" s="15">
        <f>IF('ENCUESTA CONDUCTORES'!F373="X",1,0)</f>
        <v>0</v>
      </c>
      <c r="E373" s="15">
        <f>IF('ENCUESTA CONDUCTORES'!G373="X",1,0)</f>
        <v>1</v>
      </c>
      <c r="F373" s="15">
        <f>IF('ENCUESTA CONDUCTORES'!H373="X",1,0)</f>
        <v>0</v>
      </c>
      <c r="G373" s="15">
        <f>+'ENCUESTA CONDUCTORES'!I373</f>
        <v>38</v>
      </c>
      <c r="H373" s="15" t="str">
        <f>+'ENCUESTA CONDUCTORES'!J373</f>
        <v>M</v>
      </c>
      <c r="I373" s="15" t="str">
        <f>+'ENCUESTA CONDUCTORES'!K373</f>
        <v>SECUNDARIA</v>
      </c>
      <c r="J373" s="15" t="str">
        <f>+'ENCUESTA CONDUCTORES'!L373</f>
        <v>LEON, GTO</v>
      </c>
      <c r="K373" s="15" t="str">
        <f>+'ENCUESTA CONDUCTORES'!M373</f>
        <v>LEON</v>
      </c>
      <c r="L373" s="15" t="str">
        <f>+'ENCUESTA CONDUCTORES'!N373</f>
        <v>GUANAJUATO</v>
      </c>
      <c r="M373" s="15">
        <f>+'ENCUESTA CONDUCTORES'!O373</f>
        <v>18</v>
      </c>
      <c r="N373" s="15">
        <f>IF('ENCUESTA CONDUCTORES'!P373="X",1,0)</f>
        <v>0</v>
      </c>
      <c r="O373" s="15">
        <f>IF('ENCUESTA CONDUCTORES'!Q373="X",1,0)</f>
        <v>0</v>
      </c>
      <c r="P373" s="15">
        <f>IF('ENCUESTA CONDUCTORES'!R373="X",1,0)</f>
        <v>0</v>
      </c>
      <c r="Q373" s="15">
        <f>IF('ENCUESTA CONDUCTORES'!S373="X",1,0)</f>
        <v>1</v>
      </c>
      <c r="R373" s="15">
        <f>IF('ENCUESTA CONDUCTORES'!T373="X",1,0)</f>
        <v>0</v>
      </c>
      <c r="S373" s="15">
        <f>IF('ENCUESTA CONDUCTORES'!U373="X",1,0)</f>
        <v>0</v>
      </c>
      <c r="T373" s="15">
        <f>IF('ENCUESTA CONDUCTORES'!V373="X",1,0)</f>
        <v>0</v>
      </c>
      <c r="U373" s="15">
        <f>IF('ENCUESTA CONDUCTORES'!W373="X",1,0)</f>
        <v>0</v>
      </c>
      <c r="V373" s="15">
        <f>IF('ENCUESTA CONDUCTORES'!X373="X",1,0)</f>
        <v>0</v>
      </c>
      <c r="W373" s="15">
        <f>IF('ENCUESTA CONDUCTORES'!Y373="X",1,0)</f>
        <v>0</v>
      </c>
      <c r="X373" s="15">
        <f>IF('ENCUESTA CONDUCTORES'!Z373="X",1,0)</f>
        <v>0</v>
      </c>
      <c r="Y373" s="15">
        <f>+'ENCUESTA CONDUCTORES'!AG373</f>
        <v>0</v>
      </c>
      <c r="Z373" s="15">
        <f>+'ENCUESTA CONDUCTORES'!AH373</f>
        <v>2006</v>
      </c>
      <c r="AA373" s="1">
        <f>+'ENCUESTA CONDUCTORES'!AI373</f>
        <v>883708</v>
      </c>
      <c r="AB373" s="15">
        <f>IF('ENCUESTA CONDUCTORES'!AJ373="X",1,0)</f>
        <v>0</v>
      </c>
      <c r="AC373" s="15">
        <f>IF('ENCUESTA CONDUCTORES'!AK373="X",1,0)</f>
        <v>0</v>
      </c>
      <c r="AD373" s="15">
        <f>IF('ENCUESTA CONDUCTORES'!AL373="X",1,0)</f>
        <v>1</v>
      </c>
      <c r="AE373" s="15">
        <f>IF('ENCUESTA CONDUCTORES'!AM373="X",1,0)</f>
        <v>0</v>
      </c>
      <c r="AF373" s="15">
        <f>IF('ENCUESTA CONDUCTORES'!AN373="X",1,0)</f>
        <v>0</v>
      </c>
      <c r="AG373" s="15">
        <f>IF('ENCUESTA CONDUCTORES'!AO373="X",1,0)</f>
        <v>0</v>
      </c>
      <c r="AH373" s="15">
        <f>IF('ENCUESTA CONDUCTORES'!AP373="X",1,0)</f>
        <v>1</v>
      </c>
      <c r="AI373" s="15">
        <f>IF('ENCUESTA CONDUCTORES'!AQ373="X",1,0)</f>
        <v>0</v>
      </c>
      <c r="AJ373" s="15">
        <f>IF('ENCUESTA CONDUCTORES'!AR373="X",1,0)</f>
        <v>0</v>
      </c>
      <c r="AK373" s="15">
        <f>+'ENCUESTA CONDUCTORES'!AS373</f>
        <v>0</v>
      </c>
      <c r="AL373" s="15" t="str">
        <f>+'ENCUESTA CONDUCTORES'!AT373</f>
        <v>CUMMINS</v>
      </c>
      <c r="AM373" s="1">
        <f>+'ENCUESTA CONDUCTORES'!AU373</f>
        <v>12000</v>
      </c>
      <c r="AN373" s="48">
        <f>+'ENCUESTA CONDUCTORES'!AV373</f>
        <v>0.25</v>
      </c>
      <c r="AO373" s="15">
        <f>+'ENCUESTA CONDUCTORES'!AW373</f>
        <v>1.7</v>
      </c>
      <c r="AP373" s="15">
        <f>+'ENCUESTA CONDUCTORES'!AX373</f>
        <v>1.4</v>
      </c>
      <c r="AQ373" s="15">
        <f>+'ENCUESTA CONDUCTORES'!AY373</f>
        <v>2</v>
      </c>
      <c r="AR373" s="15">
        <f>+'ENCUESTA CONDUCTORES'!AZ373</f>
        <v>940</v>
      </c>
      <c r="AS373" s="15">
        <f>+'ENCUESTA CONDUCTORES'!BA373</f>
        <v>1500</v>
      </c>
      <c r="AT373" s="15">
        <f>IF('ENCUESTA CONDUCTORES'!BB373="X",1,0)</f>
        <v>1</v>
      </c>
      <c r="AU373" s="15">
        <f>IF('ENCUESTA CONDUCTORES'!BC373="X",1,0)</f>
        <v>1</v>
      </c>
      <c r="AV373" s="15">
        <f>IF('ENCUESTA CONDUCTORES'!BD373="X",1,0)</f>
        <v>0</v>
      </c>
      <c r="AW373" s="1">
        <f>+'ENCUESTA CONDUCTORES'!BE373</f>
        <v>24000</v>
      </c>
      <c r="AX373" s="1">
        <f>+'ENCUESTA CONDUCTORES'!BF373</f>
        <v>100000</v>
      </c>
      <c r="AY373" s="1">
        <f>+'ENCUESTA CONDUCTORES'!BG373</f>
        <v>24000</v>
      </c>
      <c r="AZ373" s="1">
        <f>+'ENCUESTA CONDUCTORES'!BH373</f>
        <v>100000</v>
      </c>
      <c r="BA373" s="1" t="str">
        <f>+'ENCUESTA CONDUCTORES'!BI373</f>
        <v>NO SABE</v>
      </c>
      <c r="BB373" s="15">
        <f>IF('ENCUESTA CONDUCTORES'!BJ373="X",1,0)</f>
        <v>0</v>
      </c>
      <c r="BC373" s="15">
        <f>IF('ENCUESTA CONDUCTORES'!BK373="X",1,0)</f>
        <v>0</v>
      </c>
      <c r="BD373" s="15">
        <f>IF('ENCUESTA CONDUCTORES'!BL373="X",1,0)</f>
        <v>1</v>
      </c>
      <c r="BE373" s="15">
        <f>IF('ENCUESTA CONDUCTORES'!BM373="X",1,0)</f>
        <v>1</v>
      </c>
      <c r="BF373" s="15">
        <f>IF('ENCUESTA CONDUCTORES'!BN373="X",1,0)</f>
        <v>1</v>
      </c>
      <c r="BG373" s="15">
        <f>IF('ENCUESTA CONDUCTORES'!BO373="X",1,0)</f>
        <v>0</v>
      </c>
      <c r="BH373" s="15">
        <f>IF('ENCUESTA CONDUCTORES'!BP373="X",1,0)</f>
        <v>1</v>
      </c>
      <c r="BI373" s="15">
        <f>IF('ENCUESTA CONDUCTORES'!BQ373="X",1,0)</f>
        <v>0</v>
      </c>
      <c r="BJ373" s="15">
        <f>IF('ENCUESTA CONDUCTORES'!BR373="X",1,0)</f>
        <v>0</v>
      </c>
      <c r="BK373" s="15" t="str">
        <f>+'ENCUESTA CONDUCTORES'!BS373</f>
        <v>CONTENEDORES</v>
      </c>
      <c r="BL373" s="15">
        <f>IF('ENCUESTA CONDUCTORES'!BT373="X",1,0)</f>
        <v>0</v>
      </c>
      <c r="BM373" s="15">
        <f>IF('ENCUESTA CONDUCTORES'!BU373="X",1,0)</f>
        <v>1</v>
      </c>
      <c r="BN373" s="15">
        <f>IF('ENCUESTA CONDUCTORES'!BV373="X",1,0)</f>
        <v>0</v>
      </c>
      <c r="BO373" s="15">
        <f>IF('ENCUESTA CONDUCTORES'!BW373="X",1,0)</f>
        <v>0</v>
      </c>
      <c r="BP373" s="15">
        <f>+'ENCUESTA CONDUCTORES'!BX373</f>
        <v>1</v>
      </c>
      <c r="BQ373" s="15">
        <f>+'ENCUESTA CONDUCTORES'!BY373</f>
        <v>3</v>
      </c>
      <c r="BR373" s="15">
        <f>+'ENCUESTA CONDUCTORES'!BZ373</f>
        <v>2</v>
      </c>
      <c r="BS373" s="15">
        <f>+'ENCUESTA CONDUCTORES'!CA373</f>
        <v>0</v>
      </c>
      <c r="BT373" s="15">
        <f>IF('ENCUESTA CONDUCTORES'!CB373="X",1,0)</f>
        <v>1</v>
      </c>
      <c r="BU373" s="15">
        <f>IF('ENCUESTA CONDUCTORES'!CC373="X",1,0)</f>
        <v>0</v>
      </c>
      <c r="BV373" s="15">
        <f>IF('ENCUESTA CONDUCTORES'!CD373="X",1,0)</f>
        <v>0</v>
      </c>
      <c r="BW373" s="15">
        <f>IF('ENCUESTA CONDUCTORES'!CE373="X",1,0)</f>
        <v>0</v>
      </c>
      <c r="BX373" s="15">
        <f>IF('ENCUESTA CONDUCTORES'!CF373="X",1,0)</f>
        <v>0</v>
      </c>
      <c r="BY373" s="15">
        <f>IF('ENCUESTA CONDUCTORES'!CG373="X",1,0)</f>
        <v>0</v>
      </c>
      <c r="BZ373" s="15">
        <f>IF('ENCUESTA CONDUCTORES'!CH373="X",1,0)</f>
        <v>0</v>
      </c>
      <c r="CA373" s="15">
        <f>IF('ENCUESTA CONDUCTORES'!CI373="X",1,0)</f>
        <v>0</v>
      </c>
      <c r="CB373" s="15">
        <f>IF('ENCUESTA CONDUCTORES'!CJ373="X",1,0)</f>
        <v>0</v>
      </c>
      <c r="CC373" s="15">
        <f>IF('ENCUESTA CONDUCTORES'!CK373="X",1,0)</f>
        <v>1</v>
      </c>
      <c r="CD373" s="15">
        <f>IF('ENCUESTA CONDUCTORES'!CL373="X",1,0)</f>
        <v>0</v>
      </c>
      <c r="CE373" s="15">
        <f>IF('ENCUESTA CONDUCTORES'!CM373="X",1,0)</f>
        <v>0</v>
      </c>
      <c r="CF373" s="15">
        <f>+'ENCUESTA CONDUCTORES'!CN373</f>
        <v>0</v>
      </c>
      <c r="CG373" s="15">
        <f>IF('ENCUESTA CONDUCTORES'!CO373="X",1,0)</f>
        <v>0</v>
      </c>
      <c r="CH373" s="15" t="str">
        <f>+'ENCUESTA CONDUCTORES'!CP373</f>
        <v>NO SABE</v>
      </c>
      <c r="CI373" s="15" t="str">
        <f>+'ENCUESTA CONDUCTORES'!CQ373</f>
        <v>NO SABE</v>
      </c>
      <c r="CJ373" s="15">
        <f>IF('ENCUESTA CONDUCTORES'!CR373="X",1,0)</f>
        <v>1</v>
      </c>
      <c r="CK373" s="15">
        <f>IF('ENCUESTA CONDUCTORES'!CS373="X",1,0)</f>
        <v>0</v>
      </c>
      <c r="CL373" s="15">
        <f>IF('ENCUESTA CONDUCTORES'!CT373="X",1,0)</f>
        <v>0</v>
      </c>
      <c r="CM373" s="15">
        <f>+'ENCUESTA CONDUCTORES'!CU373</f>
        <v>0</v>
      </c>
      <c r="CN373" s="15">
        <f>IF('ENCUESTA CONDUCTORES'!CV373="X",1,0)</f>
        <v>0</v>
      </c>
      <c r="CO373" s="15">
        <f>+'ENCUESTA CONDUCTORES'!CW373</f>
        <v>0</v>
      </c>
      <c r="CP373" s="15">
        <f>IF('ENCUESTA CONDUCTORES'!CX373="X",1,0)</f>
        <v>0</v>
      </c>
      <c r="CQ373" s="15">
        <f>IF('ENCUESTA CONDUCTORES'!CY373="X",1,0)</f>
        <v>1</v>
      </c>
      <c r="CR373" s="3">
        <f>+'ENCUESTA CONDUCTORES'!CZ373</f>
        <v>0</v>
      </c>
      <c r="CS373" s="49">
        <f>+'ENCUESTA CONDUCTORES'!DA373</f>
        <v>0</v>
      </c>
    </row>
    <row r="374" spans="2:97" x14ac:dyDescent="0.25">
      <c r="B374" s="14" t="str">
        <f>+'ENCUESTA CONDUCTORES'!D374</f>
        <v>C-385</v>
      </c>
      <c r="C374" s="15">
        <f>IF('ENCUESTA CONDUCTORES'!E374="X",1,0)</f>
        <v>0</v>
      </c>
      <c r="D374" s="15">
        <f>IF('ENCUESTA CONDUCTORES'!F374="X",1,0)</f>
        <v>0</v>
      </c>
      <c r="E374" s="15">
        <f>IF('ENCUESTA CONDUCTORES'!G374="X",1,0)</f>
        <v>0</v>
      </c>
      <c r="F374" s="15">
        <f>IF('ENCUESTA CONDUCTORES'!H374="X",1,0)</f>
        <v>1</v>
      </c>
      <c r="G374" s="15">
        <f>+'ENCUESTA CONDUCTORES'!I374</f>
        <v>46</v>
      </c>
      <c r="H374" s="15" t="str">
        <f>+'ENCUESTA CONDUCTORES'!J374</f>
        <v>M</v>
      </c>
      <c r="I374" s="15" t="str">
        <f>+'ENCUESTA CONDUCTORES'!K374</f>
        <v>SECUNDARIA</v>
      </c>
      <c r="J374" s="15" t="str">
        <f>+'ENCUESTA CONDUCTORES'!L374</f>
        <v>LEON, GTO</v>
      </c>
      <c r="K374" s="15" t="str">
        <f>+'ENCUESTA CONDUCTORES'!M374</f>
        <v>LEON</v>
      </c>
      <c r="L374" s="15" t="str">
        <f>+'ENCUESTA CONDUCTORES'!N374</f>
        <v>GUANAJUATO</v>
      </c>
      <c r="M374" s="15">
        <f>+'ENCUESTA CONDUCTORES'!O374</f>
        <v>18</v>
      </c>
      <c r="N374" s="15">
        <f>IF('ENCUESTA CONDUCTORES'!P374="X",1,0)</f>
        <v>0</v>
      </c>
      <c r="O374" s="15">
        <f>IF('ENCUESTA CONDUCTORES'!Q374="X",1,0)</f>
        <v>0</v>
      </c>
      <c r="P374" s="15">
        <f>IF('ENCUESTA CONDUCTORES'!R374="X",1,0)</f>
        <v>0</v>
      </c>
      <c r="Q374" s="15">
        <f>IF('ENCUESTA CONDUCTORES'!S374="X",1,0)</f>
        <v>1</v>
      </c>
      <c r="R374" s="15">
        <f>IF('ENCUESTA CONDUCTORES'!T374="X",1,0)</f>
        <v>0</v>
      </c>
      <c r="S374" s="15">
        <f>IF('ENCUESTA CONDUCTORES'!U374="X",1,0)</f>
        <v>1</v>
      </c>
      <c r="T374" s="15">
        <f>IF('ENCUESTA CONDUCTORES'!V374="X",1,0)</f>
        <v>0</v>
      </c>
      <c r="U374" s="15">
        <f>IF('ENCUESTA CONDUCTORES'!W374="X",1,0)</f>
        <v>0</v>
      </c>
      <c r="V374" s="15">
        <f>IF('ENCUESTA CONDUCTORES'!X374="X",1,0)</f>
        <v>0</v>
      </c>
      <c r="W374" s="15">
        <f>IF('ENCUESTA CONDUCTORES'!Y374="X",1,0)</f>
        <v>0</v>
      </c>
      <c r="X374" s="15">
        <f>IF('ENCUESTA CONDUCTORES'!Z374="X",1,0)</f>
        <v>0</v>
      </c>
      <c r="Y374" s="15">
        <f>+'ENCUESTA CONDUCTORES'!AG374</f>
        <v>0</v>
      </c>
      <c r="Z374" s="15">
        <f>+'ENCUESTA CONDUCTORES'!AH374</f>
        <v>2007</v>
      </c>
      <c r="AA374" s="1">
        <f>+'ENCUESTA CONDUCTORES'!AI374</f>
        <v>815023</v>
      </c>
      <c r="AB374" s="15">
        <f>IF('ENCUESTA CONDUCTORES'!AJ374="X",1,0)</f>
        <v>0</v>
      </c>
      <c r="AC374" s="15">
        <f>IF('ENCUESTA CONDUCTORES'!AK374="X",1,0)</f>
        <v>0</v>
      </c>
      <c r="AD374" s="15">
        <f>IF('ENCUESTA CONDUCTORES'!AL374="X",1,0)</f>
        <v>1</v>
      </c>
      <c r="AE374" s="15">
        <f>IF('ENCUESTA CONDUCTORES'!AM374="X",1,0)</f>
        <v>0</v>
      </c>
      <c r="AF374" s="15">
        <f>IF('ENCUESTA CONDUCTORES'!AN374="X",1,0)</f>
        <v>0</v>
      </c>
      <c r="AG374" s="15">
        <f>IF('ENCUESTA CONDUCTORES'!AO374="X",1,0)</f>
        <v>1</v>
      </c>
      <c r="AH374" s="15">
        <f>IF('ENCUESTA CONDUCTORES'!AP374="X",1,0)</f>
        <v>0</v>
      </c>
      <c r="AI374" s="15">
        <f>IF('ENCUESTA CONDUCTORES'!AQ374="X",1,0)</f>
        <v>0</v>
      </c>
      <c r="AJ374" s="15">
        <f>IF('ENCUESTA CONDUCTORES'!AR374="X",1,0)</f>
        <v>0</v>
      </c>
      <c r="AK374" s="15">
        <f>+'ENCUESTA CONDUCTORES'!AS374</f>
        <v>0</v>
      </c>
      <c r="AL374" s="15" t="str">
        <f>+'ENCUESTA CONDUCTORES'!AT374</f>
        <v>CUMMINS</v>
      </c>
      <c r="AM374" s="1">
        <f>+'ENCUESTA CONDUCTORES'!AU374</f>
        <v>9000</v>
      </c>
      <c r="AN374" s="48">
        <f>+'ENCUESTA CONDUCTORES'!AV374</f>
        <v>0</v>
      </c>
      <c r="AO374" s="15">
        <f>+'ENCUESTA CONDUCTORES'!AW374</f>
        <v>2.7</v>
      </c>
      <c r="AP374" s="15">
        <f>+'ENCUESTA CONDUCTORES'!AX374</f>
        <v>2.5</v>
      </c>
      <c r="AQ374" s="15">
        <f>+'ENCUESTA CONDUCTORES'!AY374</f>
        <v>2</v>
      </c>
      <c r="AR374" s="15">
        <f>+'ENCUESTA CONDUCTORES'!AZ374</f>
        <v>850</v>
      </c>
      <c r="AS374" s="15">
        <f>+'ENCUESTA CONDUCTORES'!BA374</f>
        <v>2200</v>
      </c>
      <c r="AT374" s="15">
        <f>IF('ENCUESTA CONDUCTORES'!BB374="X",1,0)</f>
        <v>1</v>
      </c>
      <c r="AU374" s="15">
        <f>IF('ENCUESTA CONDUCTORES'!BC374="X",1,0)</f>
        <v>1</v>
      </c>
      <c r="AV374" s="15">
        <f>IF('ENCUESTA CONDUCTORES'!BD374="X",1,0)</f>
        <v>0</v>
      </c>
      <c r="AW374" s="1">
        <f>+'ENCUESTA CONDUCTORES'!BE374</f>
        <v>18000</v>
      </c>
      <c r="AX374" s="1">
        <f>+'ENCUESTA CONDUCTORES'!BF374</f>
        <v>200000</v>
      </c>
      <c r="AY374" s="1">
        <f>+'ENCUESTA CONDUCTORES'!BG374</f>
        <v>36000</v>
      </c>
      <c r="AZ374" s="1">
        <f>+'ENCUESTA CONDUCTORES'!BH374</f>
        <v>110000</v>
      </c>
      <c r="BA374" s="1" t="str">
        <f>+'ENCUESTA CONDUCTORES'!BI374</f>
        <v>NO SABE</v>
      </c>
      <c r="BB374" s="15">
        <f>IF('ENCUESTA CONDUCTORES'!BJ374="X",1,0)</f>
        <v>0</v>
      </c>
      <c r="BC374" s="15">
        <f>IF('ENCUESTA CONDUCTORES'!BK374="X",1,0)</f>
        <v>1</v>
      </c>
      <c r="BD374" s="15">
        <f>IF('ENCUESTA CONDUCTORES'!BL374="X",1,0)</f>
        <v>0</v>
      </c>
      <c r="BE374" s="15">
        <f>IF('ENCUESTA CONDUCTORES'!BM374="X",1,0)</f>
        <v>1</v>
      </c>
      <c r="BF374" s="15">
        <f>IF('ENCUESTA CONDUCTORES'!BN374="X",1,0)</f>
        <v>1</v>
      </c>
      <c r="BG374" s="15">
        <f>IF('ENCUESTA CONDUCTORES'!BO374="X",1,0)</f>
        <v>0</v>
      </c>
      <c r="BH374" s="15">
        <f>IF('ENCUESTA CONDUCTORES'!BP374="X",1,0)</f>
        <v>1</v>
      </c>
      <c r="BI374" s="15">
        <f>IF('ENCUESTA CONDUCTORES'!BQ374="X",1,0)</f>
        <v>0</v>
      </c>
      <c r="BJ374" s="15">
        <f>IF('ENCUESTA CONDUCTORES'!BR374="X",1,0)</f>
        <v>0</v>
      </c>
      <c r="BK374" s="15">
        <f>+'ENCUESTA CONDUCTORES'!BS374</f>
        <v>0</v>
      </c>
      <c r="BL374" s="15">
        <f>IF('ENCUESTA CONDUCTORES'!BT374="X",1,0)</f>
        <v>0</v>
      </c>
      <c r="BM374" s="15">
        <f>IF('ENCUESTA CONDUCTORES'!BU374="X",1,0)</f>
        <v>0</v>
      </c>
      <c r="BN374" s="15">
        <f>IF('ENCUESTA CONDUCTORES'!BV374="X",1,0)</f>
        <v>1</v>
      </c>
      <c r="BO374" s="15">
        <f>IF('ENCUESTA CONDUCTORES'!BW374="X",1,0)</f>
        <v>0</v>
      </c>
      <c r="BP374" s="15">
        <f>+'ENCUESTA CONDUCTORES'!BX374</f>
        <v>1</v>
      </c>
      <c r="BQ374" s="15">
        <f>+'ENCUESTA CONDUCTORES'!BY374</f>
        <v>2</v>
      </c>
      <c r="BR374" s="15">
        <f>+'ENCUESTA CONDUCTORES'!BZ374</f>
        <v>3</v>
      </c>
      <c r="BS374" s="15">
        <f>+'ENCUESTA CONDUCTORES'!CA374</f>
        <v>0</v>
      </c>
      <c r="BT374" s="15">
        <f>IF('ENCUESTA CONDUCTORES'!CB374="X",1,0)</f>
        <v>0</v>
      </c>
      <c r="BU374" s="15">
        <f>IF('ENCUESTA CONDUCTORES'!CC374="X",1,0)</f>
        <v>1</v>
      </c>
      <c r="BV374" s="15">
        <f>IF('ENCUESTA CONDUCTORES'!CD374="X",1,0)</f>
        <v>0</v>
      </c>
      <c r="BW374" s="15">
        <f>IF('ENCUESTA CONDUCTORES'!CE374="X",1,0)</f>
        <v>0</v>
      </c>
      <c r="BX374" s="15">
        <f>IF('ENCUESTA CONDUCTORES'!CF374="X",1,0)</f>
        <v>0</v>
      </c>
      <c r="BY374" s="15">
        <f>IF('ENCUESTA CONDUCTORES'!CG374="X",1,0)</f>
        <v>0</v>
      </c>
      <c r="BZ374" s="15">
        <f>IF('ENCUESTA CONDUCTORES'!CH374="X",1,0)</f>
        <v>1</v>
      </c>
      <c r="CA374" s="15">
        <f>IF('ENCUESTA CONDUCTORES'!CI374="X",1,0)</f>
        <v>0</v>
      </c>
      <c r="CB374" s="15">
        <f>IF('ENCUESTA CONDUCTORES'!CJ374="X",1,0)</f>
        <v>0</v>
      </c>
      <c r="CC374" s="15">
        <f>IF('ENCUESTA CONDUCTORES'!CK374="X",1,0)</f>
        <v>1</v>
      </c>
      <c r="CD374" s="15">
        <f>IF('ENCUESTA CONDUCTORES'!CL374="X",1,0)</f>
        <v>0</v>
      </c>
      <c r="CE374" s="15">
        <f>IF('ENCUESTA CONDUCTORES'!CM374="X",1,0)</f>
        <v>0</v>
      </c>
      <c r="CF374" s="15">
        <f>+'ENCUESTA CONDUCTORES'!CN374</f>
        <v>0</v>
      </c>
      <c r="CG374" s="15">
        <f>IF('ENCUESTA CONDUCTORES'!CO374="X",1,0)</f>
        <v>0</v>
      </c>
      <c r="CH374" s="15" t="str">
        <f>+'ENCUESTA CONDUCTORES'!CP374</f>
        <v>NO SABE</v>
      </c>
      <c r="CI374" s="15" t="str">
        <f>+'ENCUESTA CONDUCTORES'!CQ374</f>
        <v>NO SABE</v>
      </c>
      <c r="CJ374" s="15">
        <f>IF('ENCUESTA CONDUCTORES'!CR374="X",1,0)</f>
        <v>1</v>
      </c>
      <c r="CK374" s="15">
        <f>IF('ENCUESTA CONDUCTORES'!CS374="X",1,0)</f>
        <v>0</v>
      </c>
      <c r="CL374" s="15">
        <f>IF('ENCUESTA CONDUCTORES'!CT374="X",1,0)</f>
        <v>0</v>
      </c>
      <c r="CM374" s="15">
        <f>+'ENCUESTA CONDUCTORES'!CU374</f>
        <v>0</v>
      </c>
      <c r="CN374" s="15">
        <f>IF('ENCUESTA CONDUCTORES'!CV374="X",1,0)</f>
        <v>0</v>
      </c>
      <c r="CO374" s="15">
        <f>+'ENCUESTA CONDUCTORES'!CW374</f>
        <v>0</v>
      </c>
      <c r="CP374" s="15">
        <f>IF('ENCUESTA CONDUCTORES'!CX374="X",1,0)</f>
        <v>1</v>
      </c>
      <c r="CQ374" s="15">
        <f>IF('ENCUESTA CONDUCTORES'!CY374="X",1,0)</f>
        <v>1</v>
      </c>
      <c r="CR374" s="3">
        <f>+'ENCUESTA CONDUCTORES'!CZ374</f>
        <v>0</v>
      </c>
      <c r="CS374" s="49">
        <f>+'ENCUESTA CONDUCTORES'!DA374</f>
        <v>0</v>
      </c>
    </row>
    <row r="375" spans="2:97" x14ac:dyDescent="0.25">
      <c r="B375" s="14" t="str">
        <f>+'ENCUESTA CONDUCTORES'!D375</f>
        <v>C-386</v>
      </c>
      <c r="C375" s="15">
        <f>IF('ENCUESTA CONDUCTORES'!E375="X",1,0)</f>
        <v>0</v>
      </c>
      <c r="D375" s="15">
        <f>IF('ENCUESTA CONDUCTORES'!F375="X",1,0)</f>
        <v>0</v>
      </c>
      <c r="E375" s="15">
        <f>IF('ENCUESTA CONDUCTORES'!G375="X",1,0)</f>
        <v>1</v>
      </c>
      <c r="F375" s="15">
        <f>IF('ENCUESTA CONDUCTORES'!H375="X",1,0)</f>
        <v>0</v>
      </c>
      <c r="G375" s="15">
        <f>+'ENCUESTA CONDUCTORES'!I375</f>
        <v>28</v>
      </c>
      <c r="H375" s="15" t="str">
        <f>+'ENCUESTA CONDUCTORES'!J375</f>
        <v>M</v>
      </c>
      <c r="I375" s="15" t="str">
        <f>+'ENCUESTA CONDUCTORES'!K375</f>
        <v>SECUNDARIA</v>
      </c>
      <c r="J375" s="15" t="str">
        <f>+'ENCUESTA CONDUCTORES'!L375</f>
        <v>PURISIMA DEL RINCON, GTO</v>
      </c>
      <c r="K375" s="15" t="str">
        <f>+'ENCUESTA CONDUCTORES'!M375</f>
        <v>PURISIMA DEL RINCON</v>
      </c>
      <c r="L375" s="15" t="str">
        <f>+'ENCUESTA CONDUCTORES'!N375</f>
        <v>GUANAJUATO</v>
      </c>
      <c r="M375" s="15">
        <f>+'ENCUESTA CONDUCTORES'!O375</f>
        <v>8</v>
      </c>
      <c r="N375" s="15">
        <f>IF('ENCUESTA CONDUCTORES'!P375="X",1,0)</f>
        <v>1</v>
      </c>
      <c r="O375" s="15">
        <f>IF('ENCUESTA CONDUCTORES'!Q375="X",1,0)</f>
        <v>0</v>
      </c>
      <c r="P375" s="15">
        <f>IF('ENCUESTA CONDUCTORES'!R375="X",1,0)</f>
        <v>0</v>
      </c>
      <c r="Q375" s="15">
        <f>IF('ENCUESTA CONDUCTORES'!S375="X",1,0)</f>
        <v>0</v>
      </c>
      <c r="R375" s="15">
        <f>IF('ENCUESTA CONDUCTORES'!T375="X",1,0)</f>
        <v>0</v>
      </c>
      <c r="S375" s="15">
        <f>IF('ENCUESTA CONDUCTORES'!U375="X",1,0)</f>
        <v>1</v>
      </c>
      <c r="T375" s="15">
        <f>IF('ENCUESTA CONDUCTORES'!V375="X",1,0)</f>
        <v>0</v>
      </c>
      <c r="U375" s="15">
        <f>IF('ENCUESTA CONDUCTORES'!W375="X",1,0)</f>
        <v>0</v>
      </c>
      <c r="V375" s="15">
        <f>IF('ENCUESTA CONDUCTORES'!X375="X",1,0)</f>
        <v>0</v>
      </c>
      <c r="W375" s="15">
        <f>IF('ENCUESTA CONDUCTORES'!Y375="X",1,0)</f>
        <v>0</v>
      </c>
      <c r="X375" s="15">
        <f>IF('ENCUESTA CONDUCTORES'!Z375="X",1,0)</f>
        <v>0</v>
      </c>
      <c r="Y375" s="15">
        <f>+'ENCUESTA CONDUCTORES'!AG375</f>
        <v>0</v>
      </c>
      <c r="Z375" s="15">
        <f>+'ENCUESTA CONDUCTORES'!AH375</f>
        <v>2009</v>
      </c>
      <c r="AA375" s="1">
        <f>+'ENCUESTA CONDUCTORES'!AI375</f>
        <v>289105</v>
      </c>
      <c r="AB375" s="15">
        <f>IF('ENCUESTA CONDUCTORES'!AJ375="X",1,0)</f>
        <v>0</v>
      </c>
      <c r="AC375" s="15">
        <f>IF('ENCUESTA CONDUCTORES'!AK375="X",1,0)</f>
        <v>0</v>
      </c>
      <c r="AD375" s="15">
        <f>IF('ENCUESTA CONDUCTORES'!AL375="X",1,0)</f>
        <v>1</v>
      </c>
      <c r="AE375" s="15">
        <f>IF('ENCUESTA CONDUCTORES'!AM375="X",1,0)</f>
        <v>0</v>
      </c>
      <c r="AF375" s="15">
        <f>IF('ENCUESTA CONDUCTORES'!AN375="X",1,0)</f>
        <v>0</v>
      </c>
      <c r="AG375" s="15">
        <f>IF('ENCUESTA CONDUCTORES'!AO375="X",1,0)</f>
        <v>0</v>
      </c>
      <c r="AH375" s="15">
        <f>IF('ENCUESTA CONDUCTORES'!AP375="X",1,0)</f>
        <v>1</v>
      </c>
      <c r="AI375" s="15">
        <f>IF('ENCUESTA CONDUCTORES'!AQ375="X",1,0)</f>
        <v>0</v>
      </c>
      <c r="AJ375" s="15">
        <f>IF('ENCUESTA CONDUCTORES'!AR375="X",1,0)</f>
        <v>0</v>
      </c>
      <c r="AK375" s="15">
        <f>+'ENCUESTA CONDUCTORES'!AS375</f>
        <v>0</v>
      </c>
      <c r="AL375" s="15" t="str">
        <f>+'ENCUESTA CONDUCTORES'!AT375</f>
        <v>CUMMINS</v>
      </c>
      <c r="AM375" s="1">
        <f>+'ENCUESTA CONDUCTORES'!AU375</f>
        <v>5000</v>
      </c>
      <c r="AN375" s="48">
        <f>+'ENCUESTA CONDUCTORES'!AV375</f>
        <v>0</v>
      </c>
      <c r="AO375" s="15">
        <f>+'ENCUESTA CONDUCTORES'!AW375</f>
        <v>4.5999999999999996</v>
      </c>
      <c r="AP375" s="15">
        <f>+'ENCUESTA CONDUCTORES'!AX375</f>
        <v>4.0999999999999996</v>
      </c>
      <c r="AQ375" s="15">
        <f>+'ENCUESTA CONDUCTORES'!AY375</f>
        <v>2</v>
      </c>
      <c r="AR375" s="15">
        <f>+'ENCUESTA CONDUCTORES'!AZ375</f>
        <v>360</v>
      </c>
      <c r="AS375" s="15">
        <f>+'ENCUESTA CONDUCTORES'!BA375</f>
        <v>1600</v>
      </c>
      <c r="AT375" s="15">
        <f>IF('ENCUESTA CONDUCTORES'!BB375="X",1,0)</f>
        <v>1</v>
      </c>
      <c r="AU375" s="15">
        <f>IF('ENCUESTA CONDUCTORES'!BC375="X",1,0)</f>
        <v>0</v>
      </c>
      <c r="AV375" s="15">
        <f>IF('ENCUESTA CONDUCTORES'!BD375="X",1,0)</f>
        <v>0</v>
      </c>
      <c r="AW375" s="1">
        <f>+'ENCUESTA CONDUCTORES'!BE375</f>
        <v>20000</v>
      </c>
      <c r="AX375" s="1">
        <f>+'ENCUESTA CONDUCTORES'!BF375</f>
        <v>120000</v>
      </c>
      <c r="AY375" s="1">
        <f>+'ENCUESTA CONDUCTORES'!BG375</f>
        <v>20000</v>
      </c>
      <c r="AZ375" s="1">
        <f>+'ENCUESTA CONDUCTORES'!BH375</f>
        <v>120000</v>
      </c>
      <c r="BA375" s="1" t="str">
        <f>+'ENCUESTA CONDUCTORES'!BI375</f>
        <v>NO SABE</v>
      </c>
      <c r="BB375" s="15">
        <f>IF('ENCUESTA CONDUCTORES'!BJ375="X",1,0)</f>
        <v>0</v>
      </c>
      <c r="BC375" s="15">
        <f>IF('ENCUESTA CONDUCTORES'!BK375="X",1,0)</f>
        <v>1</v>
      </c>
      <c r="BD375" s="15">
        <f>IF('ENCUESTA CONDUCTORES'!BL375="X",1,0)</f>
        <v>0</v>
      </c>
      <c r="BE375" s="15">
        <f>IF('ENCUESTA CONDUCTORES'!BM375="X",1,0)</f>
        <v>0</v>
      </c>
      <c r="BF375" s="15">
        <f>IF('ENCUESTA CONDUCTORES'!BN375="X",1,0)</f>
        <v>1</v>
      </c>
      <c r="BG375" s="15">
        <f>IF('ENCUESTA CONDUCTORES'!BO375="X",1,0)</f>
        <v>0</v>
      </c>
      <c r="BH375" s="15">
        <f>IF('ENCUESTA CONDUCTORES'!BP375="X",1,0)</f>
        <v>0</v>
      </c>
      <c r="BI375" s="15">
        <f>IF('ENCUESTA CONDUCTORES'!BQ375="X",1,0)</f>
        <v>0</v>
      </c>
      <c r="BJ375" s="15">
        <f>IF('ENCUESTA CONDUCTORES'!BR375="X",1,0)</f>
        <v>0</v>
      </c>
      <c r="BK375" s="15">
        <f>+'ENCUESTA CONDUCTORES'!BS375</f>
        <v>0</v>
      </c>
      <c r="BL375" s="15">
        <f>IF('ENCUESTA CONDUCTORES'!BT375="X",1,0)</f>
        <v>0</v>
      </c>
      <c r="BM375" s="15">
        <f>IF('ENCUESTA CONDUCTORES'!BU375="X",1,0)</f>
        <v>0</v>
      </c>
      <c r="BN375" s="15">
        <f>IF('ENCUESTA CONDUCTORES'!BV375="X",1,0)</f>
        <v>1</v>
      </c>
      <c r="BO375" s="15">
        <f>IF('ENCUESTA CONDUCTORES'!BW375="X",1,0)</f>
        <v>0</v>
      </c>
      <c r="BP375" s="15">
        <f>+'ENCUESTA CONDUCTORES'!BX375</f>
        <v>2</v>
      </c>
      <c r="BQ375" s="15">
        <f>+'ENCUESTA CONDUCTORES'!BY375</f>
        <v>3</v>
      </c>
      <c r="BR375" s="15">
        <f>+'ENCUESTA CONDUCTORES'!BZ375</f>
        <v>1</v>
      </c>
      <c r="BS375" s="15">
        <f>+'ENCUESTA CONDUCTORES'!CA375</f>
        <v>0</v>
      </c>
      <c r="BT375" s="15">
        <f>IF('ENCUESTA CONDUCTORES'!CB375="X",1,0)</f>
        <v>1</v>
      </c>
      <c r="BU375" s="15">
        <f>IF('ENCUESTA CONDUCTORES'!CC375="X",1,0)</f>
        <v>0</v>
      </c>
      <c r="BV375" s="15">
        <f>IF('ENCUESTA CONDUCTORES'!CD375="X",1,0)</f>
        <v>0</v>
      </c>
      <c r="BW375" s="15">
        <f>IF('ENCUESTA CONDUCTORES'!CE375="X",1,0)</f>
        <v>0</v>
      </c>
      <c r="BX375" s="15">
        <f>IF('ENCUESTA CONDUCTORES'!CF375="X",1,0)</f>
        <v>0</v>
      </c>
      <c r="BY375" s="15">
        <f>IF('ENCUESTA CONDUCTORES'!CG375="X",1,0)</f>
        <v>0</v>
      </c>
      <c r="BZ375" s="15">
        <f>IF('ENCUESTA CONDUCTORES'!CH375="X",1,0)</f>
        <v>0</v>
      </c>
      <c r="CA375" s="15">
        <f>IF('ENCUESTA CONDUCTORES'!CI375="X",1,0)</f>
        <v>0</v>
      </c>
      <c r="CB375" s="15">
        <f>IF('ENCUESTA CONDUCTORES'!CJ375="X",1,0)</f>
        <v>0</v>
      </c>
      <c r="CC375" s="15">
        <f>IF('ENCUESTA CONDUCTORES'!CK375="X",1,0)</f>
        <v>1</v>
      </c>
      <c r="CD375" s="15">
        <f>IF('ENCUESTA CONDUCTORES'!CL375="X",1,0)</f>
        <v>0</v>
      </c>
      <c r="CE375" s="15">
        <f>IF('ENCUESTA CONDUCTORES'!CM375="X",1,0)</f>
        <v>0</v>
      </c>
      <c r="CF375" s="15">
        <f>+'ENCUESTA CONDUCTORES'!CN375</f>
        <v>0</v>
      </c>
      <c r="CG375" s="15">
        <f>IF('ENCUESTA CONDUCTORES'!CO375="X",1,0)</f>
        <v>0</v>
      </c>
      <c r="CH375" s="15" t="str">
        <f>+'ENCUESTA CONDUCTORES'!CP375</f>
        <v>NO SABE</v>
      </c>
      <c r="CI375" s="15" t="str">
        <f>+'ENCUESTA CONDUCTORES'!CQ375</f>
        <v>NO SABE</v>
      </c>
      <c r="CJ375" s="15">
        <f>IF('ENCUESTA CONDUCTORES'!CR375="X",1,0)</f>
        <v>1</v>
      </c>
      <c r="CK375" s="15">
        <f>IF('ENCUESTA CONDUCTORES'!CS375="X",1,0)</f>
        <v>0</v>
      </c>
      <c r="CL375" s="15">
        <f>IF('ENCUESTA CONDUCTORES'!CT375="X",1,0)</f>
        <v>0</v>
      </c>
      <c r="CM375" s="15">
        <f>+'ENCUESTA CONDUCTORES'!CU375</f>
        <v>0</v>
      </c>
      <c r="CN375" s="15">
        <f>IF('ENCUESTA CONDUCTORES'!CV375="X",1,0)</f>
        <v>0</v>
      </c>
      <c r="CO375" s="15">
        <f>+'ENCUESTA CONDUCTORES'!CW375</f>
        <v>0</v>
      </c>
      <c r="CP375" s="15">
        <f>IF('ENCUESTA CONDUCTORES'!CX375="X",1,0)</f>
        <v>1</v>
      </c>
      <c r="CQ375" s="15">
        <f>IF('ENCUESTA CONDUCTORES'!CY375="X",1,0)</f>
        <v>1</v>
      </c>
      <c r="CR375" s="3">
        <f>+'ENCUESTA CONDUCTORES'!CZ375</f>
        <v>0</v>
      </c>
      <c r="CS375" s="49">
        <f>+'ENCUESTA CONDUCTORES'!DA375</f>
        <v>0</v>
      </c>
    </row>
    <row r="376" spans="2:97" x14ac:dyDescent="0.25">
      <c r="B376" s="14" t="str">
        <f>+'ENCUESTA CONDUCTORES'!D376</f>
        <v>C-387</v>
      </c>
      <c r="C376" s="15">
        <f>IF('ENCUESTA CONDUCTORES'!E376="X",1,0)</f>
        <v>0</v>
      </c>
      <c r="D376" s="15">
        <f>IF('ENCUESTA CONDUCTORES'!F376="X",1,0)</f>
        <v>0</v>
      </c>
      <c r="E376" s="15">
        <f>IF('ENCUESTA CONDUCTORES'!G376="X",1,0)</f>
        <v>1</v>
      </c>
      <c r="F376" s="15">
        <f>IF('ENCUESTA CONDUCTORES'!H376="X",1,0)</f>
        <v>0</v>
      </c>
      <c r="G376" s="15">
        <f>+'ENCUESTA CONDUCTORES'!I376</f>
        <v>32</v>
      </c>
      <c r="H376" s="15" t="str">
        <f>+'ENCUESTA CONDUCTORES'!J376</f>
        <v>M</v>
      </c>
      <c r="I376" s="15" t="str">
        <f>+'ENCUESTA CONDUCTORES'!K376</f>
        <v>SECUNDARIA</v>
      </c>
      <c r="J376" s="15" t="str">
        <f>+'ENCUESTA CONDUCTORES'!L376</f>
        <v>SALAMANCA, GTO.</v>
      </c>
      <c r="K376" s="15" t="str">
        <f>+'ENCUESTA CONDUCTORES'!M376</f>
        <v>SALAMANCA</v>
      </c>
      <c r="L376" s="15" t="str">
        <f>+'ENCUESTA CONDUCTORES'!N376</f>
        <v>GUANAJUATO</v>
      </c>
      <c r="M376" s="15">
        <f>+'ENCUESTA CONDUCTORES'!O376</f>
        <v>18</v>
      </c>
      <c r="N376" s="15">
        <f>IF('ENCUESTA CONDUCTORES'!P376="X",1,0)</f>
        <v>0</v>
      </c>
      <c r="O376" s="15">
        <f>IF('ENCUESTA CONDUCTORES'!Q376="X",1,0)</f>
        <v>0</v>
      </c>
      <c r="P376" s="15">
        <f>IF('ENCUESTA CONDUCTORES'!R376="X",1,0)</f>
        <v>0</v>
      </c>
      <c r="Q376" s="15">
        <f>IF('ENCUESTA CONDUCTORES'!S376="X",1,0)</f>
        <v>1</v>
      </c>
      <c r="R376" s="15">
        <f>IF('ENCUESTA CONDUCTORES'!T376="X",1,0)</f>
        <v>0</v>
      </c>
      <c r="S376" s="15">
        <f>IF('ENCUESTA CONDUCTORES'!U376="X",1,0)</f>
        <v>0</v>
      </c>
      <c r="T376" s="15">
        <f>IF('ENCUESTA CONDUCTORES'!V376="X",1,0)</f>
        <v>0</v>
      </c>
      <c r="U376" s="15">
        <f>IF('ENCUESTA CONDUCTORES'!W376="X",1,0)</f>
        <v>0</v>
      </c>
      <c r="V376" s="15">
        <f>IF('ENCUESTA CONDUCTORES'!X376="X",1,0)</f>
        <v>0</v>
      </c>
      <c r="W376" s="15">
        <f>IF('ENCUESTA CONDUCTORES'!Y376="X",1,0)</f>
        <v>0</v>
      </c>
      <c r="X376" s="15">
        <f>IF('ENCUESTA CONDUCTORES'!Z376="X",1,0)</f>
        <v>0</v>
      </c>
      <c r="Y376" s="15">
        <f>+'ENCUESTA CONDUCTORES'!AG376</f>
        <v>0</v>
      </c>
      <c r="Z376" s="15">
        <f>+'ENCUESTA CONDUCTORES'!AH376</f>
        <v>2002</v>
      </c>
      <c r="AA376" s="1">
        <f>+'ENCUESTA CONDUCTORES'!AI376</f>
        <v>678502</v>
      </c>
      <c r="AB376" s="15">
        <f>IF('ENCUESTA CONDUCTORES'!AJ376="X",1,0)</f>
        <v>0</v>
      </c>
      <c r="AC376" s="15">
        <f>IF('ENCUESTA CONDUCTORES'!AK376="X",1,0)</f>
        <v>0</v>
      </c>
      <c r="AD376" s="15">
        <f>IF('ENCUESTA CONDUCTORES'!AL376="X",1,0)</f>
        <v>1</v>
      </c>
      <c r="AE376" s="15">
        <f>IF('ENCUESTA CONDUCTORES'!AM376="X",1,0)</f>
        <v>0</v>
      </c>
      <c r="AF376" s="15">
        <f>IF('ENCUESTA CONDUCTORES'!AN376="X",1,0)</f>
        <v>0</v>
      </c>
      <c r="AG376" s="15">
        <f>IF('ENCUESTA CONDUCTORES'!AO376="X",1,0)</f>
        <v>1</v>
      </c>
      <c r="AH376" s="15">
        <f>IF('ENCUESTA CONDUCTORES'!AP376="X",1,0)</f>
        <v>0</v>
      </c>
      <c r="AI376" s="15">
        <f>IF('ENCUESTA CONDUCTORES'!AQ376="X",1,0)</f>
        <v>0</v>
      </c>
      <c r="AJ376" s="15">
        <f>IF('ENCUESTA CONDUCTORES'!AR376="X",1,0)</f>
        <v>0</v>
      </c>
      <c r="AK376" s="15">
        <f>+'ENCUESTA CONDUCTORES'!AS376</f>
        <v>0</v>
      </c>
      <c r="AL376" s="15" t="str">
        <f>+'ENCUESTA CONDUCTORES'!AT376</f>
        <v>CUMMINS</v>
      </c>
      <c r="AM376" s="1">
        <f>+'ENCUESTA CONDUCTORES'!AU376</f>
        <v>5500</v>
      </c>
      <c r="AN376" s="48">
        <f>+'ENCUESTA CONDUCTORES'!AV376</f>
        <v>0.5</v>
      </c>
      <c r="AO376" s="15">
        <f>+'ENCUESTA CONDUCTORES'!AW376</f>
        <v>2.6</v>
      </c>
      <c r="AP376" s="15">
        <f>+'ENCUESTA CONDUCTORES'!AX376</f>
        <v>2.1</v>
      </c>
      <c r="AQ376" s="15">
        <f>+'ENCUESTA CONDUCTORES'!AY376</f>
        <v>2</v>
      </c>
      <c r="AR376" s="15">
        <f>+'ENCUESTA CONDUCTORES'!AZ376</f>
        <v>750</v>
      </c>
      <c r="AS376" s="15">
        <f>+'ENCUESTA CONDUCTORES'!BA376</f>
        <v>1800</v>
      </c>
      <c r="AT376" s="15">
        <f>IF('ENCUESTA CONDUCTORES'!BB376="X",1,0)</f>
        <v>0</v>
      </c>
      <c r="AU376" s="15">
        <f>IF('ENCUESTA CONDUCTORES'!BC376="X",1,0)</f>
        <v>0</v>
      </c>
      <c r="AV376" s="15">
        <f>IF('ENCUESTA CONDUCTORES'!BD376="X",1,0)</f>
        <v>0</v>
      </c>
      <c r="AW376" s="1">
        <f>+'ENCUESTA CONDUCTORES'!BE376</f>
        <v>25000</v>
      </c>
      <c r="AX376" s="1">
        <f>+'ENCUESTA CONDUCTORES'!BF376</f>
        <v>100000</v>
      </c>
      <c r="AY376" s="1">
        <f>+'ENCUESTA CONDUCTORES'!BG376</f>
        <v>25000</v>
      </c>
      <c r="AZ376" s="1">
        <f>+'ENCUESTA CONDUCTORES'!BH376</f>
        <v>100000</v>
      </c>
      <c r="BA376" s="1" t="str">
        <f>+'ENCUESTA CONDUCTORES'!BI376</f>
        <v>NO SABE</v>
      </c>
      <c r="BB376" s="15">
        <f>IF('ENCUESTA CONDUCTORES'!BJ376="X",1,0)</f>
        <v>0</v>
      </c>
      <c r="BC376" s="15">
        <f>IF('ENCUESTA CONDUCTORES'!BK376="X",1,0)</f>
        <v>0</v>
      </c>
      <c r="BD376" s="15">
        <f>IF('ENCUESTA CONDUCTORES'!BL376="X",1,0)</f>
        <v>0</v>
      </c>
      <c r="BE376" s="15">
        <f>IF('ENCUESTA CONDUCTORES'!BM376="X",1,0)</f>
        <v>1</v>
      </c>
      <c r="BF376" s="15">
        <f>IF('ENCUESTA CONDUCTORES'!BN376="X",1,0)</f>
        <v>0</v>
      </c>
      <c r="BG376" s="15">
        <f>IF('ENCUESTA CONDUCTORES'!BO376="X",1,0)</f>
        <v>0</v>
      </c>
      <c r="BH376" s="15">
        <f>IF('ENCUESTA CONDUCTORES'!BP376="X",1,0)</f>
        <v>0</v>
      </c>
      <c r="BI376" s="15">
        <f>IF('ENCUESTA CONDUCTORES'!BQ376="X",1,0)</f>
        <v>0</v>
      </c>
      <c r="BJ376" s="15">
        <f>IF('ENCUESTA CONDUCTORES'!BR376="X",1,0)</f>
        <v>0</v>
      </c>
      <c r="BK376" s="15">
        <f>+'ENCUESTA CONDUCTORES'!BS376</f>
        <v>0</v>
      </c>
      <c r="BL376" s="15">
        <f>IF('ENCUESTA CONDUCTORES'!BT376="X",1,0)</f>
        <v>0</v>
      </c>
      <c r="BM376" s="15">
        <f>IF('ENCUESTA CONDUCTORES'!BU376="X",1,0)</f>
        <v>1</v>
      </c>
      <c r="BN376" s="15">
        <f>IF('ENCUESTA CONDUCTORES'!BV376="X",1,0)</f>
        <v>0</v>
      </c>
      <c r="BO376" s="15">
        <f>IF('ENCUESTA CONDUCTORES'!BW376="X",1,0)</f>
        <v>0</v>
      </c>
      <c r="BP376" s="15">
        <f>+'ENCUESTA CONDUCTORES'!BX376</f>
        <v>3</v>
      </c>
      <c r="BQ376" s="15">
        <f>+'ENCUESTA CONDUCTORES'!BY376</f>
        <v>2</v>
      </c>
      <c r="BR376" s="15">
        <f>+'ENCUESTA CONDUCTORES'!BZ376</f>
        <v>1</v>
      </c>
      <c r="BS376" s="15">
        <f>+'ENCUESTA CONDUCTORES'!CA376</f>
        <v>0</v>
      </c>
      <c r="BT376" s="15">
        <f>IF('ENCUESTA CONDUCTORES'!CB376="X",1,0)</f>
        <v>1</v>
      </c>
      <c r="BU376" s="15">
        <f>IF('ENCUESTA CONDUCTORES'!CC376="X",1,0)</f>
        <v>0</v>
      </c>
      <c r="BV376" s="15">
        <f>IF('ENCUESTA CONDUCTORES'!CD376="X",1,0)</f>
        <v>0</v>
      </c>
      <c r="BW376" s="15">
        <f>IF('ENCUESTA CONDUCTORES'!CE376="X",1,0)</f>
        <v>0</v>
      </c>
      <c r="BX376" s="15">
        <f>IF('ENCUESTA CONDUCTORES'!CF376="X",1,0)</f>
        <v>0</v>
      </c>
      <c r="BY376" s="15">
        <f>IF('ENCUESTA CONDUCTORES'!CG376="X",1,0)</f>
        <v>0</v>
      </c>
      <c r="BZ376" s="15">
        <f>IF('ENCUESTA CONDUCTORES'!CH376="X",1,0)</f>
        <v>0</v>
      </c>
      <c r="CA376" s="15">
        <f>IF('ENCUESTA CONDUCTORES'!CI376="X",1,0)</f>
        <v>0</v>
      </c>
      <c r="CB376" s="15">
        <f>IF('ENCUESTA CONDUCTORES'!CJ376="X",1,0)</f>
        <v>0</v>
      </c>
      <c r="CC376" s="15">
        <f>IF('ENCUESTA CONDUCTORES'!CK376="X",1,0)</f>
        <v>1</v>
      </c>
      <c r="CD376" s="15">
        <f>IF('ENCUESTA CONDUCTORES'!CL376="X",1,0)</f>
        <v>0</v>
      </c>
      <c r="CE376" s="15">
        <f>IF('ENCUESTA CONDUCTORES'!CM376="X",1,0)</f>
        <v>0</v>
      </c>
      <c r="CF376" s="15">
        <f>+'ENCUESTA CONDUCTORES'!CN376</f>
        <v>0</v>
      </c>
      <c r="CG376" s="15">
        <f>IF('ENCUESTA CONDUCTORES'!CO376="X",1,0)</f>
        <v>0</v>
      </c>
      <c r="CH376" s="15" t="str">
        <f>+'ENCUESTA CONDUCTORES'!CP376</f>
        <v>NO SABE</v>
      </c>
      <c r="CI376" s="15" t="str">
        <f>+'ENCUESTA CONDUCTORES'!CQ376</f>
        <v>NO SABE</v>
      </c>
      <c r="CJ376" s="15">
        <f>IF('ENCUESTA CONDUCTORES'!CR376="X",1,0)</f>
        <v>1</v>
      </c>
      <c r="CK376" s="15">
        <f>IF('ENCUESTA CONDUCTORES'!CS376="X",1,0)</f>
        <v>0</v>
      </c>
      <c r="CL376" s="15">
        <f>IF('ENCUESTA CONDUCTORES'!CT376="X",1,0)</f>
        <v>0</v>
      </c>
      <c r="CM376" s="15">
        <f>+'ENCUESTA CONDUCTORES'!CU376</f>
        <v>0</v>
      </c>
      <c r="CN376" s="15">
        <f>IF('ENCUESTA CONDUCTORES'!CV376="X",1,0)</f>
        <v>0</v>
      </c>
      <c r="CO376" s="15">
        <f>+'ENCUESTA CONDUCTORES'!CW376</f>
        <v>0</v>
      </c>
      <c r="CP376" s="15">
        <f>IF('ENCUESTA CONDUCTORES'!CX376="X",1,0)</f>
        <v>1</v>
      </c>
      <c r="CQ376" s="15">
        <f>IF('ENCUESTA CONDUCTORES'!CY376="X",1,0)</f>
        <v>1</v>
      </c>
      <c r="CR376" s="3">
        <f>+'ENCUESTA CONDUCTORES'!CZ376</f>
        <v>0</v>
      </c>
      <c r="CS376" s="49">
        <f>+'ENCUESTA CONDUCTORES'!DA376</f>
        <v>0</v>
      </c>
    </row>
    <row r="377" spans="2:97" x14ac:dyDescent="0.25">
      <c r="B377" s="14" t="str">
        <f>+'ENCUESTA CONDUCTORES'!D377</f>
        <v>C-388</v>
      </c>
      <c r="C377" s="15">
        <f>IF('ENCUESTA CONDUCTORES'!E377="X",1,0)</f>
        <v>1</v>
      </c>
      <c r="D377" s="15">
        <f>IF('ENCUESTA CONDUCTORES'!F377="X",1,0)</f>
        <v>0</v>
      </c>
      <c r="E377" s="15">
        <f>IF('ENCUESTA CONDUCTORES'!G377="X",1,0)</f>
        <v>0</v>
      </c>
      <c r="F377" s="15">
        <f>IF('ENCUESTA CONDUCTORES'!H377="X",1,0)</f>
        <v>0</v>
      </c>
      <c r="G377" s="15">
        <f>+'ENCUESTA CONDUCTORES'!I377</f>
        <v>52</v>
      </c>
      <c r="H377" s="15" t="str">
        <f>+'ENCUESTA CONDUCTORES'!J377</f>
        <v>M</v>
      </c>
      <c r="I377" s="15" t="str">
        <f>+'ENCUESTA CONDUCTORES'!K377</f>
        <v>PRIMARIA</v>
      </c>
      <c r="J377" s="15" t="str">
        <f>+'ENCUESTA CONDUCTORES'!L377</f>
        <v>LEON, GTO</v>
      </c>
      <c r="K377" s="15" t="str">
        <f>+'ENCUESTA CONDUCTORES'!M377</f>
        <v>LEON</v>
      </c>
      <c r="L377" s="15" t="str">
        <f>+'ENCUESTA CONDUCTORES'!N377</f>
        <v>GUANAJUATO</v>
      </c>
      <c r="M377" s="15">
        <f>+'ENCUESTA CONDUCTORES'!O377</f>
        <v>30</v>
      </c>
      <c r="N377" s="15">
        <f>IF('ENCUESTA CONDUCTORES'!P377="X",1,0)</f>
        <v>0</v>
      </c>
      <c r="O377" s="15">
        <f>IF('ENCUESTA CONDUCTORES'!Q377="X",1,0)</f>
        <v>0</v>
      </c>
      <c r="P377" s="15">
        <f>IF('ENCUESTA CONDUCTORES'!R377="X",1,0)</f>
        <v>0</v>
      </c>
      <c r="Q377" s="15">
        <f>IF('ENCUESTA CONDUCTORES'!S377="X",1,0)</f>
        <v>1</v>
      </c>
      <c r="R377" s="15">
        <f>IF('ENCUESTA CONDUCTORES'!T377="X",1,0)</f>
        <v>0</v>
      </c>
      <c r="S377" s="15">
        <f>IF('ENCUESTA CONDUCTORES'!U377="X",1,0)</f>
        <v>0</v>
      </c>
      <c r="T377" s="15">
        <f>IF('ENCUESTA CONDUCTORES'!V377="X",1,0)</f>
        <v>0</v>
      </c>
      <c r="U377" s="15">
        <f>IF('ENCUESTA CONDUCTORES'!W377="X",1,0)</f>
        <v>0</v>
      </c>
      <c r="V377" s="15">
        <f>IF('ENCUESTA CONDUCTORES'!X377="X",1,0)</f>
        <v>0</v>
      </c>
      <c r="W377" s="15">
        <f>IF('ENCUESTA CONDUCTORES'!Y377="X",1,0)</f>
        <v>0</v>
      </c>
      <c r="X377" s="15">
        <f>IF('ENCUESTA CONDUCTORES'!Z377="X",1,0)</f>
        <v>0</v>
      </c>
      <c r="Y377" s="15">
        <f>+'ENCUESTA CONDUCTORES'!AG377</f>
        <v>0</v>
      </c>
      <c r="Z377" s="15">
        <f>+'ENCUESTA CONDUCTORES'!AH377</f>
        <v>1998</v>
      </c>
      <c r="AA377" s="1" t="str">
        <f>+'ENCUESTA CONDUCTORES'!AI377</f>
        <v>DAÑADO</v>
      </c>
      <c r="AB377" s="15">
        <f>IF('ENCUESTA CONDUCTORES'!AJ377="X",1,0)</f>
        <v>0</v>
      </c>
      <c r="AC377" s="15">
        <f>IF('ENCUESTA CONDUCTORES'!AK377="X",1,0)</f>
        <v>0</v>
      </c>
      <c r="AD377" s="15">
        <f>IF('ENCUESTA CONDUCTORES'!AL377="X",1,0)</f>
        <v>1</v>
      </c>
      <c r="AE377" s="15">
        <f>IF('ENCUESTA CONDUCTORES'!AM377="X",1,0)</f>
        <v>0</v>
      </c>
      <c r="AF377" s="15">
        <f>IF('ENCUESTA CONDUCTORES'!AN377="X",1,0)</f>
        <v>0</v>
      </c>
      <c r="AG377" s="15">
        <f>IF('ENCUESTA CONDUCTORES'!AO377="X",1,0)</f>
        <v>1</v>
      </c>
      <c r="AH377" s="15">
        <f>IF('ENCUESTA CONDUCTORES'!AP377="X",1,0)</f>
        <v>0</v>
      </c>
      <c r="AI377" s="15">
        <f>IF('ENCUESTA CONDUCTORES'!AQ377="X",1,0)</f>
        <v>0</v>
      </c>
      <c r="AJ377" s="15">
        <f>IF('ENCUESTA CONDUCTORES'!AR377="X",1,0)</f>
        <v>0</v>
      </c>
      <c r="AK377" s="15">
        <f>+'ENCUESTA CONDUCTORES'!AS377</f>
        <v>0</v>
      </c>
      <c r="AL377" s="15" t="str">
        <f>+'ENCUESTA CONDUCTORES'!AT377</f>
        <v>CUMMINS</v>
      </c>
      <c r="AM377" s="1">
        <f>+'ENCUESTA CONDUCTORES'!AU377</f>
        <v>4000</v>
      </c>
      <c r="AN377" s="48">
        <f>+'ENCUESTA CONDUCTORES'!AV377</f>
        <v>0.5</v>
      </c>
      <c r="AO377" s="15">
        <f>+'ENCUESTA CONDUCTORES'!AW377</f>
        <v>2.6</v>
      </c>
      <c r="AP377" s="15">
        <f>+'ENCUESTA CONDUCTORES'!AX377</f>
        <v>2.1</v>
      </c>
      <c r="AQ377" s="15">
        <f>+'ENCUESTA CONDUCTORES'!AY377</f>
        <v>2</v>
      </c>
      <c r="AR377" s="15">
        <f>+'ENCUESTA CONDUCTORES'!AZ377</f>
        <v>420</v>
      </c>
      <c r="AS377" s="15">
        <f>+'ENCUESTA CONDUCTORES'!BA377</f>
        <v>1000</v>
      </c>
      <c r="AT377" s="15">
        <f>IF('ENCUESTA CONDUCTORES'!BB377="X",1,0)</f>
        <v>0</v>
      </c>
      <c r="AU377" s="15">
        <f>IF('ENCUESTA CONDUCTORES'!BC377="X",1,0)</f>
        <v>0</v>
      </c>
      <c r="AV377" s="15">
        <f>IF('ENCUESTA CONDUCTORES'!BD377="X",1,0)</f>
        <v>0</v>
      </c>
      <c r="AW377" s="1">
        <f>+'ENCUESTA CONDUCTORES'!BE377</f>
        <v>20000</v>
      </c>
      <c r="AX377" s="1">
        <f>+'ENCUESTA CONDUCTORES'!BF377</f>
        <v>100000</v>
      </c>
      <c r="AY377" s="1">
        <f>+'ENCUESTA CONDUCTORES'!BG377</f>
        <v>20000</v>
      </c>
      <c r="AZ377" s="1">
        <f>+'ENCUESTA CONDUCTORES'!BH377</f>
        <v>100000</v>
      </c>
      <c r="BA377" s="1" t="str">
        <f>+'ENCUESTA CONDUCTORES'!BI377</f>
        <v xml:space="preserve">NO SABE </v>
      </c>
      <c r="BB377" s="15">
        <f>IF('ENCUESTA CONDUCTORES'!BJ377="X",1,0)</f>
        <v>0</v>
      </c>
      <c r="BC377" s="15">
        <f>IF('ENCUESTA CONDUCTORES'!BK377="X",1,0)</f>
        <v>0</v>
      </c>
      <c r="BD377" s="15">
        <f>IF('ENCUESTA CONDUCTORES'!BL377="X",1,0)</f>
        <v>0</v>
      </c>
      <c r="BE377" s="15">
        <f>IF('ENCUESTA CONDUCTORES'!BM377="X",1,0)</f>
        <v>1</v>
      </c>
      <c r="BF377" s="15">
        <f>IF('ENCUESTA CONDUCTORES'!BN377="X",1,0)</f>
        <v>0</v>
      </c>
      <c r="BG377" s="15">
        <f>IF('ENCUESTA CONDUCTORES'!BO377="X",1,0)</f>
        <v>0</v>
      </c>
      <c r="BH377" s="15">
        <f>IF('ENCUESTA CONDUCTORES'!BP377="X",1,0)</f>
        <v>0</v>
      </c>
      <c r="BI377" s="15">
        <f>IF('ENCUESTA CONDUCTORES'!BQ377="X",1,0)</f>
        <v>0</v>
      </c>
      <c r="BJ377" s="15">
        <f>IF('ENCUESTA CONDUCTORES'!BR377="X",1,0)</f>
        <v>0</v>
      </c>
      <c r="BK377" s="15">
        <f>+'ENCUESTA CONDUCTORES'!BS377</f>
        <v>0</v>
      </c>
      <c r="BL377" s="15">
        <f>IF('ENCUESTA CONDUCTORES'!BT377="X",1,0)</f>
        <v>0</v>
      </c>
      <c r="BM377" s="15">
        <f>IF('ENCUESTA CONDUCTORES'!BU377="X",1,0)</f>
        <v>1</v>
      </c>
      <c r="BN377" s="15">
        <f>IF('ENCUESTA CONDUCTORES'!BV377="X",1,0)</f>
        <v>0</v>
      </c>
      <c r="BO377" s="15">
        <f>IF('ENCUESTA CONDUCTORES'!BW377="X",1,0)</f>
        <v>0</v>
      </c>
      <c r="BP377" s="15">
        <f>+'ENCUESTA CONDUCTORES'!BX377</f>
        <v>2</v>
      </c>
      <c r="BQ377" s="15">
        <f>+'ENCUESTA CONDUCTORES'!BY377</f>
        <v>3</v>
      </c>
      <c r="BR377" s="15">
        <f>+'ENCUESTA CONDUCTORES'!BZ377</f>
        <v>1</v>
      </c>
      <c r="BS377" s="15">
        <f>+'ENCUESTA CONDUCTORES'!CA377</f>
        <v>0</v>
      </c>
      <c r="BT377" s="15">
        <f>IF('ENCUESTA CONDUCTORES'!CB377="X",1,0)</f>
        <v>1</v>
      </c>
      <c r="BU377" s="15">
        <f>IF('ENCUESTA CONDUCTORES'!CC377="X",1,0)</f>
        <v>0</v>
      </c>
      <c r="BV377" s="15">
        <f>IF('ENCUESTA CONDUCTORES'!CD377="X",1,0)</f>
        <v>0</v>
      </c>
      <c r="BW377" s="15">
        <f>IF('ENCUESTA CONDUCTORES'!CE377="X",1,0)</f>
        <v>0</v>
      </c>
      <c r="BX377" s="15">
        <f>IF('ENCUESTA CONDUCTORES'!CF377="X",1,0)</f>
        <v>0</v>
      </c>
      <c r="BY377" s="15">
        <f>IF('ENCUESTA CONDUCTORES'!CG377="X",1,0)</f>
        <v>0</v>
      </c>
      <c r="BZ377" s="15">
        <f>IF('ENCUESTA CONDUCTORES'!CH377="X",1,0)</f>
        <v>0</v>
      </c>
      <c r="CA377" s="15">
        <f>IF('ENCUESTA CONDUCTORES'!CI377="X",1,0)</f>
        <v>0</v>
      </c>
      <c r="CB377" s="15">
        <f>IF('ENCUESTA CONDUCTORES'!CJ377="X",1,0)</f>
        <v>0</v>
      </c>
      <c r="CC377" s="15">
        <f>IF('ENCUESTA CONDUCTORES'!CK377="X",1,0)</f>
        <v>1</v>
      </c>
      <c r="CD377" s="15">
        <f>IF('ENCUESTA CONDUCTORES'!CL377="X",1,0)</f>
        <v>0</v>
      </c>
      <c r="CE377" s="15">
        <f>IF('ENCUESTA CONDUCTORES'!CM377="X",1,0)</f>
        <v>0</v>
      </c>
      <c r="CF377" s="15">
        <f>+'ENCUESTA CONDUCTORES'!CN377</f>
        <v>0</v>
      </c>
      <c r="CG377" s="15">
        <f>IF('ENCUESTA CONDUCTORES'!CO377="X",1,0)</f>
        <v>0</v>
      </c>
      <c r="CH377" s="15" t="str">
        <f>+'ENCUESTA CONDUCTORES'!CP377</f>
        <v>NO SABE</v>
      </c>
      <c r="CI377" s="15" t="str">
        <f>+'ENCUESTA CONDUCTORES'!CQ377</f>
        <v>NO SABE</v>
      </c>
      <c r="CJ377" s="15">
        <f>IF('ENCUESTA CONDUCTORES'!CR377="X",1,0)</f>
        <v>1</v>
      </c>
      <c r="CK377" s="15">
        <f>IF('ENCUESTA CONDUCTORES'!CS377="X",1,0)</f>
        <v>0</v>
      </c>
      <c r="CL377" s="15">
        <f>IF('ENCUESTA CONDUCTORES'!CT377="X",1,0)</f>
        <v>0</v>
      </c>
      <c r="CM377" s="15">
        <f>+'ENCUESTA CONDUCTORES'!CU377</f>
        <v>0</v>
      </c>
      <c r="CN377" s="15">
        <f>IF('ENCUESTA CONDUCTORES'!CV377="X",1,0)</f>
        <v>1</v>
      </c>
      <c r="CO377" s="15" t="str">
        <f>+'ENCUESTA CONDUCTORES'!CW377</f>
        <v>NO TIENE TIEMPO</v>
      </c>
      <c r="CP377" s="15">
        <f>IF('ENCUESTA CONDUCTORES'!CX377="X",1,0)</f>
        <v>0</v>
      </c>
      <c r="CQ377" s="15">
        <f>IF('ENCUESTA CONDUCTORES'!CY377="X",1,0)</f>
        <v>0</v>
      </c>
      <c r="CR377" s="3">
        <f>+'ENCUESTA CONDUCTORES'!CZ377</f>
        <v>0</v>
      </c>
      <c r="CS377" s="49">
        <f>+'ENCUESTA CONDUCTORES'!DA377</f>
        <v>0</v>
      </c>
    </row>
    <row r="378" spans="2:97" x14ac:dyDescent="0.25">
      <c r="B378" s="14" t="str">
        <f>+'ENCUESTA CONDUCTORES'!D378</f>
        <v>C-389</v>
      </c>
      <c r="C378" s="15">
        <f>IF('ENCUESTA CONDUCTORES'!E378="X",1,0)</f>
        <v>1</v>
      </c>
      <c r="D378" s="15">
        <f>IF('ENCUESTA CONDUCTORES'!F378="X",1,0)</f>
        <v>0</v>
      </c>
      <c r="E378" s="15">
        <f>IF('ENCUESTA CONDUCTORES'!G378="X",1,0)</f>
        <v>0</v>
      </c>
      <c r="F378" s="15">
        <f>IF('ENCUESTA CONDUCTORES'!H378="X",1,0)</f>
        <v>0</v>
      </c>
      <c r="G378" s="15">
        <f>+'ENCUESTA CONDUCTORES'!I378</f>
        <v>48</v>
      </c>
      <c r="H378" s="15" t="str">
        <f>+'ENCUESTA CONDUCTORES'!J378</f>
        <v>M</v>
      </c>
      <c r="I378" s="15" t="str">
        <f>+'ENCUESTA CONDUCTORES'!K378</f>
        <v>PRIMARIA</v>
      </c>
      <c r="J378" s="15" t="str">
        <f>+'ENCUESTA CONDUCTORES'!L378</f>
        <v>OCOTLAN, JALISCO</v>
      </c>
      <c r="K378" s="15" t="str">
        <f>+'ENCUESTA CONDUCTORES'!M378</f>
        <v>OCOTLAN</v>
      </c>
      <c r="L378" s="15" t="str">
        <f>+'ENCUESTA CONDUCTORES'!N378</f>
        <v>JALISCO</v>
      </c>
      <c r="M378" s="15">
        <f>+'ENCUESTA CONDUCTORES'!O378</f>
        <v>24</v>
      </c>
      <c r="N378" s="15">
        <f>IF('ENCUESTA CONDUCTORES'!P378="X",1,0)</f>
        <v>0</v>
      </c>
      <c r="O378" s="15">
        <f>IF('ENCUESTA CONDUCTORES'!Q378="X",1,0)</f>
        <v>1</v>
      </c>
      <c r="P378" s="15">
        <f>IF('ENCUESTA CONDUCTORES'!R378="X",1,0)</f>
        <v>0</v>
      </c>
      <c r="Q378" s="15">
        <f>IF('ENCUESTA CONDUCTORES'!S378="X",1,0)</f>
        <v>0</v>
      </c>
      <c r="R378" s="15">
        <f>IF('ENCUESTA CONDUCTORES'!T378="X",1,0)</f>
        <v>0</v>
      </c>
      <c r="S378" s="15">
        <f>IF('ENCUESTA CONDUCTORES'!U378="X",1,0)</f>
        <v>0</v>
      </c>
      <c r="T378" s="15">
        <f>IF('ENCUESTA CONDUCTORES'!V378="X",1,0)</f>
        <v>0</v>
      </c>
      <c r="U378" s="15">
        <f>IF('ENCUESTA CONDUCTORES'!W378="X",1,0)</f>
        <v>0</v>
      </c>
      <c r="V378" s="15">
        <f>IF('ENCUESTA CONDUCTORES'!X378="X",1,0)</f>
        <v>0</v>
      </c>
      <c r="W378" s="15">
        <f>IF('ENCUESTA CONDUCTORES'!Y378="X",1,0)</f>
        <v>0</v>
      </c>
      <c r="X378" s="15">
        <f>IF('ENCUESTA CONDUCTORES'!Z378="X",1,0)</f>
        <v>0</v>
      </c>
      <c r="Y378" s="15">
        <f>+'ENCUESTA CONDUCTORES'!AG378</f>
        <v>0</v>
      </c>
      <c r="Z378" s="15">
        <f>+'ENCUESTA CONDUCTORES'!AH378</f>
        <v>2001</v>
      </c>
      <c r="AA378" s="1">
        <f>+'ENCUESTA CONDUCTORES'!AI378</f>
        <v>1203677</v>
      </c>
      <c r="AB378" s="15">
        <f>IF('ENCUESTA CONDUCTORES'!AJ378="X",1,0)</f>
        <v>0</v>
      </c>
      <c r="AC378" s="15">
        <f>IF('ENCUESTA CONDUCTORES'!AK378="X",1,0)</f>
        <v>0</v>
      </c>
      <c r="AD378" s="15">
        <f>IF('ENCUESTA CONDUCTORES'!AL378="X",1,0)</f>
        <v>1</v>
      </c>
      <c r="AE378" s="15">
        <f>IF('ENCUESTA CONDUCTORES'!AM378="X",1,0)</f>
        <v>0</v>
      </c>
      <c r="AF378" s="15">
        <f>IF('ENCUESTA CONDUCTORES'!AN378="X",1,0)</f>
        <v>0</v>
      </c>
      <c r="AG378" s="15">
        <f>IF('ENCUESTA CONDUCTORES'!AO378="X",1,0)</f>
        <v>0</v>
      </c>
      <c r="AH378" s="15">
        <f>IF('ENCUESTA CONDUCTORES'!AP378="X",1,0)</f>
        <v>1</v>
      </c>
      <c r="AI378" s="15">
        <f>IF('ENCUESTA CONDUCTORES'!AQ378="X",1,0)</f>
        <v>0</v>
      </c>
      <c r="AJ378" s="15">
        <f>IF('ENCUESTA CONDUCTORES'!AR378="X",1,0)</f>
        <v>0</v>
      </c>
      <c r="AK378" s="15">
        <f>+'ENCUESTA CONDUCTORES'!AS378</f>
        <v>0</v>
      </c>
      <c r="AL378" s="15" t="str">
        <f>+'ENCUESTA CONDUCTORES'!AT378</f>
        <v>CATERPILLAR</v>
      </c>
      <c r="AM378" s="1">
        <f>+'ENCUESTA CONDUCTORES'!AU378</f>
        <v>6000</v>
      </c>
      <c r="AN378" s="48">
        <f>+'ENCUESTA CONDUCTORES'!AV378</f>
        <v>0.05</v>
      </c>
      <c r="AO378" s="15">
        <f>+'ENCUESTA CONDUCTORES'!AW378</f>
        <v>3.9</v>
      </c>
      <c r="AP378" s="15">
        <f>+'ENCUESTA CONDUCTORES'!AX378</f>
        <v>3.4</v>
      </c>
      <c r="AQ378" s="15">
        <f>+'ENCUESTA CONDUCTORES'!AY378</f>
        <v>2</v>
      </c>
      <c r="AR378" s="15">
        <f>+'ENCUESTA CONDUCTORES'!AZ378</f>
        <v>380</v>
      </c>
      <c r="AS378" s="15">
        <f>+'ENCUESTA CONDUCTORES'!BA378</f>
        <v>1250</v>
      </c>
      <c r="AT378" s="15">
        <f>IF('ENCUESTA CONDUCTORES'!BB378="X",1,0)</f>
        <v>1</v>
      </c>
      <c r="AU378" s="15">
        <f>IF('ENCUESTA CONDUCTORES'!BC378="X",1,0)</f>
        <v>0</v>
      </c>
      <c r="AV378" s="15">
        <f>IF('ENCUESTA CONDUCTORES'!BD378="X",1,0)</f>
        <v>0</v>
      </c>
      <c r="AW378" s="1">
        <f>+'ENCUESTA CONDUCTORES'!BE378</f>
        <v>24000</v>
      </c>
      <c r="AX378" s="1">
        <f>+'ENCUESTA CONDUCTORES'!BF378</f>
        <v>150000</v>
      </c>
      <c r="AY378" s="1">
        <f>+'ENCUESTA CONDUCTORES'!BG378</f>
        <v>24000</v>
      </c>
      <c r="AZ378" s="1">
        <f>+'ENCUESTA CONDUCTORES'!BH378</f>
        <v>150000</v>
      </c>
      <c r="BA378" s="1" t="str">
        <f>+'ENCUESTA CONDUCTORES'!BI378</f>
        <v>NO SABE</v>
      </c>
      <c r="BB378" s="15">
        <f>IF('ENCUESTA CONDUCTORES'!BJ378="X",1,0)</f>
        <v>1</v>
      </c>
      <c r="BC378" s="15">
        <f>IF('ENCUESTA CONDUCTORES'!BK378="X",1,0)</f>
        <v>1</v>
      </c>
      <c r="BD378" s="15">
        <f>IF('ENCUESTA CONDUCTORES'!BL378="X",1,0)</f>
        <v>0</v>
      </c>
      <c r="BE378" s="15">
        <f>IF('ENCUESTA CONDUCTORES'!BM378="X",1,0)</f>
        <v>0</v>
      </c>
      <c r="BF378" s="15">
        <f>IF('ENCUESTA CONDUCTORES'!BN378="X",1,0)</f>
        <v>1</v>
      </c>
      <c r="BG378" s="15">
        <f>IF('ENCUESTA CONDUCTORES'!BO378="X",1,0)</f>
        <v>1</v>
      </c>
      <c r="BH378" s="15">
        <f>IF('ENCUESTA CONDUCTORES'!BP378="X",1,0)</f>
        <v>1</v>
      </c>
      <c r="BI378" s="15">
        <f>IF('ENCUESTA CONDUCTORES'!BQ378="X",1,0)</f>
        <v>0</v>
      </c>
      <c r="BJ378" s="15">
        <f>IF('ENCUESTA CONDUCTORES'!BR378="X",1,0)</f>
        <v>0</v>
      </c>
      <c r="BK378" s="15">
        <f>+'ENCUESTA CONDUCTORES'!BS378</f>
        <v>0</v>
      </c>
      <c r="BL378" s="15">
        <f>IF('ENCUESTA CONDUCTORES'!BT378="X",1,0)</f>
        <v>0</v>
      </c>
      <c r="BM378" s="15">
        <f>IF('ENCUESTA CONDUCTORES'!BU378="X",1,0)</f>
        <v>0</v>
      </c>
      <c r="BN378" s="15">
        <f>IF('ENCUESTA CONDUCTORES'!BV378="X",1,0)</f>
        <v>1</v>
      </c>
      <c r="BO378" s="15">
        <f>IF('ENCUESTA CONDUCTORES'!BW378="X",1,0)</f>
        <v>0</v>
      </c>
      <c r="BP378" s="15">
        <f>+'ENCUESTA CONDUCTORES'!BX378</f>
        <v>1</v>
      </c>
      <c r="BQ378" s="15">
        <f>+'ENCUESTA CONDUCTORES'!BY378</f>
        <v>3</v>
      </c>
      <c r="BR378" s="15">
        <f>+'ENCUESTA CONDUCTORES'!BZ378</f>
        <v>2</v>
      </c>
      <c r="BS378" s="15">
        <f>+'ENCUESTA CONDUCTORES'!CA378</f>
        <v>0</v>
      </c>
      <c r="BT378" s="15">
        <f>IF('ENCUESTA CONDUCTORES'!CB378="X",1,0)</f>
        <v>1</v>
      </c>
      <c r="BU378" s="15">
        <f>IF('ENCUESTA CONDUCTORES'!CC378="X",1,0)</f>
        <v>0</v>
      </c>
      <c r="BV378" s="15">
        <f>IF('ENCUESTA CONDUCTORES'!CD378="X",1,0)</f>
        <v>0</v>
      </c>
      <c r="BW378" s="15">
        <f>IF('ENCUESTA CONDUCTORES'!CE378="X",1,0)</f>
        <v>0</v>
      </c>
      <c r="BX378" s="15">
        <f>IF('ENCUESTA CONDUCTORES'!CF378="X",1,0)</f>
        <v>0</v>
      </c>
      <c r="BY378" s="15">
        <f>IF('ENCUESTA CONDUCTORES'!CG378="X",1,0)</f>
        <v>0</v>
      </c>
      <c r="BZ378" s="15">
        <f>IF('ENCUESTA CONDUCTORES'!CH378="X",1,0)</f>
        <v>0</v>
      </c>
      <c r="CA378" s="15">
        <f>IF('ENCUESTA CONDUCTORES'!CI378="X",1,0)</f>
        <v>0</v>
      </c>
      <c r="CB378" s="15">
        <f>IF('ENCUESTA CONDUCTORES'!CJ378="X",1,0)</f>
        <v>0</v>
      </c>
      <c r="CC378" s="15">
        <f>IF('ENCUESTA CONDUCTORES'!CK378="X",1,0)</f>
        <v>1</v>
      </c>
      <c r="CD378" s="15">
        <f>IF('ENCUESTA CONDUCTORES'!CL378="X",1,0)</f>
        <v>0</v>
      </c>
      <c r="CE378" s="15">
        <f>IF('ENCUESTA CONDUCTORES'!CM378="X",1,0)</f>
        <v>0</v>
      </c>
      <c r="CF378" s="15">
        <f>+'ENCUESTA CONDUCTORES'!CN378</f>
        <v>0</v>
      </c>
      <c r="CG378" s="15">
        <f>IF('ENCUESTA CONDUCTORES'!CO378="X",1,0)</f>
        <v>0</v>
      </c>
      <c r="CH378" s="15" t="str">
        <f>+'ENCUESTA CONDUCTORES'!CP378</f>
        <v>NO SABE</v>
      </c>
      <c r="CI378" s="15" t="str">
        <f>+'ENCUESTA CONDUCTORES'!CQ378</f>
        <v>NO SABE</v>
      </c>
      <c r="CJ378" s="15">
        <f>IF('ENCUESTA CONDUCTORES'!CR378="X",1,0)</f>
        <v>0</v>
      </c>
      <c r="CK378" s="15">
        <f>IF('ENCUESTA CONDUCTORES'!CS378="X",1,0)</f>
        <v>0</v>
      </c>
      <c r="CL378" s="15">
        <f>IF('ENCUESTA CONDUCTORES'!CT378="X",1,0)</f>
        <v>1</v>
      </c>
      <c r="CM378" s="15">
        <f>+'ENCUESTA CONDUCTORES'!CU378</f>
        <v>0</v>
      </c>
      <c r="CN378" s="15">
        <f>IF('ENCUESTA CONDUCTORES'!CV378="X",1,0)</f>
        <v>0</v>
      </c>
      <c r="CO378" s="15">
        <f>+'ENCUESTA CONDUCTORES'!CW378</f>
        <v>0</v>
      </c>
      <c r="CP378" s="15">
        <f>IF('ENCUESTA CONDUCTORES'!CX378="X",1,0)</f>
        <v>1</v>
      </c>
      <c r="CQ378" s="15">
        <f>IF('ENCUESTA CONDUCTORES'!CY378="X",1,0)</f>
        <v>0</v>
      </c>
      <c r="CR378" s="3">
        <f>+'ENCUESTA CONDUCTORES'!CZ378</f>
        <v>0</v>
      </c>
      <c r="CS378" s="49">
        <f>+'ENCUESTA CONDUCTORES'!DA378</f>
        <v>0</v>
      </c>
    </row>
    <row r="379" spans="2:97" x14ac:dyDescent="0.25">
      <c r="B379" s="14" t="str">
        <f>+'ENCUESTA CONDUCTORES'!D379</f>
        <v>C-390</v>
      </c>
      <c r="C379" s="15">
        <f>IF('ENCUESTA CONDUCTORES'!E379="X",1,0)</f>
        <v>0</v>
      </c>
      <c r="D379" s="15">
        <f>IF('ENCUESTA CONDUCTORES'!F379="X",1,0)</f>
        <v>0</v>
      </c>
      <c r="E379" s="15">
        <f>IF('ENCUESTA CONDUCTORES'!G379="X",1,0)</f>
        <v>0</v>
      </c>
      <c r="F379" s="15">
        <f>IF('ENCUESTA CONDUCTORES'!H379="X",1,0)</f>
        <v>1</v>
      </c>
      <c r="G379" s="15">
        <f>+'ENCUESTA CONDUCTORES'!I379</f>
        <v>56</v>
      </c>
      <c r="H379" s="15" t="str">
        <f>+'ENCUESTA CONDUCTORES'!J379</f>
        <v>M</v>
      </c>
      <c r="I379" s="15" t="str">
        <f>+'ENCUESTA CONDUCTORES'!K379</f>
        <v>SIN ESTUDIOS</v>
      </c>
      <c r="J379" s="15" t="str">
        <f>+'ENCUESTA CONDUCTORES'!L379</f>
        <v>NVAS CASAS GRANDES, CHIH</v>
      </c>
      <c r="K379" s="15" t="str">
        <f>+'ENCUESTA CONDUCTORES'!M379</f>
        <v>NVAS. CASAS GRANDES</v>
      </c>
      <c r="L379" s="15" t="str">
        <f>+'ENCUESTA CONDUCTORES'!N379</f>
        <v>CHIHUAHUA</v>
      </c>
      <c r="M379" s="15">
        <f>+'ENCUESTA CONDUCTORES'!O379</f>
        <v>38</v>
      </c>
      <c r="N379" s="15">
        <f>IF('ENCUESTA CONDUCTORES'!P379="X",1,0)</f>
        <v>0</v>
      </c>
      <c r="O379" s="15">
        <f>IF('ENCUESTA CONDUCTORES'!Q379="X",1,0)</f>
        <v>0</v>
      </c>
      <c r="P379" s="15">
        <f>IF('ENCUESTA CONDUCTORES'!R379="X",1,0)</f>
        <v>0</v>
      </c>
      <c r="Q379" s="15">
        <f>IF('ENCUESTA CONDUCTORES'!S379="X",1,0)</f>
        <v>1</v>
      </c>
      <c r="R379" s="15">
        <f>IF('ENCUESTA CONDUCTORES'!T379="X",1,0)</f>
        <v>0</v>
      </c>
      <c r="S379" s="15">
        <f>IF('ENCUESTA CONDUCTORES'!U379="X",1,0)</f>
        <v>0</v>
      </c>
      <c r="T379" s="15">
        <f>IF('ENCUESTA CONDUCTORES'!V379="X",1,0)</f>
        <v>1</v>
      </c>
      <c r="U379" s="15">
        <f>IF('ENCUESTA CONDUCTORES'!W379="X",1,0)</f>
        <v>0</v>
      </c>
      <c r="V379" s="15">
        <f>IF('ENCUESTA CONDUCTORES'!X379="X",1,0)</f>
        <v>0</v>
      </c>
      <c r="W379" s="15">
        <f>IF('ENCUESTA CONDUCTORES'!Y379="X",1,0)</f>
        <v>0</v>
      </c>
      <c r="X379" s="15">
        <f>IF('ENCUESTA CONDUCTORES'!Z379="X",1,0)</f>
        <v>0</v>
      </c>
      <c r="Y379" s="15">
        <f>+'ENCUESTA CONDUCTORES'!AG379</f>
        <v>0</v>
      </c>
      <c r="Z379" s="15">
        <f>+'ENCUESTA CONDUCTORES'!AH379</f>
        <v>2004</v>
      </c>
      <c r="AA379" s="1">
        <f>+'ENCUESTA CONDUCTORES'!AI379</f>
        <v>910663</v>
      </c>
      <c r="AB379" s="15">
        <f>IF('ENCUESTA CONDUCTORES'!AJ379="X",1,0)</f>
        <v>0</v>
      </c>
      <c r="AC379" s="15">
        <f>IF('ENCUESTA CONDUCTORES'!AK379="X",1,0)</f>
        <v>0</v>
      </c>
      <c r="AD379" s="15">
        <f>IF('ENCUESTA CONDUCTORES'!AL379="X",1,0)</f>
        <v>1</v>
      </c>
      <c r="AE379" s="15">
        <f>IF('ENCUESTA CONDUCTORES'!AM379="X",1,0)</f>
        <v>0</v>
      </c>
      <c r="AF379" s="15">
        <f>IF('ENCUESTA CONDUCTORES'!AN379="X",1,0)</f>
        <v>0</v>
      </c>
      <c r="AG379" s="15">
        <f>IF('ENCUESTA CONDUCTORES'!AO379="X",1,0)</f>
        <v>0</v>
      </c>
      <c r="AH379" s="15">
        <f>IF('ENCUESTA CONDUCTORES'!AP379="X",1,0)</f>
        <v>1</v>
      </c>
      <c r="AI379" s="15">
        <f>IF('ENCUESTA CONDUCTORES'!AQ379="X",1,0)</f>
        <v>0</v>
      </c>
      <c r="AJ379" s="15">
        <f>IF('ENCUESTA CONDUCTORES'!AR379="X",1,0)</f>
        <v>0</v>
      </c>
      <c r="AK379" s="15">
        <f>+'ENCUESTA CONDUCTORES'!AS379</f>
        <v>0</v>
      </c>
      <c r="AL379" s="15" t="str">
        <f>+'ENCUESTA CONDUCTORES'!AT379</f>
        <v>CUMMINS</v>
      </c>
      <c r="AM379" s="1">
        <f>+'ENCUESTA CONDUCTORES'!AU379</f>
        <v>10000</v>
      </c>
      <c r="AN379" s="48">
        <f>+'ENCUESTA CONDUCTORES'!AV379</f>
        <v>0.2</v>
      </c>
      <c r="AO379" s="15">
        <f>+'ENCUESTA CONDUCTORES'!AW379</f>
        <v>2.8</v>
      </c>
      <c r="AP379" s="15">
        <f>+'ENCUESTA CONDUCTORES'!AX379</f>
        <v>2.4</v>
      </c>
      <c r="AQ379" s="15">
        <f>+'ENCUESTA CONDUCTORES'!AY379</f>
        <v>2</v>
      </c>
      <c r="AR379" s="15">
        <f>+'ENCUESTA CONDUCTORES'!AZ379</f>
        <v>1100</v>
      </c>
      <c r="AS379" s="15">
        <f>+'ENCUESTA CONDUCTORES'!BA379</f>
        <v>3000</v>
      </c>
      <c r="AT379" s="15">
        <f>IF('ENCUESTA CONDUCTORES'!BB379="X",1,0)</f>
        <v>1</v>
      </c>
      <c r="AU379" s="15">
        <f>IF('ENCUESTA CONDUCTORES'!BC379="X",1,0)</f>
        <v>1</v>
      </c>
      <c r="AV379" s="15">
        <f>IF('ENCUESTA CONDUCTORES'!BD379="X",1,0)</f>
        <v>0</v>
      </c>
      <c r="AW379" s="1">
        <f>+'ENCUESTA CONDUCTORES'!BE379</f>
        <v>25000</v>
      </c>
      <c r="AX379" s="1" t="str">
        <f>+'ENCUESTA CONDUCTORES'!BF379</f>
        <v>NO SABE</v>
      </c>
      <c r="AY379" s="1">
        <f>+'ENCUESTA CONDUCTORES'!BG379</f>
        <v>25000</v>
      </c>
      <c r="AZ379" s="1">
        <f>+'ENCUESTA CONDUCTORES'!BH379</f>
        <v>120000</v>
      </c>
      <c r="BA379" s="1" t="str">
        <f>+'ENCUESTA CONDUCTORES'!BI379</f>
        <v>NO SABE</v>
      </c>
      <c r="BB379" s="15">
        <f>IF('ENCUESTA CONDUCTORES'!BJ379="X",1,0)</f>
        <v>1</v>
      </c>
      <c r="BC379" s="15">
        <f>IF('ENCUESTA CONDUCTORES'!BK379="X",1,0)</f>
        <v>0</v>
      </c>
      <c r="BD379" s="15">
        <f>IF('ENCUESTA CONDUCTORES'!BL379="X",1,0)</f>
        <v>0</v>
      </c>
      <c r="BE379" s="15">
        <f>IF('ENCUESTA CONDUCTORES'!BM379="X",1,0)</f>
        <v>0</v>
      </c>
      <c r="BF379" s="15">
        <f>IF('ENCUESTA CONDUCTORES'!BN379="X",1,0)</f>
        <v>0</v>
      </c>
      <c r="BG379" s="15">
        <f>IF('ENCUESTA CONDUCTORES'!BO379="X",1,0)</f>
        <v>0</v>
      </c>
      <c r="BH379" s="15">
        <f>IF('ENCUESTA CONDUCTORES'!BP379="X",1,0)</f>
        <v>0</v>
      </c>
      <c r="BI379" s="15">
        <f>IF('ENCUESTA CONDUCTORES'!BQ379="X",1,0)</f>
        <v>1</v>
      </c>
      <c r="BJ379" s="15">
        <f>IF('ENCUESTA CONDUCTORES'!BR379="X",1,0)</f>
        <v>0</v>
      </c>
      <c r="BK379" s="15">
        <f>+'ENCUESTA CONDUCTORES'!BS379</f>
        <v>0</v>
      </c>
      <c r="BL379" s="15">
        <f>IF('ENCUESTA CONDUCTORES'!BT379="X",1,0)</f>
        <v>0</v>
      </c>
      <c r="BM379" s="15">
        <f>IF('ENCUESTA CONDUCTORES'!BU379="X",1,0)</f>
        <v>1</v>
      </c>
      <c r="BN379" s="15">
        <f>IF('ENCUESTA CONDUCTORES'!BV379="X",1,0)</f>
        <v>0</v>
      </c>
      <c r="BO379" s="15">
        <f>IF('ENCUESTA CONDUCTORES'!BW379="X",1,0)</f>
        <v>0</v>
      </c>
      <c r="BP379" s="15">
        <f>+'ENCUESTA CONDUCTORES'!BX379</f>
        <v>1</v>
      </c>
      <c r="BQ379" s="15">
        <f>+'ENCUESTA CONDUCTORES'!BY379</f>
        <v>2</v>
      </c>
      <c r="BR379" s="15">
        <f>+'ENCUESTA CONDUCTORES'!BZ379</f>
        <v>3</v>
      </c>
      <c r="BS379" s="15">
        <f>+'ENCUESTA CONDUCTORES'!CA379</f>
        <v>0</v>
      </c>
      <c r="BT379" s="15">
        <f>IF('ENCUESTA CONDUCTORES'!CB379="X",1,0)</f>
        <v>1</v>
      </c>
      <c r="BU379" s="15">
        <f>IF('ENCUESTA CONDUCTORES'!CC379="X",1,0)</f>
        <v>0</v>
      </c>
      <c r="BV379" s="15">
        <f>IF('ENCUESTA CONDUCTORES'!CD379="X",1,0)</f>
        <v>0</v>
      </c>
      <c r="BW379" s="15">
        <f>IF('ENCUESTA CONDUCTORES'!CE379="X",1,0)</f>
        <v>0</v>
      </c>
      <c r="BX379" s="15">
        <f>IF('ENCUESTA CONDUCTORES'!CF379="X",1,0)</f>
        <v>0</v>
      </c>
      <c r="BY379" s="15">
        <f>IF('ENCUESTA CONDUCTORES'!CG379="X",1,0)</f>
        <v>0</v>
      </c>
      <c r="BZ379" s="15">
        <f>IF('ENCUESTA CONDUCTORES'!CH379="X",1,0)</f>
        <v>0</v>
      </c>
      <c r="CA379" s="15">
        <f>IF('ENCUESTA CONDUCTORES'!CI379="X",1,0)</f>
        <v>0</v>
      </c>
      <c r="CB379" s="15">
        <f>IF('ENCUESTA CONDUCTORES'!CJ379="X",1,0)</f>
        <v>0</v>
      </c>
      <c r="CC379" s="15">
        <f>IF('ENCUESTA CONDUCTORES'!CK379="X",1,0)</f>
        <v>1</v>
      </c>
      <c r="CD379" s="15">
        <f>IF('ENCUESTA CONDUCTORES'!CL379="X",1,0)</f>
        <v>0</v>
      </c>
      <c r="CE379" s="15">
        <f>IF('ENCUESTA CONDUCTORES'!CM379="X",1,0)</f>
        <v>0</v>
      </c>
      <c r="CF379" s="15">
        <f>+'ENCUESTA CONDUCTORES'!CN379</f>
        <v>0</v>
      </c>
      <c r="CG379" s="15">
        <f>IF('ENCUESTA CONDUCTORES'!CO379="X",1,0)</f>
        <v>0</v>
      </c>
      <c r="CH379" s="15" t="str">
        <f>+'ENCUESTA CONDUCTORES'!CP379</f>
        <v>NO SABE</v>
      </c>
      <c r="CI379" s="15" t="str">
        <f>+'ENCUESTA CONDUCTORES'!CQ379</f>
        <v>NO SABE</v>
      </c>
      <c r="CJ379" s="15">
        <f>IF('ENCUESTA CONDUCTORES'!CR379="X",1,0)</f>
        <v>1</v>
      </c>
      <c r="CK379" s="15">
        <f>IF('ENCUESTA CONDUCTORES'!CS379="X",1,0)</f>
        <v>0</v>
      </c>
      <c r="CL379" s="15">
        <f>IF('ENCUESTA CONDUCTORES'!CT379="X",1,0)</f>
        <v>0</v>
      </c>
      <c r="CM379" s="15">
        <f>+'ENCUESTA CONDUCTORES'!CU379</f>
        <v>0</v>
      </c>
      <c r="CN379" s="15">
        <f>IF('ENCUESTA CONDUCTORES'!CV379="X",1,0)</f>
        <v>0</v>
      </c>
      <c r="CO379" s="15">
        <f>+'ENCUESTA CONDUCTORES'!CW379</f>
        <v>0</v>
      </c>
      <c r="CP379" s="15">
        <f>IF('ENCUESTA CONDUCTORES'!CX379="X",1,0)</f>
        <v>1</v>
      </c>
      <c r="CQ379" s="15">
        <f>IF('ENCUESTA CONDUCTORES'!CY379="X",1,0)</f>
        <v>1</v>
      </c>
      <c r="CR379" s="3">
        <f>+'ENCUESTA CONDUCTORES'!CZ379</f>
        <v>0</v>
      </c>
      <c r="CS379" s="49">
        <f>+'ENCUESTA CONDUCTORES'!DA379</f>
        <v>0</v>
      </c>
    </row>
    <row r="380" spans="2:97" x14ac:dyDescent="0.25">
      <c r="B380" s="14" t="str">
        <f>+'ENCUESTA CONDUCTORES'!D380</f>
        <v>C-391</v>
      </c>
      <c r="C380" s="15">
        <f>IF('ENCUESTA CONDUCTORES'!E380="X",1,0)</f>
        <v>0</v>
      </c>
      <c r="D380" s="15">
        <f>IF('ENCUESTA CONDUCTORES'!F380="X",1,0)</f>
        <v>1</v>
      </c>
      <c r="E380" s="15">
        <f>IF('ENCUESTA CONDUCTORES'!G380="X",1,0)</f>
        <v>0</v>
      </c>
      <c r="F380" s="15">
        <f>IF('ENCUESTA CONDUCTORES'!H380="X",1,0)</f>
        <v>0</v>
      </c>
      <c r="G380" s="15">
        <f>+'ENCUESTA CONDUCTORES'!I380</f>
        <v>19</v>
      </c>
      <c r="H380" s="15" t="str">
        <f>+'ENCUESTA CONDUCTORES'!J380</f>
        <v>M</v>
      </c>
      <c r="I380" s="15" t="str">
        <f>+'ENCUESTA CONDUCTORES'!K380</f>
        <v>SECUNDARIA</v>
      </c>
      <c r="J380" s="15" t="str">
        <f>+'ENCUESTA CONDUCTORES'!L380</f>
        <v>ZINACANTEPEC, EDO MEX</v>
      </c>
      <c r="K380" s="15" t="str">
        <f>+'ENCUESTA CONDUCTORES'!M380</f>
        <v>ZINACANTEPEC</v>
      </c>
      <c r="L380" s="15" t="str">
        <f>+'ENCUESTA CONDUCTORES'!N380</f>
        <v>EDO. MEX.</v>
      </c>
      <c r="M380" s="15">
        <f>+'ENCUESTA CONDUCTORES'!O380</f>
        <v>1</v>
      </c>
      <c r="N380" s="15">
        <f>IF('ENCUESTA CONDUCTORES'!P380="X",1,0)</f>
        <v>1</v>
      </c>
      <c r="O380" s="15">
        <f>IF('ENCUESTA CONDUCTORES'!Q380="X",1,0)</f>
        <v>0</v>
      </c>
      <c r="P380" s="15">
        <f>IF('ENCUESTA CONDUCTORES'!R380="X",1,0)</f>
        <v>0</v>
      </c>
      <c r="Q380" s="15">
        <f>IF('ENCUESTA CONDUCTORES'!S380="X",1,0)</f>
        <v>0</v>
      </c>
      <c r="R380" s="15">
        <f>IF('ENCUESTA CONDUCTORES'!T380="X",1,0)</f>
        <v>0</v>
      </c>
      <c r="S380" s="15">
        <f>IF('ENCUESTA CONDUCTORES'!U380="X",1,0)</f>
        <v>0</v>
      </c>
      <c r="T380" s="15">
        <f>IF('ENCUESTA CONDUCTORES'!V380="X",1,0)</f>
        <v>0</v>
      </c>
      <c r="U380" s="15">
        <f>IF('ENCUESTA CONDUCTORES'!W380="X",1,0)</f>
        <v>0</v>
      </c>
      <c r="V380" s="15">
        <f>IF('ENCUESTA CONDUCTORES'!X380="X",1,0)</f>
        <v>0</v>
      </c>
      <c r="W380" s="15">
        <f>IF('ENCUESTA CONDUCTORES'!Y380="X",1,0)</f>
        <v>0</v>
      </c>
      <c r="X380" s="15">
        <f>IF('ENCUESTA CONDUCTORES'!Z380="X",1,0)</f>
        <v>0</v>
      </c>
      <c r="Y380" s="15">
        <f>+'ENCUESTA CONDUCTORES'!AG380</f>
        <v>0</v>
      </c>
      <c r="Z380" s="15">
        <f>+'ENCUESTA CONDUCTORES'!AH380</f>
        <v>1995</v>
      </c>
      <c r="AA380" s="1" t="str">
        <f>+'ENCUESTA CONDUCTORES'!AI380</f>
        <v>DAÑADO</v>
      </c>
      <c r="AB380" s="15">
        <f>IF('ENCUESTA CONDUCTORES'!AJ380="X",1,0)</f>
        <v>0</v>
      </c>
      <c r="AC380" s="15">
        <f>IF('ENCUESTA CONDUCTORES'!AK380="X",1,0)</f>
        <v>0</v>
      </c>
      <c r="AD380" s="15">
        <f>IF('ENCUESTA CONDUCTORES'!AL380="X",1,0)</f>
        <v>1</v>
      </c>
      <c r="AE380" s="15">
        <f>IF('ENCUESTA CONDUCTORES'!AM380="X",1,0)</f>
        <v>0</v>
      </c>
      <c r="AF380" s="15">
        <f>IF('ENCUESTA CONDUCTORES'!AN380="X",1,0)</f>
        <v>0</v>
      </c>
      <c r="AG380" s="15">
        <f>IF('ENCUESTA CONDUCTORES'!AO380="X",1,0)</f>
        <v>1</v>
      </c>
      <c r="AH380" s="15">
        <f>IF('ENCUESTA CONDUCTORES'!AP380="X",1,0)</f>
        <v>0</v>
      </c>
      <c r="AI380" s="15">
        <f>IF('ENCUESTA CONDUCTORES'!AQ380="X",1,0)</f>
        <v>0</v>
      </c>
      <c r="AJ380" s="15">
        <f>IF('ENCUESTA CONDUCTORES'!AR380="X",1,0)</f>
        <v>0</v>
      </c>
      <c r="AK380" s="15">
        <f>+'ENCUESTA CONDUCTORES'!AS380</f>
        <v>0</v>
      </c>
      <c r="AL380" s="15" t="str">
        <f>+'ENCUESTA CONDUCTORES'!AT380</f>
        <v>KODIAK</v>
      </c>
      <c r="AM380" s="1">
        <f>+'ENCUESTA CONDUCTORES'!AU380</f>
        <v>3500</v>
      </c>
      <c r="AN380" s="48">
        <f>+'ENCUESTA CONDUCTORES'!AV380</f>
        <v>0.5</v>
      </c>
      <c r="AO380" s="15">
        <f>+'ENCUESTA CONDUCTORES'!AW380</f>
        <v>5.8</v>
      </c>
      <c r="AP380" s="15">
        <f>+'ENCUESTA CONDUCTORES'!AX380</f>
        <v>5.2</v>
      </c>
      <c r="AQ380" s="15">
        <f>+'ENCUESTA CONDUCTORES'!AY380</f>
        <v>2</v>
      </c>
      <c r="AR380" s="15">
        <f>+'ENCUESTA CONDUCTORES'!AZ380</f>
        <v>180</v>
      </c>
      <c r="AS380" s="15">
        <f>+'ENCUESTA CONDUCTORES'!BA380</f>
        <v>1000</v>
      </c>
      <c r="AT380" s="15">
        <f>IF('ENCUESTA CONDUCTORES'!BB380="X",1,0)</f>
        <v>0</v>
      </c>
      <c r="AU380" s="15">
        <f>IF('ENCUESTA CONDUCTORES'!BC380="X",1,0)</f>
        <v>0</v>
      </c>
      <c r="AV380" s="15">
        <f>IF('ENCUESTA CONDUCTORES'!BD380="X",1,0)</f>
        <v>0</v>
      </c>
      <c r="AW380" s="1">
        <f>+'ENCUESTA CONDUCTORES'!BE380</f>
        <v>28000</v>
      </c>
      <c r="AX380" s="1" t="str">
        <f>+'ENCUESTA CONDUCTORES'!BF380</f>
        <v>NO SABE</v>
      </c>
      <c r="AY380" s="1">
        <f>+'ENCUESTA CONDUCTORES'!BG380</f>
        <v>28000</v>
      </c>
      <c r="AZ380" s="1">
        <f>+'ENCUESTA CONDUCTORES'!BH380</f>
        <v>80000</v>
      </c>
      <c r="BA380" s="1" t="str">
        <f>+'ENCUESTA CONDUCTORES'!BI380</f>
        <v>NO SABE</v>
      </c>
      <c r="BB380" s="15">
        <f>IF('ENCUESTA CONDUCTORES'!BJ380="X",1,0)</f>
        <v>1</v>
      </c>
      <c r="BC380" s="15">
        <f>IF('ENCUESTA CONDUCTORES'!BK380="X",1,0)</f>
        <v>1</v>
      </c>
      <c r="BD380" s="15">
        <f>IF('ENCUESTA CONDUCTORES'!BL380="X",1,0)</f>
        <v>0</v>
      </c>
      <c r="BE380" s="15">
        <f>IF('ENCUESTA CONDUCTORES'!BM380="X",1,0)</f>
        <v>0</v>
      </c>
      <c r="BF380" s="15">
        <f>IF('ENCUESTA CONDUCTORES'!BN380="X",1,0)</f>
        <v>0</v>
      </c>
      <c r="BG380" s="15">
        <f>IF('ENCUESTA CONDUCTORES'!BO380="X",1,0)</f>
        <v>1</v>
      </c>
      <c r="BH380" s="15">
        <f>IF('ENCUESTA CONDUCTORES'!BP380="X",1,0)</f>
        <v>0</v>
      </c>
      <c r="BI380" s="15">
        <f>IF('ENCUESTA CONDUCTORES'!BQ380="X",1,0)</f>
        <v>0</v>
      </c>
      <c r="BJ380" s="15">
        <f>IF('ENCUESTA CONDUCTORES'!BR380="X",1,0)</f>
        <v>0</v>
      </c>
      <c r="BK380" s="15">
        <f>+'ENCUESTA CONDUCTORES'!BS380</f>
        <v>0</v>
      </c>
      <c r="BL380" s="15">
        <f>IF('ENCUESTA CONDUCTORES'!BT380="X",1,0)</f>
        <v>0</v>
      </c>
      <c r="BM380" s="15">
        <f>IF('ENCUESTA CONDUCTORES'!BU380="X",1,0)</f>
        <v>0</v>
      </c>
      <c r="BN380" s="15">
        <f>IF('ENCUESTA CONDUCTORES'!BV380="X",1,0)</f>
        <v>0</v>
      </c>
      <c r="BO380" s="15">
        <f>IF('ENCUESTA CONDUCTORES'!BW380="X",1,0)</f>
        <v>1</v>
      </c>
      <c r="BP380" s="15">
        <f>+'ENCUESTA CONDUCTORES'!BX380</f>
        <v>2</v>
      </c>
      <c r="BQ380" s="15">
        <f>+'ENCUESTA CONDUCTORES'!BY380</f>
        <v>3</v>
      </c>
      <c r="BR380" s="15">
        <f>+'ENCUESTA CONDUCTORES'!BZ380</f>
        <v>1</v>
      </c>
      <c r="BS380" s="15">
        <f>+'ENCUESTA CONDUCTORES'!CA380</f>
        <v>0</v>
      </c>
      <c r="BT380" s="15">
        <f>IF('ENCUESTA CONDUCTORES'!CB380="X",1,0)</f>
        <v>1</v>
      </c>
      <c r="BU380" s="15">
        <f>IF('ENCUESTA CONDUCTORES'!CC380="X",1,0)</f>
        <v>0</v>
      </c>
      <c r="BV380" s="15">
        <f>IF('ENCUESTA CONDUCTORES'!CD380="X",1,0)</f>
        <v>0</v>
      </c>
      <c r="BW380" s="15">
        <f>IF('ENCUESTA CONDUCTORES'!CE380="X",1,0)</f>
        <v>0</v>
      </c>
      <c r="BX380" s="15">
        <f>IF('ENCUESTA CONDUCTORES'!CF380="X",1,0)</f>
        <v>0</v>
      </c>
      <c r="BY380" s="15">
        <f>IF('ENCUESTA CONDUCTORES'!CG380="X",1,0)</f>
        <v>0</v>
      </c>
      <c r="BZ380" s="15">
        <f>IF('ENCUESTA CONDUCTORES'!CH380="X",1,0)</f>
        <v>0</v>
      </c>
      <c r="CA380" s="15">
        <f>IF('ENCUESTA CONDUCTORES'!CI380="X",1,0)</f>
        <v>0</v>
      </c>
      <c r="CB380" s="15">
        <f>IF('ENCUESTA CONDUCTORES'!CJ380="X",1,0)</f>
        <v>0</v>
      </c>
      <c r="CC380" s="15">
        <f>IF('ENCUESTA CONDUCTORES'!CK380="X",1,0)</f>
        <v>1</v>
      </c>
      <c r="CD380" s="15">
        <f>IF('ENCUESTA CONDUCTORES'!CL380="X",1,0)</f>
        <v>0</v>
      </c>
      <c r="CE380" s="15">
        <f>IF('ENCUESTA CONDUCTORES'!CM380="X",1,0)</f>
        <v>0</v>
      </c>
      <c r="CF380" s="15">
        <f>+'ENCUESTA CONDUCTORES'!CN380</f>
        <v>0</v>
      </c>
      <c r="CG380" s="15">
        <f>IF('ENCUESTA CONDUCTORES'!CO380="X",1,0)</f>
        <v>0</v>
      </c>
      <c r="CH380" s="15" t="str">
        <f>+'ENCUESTA CONDUCTORES'!CP380</f>
        <v>NO SABE</v>
      </c>
      <c r="CI380" s="15" t="str">
        <f>+'ENCUESTA CONDUCTORES'!CQ380</f>
        <v>NO SABE</v>
      </c>
      <c r="CJ380" s="15">
        <f>IF('ENCUESTA CONDUCTORES'!CR380="X",1,0)</f>
        <v>1</v>
      </c>
      <c r="CK380" s="15">
        <f>IF('ENCUESTA CONDUCTORES'!CS380="X",1,0)</f>
        <v>0</v>
      </c>
      <c r="CL380" s="15">
        <f>IF('ENCUESTA CONDUCTORES'!CT380="X",1,0)</f>
        <v>0</v>
      </c>
      <c r="CM380" s="15">
        <f>+'ENCUESTA CONDUCTORES'!CU380</f>
        <v>0</v>
      </c>
      <c r="CN380" s="15">
        <f>IF('ENCUESTA CONDUCTORES'!CV380="X",1,0)</f>
        <v>0</v>
      </c>
      <c r="CO380" s="15">
        <f>+'ENCUESTA CONDUCTORES'!CW380</f>
        <v>0</v>
      </c>
      <c r="CP380" s="15">
        <f>IF('ENCUESTA CONDUCTORES'!CX380="X",1,0)</f>
        <v>1</v>
      </c>
      <c r="CQ380" s="15">
        <f>IF('ENCUESTA CONDUCTORES'!CY380="X",1,0)</f>
        <v>1</v>
      </c>
      <c r="CR380" s="3">
        <f>+'ENCUESTA CONDUCTORES'!CZ380</f>
        <v>0</v>
      </c>
      <c r="CS380" s="49">
        <f>+'ENCUESTA CONDUCTORES'!DA380</f>
        <v>0</v>
      </c>
    </row>
    <row r="381" spans="2:97" x14ac:dyDescent="0.25">
      <c r="B381" s="14" t="str">
        <f>+'ENCUESTA CONDUCTORES'!D381</f>
        <v>C-392</v>
      </c>
      <c r="C381" s="15">
        <f>IF('ENCUESTA CONDUCTORES'!E381="X",1,0)</f>
        <v>1</v>
      </c>
      <c r="D381" s="15">
        <f>IF('ENCUESTA CONDUCTORES'!F381="X",1,0)</f>
        <v>0</v>
      </c>
      <c r="E381" s="15">
        <f>IF('ENCUESTA CONDUCTORES'!G381="X",1,0)</f>
        <v>0</v>
      </c>
      <c r="F381" s="15">
        <f>IF('ENCUESTA CONDUCTORES'!H381="X",1,0)</f>
        <v>0</v>
      </c>
      <c r="G381" s="15">
        <f>+'ENCUESTA CONDUCTORES'!I381</f>
        <v>48</v>
      </c>
      <c r="H381" s="15" t="str">
        <f>+'ENCUESTA CONDUCTORES'!J381</f>
        <v>M</v>
      </c>
      <c r="I381" s="15" t="str">
        <f>+'ENCUESTA CONDUCTORES'!K381</f>
        <v>OTROS</v>
      </c>
      <c r="J381" s="15" t="str">
        <f>+'ENCUESTA CONDUCTORES'!L381</f>
        <v>LEON, GTO</v>
      </c>
      <c r="K381" s="15" t="str">
        <f>+'ENCUESTA CONDUCTORES'!M381</f>
        <v>LEON</v>
      </c>
      <c r="L381" s="15" t="str">
        <f>+'ENCUESTA CONDUCTORES'!N381</f>
        <v>GUANAJUATO</v>
      </c>
      <c r="M381" s="15">
        <f>+'ENCUESTA CONDUCTORES'!O381</f>
        <v>7</v>
      </c>
      <c r="N381" s="15">
        <f>IF('ENCUESTA CONDUCTORES'!P381="X",1,0)</f>
        <v>0</v>
      </c>
      <c r="O381" s="15">
        <f>IF('ENCUESTA CONDUCTORES'!Q381="X",1,0)</f>
        <v>1</v>
      </c>
      <c r="P381" s="15">
        <f>IF('ENCUESTA CONDUCTORES'!R381="X",1,0)</f>
        <v>0</v>
      </c>
      <c r="Q381" s="15">
        <f>IF('ENCUESTA CONDUCTORES'!S381="X",1,0)</f>
        <v>0</v>
      </c>
      <c r="R381" s="15">
        <f>IF('ENCUESTA CONDUCTORES'!T381="X",1,0)</f>
        <v>0</v>
      </c>
      <c r="S381" s="15">
        <f>IF('ENCUESTA CONDUCTORES'!U381="X",1,0)</f>
        <v>0</v>
      </c>
      <c r="T381" s="15">
        <f>IF('ENCUESTA CONDUCTORES'!V381="X",1,0)</f>
        <v>0</v>
      </c>
      <c r="U381" s="15">
        <f>IF('ENCUESTA CONDUCTORES'!W381="X",1,0)</f>
        <v>0</v>
      </c>
      <c r="V381" s="15">
        <f>IF('ENCUESTA CONDUCTORES'!X381="X",1,0)</f>
        <v>0</v>
      </c>
      <c r="W381" s="15">
        <f>IF('ENCUESTA CONDUCTORES'!Y381="X",1,0)</f>
        <v>0</v>
      </c>
      <c r="X381" s="15">
        <f>IF('ENCUESTA CONDUCTORES'!Z381="X",1,0)</f>
        <v>0</v>
      </c>
      <c r="Y381" s="15">
        <f>+'ENCUESTA CONDUCTORES'!AG381</f>
        <v>0</v>
      </c>
      <c r="Z381" s="15">
        <f>+'ENCUESTA CONDUCTORES'!AH381</f>
        <v>1989</v>
      </c>
      <c r="AA381" s="1" t="str">
        <f>+'ENCUESTA CONDUCTORES'!AI381</f>
        <v>DAÑADO</v>
      </c>
      <c r="AB381" s="15">
        <f>IF('ENCUESTA CONDUCTORES'!AJ381="X",1,0)</f>
        <v>0</v>
      </c>
      <c r="AC381" s="15">
        <f>IF('ENCUESTA CONDUCTORES'!AK381="X",1,0)</f>
        <v>0</v>
      </c>
      <c r="AD381" s="15">
        <f>IF('ENCUESTA CONDUCTORES'!AL381="X",1,0)</f>
        <v>1</v>
      </c>
      <c r="AE381" s="15">
        <f>IF('ENCUESTA CONDUCTORES'!AM381="X",1,0)</f>
        <v>0</v>
      </c>
      <c r="AF381" s="15">
        <f>IF('ENCUESTA CONDUCTORES'!AN381="X",1,0)</f>
        <v>0</v>
      </c>
      <c r="AG381" s="15">
        <f>IF('ENCUESTA CONDUCTORES'!AO381="X",1,0)</f>
        <v>1</v>
      </c>
      <c r="AH381" s="15">
        <f>IF('ENCUESTA CONDUCTORES'!AP381="X",1,0)</f>
        <v>0</v>
      </c>
      <c r="AI381" s="15">
        <f>IF('ENCUESTA CONDUCTORES'!AQ381="X",1,0)</f>
        <v>0</v>
      </c>
      <c r="AJ381" s="15">
        <f>IF('ENCUESTA CONDUCTORES'!AR381="X",1,0)</f>
        <v>0</v>
      </c>
      <c r="AK381" s="15">
        <f>+'ENCUESTA CONDUCTORES'!AS381</f>
        <v>0</v>
      </c>
      <c r="AL381" s="15" t="str">
        <f>+'ENCUESTA CONDUCTORES'!AT381</f>
        <v>MERCEDES BENZ</v>
      </c>
      <c r="AM381" s="1">
        <f>+'ENCUESTA CONDUCTORES'!AU381</f>
        <v>4000</v>
      </c>
      <c r="AN381" s="48">
        <f>+'ENCUESTA CONDUCTORES'!AV381</f>
        <v>0.5</v>
      </c>
      <c r="AO381" s="15">
        <f>+'ENCUESTA CONDUCTORES'!AW381</f>
        <v>3.9</v>
      </c>
      <c r="AP381" s="15">
        <f>+'ENCUESTA CONDUCTORES'!AX381</f>
        <v>3.4</v>
      </c>
      <c r="AQ381" s="15">
        <f>+'ENCUESTA CONDUCTORES'!AY381</f>
        <v>2</v>
      </c>
      <c r="AR381" s="15">
        <f>+'ENCUESTA CONDUCTORES'!AZ381</f>
        <v>320</v>
      </c>
      <c r="AS381" s="15">
        <f>+'ENCUESTA CONDUCTORES'!BA381</f>
        <v>1200</v>
      </c>
      <c r="AT381" s="15">
        <f>IF('ENCUESTA CONDUCTORES'!BB381="X",1,0)</f>
        <v>0</v>
      </c>
      <c r="AU381" s="15">
        <f>IF('ENCUESTA CONDUCTORES'!BC381="X",1,0)</f>
        <v>0</v>
      </c>
      <c r="AV381" s="15">
        <f>IF('ENCUESTA CONDUCTORES'!BD381="X",1,0)</f>
        <v>0</v>
      </c>
      <c r="AW381" s="1">
        <f>+'ENCUESTA CONDUCTORES'!BE381</f>
        <v>30000</v>
      </c>
      <c r="AX381" s="1">
        <f>+'ENCUESTA CONDUCTORES'!BF381</f>
        <v>120000</v>
      </c>
      <c r="AY381" s="1">
        <f>+'ENCUESTA CONDUCTORES'!BG381</f>
        <v>30000</v>
      </c>
      <c r="AZ381" s="1">
        <f>+'ENCUESTA CONDUCTORES'!BH381</f>
        <v>120000</v>
      </c>
      <c r="BA381" s="1" t="str">
        <f>+'ENCUESTA CONDUCTORES'!BI381</f>
        <v xml:space="preserve">NO SABE </v>
      </c>
      <c r="BB381" s="15">
        <f>IF('ENCUESTA CONDUCTORES'!BJ381="X",1,0)</f>
        <v>1</v>
      </c>
      <c r="BC381" s="15">
        <f>IF('ENCUESTA CONDUCTORES'!BK381="X",1,0)</f>
        <v>1</v>
      </c>
      <c r="BD381" s="15">
        <f>IF('ENCUESTA CONDUCTORES'!BL381="X",1,0)</f>
        <v>0</v>
      </c>
      <c r="BE381" s="15">
        <f>IF('ENCUESTA CONDUCTORES'!BM381="X",1,0)</f>
        <v>0</v>
      </c>
      <c r="BF381" s="15">
        <f>IF('ENCUESTA CONDUCTORES'!BN381="X",1,0)</f>
        <v>0</v>
      </c>
      <c r="BG381" s="15">
        <f>IF('ENCUESTA CONDUCTORES'!BO381="X",1,0)</f>
        <v>1</v>
      </c>
      <c r="BH381" s="15">
        <f>IF('ENCUESTA CONDUCTORES'!BP381="X",1,0)</f>
        <v>0</v>
      </c>
      <c r="BI381" s="15">
        <f>IF('ENCUESTA CONDUCTORES'!BQ381="X",1,0)</f>
        <v>0</v>
      </c>
      <c r="BJ381" s="15">
        <f>IF('ENCUESTA CONDUCTORES'!BR381="X",1,0)</f>
        <v>0</v>
      </c>
      <c r="BK381" s="15">
        <f>+'ENCUESTA CONDUCTORES'!BS381</f>
        <v>0</v>
      </c>
      <c r="BL381" s="15">
        <f>IF('ENCUESTA CONDUCTORES'!BT381="X",1,0)</f>
        <v>0</v>
      </c>
      <c r="BM381" s="15">
        <f>IF('ENCUESTA CONDUCTORES'!BU381="X",1,0)</f>
        <v>0</v>
      </c>
      <c r="BN381" s="15">
        <f>IF('ENCUESTA CONDUCTORES'!BV381="X",1,0)</f>
        <v>1</v>
      </c>
      <c r="BO381" s="15">
        <f>IF('ENCUESTA CONDUCTORES'!BW381="X",1,0)</f>
        <v>0</v>
      </c>
      <c r="BP381" s="15">
        <f>+'ENCUESTA CONDUCTORES'!BX381</f>
        <v>3</v>
      </c>
      <c r="BQ381" s="15">
        <f>+'ENCUESTA CONDUCTORES'!BY381</f>
        <v>2</v>
      </c>
      <c r="BR381" s="15">
        <f>+'ENCUESTA CONDUCTORES'!BZ381</f>
        <v>1</v>
      </c>
      <c r="BS381" s="15">
        <f>+'ENCUESTA CONDUCTORES'!CA381</f>
        <v>0</v>
      </c>
      <c r="BT381" s="15">
        <f>IF('ENCUESTA CONDUCTORES'!CB381="X",1,0)</f>
        <v>1</v>
      </c>
      <c r="BU381" s="15">
        <f>IF('ENCUESTA CONDUCTORES'!CC381="X",1,0)</f>
        <v>0</v>
      </c>
      <c r="BV381" s="15">
        <f>IF('ENCUESTA CONDUCTORES'!CD381="X",1,0)</f>
        <v>0</v>
      </c>
      <c r="BW381" s="15">
        <f>IF('ENCUESTA CONDUCTORES'!CE381="X",1,0)</f>
        <v>0</v>
      </c>
      <c r="BX381" s="15">
        <f>IF('ENCUESTA CONDUCTORES'!CF381="X",1,0)</f>
        <v>0</v>
      </c>
      <c r="BY381" s="15">
        <f>IF('ENCUESTA CONDUCTORES'!CG381="X",1,0)</f>
        <v>0</v>
      </c>
      <c r="BZ381" s="15">
        <f>IF('ENCUESTA CONDUCTORES'!CH381="X",1,0)</f>
        <v>0</v>
      </c>
      <c r="CA381" s="15">
        <f>IF('ENCUESTA CONDUCTORES'!CI381="X",1,0)</f>
        <v>0</v>
      </c>
      <c r="CB381" s="15">
        <f>IF('ENCUESTA CONDUCTORES'!CJ381="X",1,0)</f>
        <v>0</v>
      </c>
      <c r="CC381" s="15">
        <f>IF('ENCUESTA CONDUCTORES'!CK381="X",1,0)</f>
        <v>1</v>
      </c>
      <c r="CD381" s="15">
        <f>IF('ENCUESTA CONDUCTORES'!CL381="X",1,0)</f>
        <v>0</v>
      </c>
      <c r="CE381" s="15">
        <f>IF('ENCUESTA CONDUCTORES'!CM381="X",1,0)</f>
        <v>0</v>
      </c>
      <c r="CF381" s="15">
        <f>+'ENCUESTA CONDUCTORES'!CN381</f>
        <v>0</v>
      </c>
      <c r="CG381" s="15">
        <f>IF('ENCUESTA CONDUCTORES'!CO381="X",1,0)</f>
        <v>0</v>
      </c>
      <c r="CH381" s="15" t="str">
        <f>+'ENCUESTA CONDUCTORES'!CP381</f>
        <v>NO SABE</v>
      </c>
      <c r="CI381" s="15" t="str">
        <f>+'ENCUESTA CONDUCTORES'!CQ381</f>
        <v>NO SABE</v>
      </c>
      <c r="CJ381" s="15">
        <f>IF('ENCUESTA CONDUCTORES'!CR381="X",1,0)</f>
        <v>0</v>
      </c>
      <c r="CK381" s="15">
        <f>IF('ENCUESTA CONDUCTORES'!CS381="X",1,0)</f>
        <v>0</v>
      </c>
      <c r="CL381" s="15">
        <f>IF('ENCUESTA CONDUCTORES'!CT381="X",1,0)</f>
        <v>1</v>
      </c>
      <c r="CM381" s="15">
        <f>+'ENCUESTA CONDUCTORES'!CU381</f>
        <v>0</v>
      </c>
      <c r="CN381" s="15">
        <f>IF('ENCUESTA CONDUCTORES'!CV381="X",1,0)</f>
        <v>0</v>
      </c>
      <c r="CO381" s="15">
        <f>+'ENCUESTA CONDUCTORES'!CW381</f>
        <v>0</v>
      </c>
      <c r="CP381" s="15">
        <f>IF('ENCUESTA CONDUCTORES'!CX381="X",1,0)</f>
        <v>1</v>
      </c>
      <c r="CQ381" s="15">
        <f>IF('ENCUESTA CONDUCTORES'!CY381="X",1,0)</f>
        <v>0</v>
      </c>
      <c r="CR381" s="3">
        <f>+'ENCUESTA CONDUCTORES'!CZ381</f>
        <v>0</v>
      </c>
      <c r="CS381" s="49">
        <f>+'ENCUESTA CONDUCTORES'!DA381</f>
        <v>0</v>
      </c>
    </row>
    <row r="382" spans="2:97" x14ac:dyDescent="0.25">
      <c r="B382" s="14" t="str">
        <f>+'ENCUESTA CONDUCTORES'!D382</f>
        <v>C-393</v>
      </c>
      <c r="C382" s="15">
        <f>IF('ENCUESTA CONDUCTORES'!E382="X",1,0)</f>
        <v>1</v>
      </c>
      <c r="D382" s="15">
        <f>IF('ENCUESTA CONDUCTORES'!F382="X",1,0)</f>
        <v>0</v>
      </c>
      <c r="E382" s="15">
        <f>IF('ENCUESTA CONDUCTORES'!G382="X",1,0)</f>
        <v>0</v>
      </c>
      <c r="F382" s="15">
        <f>IF('ENCUESTA CONDUCTORES'!H382="X",1,0)</f>
        <v>0</v>
      </c>
      <c r="G382" s="15">
        <f>+'ENCUESTA CONDUCTORES'!I382</f>
        <v>50</v>
      </c>
      <c r="H382" s="15" t="str">
        <f>+'ENCUESTA CONDUCTORES'!J382</f>
        <v>M</v>
      </c>
      <c r="I382" s="15" t="str">
        <f>+'ENCUESTA CONDUCTORES'!K382</f>
        <v>PRIMARIA</v>
      </c>
      <c r="J382" s="15" t="str">
        <f>+'ENCUESTA CONDUCTORES'!L382</f>
        <v>CALVILLO, AGS.</v>
      </c>
      <c r="K382" s="15" t="str">
        <f>+'ENCUESTA CONDUCTORES'!M382</f>
        <v>CALVILLO</v>
      </c>
      <c r="L382" s="15" t="str">
        <f>+'ENCUESTA CONDUCTORES'!N382</f>
        <v>AGUASCALIENTES</v>
      </c>
      <c r="M382" s="15">
        <f>+'ENCUESTA CONDUCTORES'!O382</f>
        <v>30</v>
      </c>
      <c r="N382" s="15">
        <f>IF('ENCUESTA CONDUCTORES'!P382="X",1,0)</f>
        <v>0</v>
      </c>
      <c r="O382" s="15">
        <f>IF('ENCUESTA CONDUCTORES'!Q382="X",1,0)</f>
        <v>0</v>
      </c>
      <c r="P382" s="15">
        <f>IF('ENCUESTA CONDUCTORES'!R382="X",1,0)</f>
        <v>0</v>
      </c>
      <c r="Q382" s="15">
        <f>IF('ENCUESTA CONDUCTORES'!S382="X",1,0)</f>
        <v>1</v>
      </c>
      <c r="R382" s="15">
        <f>IF('ENCUESTA CONDUCTORES'!T382="X",1,0)</f>
        <v>0</v>
      </c>
      <c r="S382" s="15">
        <f>IF('ENCUESTA CONDUCTORES'!U382="X",1,0)</f>
        <v>0</v>
      </c>
      <c r="T382" s="15">
        <f>IF('ENCUESTA CONDUCTORES'!V382="X",1,0)</f>
        <v>0</v>
      </c>
      <c r="U382" s="15">
        <f>IF('ENCUESTA CONDUCTORES'!W382="X",1,0)</f>
        <v>0</v>
      </c>
      <c r="V382" s="15">
        <f>IF('ENCUESTA CONDUCTORES'!X382="X",1,0)</f>
        <v>0</v>
      </c>
      <c r="W382" s="15">
        <f>IF('ENCUESTA CONDUCTORES'!Y382="X",1,0)</f>
        <v>0</v>
      </c>
      <c r="X382" s="15">
        <f>IF('ENCUESTA CONDUCTORES'!Z382="X",1,0)</f>
        <v>0</v>
      </c>
      <c r="Y382" s="15">
        <f>+'ENCUESTA CONDUCTORES'!AG382</f>
        <v>0</v>
      </c>
      <c r="Z382" s="15">
        <f>+'ENCUESTA CONDUCTORES'!AH382</f>
        <v>2005</v>
      </c>
      <c r="AA382" s="1">
        <f>+'ENCUESTA CONDUCTORES'!AI382</f>
        <v>871056</v>
      </c>
      <c r="AB382" s="15">
        <f>IF('ENCUESTA CONDUCTORES'!AJ382="X",1,0)</f>
        <v>0</v>
      </c>
      <c r="AC382" s="15">
        <f>IF('ENCUESTA CONDUCTORES'!AK382="X",1,0)</f>
        <v>0</v>
      </c>
      <c r="AD382" s="15">
        <f>IF('ENCUESTA CONDUCTORES'!AL382="X",1,0)</f>
        <v>1</v>
      </c>
      <c r="AE382" s="15">
        <f>IF('ENCUESTA CONDUCTORES'!AM382="X",1,0)</f>
        <v>0</v>
      </c>
      <c r="AF382" s="15">
        <f>IF('ENCUESTA CONDUCTORES'!AN382="X",1,0)</f>
        <v>0</v>
      </c>
      <c r="AG382" s="15">
        <f>IF('ENCUESTA CONDUCTORES'!AO382="X",1,0)</f>
        <v>0</v>
      </c>
      <c r="AH382" s="15">
        <f>IF('ENCUESTA CONDUCTORES'!AP382="X",1,0)</f>
        <v>1</v>
      </c>
      <c r="AI382" s="15">
        <f>IF('ENCUESTA CONDUCTORES'!AQ382="X",1,0)</f>
        <v>0</v>
      </c>
      <c r="AJ382" s="15">
        <f>IF('ENCUESTA CONDUCTORES'!AR382="X",1,0)</f>
        <v>0</v>
      </c>
      <c r="AK382" s="15">
        <f>+'ENCUESTA CONDUCTORES'!AS382</f>
        <v>0</v>
      </c>
      <c r="AL382" s="15" t="str">
        <f>+'ENCUESTA CONDUCTORES'!AT382</f>
        <v>CUMMINS</v>
      </c>
      <c r="AM382" s="1">
        <f>+'ENCUESTA CONDUCTORES'!AU382</f>
        <v>8000</v>
      </c>
      <c r="AN382" s="48">
        <f>+'ENCUESTA CONDUCTORES'!AV382</f>
        <v>0.1</v>
      </c>
      <c r="AO382" s="15">
        <f>+'ENCUESTA CONDUCTORES'!AW382</f>
        <v>2.6</v>
      </c>
      <c r="AP382" s="15">
        <f>+'ENCUESTA CONDUCTORES'!AX382</f>
        <v>2.1</v>
      </c>
      <c r="AQ382" s="15">
        <f>+'ENCUESTA CONDUCTORES'!AY382</f>
        <v>3</v>
      </c>
      <c r="AR382" s="15">
        <f>+'ENCUESTA CONDUCTORES'!AZ382</f>
        <v>1040</v>
      </c>
      <c r="AS382" s="15">
        <f>+'ENCUESTA CONDUCTORES'!BA382</f>
        <v>2500</v>
      </c>
      <c r="AT382" s="15">
        <f>IF('ENCUESTA CONDUCTORES'!BB382="X",1,0)</f>
        <v>1</v>
      </c>
      <c r="AU382" s="15">
        <f>IF('ENCUESTA CONDUCTORES'!BC382="X",1,0)</f>
        <v>0</v>
      </c>
      <c r="AV382" s="15">
        <f>IF('ENCUESTA CONDUCTORES'!BD382="X",1,0)</f>
        <v>0</v>
      </c>
      <c r="AW382" s="1">
        <f>+'ENCUESTA CONDUCTORES'!BE382</f>
        <v>24000</v>
      </c>
      <c r="AX382" s="1" t="str">
        <f>+'ENCUESTA CONDUCTORES'!BF382</f>
        <v>NO SABE</v>
      </c>
      <c r="AY382" s="1">
        <f>+'ENCUESTA CONDUCTORES'!BG382</f>
        <v>24000</v>
      </c>
      <c r="AZ382" s="1" t="str">
        <f>+'ENCUESTA CONDUCTORES'!BH382</f>
        <v>NO SABE</v>
      </c>
      <c r="BA382" s="1" t="str">
        <f>+'ENCUESTA CONDUCTORES'!BI382</f>
        <v>NO SABE</v>
      </c>
      <c r="BB382" s="15">
        <f>IF('ENCUESTA CONDUCTORES'!BJ382="X",1,0)</f>
        <v>1</v>
      </c>
      <c r="BC382" s="15">
        <f>IF('ENCUESTA CONDUCTORES'!BK382="X",1,0)</f>
        <v>1</v>
      </c>
      <c r="BD382" s="15">
        <f>IF('ENCUESTA CONDUCTORES'!BL382="X",1,0)</f>
        <v>0</v>
      </c>
      <c r="BE382" s="15">
        <f>IF('ENCUESTA CONDUCTORES'!BM382="X",1,0)</f>
        <v>0</v>
      </c>
      <c r="BF382" s="15">
        <f>IF('ENCUESTA CONDUCTORES'!BN382="X",1,0)</f>
        <v>0</v>
      </c>
      <c r="BG382" s="15">
        <f>IF('ENCUESTA CONDUCTORES'!BO382="X",1,0)</f>
        <v>1</v>
      </c>
      <c r="BH382" s="15">
        <f>IF('ENCUESTA CONDUCTORES'!BP382="X",1,0)</f>
        <v>0</v>
      </c>
      <c r="BI382" s="15">
        <f>IF('ENCUESTA CONDUCTORES'!BQ382="X",1,0)</f>
        <v>0</v>
      </c>
      <c r="BJ382" s="15">
        <f>IF('ENCUESTA CONDUCTORES'!BR382="X",1,0)</f>
        <v>0</v>
      </c>
      <c r="BK382" s="15">
        <f>+'ENCUESTA CONDUCTORES'!BS382</f>
        <v>0</v>
      </c>
      <c r="BL382" s="15">
        <f>IF('ENCUESTA CONDUCTORES'!BT382="X",1,0)</f>
        <v>0</v>
      </c>
      <c r="BM382" s="15">
        <f>IF('ENCUESTA CONDUCTORES'!BU382="X",1,0)</f>
        <v>0</v>
      </c>
      <c r="BN382" s="15">
        <f>IF('ENCUESTA CONDUCTORES'!BV382="X",1,0)</f>
        <v>1</v>
      </c>
      <c r="BO382" s="15">
        <f>IF('ENCUESTA CONDUCTORES'!BW382="X",1,0)</f>
        <v>0</v>
      </c>
      <c r="BP382" s="15">
        <f>+'ENCUESTA CONDUCTORES'!BX382</f>
        <v>1</v>
      </c>
      <c r="BQ382" s="15">
        <f>+'ENCUESTA CONDUCTORES'!BY382</f>
        <v>3</v>
      </c>
      <c r="BR382" s="15">
        <f>+'ENCUESTA CONDUCTORES'!BZ382</f>
        <v>2</v>
      </c>
      <c r="BS382" s="15">
        <f>+'ENCUESTA CONDUCTORES'!CA382</f>
        <v>0</v>
      </c>
      <c r="BT382" s="15">
        <f>IF('ENCUESTA CONDUCTORES'!CB382="X",1,0)</f>
        <v>1</v>
      </c>
      <c r="BU382" s="15">
        <f>IF('ENCUESTA CONDUCTORES'!CC382="X",1,0)</f>
        <v>0</v>
      </c>
      <c r="BV382" s="15">
        <f>IF('ENCUESTA CONDUCTORES'!CD382="X",1,0)</f>
        <v>0</v>
      </c>
      <c r="BW382" s="15">
        <f>IF('ENCUESTA CONDUCTORES'!CE382="X",1,0)</f>
        <v>0</v>
      </c>
      <c r="BX382" s="15">
        <f>IF('ENCUESTA CONDUCTORES'!CF382="X",1,0)</f>
        <v>0</v>
      </c>
      <c r="BY382" s="15">
        <f>IF('ENCUESTA CONDUCTORES'!CG382="X",1,0)</f>
        <v>0</v>
      </c>
      <c r="BZ382" s="15">
        <f>IF('ENCUESTA CONDUCTORES'!CH382="X",1,0)</f>
        <v>0</v>
      </c>
      <c r="CA382" s="15">
        <f>IF('ENCUESTA CONDUCTORES'!CI382="X",1,0)</f>
        <v>0</v>
      </c>
      <c r="CB382" s="15">
        <f>IF('ENCUESTA CONDUCTORES'!CJ382="X",1,0)</f>
        <v>0</v>
      </c>
      <c r="CC382" s="15">
        <f>IF('ENCUESTA CONDUCTORES'!CK382="X",1,0)</f>
        <v>1</v>
      </c>
      <c r="CD382" s="15">
        <f>IF('ENCUESTA CONDUCTORES'!CL382="X",1,0)</f>
        <v>0</v>
      </c>
      <c r="CE382" s="15">
        <f>IF('ENCUESTA CONDUCTORES'!CM382="X",1,0)</f>
        <v>0</v>
      </c>
      <c r="CF382" s="15">
        <f>+'ENCUESTA CONDUCTORES'!CN382</f>
        <v>0</v>
      </c>
      <c r="CG382" s="15">
        <f>IF('ENCUESTA CONDUCTORES'!CO382="X",1,0)</f>
        <v>0</v>
      </c>
      <c r="CH382" s="15" t="str">
        <f>+'ENCUESTA CONDUCTORES'!CP382</f>
        <v>NO SABE</v>
      </c>
      <c r="CI382" s="15" t="str">
        <f>+'ENCUESTA CONDUCTORES'!CQ382</f>
        <v>NO SABE</v>
      </c>
      <c r="CJ382" s="15">
        <f>IF('ENCUESTA CONDUCTORES'!CR382="X",1,0)</f>
        <v>1</v>
      </c>
      <c r="CK382" s="15">
        <f>IF('ENCUESTA CONDUCTORES'!CS382="X",1,0)</f>
        <v>0</v>
      </c>
      <c r="CL382" s="15">
        <f>IF('ENCUESTA CONDUCTORES'!CT382="X",1,0)</f>
        <v>0</v>
      </c>
      <c r="CM382" s="15">
        <f>+'ENCUESTA CONDUCTORES'!CU382</f>
        <v>0</v>
      </c>
      <c r="CN382" s="15">
        <f>IF('ENCUESTA CONDUCTORES'!CV382="X",1,0)</f>
        <v>0</v>
      </c>
      <c r="CO382" s="15">
        <f>+'ENCUESTA CONDUCTORES'!CW382</f>
        <v>0</v>
      </c>
      <c r="CP382" s="15">
        <f>IF('ENCUESTA CONDUCTORES'!CX382="X",1,0)</f>
        <v>1</v>
      </c>
      <c r="CQ382" s="15">
        <f>IF('ENCUESTA CONDUCTORES'!CY382="X",1,0)</f>
        <v>1</v>
      </c>
      <c r="CR382" s="3">
        <f>+'ENCUESTA CONDUCTORES'!CZ382</f>
        <v>0</v>
      </c>
      <c r="CS382" s="49">
        <f>+'ENCUESTA CONDUCTORES'!DA382</f>
        <v>0</v>
      </c>
    </row>
    <row r="383" spans="2:97" x14ac:dyDescent="0.25">
      <c r="B383" s="14" t="str">
        <f>+'ENCUESTA CONDUCTORES'!D383</f>
        <v>C-394</v>
      </c>
      <c r="C383" s="15">
        <f>IF('ENCUESTA CONDUCTORES'!E383="X",1,0)</f>
        <v>1</v>
      </c>
      <c r="D383" s="15">
        <f>IF('ENCUESTA CONDUCTORES'!F383="X",1,0)</f>
        <v>0</v>
      </c>
      <c r="E383" s="15">
        <f>IF('ENCUESTA CONDUCTORES'!G383="X",1,0)</f>
        <v>0</v>
      </c>
      <c r="F383" s="15">
        <f>IF('ENCUESTA CONDUCTORES'!H383="X",1,0)</f>
        <v>0</v>
      </c>
      <c r="G383" s="15">
        <f>+'ENCUESTA CONDUCTORES'!I383</f>
        <v>51</v>
      </c>
      <c r="H383" s="15" t="str">
        <f>+'ENCUESTA CONDUCTORES'!J383</f>
        <v>M</v>
      </c>
      <c r="I383" s="15" t="str">
        <f>+'ENCUESTA CONDUCTORES'!K383</f>
        <v>PRIMARIA</v>
      </c>
      <c r="J383" s="15" t="str">
        <f>+'ENCUESTA CONDUCTORES'!L383</f>
        <v>SAN FERNANDO, TAMPS</v>
      </c>
      <c r="K383" s="15" t="str">
        <f>+'ENCUESTA CONDUCTORES'!M383</f>
        <v>SAN FERNANDO</v>
      </c>
      <c r="L383" s="15" t="str">
        <f>+'ENCUESTA CONDUCTORES'!N383</f>
        <v>TAMAULIPAS</v>
      </c>
      <c r="M383" s="15">
        <f>+'ENCUESTA CONDUCTORES'!O383</f>
        <v>35</v>
      </c>
      <c r="N383" s="15">
        <f>IF('ENCUESTA CONDUCTORES'!P383="X",1,0)</f>
        <v>0</v>
      </c>
      <c r="O383" s="15">
        <f>IF('ENCUESTA CONDUCTORES'!Q383="X",1,0)</f>
        <v>0</v>
      </c>
      <c r="P383" s="15">
        <f>IF('ENCUESTA CONDUCTORES'!R383="X",1,0)</f>
        <v>0</v>
      </c>
      <c r="Q383" s="15">
        <f>IF('ENCUESTA CONDUCTORES'!S383="X",1,0)</f>
        <v>1</v>
      </c>
      <c r="R383" s="15">
        <f>IF('ENCUESTA CONDUCTORES'!T383="X",1,0)</f>
        <v>0</v>
      </c>
      <c r="S383" s="15">
        <f>IF('ENCUESTA CONDUCTORES'!U383="X",1,0)</f>
        <v>0</v>
      </c>
      <c r="T383" s="15">
        <f>IF('ENCUESTA CONDUCTORES'!V383="X",1,0)</f>
        <v>0</v>
      </c>
      <c r="U383" s="15">
        <f>IF('ENCUESTA CONDUCTORES'!W383="X",1,0)</f>
        <v>0</v>
      </c>
      <c r="V383" s="15">
        <f>IF('ENCUESTA CONDUCTORES'!X383="X",1,0)</f>
        <v>0</v>
      </c>
      <c r="W383" s="15">
        <f>IF('ENCUESTA CONDUCTORES'!Y383="X",1,0)</f>
        <v>0</v>
      </c>
      <c r="X383" s="15">
        <f>IF('ENCUESTA CONDUCTORES'!Z383="X",1,0)</f>
        <v>0</v>
      </c>
      <c r="Y383" s="15">
        <f>+'ENCUESTA CONDUCTORES'!AG383</f>
        <v>0</v>
      </c>
      <c r="Z383" s="15">
        <f>+'ENCUESTA CONDUCTORES'!AH383</f>
        <v>2002</v>
      </c>
      <c r="AA383" s="1">
        <f>+'ENCUESTA CONDUCTORES'!AI383</f>
        <v>883710</v>
      </c>
      <c r="AB383" s="15">
        <f>IF('ENCUESTA CONDUCTORES'!AJ383="X",1,0)</f>
        <v>0</v>
      </c>
      <c r="AC383" s="15">
        <f>IF('ENCUESTA CONDUCTORES'!AK383="X",1,0)</f>
        <v>0</v>
      </c>
      <c r="AD383" s="15">
        <f>IF('ENCUESTA CONDUCTORES'!AL383="X",1,0)</f>
        <v>1</v>
      </c>
      <c r="AE383" s="15">
        <f>IF('ENCUESTA CONDUCTORES'!AM383="X",1,0)</f>
        <v>0</v>
      </c>
      <c r="AF383" s="15">
        <f>IF('ENCUESTA CONDUCTORES'!AN383="X",1,0)</f>
        <v>0</v>
      </c>
      <c r="AG383" s="15">
        <f>IF('ENCUESTA CONDUCTORES'!AO383="X",1,0)</f>
        <v>0</v>
      </c>
      <c r="AH383" s="15">
        <f>IF('ENCUESTA CONDUCTORES'!AP383="X",1,0)</f>
        <v>1</v>
      </c>
      <c r="AI383" s="15">
        <f>IF('ENCUESTA CONDUCTORES'!AQ383="X",1,0)</f>
        <v>0</v>
      </c>
      <c r="AJ383" s="15">
        <f>IF('ENCUESTA CONDUCTORES'!AR383="X",1,0)</f>
        <v>0</v>
      </c>
      <c r="AK383" s="15">
        <f>+'ENCUESTA CONDUCTORES'!AS383</f>
        <v>0</v>
      </c>
      <c r="AL383" s="15" t="str">
        <f>+'ENCUESTA CONDUCTORES'!AT383</f>
        <v>DETROIT</v>
      </c>
      <c r="AM383" s="1">
        <f>+'ENCUESTA CONDUCTORES'!AU383</f>
        <v>7000</v>
      </c>
      <c r="AN383" s="48">
        <f>+'ENCUESTA CONDUCTORES'!AV383</f>
        <v>0.1</v>
      </c>
      <c r="AO383" s="15">
        <f>+'ENCUESTA CONDUCTORES'!AW383</f>
        <v>2.8</v>
      </c>
      <c r="AP383" s="15">
        <f>+'ENCUESTA CONDUCTORES'!AX383</f>
        <v>2.2999999999999998</v>
      </c>
      <c r="AQ383" s="15">
        <f>+'ENCUESTA CONDUCTORES'!AY383</f>
        <v>2</v>
      </c>
      <c r="AR383" s="15">
        <f>+'ENCUESTA CONDUCTORES'!AZ383</f>
        <v>800</v>
      </c>
      <c r="AS383" s="15">
        <f>+'ENCUESTA CONDUCTORES'!BA383</f>
        <v>2000</v>
      </c>
      <c r="AT383" s="15">
        <f>IF('ENCUESTA CONDUCTORES'!BB383="X",1,0)</f>
        <v>1</v>
      </c>
      <c r="AU383" s="15">
        <f>IF('ENCUESTA CONDUCTORES'!BC383="X",1,0)</f>
        <v>0</v>
      </c>
      <c r="AV383" s="15">
        <f>IF('ENCUESTA CONDUCTORES'!BD383="X",1,0)</f>
        <v>0</v>
      </c>
      <c r="AW383" s="1">
        <f>+'ENCUESTA CONDUCTORES'!BE383</f>
        <v>24000</v>
      </c>
      <c r="AX383" s="1">
        <f>+'ENCUESTA CONDUCTORES'!BF383</f>
        <v>160000</v>
      </c>
      <c r="AY383" s="1">
        <f>+'ENCUESTA CONDUCTORES'!BG383</f>
        <v>24000</v>
      </c>
      <c r="AZ383" s="1">
        <f>+'ENCUESTA CONDUCTORES'!BH383</f>
        <v>160000</v>
      </c>
      <c r="BA383" s="1" t="str">
        <f>+'ENCUESTA CONDUCTORES'!BI383</f>
        <v>NO SABE</v>
      </c>
      <c r="BB383" s="15">
        <f>IF('ENCUESTA CONDUCTORES'!BJ383="X",1,0)</f>
        <v>1</v>
      </c>
      <c r="BC383" s="15">
        <f>IF('ENCUESTA CONDUCTORES'!BK383="X",1,0)</f>
        <v>0</v>
      </c>
      <c r="BD383" s="15">
        <f>IF('ENCUESTA CONDUCTORES'!BL383="X",1,0)</f>
        <v>0</v>
      </c>
      <c r="BE383" s="15">
        <f>IF('ENCUESTA CONDUCTORES'!BM383="X",1,0)</f>
        <v>0</v>
      </c>
      <c r="BF383" s="15">
        <f>IF('ENCUESTA CONDUCTORES'!BN383="X",1,0)</f>
        <v>0</v>
      </c>
      <c r="BG383" s="15">
        <f>IF('ENCUESTA CONDUCTORES'!BO383="X",1,0)</f>
        <v>1</v>
      </c>
      <c r="BH383" s="15">
        <f>IF('ENCUESTA CONDUCTORES'!BP383="X",1,0)</f>
        <v>0</v>
      </c>
      <c r="BI383" s="15">
        <f>IF('ENCUESTA CONDUCTORES'!BQ383="X",1,0)</f>
        <v>0</v>
      </c>
      <c r="BJ383" s="15">
        <f>IF('ENCUESTA CONDUCTORES'!BR383="X",1,0)</f>
        <v>0</v>
      </c>
      <c r="BK383" s="15">
        <f>+'ENCUESTA CONDUCTORES'!BS383</f>
        <v>0</v>
      </c>
      <c r="BL383" s="15">
        <f>IF('ENCUESTA CONDUCTORES'!BT383="X",1,0)</f>
        <v>0</v>
      </c>
      <c r="BM383" s="15">
        <f>IF('ENCUESTA CONDUCTORES'!BU383="X",1,0)</f>
        <v>0</v>
      </c>
      <c r="BN383" s="15">
        <f>IF('ENCUESTA CONDUCTORES'!BV383="X",1,0)</f>
        <v>1</v>
      </c>
      <c r="BO383" s="15">
        <f>IF('ENCUESTA CONDUCTORES'!BW383="X",1,0)</f>
        <v>0</v>
      </c>
      <c r="BP383" s="15">
        <f>+'ENCUESTA CONDUCTORES'!BX383</f>
        <v>1</v>
      </c>
      <c r="BQ383" s="15">
        <f>+'ENCUESTA CONDUCTORES'!BY383</f>
        <v>3</v>
      </c>
      <c r="BR383" s="15">
        <f>+'ENCUESTA CONDUCTORES'!BZ383</f>
        <v>2</v>
      </c>
      <c r="BS383" s="15">
        <f>+'ENCUESTA CONDUCTORES'!CA383</f>
        <v>0</v>
      </c>
      <c r="BT383" s="15">
        <f>IF('ENCUESTA CONDUCTORES'!CB383="X",1,0)</f>
        <v>1</v>
      </c>
      <c r="BU383" s="15">
        <f>IF('ENCUESTA CONDUCTORES'!CC383="X",1,0)</f>
        <v>0</v>
      </c>
      <c r="BV383" s="15">
        <f>IF('ENCUESTA CONDUCTORES'!CD383="X",1,0)</f>
        <v>0</v>
      </c>
      <c r="BW383" s="15">
        <f>IF('ENCUESTA CONDUCTORES'!CE383="X",1,0)</f>
        <v>0</v>
      </c>
      <c r="BX383" s="15">
        <f>IF('ENCUESTA CONDUCTORES'!CF383="X",1,0)</f>
        <v>0</v>
      </c>
      <c r="BY383" s="15">
        <f>IF('ENCUESTA CONDUCTORES'!CG383="X",1,0)</f>
        <v>0</v>
      </c>
      <c r="BZ383" s="15">
        <f>IF('ENCUESTA CONDUCTORES'!CH383="X",1,0)</f>
        <v>0</v>
      </c>
      <c r="CA383" s="15">
        <f>IF('ENCUESTA CONDUCTORES'!CI383="X",1,0)</f>
        <v>0</v>
      </c>
      <c r="CB383" s="15">
        <f>IF('ENCUESTA CONDUCTORES'!CJ383="X",1,0)</f>
        <v>0</v>
      </c>
      <c r="CC383" s="15">
        <f>IF('ENCUESTA CONDUCTORES'!CK383="X",1,0)</f>
        <v>1</v>
      </c>
      <c r="CD383" s="15">
        <f>IF('ENCUESTA CONDUCTORES'!CL383="X",1,0)</f>
        <v>0</v>
      </c>
      <c r="CE383" s="15">
        <f>IF('ENCUESTA CONDUCTORES'!CM383="X",1,0)</f>
        <v>0</v>
      </c>
      <c r="CF383" s="15">
        <f>+'ENCUESTA CONDUCTORES'!CN383</f>
        <v>0</v>
      </c>
      <c r="CG383" s="15">
        <f>IF('ENCUESTA CONDUCTORES'!CO383="X",1,0)</f>
        <v>0</v>
      </c>
      <c r="CH383" s="15" t="str">
        <f>+'ENCUESTA CONDUCTORES'!CP383</f>
        <v>NO SABE</v>
      </c>
      <c r="CI383" s="15" t="str">
        <f>+'ENCUESTA CONDUCTORES'!CQ383</f>
        <v>NO SABE</v>
      </c>
      <c r="CJ383" s="15">
        <f>IF('ENCUESTA CONDUCTORES'!CR383="X",1,0)</f>
        <v>1</v>
      </c>
      <c r="CK383" s="15">
        <f>IF('ENCUESTA CONDUCTORES'!CS383="X",1,0)</f>
        <v>0</v>
      </c>
      <c r="CL383" s="15">
        <f>IF('ENCUESTA CONDUCTORES'!CT383="X",1,0)</f>
        <v>0</v>
      </c>
      <c r="CM383" s="15">
        <f>+'ENCUESTA CONDUCTORES'!CU383</f>
        <v>0</v>
      </c>
      <c r="CN383" s="15">
        <f>IF('ENCUESTA CONDUCTORES'!CV383="X",1,0)</f>
        <v>0</v>
      </c>
      <c r="CO383" s="15">
        <f>+'ENCUESTA CONDUCTORES'!CW383</f>
        <v>0</v>
      </c>
      <c r="CP383" s="15">
        <f>IF('ENCUESTA CONDUCTORES'!CX383="X",1,0)</f>
        <v>1</v>
      </c>
      <c r="CQ383" s="15">
        <f>IF('ENCUESTA CONDUCTORES'!CY383="X",1,0)</f>
        <v>1</v>
      </c>
      <c r="CR383" s="3">
        <f>+'ENCUESTA CONDUCTORES'!CZ383</f>
        <v>0</v>
      </c>
      <c r="CS383" s="49">
        <f>+'ENCUESTA CONDUCTORES'!DA383</f>
        <v>0</v>
      </c>
    </row>
    <row r="384" spans="2:97" x14ac:dyDescent="0.25">
      <c r="B384" s="14" t="str">
        <f>+'ENCUESTA CONDUCTORES'!D384</f>
        <v>C-395</v>
      </c>
      <c r="C384" s="15">
        <f>IF('ENCUESTA CONDUCTORES'!E384="X",1,0)</f>
        <v>1</v>
      </c>
      <c r="D384" s="15">
        <f>IF('ENCUESTA CONDUCTORES'!F384="X",1,0)</f>
        <v>0</v>
      </c>
      <c r="E384" s="15">
        <f>IF('ENCUESTA CONDUCTORES'!G384="X",1,0)</f>
        <v>0</v>
      </c>
      <c r="F384" s="15">
        <f>IF('ENCUESTA CONDUCTORES'!H384="X",1,0)</f>
        <v>0</v>
      </c>
      <c r="G384" s="15">
        <f>+'ENCUESTA CONDUCTORES'!I384</f>
        <v>48</v>
      </c>
      <c r="H384" s="15" t="str">
        <f>+'ENCUESTA CONDUCTORES'!J384</f>
        <v>M</v>
      </c>
      <c r="I384" s="15" t="str">
        <f>+'ENCUESTA CONDUCTORES'!K384</f>
        <v>SECUNDARIA</v>
      </c>
      <c r="J384" s="15" t="str">
        <f>+'ENCUESTA CONDUCTORES'!L384</f>
        <v>VERACRUZ, VER.</v>
      </c>
      <c r="K384" s="15" t="str">
        <f>+'ENCUESTA CONDUCTORES'!M384</f>
        <v>VERACRUZ</v>
      </c>
      <c r="L384" s="15" t="str">
        <f>+'ENCUESTA CONDUCTORES'!N384</f>
        <v>VERACRUZ</v>
      </c>
      <c r="M384" s="15">
        <f>+'ENCUESTA CONDUCTORES'!O384</f>
        <v>30</v>
      </c>
      <c r="N384" s="15">
        <f>IF('ENCUESTA CONDUCTORES'!P384="X",1,0)</f>
        <v>0</v>
      </c>
      <c r="O384" s="15">
        <f>IF('ENCUESTA CONDUCTORES'!Q384="X",1,0)</f>
        <v>0</v>
      </c>
      <c r="P384" s="15">
        <f>IF('ENCUESTA CONDUCTORES'!R384="X",1,0)</f>
        <v>0</v>
      </c>
      <c r="Q384" s="15">
        <f>IF('ENCUESTA CONDUCTORES'!S384="X",1,0)</f>
        <v>1</v>
      </c>
      <c r="R384" s="15">
        <f>IF('ENCUESTA CONDUCTORES'!T384="X",1,0)</f>
        <v>0</v>
      </c>
      <c r="S384" s="15">
        <f>IF('ENCUESTA CONDUCTORES'!U384="X",1,0)</f>
        <v>0</v>
      </c>
      <c r="T384" s="15">
        <f>IF('ENCUESTA CONDUCTORES'!V384="X",1,0)</f>
        <v>0</v>
      </c>
      <c r="U384" s="15">
        <f>IF('ENCUESTA CONDUCTORES'!W384="X",1,0)</f>
        <v>0</v>
      </c>
      <c r="V384" s="15">
        <f>IF('ENCUESTA CONDUCTORES'!X384="X",1,0)</f>
        <v>0</v>
      </c>
      <c r="W384" s="15">
        <f>IF('ENCUESTA CONDUCTORES'!Y384="X",1,0)</f>
        <v>0</v>
      </c>
      <c r="X384" s="15">
        <f>IF('ENCUESTA CONDUCTORES'!Z384="X",1,0)</f>
        <v>0</v>
      </c>
      <c r="Y384" s="15">
        <f>+'ENCUESTA CONDUCTORES'!AG384</f>
        <v>0</v>
      </c>
      <c r="Z384" s="15">
        <f>+'ENCUESTA CONDUCTORES'!AH384</f>
        <v>2000</v>
      </c>
      <c r="AA384" s="1" t="str">
        <f>+'ENCUESTA CONDUCTORES'!AI384</f>
        <v>DAÑADO</v>
      </c>
      <c r="AB384" s="15">
        <f>IF('ENCUESTA CONDUCTORES'!AJ384="X",1,0)</f>
        <v>0</v>
      </c>
      <c r="AC384" s="15">
        <f>IF('ENCUESTA CONDUCTORES'!AK384="X",1,0)</f>
        <v>0</v>
      </c>
      <c r="AD384" s="15">
        <f>IF('ENCUESTA CONDUCTORES'!AL384="X",1,0)</f>
        <v>1</v>
      </c>
      <c r="AE384" s="15">
        <f>IF('ENCUESTA CONDUCTORES'!AM384="X",1,0)</f>
        <v>0</v>
      </c>
      <c r="AF384" s="15">
        <f>IF('ENCUESTA CONDUCTORES'!AN384="X",1,0)</f>
        <v>0</v>
      </c>
      <c r="AG384" s="15">
        <f>IF('ENCUESTA CONDUCTORES'!AO384="X",1,0)</f>
        <v>1</v>
      </c>
      <c r="AH384" s="15">
        <f>IF('ENCUESTA CONDUCTORES'!AP384="X",1,0)</f>
        <v>0</v>
      </c>
      <c r="AI384" s="15">
        <f>IF('ENCUESTA CONDUCTORES'!AQ384="X",1,0)</f>
        <v>0</v>
      </c>
      <c r="AJ384" s="15">
        <f>IF('ENCUESTA CONDUCTORES'!AR384="X",1,0)</f>
        <v>0</v>
      </c>
      <c r="AK384" s="15">
        <f>+'ENCUESTA CONDUCTORES'!AS384</f>
        <v>0</v>
      </c>
      <c r="AL384" s="15" t="str">
        <f>+'ENCUESTA CONDUCTORES'!AT384</f>
        <v>CUMMINS</v>
      </c>
      <c r="AM384" s="1">
        <f>+'ENCUESTA CONDUCTORES'!AU384</f>
        <v>6000</v>
      </c>
      <c r="AN384" s="48">
        <f>+'ENCUESTA CONDUCTORES'!AV384</f>
        <v>0.05</v>
      </c>
      <c r="AO384" s="15">
        <f>+'ENCUESTA CONDUCTORES'!AW384</f>
        <v>2.6</v>
      </c>
      <c r="AP384" s="15">
        <f>+'ENCUESTA CONDUCTORES'!AX384</f>
        <v>2.4</v>
      </c>
      <c r="AQ384" s="15">
        <f>+'ENCUESTA CONDUCTORES'!AY384</f>
        <v>2</v>
      </c>
      <c r="AR384" s="15">
        <f>+'ENCUESTA CONDUCTORES'!AZ384</f>
        <v>960</v>
      </c>
      <c r="AS384" s="15">
        <f>+'ENCUESTA CONDUCTORES'!BA384</f>
        <v>2400</v>
      </c>
      <c r="AT384" s="15">
        <f>IF('ENCUESTA CONDUCTORES'!BB384="X",1,0)</f>
        <v>1</v>
      </c>
      <c r="AU384" s="15">
        <f>IF('ENCUESTA CONDUCTORES'!BC384="X",1,0)</f>
        <v>0</v>
      </c>
      <c r="AV384" s="15">
        <f>IF('ENCUESTA CONDUCTORES'!BD384="X",1,0)</f>
        <v>0</v>
      </c>
      <c r="AW384" s="1">
        <f>+'ENCUESTA CONDUCTORES'!BE384</f>
        <v>15000</v>
      </c>
      <c r="AX384" s="1">
        <f>+'ENCUESTA CONDUCTORES'!BF384</f>
        <v>180000</v>
      </c>
      <c r="AY384" s="1">
        <f>+'ENCUESTA CONDUCTORES'!BG384</f>
        <v>30000</v>
      </c>
      <c r="AZ384" s="1">
        <f>+'ENCUESTA CONDUCTORES'!BH384</f>
        <v>100000</v>
      </c>
      <c r="BA384" s="1" t="str">
        <f>+'ENCUESTA CONDUCTORES'!BI384</f>
        <v>NO SABE</v>
      </c>
      <c r="BB384" s="15">
        <f>IF('ENCUESTA CONDUCTORES'!BJ384="X",1,0)</f>
        <v>1</v>
      </c>
      <c r="BC384" s="15">
        <f>IF('ENCUESTA CONDUCTORES'!BK384="X",1,0)</f>
        <v>1</v>
      </c>
      <c r="BD384" s="15">
        <f>IF('ENCUESTA CONDUCTORES'!BL384="X",1,0)</f>
        <v>0</v>
      </c>
      <c r="BE384" s="15">
        <f>IF('ENCUESTA CONDUCTORES'!BM384="X",1,0)</f>
        <v>1</v>
      </c>
      <c r="BF384" s="15">
        <f>IF('ENCUESTA CONDUCTORES'!BN384="X",1,0)</f>
        <v>0</v>
      </c>
      <c r="BG384" s="15">
        <f>IF('ENCUESTA CONDUCTORES'!BO384="X",1,0)</f>
        <v>1</v>
      </c>
      <c r="BH384" s="15">
        <f>IF('ENCUESTA CONDUCTORES'!BP384="X",1,0)</f>
        <v>0</v>
      </c>
      <c r="BI384" s="15">
        <f>IF('ENCUESTA CONDUCTORES'!BQ384="X",1,0)</f>
        <v>0</v>
      </c>
      <c r="BJ384" s="15">
        <f>IF('ENCUESTA CONDUCTORES'!BR384="X",1,0)</f>
        <v>0</v>
      </c>
      <c r="BK384" s="15">
        <f>+'ENCUESTA CONDUCTORES'!BS384</f>
        <v>0</v>
      </c>
      <c r="BL384" s="15">
        <f>IF('ENCUESTA CONDUCTORES'!BT384="X",1,0)</f>
        <v>0</v>
      </c>
      <c r="BM384" s="15">
        <f>IF('ENCUESTA CONDUCTORES'!BU384="X",1,0)</f>
        <v>0</v>
      </c>
      <c r="BN384" s="15">
        <f>IF('ENCUESTA CONDUCTORES'!BV384="X",1,0)</f>
        <v>1</v>
      </c>
      <c r="BO384" s="15">
        <f>IF('ENCUESTA CONDUCTORES'!BW384="X",1,0)</f>
        <v>0</v>
      </c>
      <c r="BP384" s="15">
        <f>+'ENCUESTA CONDUCTORES'!BX384</f>
        <v>2</v>
      </c>
      <c r="BQ384" s="15">
        <f>+'ENCUESTA CONDUCTORES'!BY384</f>
        <v>1</v>
      </c>
      <c r="BR384" s="15">
        <f>+'ENCUESTA CONDUCTORES'!BZ384</f>
        <v>3</v>
      </c>
      <c r="BS384" s="15">
        <f>+'ENCUESTA CONDUCTORES'!CA384</f>
        <v>0</v>
      </c>
      <c r="BT384" s="15">
        <f>IF('ENCUESTA CONDUCTORES'!CB384="X",1,0)</f>
        <v>1</v>
      </c>
      <c r="BU384" s="15">
        <f>IF('ENCUESTA CONDUCTORES'!CC384="X",1,0)</f>
        <v>0</v>
      </c>
      <c r="BV384" s="15">
        <f>IF('ENCUESTA CONDUCTORES'!CD384="X",1,0)</f>
        <v>0</v>
      </c>
      <c r="BW384" s="15">
        <f>IF('ENCUESTA CONDUCTORES'!CE384="X",1,0)</f>
        <v>0</v>
      </c>
      <c r="BX384" s="15">
        <f>IF('ENCUESTA CONDUCTORES'!CF384="X",1,0)</f>
        <v>0</v>
      </c>
      <c r="BY384" s="15">
        <f>IF('ENCUESTA CONDUCTORES'!CG384="X",1,0)</f>
        <v>0</v>
      </c>
      <c r="BZ384" s="15">
        <f>IF('ENCUESTA CONDUCTORES'!CH384="X",1,0)</f>
        <v>0</v>
      </c>
      <c r="CA384" s="15">
        <f>IF('ENCUESTA CONDUCTORES'!CI384="X",1,0)</f>
        <v>0</v>
      </c>
      <c r="CB384" s="15">
        <f>IF('ENCUESTA CONDUCTORES'!CJ384="X",1,0)</f>
        <v>0</v>
      </c>
      <c r="CC384" s="15">
        <f>IF('ENCUESTA CONDUCTORES'!CK384="X",1,0)</f>
        <v>1</v>
      </c>
      <c r="CD384" s="15">
        <f>IF('ENCUESTA CONDUCTORES'!CL384="X",1,0)</f>
        <v>0</v>
      </c>
      <c r="CE384" s="15">
        <f>IF('ENCUESTA CONDUCTORES'!CM384="X",1,0)</f>
        <v>0</v>
      </c>
      <c r="CF384" s="15">
        <f>+'ENCUESTA CONDUCTORES'!CN384</f>
        <v>0</v>
      </c>
      <c r="CG384" s="15">
        <f>IF('ENCUESTA CONDUCTORES'!CO384="X",1,0)</f>
        <v>0</v>
      </c>
      <c r="CH384" s="15" t="str">
        <f>+'ENCUESTA CONDUCTORES'!CP384</f>
        <v>NO SABE</v>
      </c>
      <c r="CI384" s="15" t="str">
        <f>+'ENCUESTA CONDUCTORES'!CQ384</f>
        <v>NO SABE</v>
      </c>
      <c r="CJ384" s="15">
        <f>IF('ENCUESTA CONDUCTORES'!CR384="X",1,0)</f>
        <v>1</v>
      </c>
      <c r="CK384" s="15">
        <f>IF('ENCUESTA CONDUCTORES'!CS384="X",1,0)</f>
        <v>0</v>
      </c>
      <c r="CL384" s="15">
        <f>IF('ENCUESTA CONDUCTORES'!CT384="X",1,0)</f>
        <v>0</v>
      </c>
      <c r="CM384" s="15">
        <f>+'ENCUESTA CONDUCTORES'!CU384</f>
        <v>0</v>
      </c>
      <c r="CN384" s="15">
        <f>IF('ENCUESTA CONDUCTORES'!CV384="X",1,0)</f>
        <v>0</v>
      </c>
      <c r="CO384" s="15">
        <f>+'ENCUESTA CONDUCTORES'!CW384</f>
        <v>0</v>
      </c>
      <c r="CP384" s="15">
        <f>IF('ENCUESTA CONDUCTORES'!CX384="X",1,0)</f>
        <v>1</v>
      </c>
      <c r="CQ384" s="15">
        <f>IF('ENCUESTA CONDUCTORES'!CY384="X",1,0)</f>
        <v>1</v>
      </c>
      <c r="CR384" s="3">
        <f>+'ENCUESTA CONDUCTORES'!CZ384</f>
        <v>0</v>
      </c>
      <c r="CS384" s="49">
        <f>+'ENCUESTA CONDUCTORES'!DA384</f>
        <v>0</v>
      </c>
    </row>
    <row r="385" spans="1:97" x14ac:dyDescent="0.25">
      <c r="B385" s="14" t="str">
        <f>+'ENCUESTA CONDUCTORES'!D385</f>
        <v>C-396</v>
      </c>
      <c r="C385" s="15">
        <f>IF('ENCUESTA CONDUCTORES'!E385="X",1,0)</f>
        <v>0</v>
      </c>
      <c r="D385" s="15">
        <f>IF('ENCUESTA CONDUCTORES'!F385="X",1,0)</f>
        <v>0</v>
      </c>
      <c r="E385" s="15">
        <f>IF('ENCUESTA CONDUCTORES'!G385="X",1,0)</f>
        <v>1</v>
      </c>
      <c r="F385" s="15">
        <f>IF('ENCUESTA CONDUCTORES'!H385="X",1,0)</f>
        <v>0</v>
      </c>
      <c r="G385" s="15">
        <f>+'ENCUESTA CONDUCTORES'!I385</f>
        <v>33</v>
      </c>
      <c r="H385" s="15" t="str">
        <f>+'ENCUESTA CONDUCTORES'!J385</f>
        <v>M</v>
      </c>
      <c r="I385" s="15" t="str">
        <f>+'ENCUESTA CONDUCTORES'!K385</f>
        <v>SECUNDARIA</v>
      </c>
      <c r="J385" s="15" t="str">
        <f>+'ENCUESTA CONDUCTORES'!L385</f>
        <v>TULANCINGO, HGO</v>
      </c>
      <c r="K385" s="15" t="str">
        <f>+'ENCUESTA CONDUCTORES'!M385</f>
        <v>TULANCINGO</v>
      </c>
      <c r="L385" s="15" t="str">
        <f>+'ENCUESTA CONDUCTORES'!N385</f>
        <v>HIDALGO</v>
      </c>
      <c r="M385" s="15">
        <f>+'ENCUESTA CONDUCTORES'!O385</f>
        <v>14</v>
      </c>
      <c r="N385" s="15">
        <f>IF('ENCUESTA CONDUCTORES'!P385="X",1,0)</f>
        <v>0</v>
      </c>
      <c r="O385" s="15">
        <f>IF('ENCUESTA CONDUCTORES'!Q385="X",1,0)</f>
        <v>0</v>
      </c>
      <c r="P385" s="15">
        <f>IF('ENCUESTA CONDUCTORES'!R385="X",1,0)</f>
        <v>0</v>
      </c>
      <c r="Q385" s="15">
        <f>IF('ENCUESTA CONDUCTORES'!S385="X",1,0)</f>
        <v>1</v>
      </c>
      <c r="R385" s="15">
        <f>IF('ENCUESTA CONDUCTORES'!T385="X",1,0)</f>
        <v>0</v>
      </c>
      <c r="S385" s="15">
        <f>IF('ENCUESTA CONDUCTORES'!U385="X",1,0)</f>
        <v>1</v>
      </c>
      <c r="T385" s="15">
        <f>IF('ENCUESTA CONDUCTORES'!V385="X",1,0)</f>
        <v>0</v>
      </c>
      <c r="U385" s="15">
        <f>IF('ENCUESTA CONDUCTORES'!W385="X",1,0)</f>
        <v>0</v>
      </c>
      <c r="V385" s="15">
        <f>IF('ENCUESTA CONDUCTORES'!X385="X",1,0)</f>
        <v>0</v>
      </c>
      <c r="W385" s="15">
        <f>IF('ENCUESTA CONDUCTORES'!Y385="X",1,0)</f>
        <v>0</v>
      </c>
      <c r="X385" s="15">
        <f>IF('ENCUESTA CONDUCTORES'!Z385="X",1,0)</f>
        <v>0</v>
      </c>
      <c r="Y385" s="15">
        <f>+'ENCUESTA CONDUCTORES'!AG385</f>
        <v>0</v>
      </c>
      <c r="Z385" s="15">
        <f>+'ENCUESTA CONDUCTORES'!AH385</f>
        <v>2004</v>
      </c>
      <c r="AA385" s="1">
        <f>+'ENCUESTA CONDUCTORES'!AI385</f>
        <v>651023</v>
      </c>
      <c r="AB385" s="15">
        <f>IF('ENCUESTA CONDUCTORES'!AJ385="X",1,0)</f>
        <v>0</v>
      </c>
      <c r="AC385" s="15">
        <f>IF('ENCUESTA CONDUCTORES'!AK385="X",1,0)</f>
        <v>0</v>
      </c>
      <c r="AD385" s="15">
        <f>IF('ENCUESTA CONDUCTORES'!AL385="X",1,0)</f>
        <v>1</v>
      </c>
      <c r="AE385" s="15">
        <f>IF('ENCUESTA CONDUCTORES'!AM385="X",1,0)</f>
        <v>0</v>
      </c>
      <c r="AF385" s="15">
        <f>IF('ENCUESTA CONDUCTORES'!AN385="X",1,0)</f>
        <v>0</v>
      </c>
      <c r="AG385" s="15">
        <f>IF('ENCUESTA CONDUCTORES'!AO385="X",1,0)</f>
        <v>0</v>
      </c>
      <c r="AH385" s="15">
        <f>IF('ENCUESTA CONDUCTORES'!AP385="X",1,0)</f>
        <v>1</v>
      </c>
      <c r="AI385" s="15">
        <f>IF('ENCUESTA CONDUCTORES'!AQ385="X",1,0)</f>
        <v>0</v>
      </c>
      <c r="AJ385" s="15">
        <f>IF('ENCUESTA CONDUCTORES'!AR385="X",1,0)</f>
        <v>0</v>
      </c>
      <c r="AK385" s="15">
        <f>+'ENCUESTA CONDUCTORES'!AS385</f>
        <v>0</v>
      </c>
      <c r="AL385" s="15" t="str">
        <f>+'ENCUESTA CONDUCTORES'!AT385</f>
        <v>DETROIT</v>
      </c>
      <c r="AM385" s="1">
        <f>+'ENCUESTA CONDUCTORES'!AU385</f>
        <v>6000</v>
      </c>
      <c r="AN385" s="48">
        <f>+'ENCUESTA CONDUCTORES'!AV385</f>
        <v>0.5</v>
      </c>
      <c r="AO385" s="15">
        <f>+'ENCUESTA CONDUCTORES'!AW385</f>
        <v>2.7</v>
      </c>
      <c r="AP385" s="15">
        <f>+'ENCUESTA CONDUCTORES'!AX385</f>
        <v>2.5</v>
      </c>
      <c r="AQ385" s="15">
        <f>+'ENCUESTA CONDUCTORES'!AY385</f>
        <v>2</v>
      </c>
      <c r="AR385" s="15">
        <f>+'ENCUESTA CONDUCTORES'!AZ385</f>
        <v>770</v>
      </c>
      <c r="AS385" s="15">
        <f>+'ENCUESTA CONDUCTORES'!BA385</f>
        <v>2000</v>
      </c>
      <c r="AT385" s="15">
        <f>IF('ENCUESTA CONDUCTORES'!BB385="X",1,0)</f>
        <v>1</v>
      </c>
      <c r="AU385" s="15">
        <f>IF('ENCUESTA CONDUCTORES'!BC385="X",1,0)</f>
        <v>0</v>
      </c>
      <c r="AV385" s="15">
        <f>IF('ENCUESTA CONDUCTORES'!BD385="X",1,0)</f>
        <v>0</v>
      </c>
      <c r="AW385" s="1">
        <f>+'ENCUESTA CONDUCTORES'!BE385</f>
        <v>18000</v>
      </c>
      <c r="AX385" s="1">
        <f>+'ENCUESTA CONDUCTORES'!BF385</f>
        <v>180000</v>
      </c>
      <c r="AY385" s="1">
        <f>+'ENCUESTA CONDUCTORES'!BG385</f>
        <v>30000</v>
      </c>
      <c r="AZ385" s="1">
        <f>+'ENCUESTA CONDUCTORES'!BH385</f>
        <v>100000</v>
      </c>
      <c r="BA385" s="1" t="str">
        <f>+'ENCUESTA CONDUCTORES'!BI385</f>
        <v>NO SABE</v>
      </c>
      <c r="BB385" s="15">
        <f>IF('ENCUESTA CONDUCTORES'!BJ385="X",1,0)</f>
        <v>0</v>
      </c>
      <c r="BC385" s="15">
        <f>IF('ENCUESTA CONDUCTORES'!BK385="X",1,0)</f>
        <v>1</v>
      </c>
      <c r="BD385" s="15">
        <f>IF('ENCUESTA CONDUCTORES'!BL385="X",1,0)</f>
        <v>0</v>
      </c>
      <c r="BE385" s="15">
        <f>IF('ENCUESTA CONDUCTORES'!BM385="X",1,0)</f>
        <v>0</v>
      </c>
      <c r="BF385" s="15">
        <f>IF('ENCUESTA CONDUCTORES'!BN385="X",1,0)</f>
        <v>1</v>
      </c>
      <c r="BG385" s="15">
        <f>IF('ENCUESTA CONDUCTORES'!BO385="X",1,0)</f>
        <v>0</v>
      </c>
      <c r="BH385" s="15">
        <f>IF('ENCUESTA CONDUCTORES'!BP385="X",1,0)</f>
        <v>0</v>
      </c>
      <c r="BI385" s="15">
        <f>IF('ENCUESTA CONDUCTORES'!BQ385="X",1,0)</f>
        <v>0</v>
      </c>
      <c r="BJ385" s="15">
        <f>IF('ENCUESTA CONDUCTORES'!BR385="X",1,0)</f>
        <v>0</v>
      </c>
      <c r="BK385" s="15">
        <f>+'ENCUESTA CONDUCTORES'!BS385</f>
        <v>0</v>
      </c>
      <c r="BL385" s="15">
        <f>IF('ENCUESTA CONDUCTORES'!BT385="X",1,0)</f>
        <v>0</v>
      </c>
      <c r="BM385" s="15">
        <f>IF('ENCUESTA CONDUCTORES'!BU385="X",1,0)</f>
        <v>0</v>
      </c>
      <c r="BN385" s="15">
        <f>IF('ENCUESTA CONDUCTORES'!BV385="X",1,0)</f>
        <v>1</v>
      </c>
      <c r="BO385" s="15">
        <f>IF('ENCUESTA CONDUCTORES'!BW385="X",1,0)</f>
        <v>0</v>
      </c>
      <c r="BP385" s="15">
        <f>+'ENCUESTA CONDUCTORES'!BX385</f>
        <v>1</v>
      </c>
      <c r="BQ385" s="15">
        <f>+'ENCUESTA CONDUCTORES'!BY385</f>
        <v>3</v>
      </c>
      <c r="BR385" s="15">
        <f>+'ENCUESTA CONDUCTORES'!BZ385</f>
        <v>2</v>
      </c>
      <c r="BS385" s="15">
        <f>+'ENCUESTA CONDUCTORES'!CA385</f>
        <v>0</v>
      </c>
      <c r="BT385" s="15">
        <f>IF('ENCUESTA CONDUCTORES'!CB385="X",1,0)</f>
        <v>1</v>
      </c>
      <c r="BU385" s="15">
        <f>IF('ENCUESTA CONDUCTORES'!CC385="X",1,0)</f>
        <v>0</v>
      </c>
      <c r="BV385" s="15">
        <f>IF('ENCUESTA CONDUCTORES'!CD385="X",1,0)</f>
        <v>0</v>
      </c>
      <c r="BW385" s="15">
        <f>IF('ENCUESTA CONDUCTORES'!CE385="X",1,0)</f>
        <v>0</v>
      </c>
      <c r="BX385" s="15">
        <f>IF('ENCUESTA CONDUCTORES'!CF385="X",1,0)</f>
        <v>0</v>
      </c>
      <c r="BY385" s="15">
        <f>IF('ENCUESTA CONDUCTORES'!CG385="X",1,0)</f>
        <v>0</v>
      </c>
      <c r="BZ385" s="15">
        <f>IF('ENCUESTA CONDUCTORES'!CH385="X",1,0)</f>
        <v>0</v>
      </c>
      <c r="CA385" s="15">
        <f>IF('ENCUESTA CONDUCTORES'!CI385="X",1,0)</f>
        <v>0</v>
      </c>
      <c r="CB385" s="15">
        <f>IF('ENCUESTA CONDUCTORES'!CJ385="X",1,0)</f>
        <v>0</v>
      </c>
      <c r="CC385" s="15">
        <f>IF('ENCUESTA CONDUCTORES'!CK385="X",1,0)</f>
        <v>1</v>
      </c>
      <c r="CD385" s="15">
        <f>IF('ENCUESTA CONDUCTORES'!CL385="X",1,0)</f>
        <v>0</v>
      </c>
      <c r="CE385" s="15">
        <f>IF('ENCUESTA CONDUCTORES'!CM385="X",1,0)</f>
        <v>0</v>
      </c>
      <c r="CF385" s="15">
        <f>+'ENCUESTA CONDUCTORES'!CN385</f>
        <v>0</v>
      </c>
      <c r="CG385" s="15">
        <f>IF('ENCUESTA CONDUCTORES'!CO385="X",1,0)</f>
        <v>0</v>
      </c>
      <c r="CH385" s="15" t="str">
        <f>+'ENCUESTA CONDUCTORES'!CP385</f>
        <v>NO SABE</v>
      </c>
      <c r="CI385" s="15" t="str">
        <f>+'ENCUESTA CONDUCTORES'!CQ385</f>
        <v>NO SABE</v>
      </c>
      <c r="CJ385" s="15">
        <f>IF('ENCUESTA CONDUCTORES'!CR385="X",1,0)</f>
        <v>0</v>
      </c>
      <c r="CK385" s="15">
        <f>IF('ENCUESTA CONDUCTORES'!CS385="X",1,0)</f>
        <v>0</v>
      </c>
      <c r="CL385" s="15">
        <f>IF('ENCUESTA CONDUCTORES'!CT385="X",1,0)</f>
        <v>1</v>
      </c>
      <c r="CM385" s="15">
        <f>+'ENCUESTA CONDUCTORES'!CU385</f>
        <v>0</v>
      </c>
      <c r="CN385" s="15">
        <f>IF('ENCUESTA CONDUCTORES'!CV385="X",1,0)</f>
        <v>0</v>
      </c>
      <c r="CO385" s="15">
        <f>+'ENCUESTA CONDUCTORES'!CW385</f>
        <v>0</v>
      </c>
      <c r="CP385" s="15">
        <f>IF('ENCUESTA CONDUCTORES'!CX385="X",1,0)</f>
        <v>1</v>
      </c>
      <c r="CQ385" s="15">
        <f>IF('ENCUESTA CONDUCTORES'!CY385="X",1,0)</f>
        <v>0</v>
      </c>
      <c r="CR385" s="3">
        <f>+'ENCUESTA CONDUCTORES'!CZ385</f>
        <v>0</v>
      </c>
      <c r="CS385" s="49">
        <f>+'ENCUESTA CONDUCTORES'!DA385</f>
        <v>0</v>
      </c>
    </row>
    <row r="386" spans="1:97" x14ac:dyDescent="0.25">
      <c r="B386" s="14" t="str">
        <f>+'ENCUESTA CONDUCTORES'!D386</f>
        <v>C-397</v>
      </c>
      <c r="C386" s="15">
        <f>IF('ENCUESTA CONDUCTORES'!E386="X",1,0)</f>
        <v>0</v>
      </c>
      <c r="D386" s="15">
        <f>IF('ENCUESTA CONDUCTORES'!F386="X",1,0)</f>
        <v>0</v>
      </c>
      <c r="E386" s="15">
        <f>IF('ENCUESTA CONDUCTORES'!G386="X",1,0)</f>
        <v>0</v>
      </c>
      <c r="F386" s="15">
        <f>IF('ENCUESTA CONDUCTORES'!H386="X",1,0)</f>
        <v>1</v>
      </c>
      <c r="G386" s="15">
        <f>+'ENCUESTA CONDUCTORES'!I386</f>
        <v>32</v>
      </c>
      <c r="H386" s="15" t="str">
        <f>+'ENCUESTA CONDUCTORES'!J386</f>
        <v>M</v>
      </c>
      <c r="I386" s="15" t="str">
        <f>+'ENCUESTA CONDUCTORES'!K386</f>
        <v>PREPARATORIA</v>
      </c>
      <c r="J386" s="15" t="str">
        <f>+'ENCUESTA CONDUCTORES'!L386</f>
        <v>AGUASCALIENTES, AGS</v>
      </c>
      <c r="K386" s="15" t="str">
        <f>+'ENCUESTA CONDUCTORES'!M386</f>
        <v>AGUASCALIENTES</v>
      </c>
      <c r="L386" s="15" t="str">
        <f>+'ENCUESTA CONDUCTORES'!N386</f>
        <v>AGUASCALIENTES</v>
      </c>
      <c r="M386" s="15">
        <f>+'ENCUESTA CONDUCTORES'!O386</f>
        <v>14</v>
      </c>
      <c r="N386" s="15">
        <f>IF('ENCUESTA CONDUCTORES'!P386="X",1,0)</f>
        <v>0</v>
      </c>
      <c r="O386" s="15">
        <f>IF('ENCUESTA CONDUCTORES'!Q386="X",1,0)</f>
        <v>0</v>
      </c>
      <c r="P386" s="15">
        <f>IF('ENCUESTA CONDUCTORES'!R386="X",1,0)</f>
        <v>0</v>
      </c>
      <c r="Q386" s="15">
        <f>IF('ENCUESTA CONDUCTORES'!S386="X",1,0)</f>
        <v>1</v>
      </c>
      <c r="R386" s="15">
        <f>IF('ENCUESTA CONDUCTORES'!T386="X",1,0)</f>
        <v>0</v>
      </c>
      <c r="S386" s="15">
        <f>IF('ENCUESTA CONDUCTORES'!U386="X",1,0)</f>
        <v>0</v>
      </c>
      <c r="T386" s="15">
        <f>IF('ENCUESTA CONDUCTORES'!V386="X",1,0)</f>
        <v>1</v>
      </c>
      <c r="U386" s="15">
        <f>IF('ENCUESTA CONDUCTORES'!W386="X",1,0)</f>
        <v>0</v>
      </c>
      <c r="V386" s="15">
        <f>IF('ENCUESTA CONDUCTORES'!X386="X",1,0)</f>
        <v>0</v>
      </c>
      <c r="W386" s="15">
        <f>IF('ENCUESTA CONDUCTORES'!Y386="X",1,0)</f>
        <v>0</v>
      </c>
      <c r="X386" s="15">
        <f>IF('ENCUESTA CONDUCTORES'!Z386="X",1,0)</f>
        <v>0</v>
      </c>
      <c r="Y386" s="15">
        <f>+'ENCUESTA CONDUCTORES'!AG386</f>
        <v>0</v>
      </c>
      <c r="Z386" s="15">
        <f>+'ENCUESTA CONDUCTORES'!AH386</f>
        <v>2008</v>
      </c>
      <c r="AA386" s="1">
        <f>+'ENCUESTA CONDUCTORES'!AI386</f>
        <v>504673</v>
      </c>
      <c r="AB386" s="15">
        <f>IF('ENCUESTA CONDUCTORES'!AJ386="X",1,0)</f>
        <v>0</v>
      </c>
      <c r="AC386" s="15">
        <f>IF('ENCUESTA CONDUCTORES'!AK386="X",1,0)</f>
        <v>0</v>
      </c>
      <c r="AD386" s="15">
        <f>IF('ENCUESTA CONDUCTORES'!AL386="X",1,0)</f>
        <v>1</v>
      </c>
      <c r="AE386" s="15">
        <f>IF('ENCUESTA CONDUCTORES'!AM386="X",1,0)</f>
        <v>0</v>
      </c>
      <c r="AF386" s="15">
        <f>IF('ENCUESTA CONDUCTORES'!AN386="X",1,0)</f>
        <v>0</v>
      </c>
      <c r="AG386" s="15">
        <f>IF('ENCUESTA CONDUCTORES'!AO386="X",1,0)</f>
        <v>1</v>
      </c>
      <c r="AH386" s="15">
        <f>IF('ENCUESTA CONDUCTORES'!AP386="X",1,0)</f>
        <v>0</v>
      </c>
      <c r="AI386" s="15">
        <f>IF('ENCUESTA CONDUCTORES'!AQ386="X",1,0)</f>
        <v>0</v>
      </c>
      <c r="AJ386" s="15">
        <f>IF('ENCUESTA CONDUCTORES'!AR386="X",1,0)</f>
        <v>0</v>
      </c>
      <c r="AK386" s="15">
        <f>+'ENCUESTA CONDUCTORES'!AS386</f>
        <v>0</v>
      </c>
      <c r="AL386" s="15" t="str">
        <f>+'ENCUESTA CONDUCTORES'!AT386</f>
        <v>CUMMINS</v>
      </c>
      <c r="AM386" s="1">
        <f>+'ENCUESTA CONDUCTORES'!AU386</f>
        <v>9000</v>
      </c>
      <c r="AN386" s="48">
        <f>+'ENCUESTA CONDUCTORES'!AV386</f>
        <v>0.1</v>
      </c>
      <c r="AO386" s="15">
        <f>+'ENCUESTA CONDUCTORES'!AW386</f>
        <v>2.6</v>
      </c>
      <c r="AP386" s="15">
        <f>+'ENCUESTA CONDUCTORES'!AX386</f>
        <v>2.2999999999999998</v>
      </c>
      <c r="AQ386" s="15">
        <f>+'ENCUESTA CONDUCTORES'!AY386</f>
        <v>3</v>
      </c>
      <c r="AR386" s="15">
        <f>+'ENCUESTA CONDUCTORES'!AZ386</f>
        <v>1000</v>
      </c>
      <c r="AS386" s="15">
        <f>+'ENCUESTA CONDUCTORES'!BA386</f>
        <v>2600</v>
      </c>
      <c r="AT386" s="15">
        <f>IF('ENCUESTA CONDUCTORES'!BB386="X",1,0)</f>
        <v>1</v>
      </c>
      <c r="AU386" s="15">
        <f>IF('ENCUESTA CONDUCTORES'!BC386="X",1,0)</f>
        <v>1</v>
      </c>
      <c r="AV386" s="15">
        <f>IF('ENCUESTA CONDUCTORES'!BD386="X",1,0)</f>
        <v>0</v>
      </c>
      <c r="AW386" s="1">
        <f>+'ENCUESTA CONDUCTORES'!BE386</f>
        <v>18000</v>
      </c>
      <c r="AX386" s="1">
        <f>+'ENCUESTA CONDUCTORES'!BF386</f>
        <v>160000</v>
      </c>
      <c r="AY386" s="1">
        <f>+'ENCUESTA CONDUCTORES'!BG386</f>
        <v>22000</v>
      </c>
      <c r="AZ386" s="1">
        <f>+'ENCUESTA CONDUCTORES'!BH386</f>
        <v>120000</v>
      </c>
      <c r="BA386" s="1" t="str">
        <f>+'ENCUESTA CONDUCTORES'!BI386</f>
        <v>NO SABE</v>
      </c>
      <c r="BB386" s="15">
        <f>IF('ENCUESTA CONDUCTORES'!BJ386="X",1,0)</f>
        <v>1</v>
      </c>
      <c r="BC386" s="15">
        <f>IF('ENCUESTA CONDUCTORES'!BK386="X",1,0)</f>
        <v>1</v>
      </c>
      <c r="BD386" s="15">
        <f>IF('ENCUESTA CONDUCTORES'!BL386="X",1,0)</f>
        <v>0</v>
      </c>
      <c r="BE386" s="15">
        <f>IF('ENCUESTA CONDUCTORES'!BM386="X",1,0)</f>
        <v>0</v>
      </c>
      <c r="BF386" s="15">
        <f>IF('ENCUESTA CONDUCTORES'!BN386="X",1,0)</f>
        <v>0</v>
      </c>
      <c r="BG386" s="15">
        <f>IF('ENCUESTA CONDUCTORES'!BO386="X",1,0)</f>
        <v>0</v>
      </c>
      <c r="BH386" s="15">
        <f>IF('ENCUESTA CONDUCTORES'!BP386="X",1,0)</f>
        <v>0</v>
      </c>
      <c r="BI386" s="15">
        <f>IF('ENCUESTA CONDUCTORES'!BQ386="X",1,0)</f>
        <v>1</v>
      </c>
      <c r="BJ386" s="15">
        <f>IF('ENCUESTA CONDUCTORES'!BR386="X",1,0)</f>
        <v>0</v>
      </c>
      <c r="BK386" s="15">
        <f>+'ENCUESTA CONDUCTORES'!BS386</f>
        <v>0</v>
      </c>
      <c r="BL386" s="15">
        <f>IF('ENCUESTA CONDUCTORES'!BT386="X",1,0)</f>
        <v>0</v>
      </c>
      <c r="BM386" s="15">
        <f>IF('ENCUESTA CONDUCTORES'!BU386="X",1,0)</f>
        <v>0</v>
      </c>
      <c r="BN386" s="15">
        <f>IF('ENCUESTA CONDUCTORES'!BV386="X",1,0)</f>
        <v>1</v>
      </c>
      <c r="BO386" s="15">
        <f>IF('ENCUESTA CONDUCTORES'!BW386="X",1,0)</f>
        <v>0</v>
      </c>
      <c r="BP386" s="15">
        <f>+'ENCUESTA CONDUCTORES'!BX386</f>
        <v>1</v>
      </c>
      <c r="BQ386" s="15">
        <f>+'ENCUESTA CONDUCTORES'!BY386</f>
        <v>3</v>
      </c>
      <c r="BR386" s="15">
        <f>+'ENCUESTA CONDUCTORES'!BZ386</f>
        <v>2</v>
      </c>
      <c r="BS386" s="15">
        <f>+'ENCUESTA CONDUCTORES'!CA386</f>
        <v>0</v>
      </c>
      <c r="BT386" s="15">
        <f>IF('ENCUESTA CONDUCTORES'!CB386="X",1,0)</f>
        <v>1</v>
      </c>
      <c r="BU386" s="15">
        <f>IF('ENCUESTA CONDUCTORES'!CC386="X",1,0)</f>
        <v>0</v>
      </c>
      <c r="BV386" s="15">
        <f>IF('ENCUESTA CONDUCTORES'!CD386="X",1,0)</f>
        <v>0</v>
      </c>
      <c r="BW386" s="15">
        <f>IF('ENCUESTA CONDUCTORES'!CE386="X",1,0)</f>
        <v>0</v>
      </c>
      <c r="BX386" s="15">
        <f>IF('ENCUESTA CONDUCTORES'!CF386="X",1,0)</f>
        <v>0</v>
      </c>
      <c r="BY386" s="15">
        <f>IF('ENCUESTA CONDUCTORES'!CG386="X",1,0)</f>
        <v>0</v>
      </c>
      <c r="BZ386" s="15">
        <f>IF('ENCUESTA CONDUCTORES'!CH386="X",1,0)</f>
        <v>0</v>
      </c>
      <c r="CA386" s="15">
        <f>IF('ENCUESTA CONDUCTORES'!CI386="X",1,0)</f>
        <v>0</v>
      </c>
      <c r="CB386" s="15">
        <f>IF('ENCUESTA CONDUCTORES'!CJ386="X",1,0)</f>
        <v>0</v>
      </c>
      <c r="CC386" s="15">
        <f>IF('ENCUESTA CONDUCTORES'!CK386="X",1,0)</f>
        <v>1</v>
      </c>
      <c r="CD386" s="15">
        <f>IF('ENCUESTA CONDUCTORES'!CL386="X",1,0)</f>
        <v>0</v>
      </c>
      <c r="CE386" s="15">
        <f>IF('ENCUESTA CONDUCTORES'!CM386="X",1,0)</f>
        <v>0</v>
      </c>
      <c r="CF386" s="15">
        <f>+'ENCUESTA CONDUCTORES'!CN386</f>
        <v>0</v>
      </c>
      <c r="CG386" s="15">
        <f>IF('ENCUESTA CONDUCTORES'!CO386="X",1,0)</f>
        <v>0</v>
      </c>
      <c r="CH386" s="15" t="str">
        <f>+'ENCUESTA CONDUCTORES'!CP386</f>
        <v>NO SABE</v>
      </c>
      <c r="CI386" s="15" t="str">
        <f>+'ENCUESTA CONDUCTORES'!CQ386</f>
        <v>NO SABE</v>
      </c>
      <c r="CJ386" s="15">
        <f>IF('ENCUESTA CONDUCTORES'!CR386="X",1,0)</f>
        <v>0</v>
      </c>
      <c r="CK386" s="15">
        <f>IF('ENCUESTA CONDUCTORES'!CS386="X",1,0)</f>
        <v>0</v>
      </c>
      <c r="CL386" s="15">
        <f>IF('ENCUESTA CONDUCTORES'!CT386="X",1,0)</f>
        <v>0</v>
      </c>
      <c r="CM386" s="15" t="str">
        <f>+'ENCUESTA CONDUCTORES'!CU386</f>
        <v>MANEJO A LA DEFENSIVA</v>
      </c>
      <c r="CN386" s="15">
        <f>IF('ENCUESTA CONDUCTORES'!CV386="X",1,0)</f>
        <v>0</v>
      </c>
      <c r="CO386" s="15">
        <f>+'ENCUESTA CONDUCTORES'!CW386</f>
        <v>0</v>
      </c>
      <c r="CP386" s="15">
        <f>IF('ENCUESTA CONDUCTORES'!CX386="X",1,0)</f>
        <v>0</v>
      </c>
      <c r="CQ386" s="15">
        <f>IF('ENCUESTA CONDUCTORES'!CY386="X",1,0)</f>
        <v>1</v>
      </c>
      <c r="CR386" s="3">
        <f>+'ENCUESTA CONDUCTORES'!CZ386</f>
        <v>0</v>
      </c>
      <c r="CS386" s="49">
        <f>+'ENCUESTA CONDUCTORES'!DA386</f>
        <v>0</v>
      </c>
    </row>
    <row r="387" spans="1:97" x14ac:dyDescent="0.25">
      <c r="B387" s="14" t="str">
        <f>+'ENCUESTA CONDUCTORES'!D387</f>
        <v>C-398</v>
      </c>
      <c r="C387" s="15">
        <f>IF('ENCUESTA CONDUCTORES'!E387="X",1,0)</f>
        <v>1</v>
      </c>
      <c r="D387" s="15">
        <f>IF('ENCUESTA CONDUCTORES'!F387="X",1,0)</f>
        <v>0</v>
      </c>
      <c r="E387" s="15">
        <f>IF('ENCUESTA CONDUCTORES'!G387="X",1,0)</f>
        <v>0</v>
      </c>
      <c r="F387" s="15">
        <f>IF('ENCUESTA CONDUCTORES'!H387="X",1,0)</f>
        <v>0</v>
      </c>
      <c r="G387" s="15">
        <f>+'ENCUESTA CONDUCTORES'!I387</f>
        <v>49</v>
      </c>
      <c r="H387" s="15" t="str">
        <f>+'ENCUESTA CONDUCTORES'!J387</f>
        <v>M</v>
      </c>
      <c r="I387" s="15" t="str">
        <f>+'ENCUESTA CONDUCTORES'!K387</f>
        <v>SECUNDARIA</v>
      </c>
      <c r="J387" s="15" t="str">
        <f>+'ENCUESTA CONDUCTORES'!L387</f>
        <v>CELAYA, GTO.</v>
      </c>
      <c r="K387" s="15" t="str">
        <f>+'ENCUESTA CONDUCTORES'!M387</f>
        <v>CELAYA</v>
      </c>
      <c r="L387" s="15" t="str">
        <f>+'ENCUESTA CONDUCTORES'!N387</f>
        <v>GUANAJUATO</v>
      </c>
      <c r="M387" s="15">
        <f>+'ENCUESTA CONDUCTORES'!O387</f>
        <v>25</v>
      </c>
      <c r="N387" s="15">
        <f>IF('ENCUESTA CONDUCTORES'!P387="X",1,0)</f>
        <v>0</v>
      </c>
      <c r="O387" s="15">
        <f>IF('ENCUESTA CONDUCTORES'!Q387="X",1,0)</f>
        <v>0</v>
      </c>
      <c r="P387" s="15">
        <f>IF('ENCUESTA CONDUCTORES'!R387="X",1,0)</f>
        <v>0</v>
      </c>
      <c r="Q387" s="15">
        <f>IF('ENCUESTA CONDUCTORES'!S387="X",1,0)</f>
        <v>1</v>
      </c>
      <c r="R387" s="15">
        <f>IF('ENCUESTA CONDUCTORES'!T387="X",1,0)</f>
        <v>0</v>
      </c>
      <c r="S387" s="15">
        <f>IF('ENCUESTA CONDUCTORES'!U387="X",1,0)</f>
        <v>0</v>
      </c>
      <c r="T387" s="15">
        <f>IF('ENCUESTA CONDUCTORES'!V387="X",1,0)</f>
        <v>1</v>
      </c>
      <c r="U387" s="15">
        <f>IF('ENCUESTA CONDUCTORES'!W387="X",1,0)</f>
        <v>0</v>
      </c>
      <c r="V387" s="15">
        <f>IF('ENCUESTA CONDUCTORES'!X387="X",1,0)</f>
        <v>0</v>
      </c>
      <c r="W387" s="15">
        <f>IF('ENCUESTA CONDUCTORES'!Y387="X",1,0)</f>
        <v>0</v>
      </c>
      <c r="X387" s="15">
        <f>IF('ENCUESTA CONDUCTORES'!Z387="X",1,0)</f>
        <v>0</v>
      </c>
      <c r="Y387" s="15">
        <f>+'ENCUESTA CONDUCTORES'!AG387</f>
        <v>0</v>
      </c>
      <c r="Z387" s="15">
        <f>+'ENCUESTA CONDUCTORES'!AH387</f>
        <v>2003</v>
      </c>
      <c r="AA387" s="1">
        <f>+'ENCUESTA CONDUCTORES'!AI387</f>
        <v>761002</v>
      </c>
      <c r="AB387" s="15">
        <f>IF('ENCUESTA CONDUCTORES'!AJ387="X",1,0)</f>
        <v>0</v>
      </c>
      <c r="AC387" s="15">
        <f>IF('ENCUESTA CONDUCTORES'!AK387="X",1,0)</f>
        <v>0</v>
      </c>
      <c r="AD387" s="15">
        <f>IF('ENCUESTA CONDUCTORES'!AL387="X",1,0)</f>
        <v>1</v>
      </c>
      <c r="AE387" s="15">
        <f>IF('ENCUESTA CONDUCTORES'!AM387="X",1,0)</f>
        <v>0</v>
      </c>
      <c r="AF387" s="15">
        <f>IF('ENCUESTA CONDUCTORES'!AN387="X",1,0)</f>
        <v>0</v>
      </c>
      <c r="AG387" s="15">
        <f>IF('ENCUESTA CONDUCTORES'!AO387="X",1,0)</f>
        <v>0</v>
      </c>
      <c r="AH387" s="15">
        <f>IF('ENCUESTA CONDUCTORES'!AP387="X",1,0)</f>
        <v>1</v>
      </c>
      <c r="AI387" s="15">
        <f>IF('ENCUESTA CONDUCTORES'!AQ387="X",1,0)</f>
        <v>0</v>
      </c>
      <c r="AJ387" s="15">
        <f>IF('ENCUESTA CONDUCTORES'!AR387="X",1,0)</f>
        <v>0</v>
      </c>
      <c r="AK387" s="15">
        <f>+'ENCUESTA CONDUCTORES'!AS387</f>
        <v>0</v>
      </c>
      <c r="AL387" s="15" t="str">
        <f>+'ENCUESTA CONDUCTORES'!AT387</f>
        <v>CUMMINS</v>
      </c>
      <c r="AM387" s="1">
        <f>+'ENCUESTA CONDUCTORES'!AU387</f>
        <v>6000</v>
      </c>
      <c r="AN387" s="48">
        <f>+'ENCUESTA CONDUCTORES'!AV387</f>
        <v>0.2</v>
      </c>
      <c r="AO387" s="15">
        <f>+'ENCUESTA CONDUCTORES'!AW387</f>
        <v>2.8</v>
      </c>
      <c r="AP387" s="15">
        <f>+'ENCUESTA CONDUCTORES'!AX387</f>
        <v>2.4</v>
      </c>
      <c r="AQ387" s="15">
        <f>+'ENCUESTA CONDUCTORES'!AY387</f>
        <v>3</v>
      </c>
      <c r="AR387" s="15">
        <f>+'ENCUESTA CONDUCTORES'!AZ387</f>
        <v>1050</v>
      </c>
      <c r="AS387" s="15">
        <f>+'ENCUESTA CONDUCTORES'!BA387</f>
        <v>2800</v>
      </c>
      <c r="AT387" s="15">
        <f>IF('ENCUESTA CONDUCTORES'!BB387="X",1,0)</f>
        <v>1</v>
      </c>
      <c r="AU387" s="15">
        <f>IF('ENCUESTA CONDUCTORES'!BC387="X",1,0)</f>
        <v>0</v>
      </c>
      <c r="AV387" s="15">
        <f>IF('ENCUESTA CONDUCTORES'!BD387="X",1,0)</f>
        <v>0</v>
      </c>
      <c r="AW387" s="1">
        <f>+'ENCUESTA CONDUCTORES'!BE387</f>
        <v>25000</v>
      </c>
      <c r="AX387" s="1">
        <f>+'ENCUESTA CONDUCTORES'!BF387</f>
        <v>250000</v>
      </c>
      <c r="AY387" s="1">
        <f>+'ENCUESTA CONDUCTORES'!BG387</f>
        <v>25000</v>
      </c>
      <c r="AZ387" s="1">
        <f>+'ENCUESTA CONDUCTORES'!BH387</f>
        <v>180000</v>
      </c>
      <c r="BA387" s="1" t="str">
        <f>+'ENCUESTA CONDUCTORES'!BI387</f>
        <v>NO SABE</v>
      </c>
      <c r="BB387" s="15">
        <f>IF('ENCUESTA CONDUCTORES'!BJ387="X",1,0)</f>
        <v>0</v>
      </c>
      <c r="BC387" s="15">
        <f>IF('ENCUESTA CONDUCTORES'!BK387="X",1,0)</f>
        <v>1</v>
      </c>
      <c r="BD387" s="15">
        <f>IF('ENCUESTA CONDUCTORES'!BL387="X",1,0)</f>
        <v>0</v>
      </c>
      <c r="BE387" s="15">
        <f>IF('ENCUESTA CONDUCTORES'!BM387="X",1,0)</f>
        <v>0</v>
      </c>
      <c r="BF387" s="15">
        <f>IF('ENCUESTA CONDUCTORES'!BN387="X",1,0)</f>
        <v>1</v>
      </c>
      <c r="BG387" s="15">
        <f>IF('ENCUESTA CONDUCTORES'!BO387="X",1,0)</f>
        <v>0</v>
      </c>
      <c r="BH387" s="15">
        <f>IF('ENCUESTA CONDUCTORES'!BP387="X",1,0)</f>
        <v>0</v>
      </c>
      <c r="BI387" s="15">
        <f>IF('ENCUESTA CONDUCTORES'!BQ387="X",1,0)</f>
        <v>0</v>
      </c>
      <c r="BJ387" s="15">
        <f>IF('ENCUESTA CONDUCTORES'!BR387="X",1,0)</f>
        <v>0</v>
      </c>
      <c r="BK387" s="15">
        <f>+'ENCUESTA CONDUCTORES'!BS387</f>
        <v>0</v>
      </c>
      <c r="BL387" s="15">
        <f>IF('ENCUESTA CONDUCTORES'!BT387="X",1,0)</f>
        <v>0</v>
      </c>
      <c r="BM387" s="15">
        <f>IF('ENCUESTA CONDUCTORES'!BU387="X",1,0)</f>
        <v>0</v>
      </c>
      <c r="BN387" s="15">
        <f>IF('ENCUESTA CONDUCTORES'!BV387="X",1,0)</f>
        <v>1</v>
      </c>
      <c r="BO387" s="15">
        <f>IF('ENCUESTA CONDUCTORES'!BW387="X",1,0)</f>
        <v>0</v>
      </c>
      <c r="BP387" s="15">
        <f>+'ENCUESTA CONDUCTORES'!BX387</f>
        <v>3</v>
      </c>
      <c r="BQ387" s="15">
        <f>+'ENCUESTA CONDUCTORES'!BY387</f>
        <v>2</v>
      </c>
      <c r="BR387" s="15">
        <f>+'ENCUESTA CONDUCTORES'!BZ387</f>
        <v>1</v>
      </c>
      <c r="BS387" s="15">
        <f>+'ENCUESTA CONDUCTORES'!CA387</f>
        <v>0</v>
      </c>
      <c r="BT387" s="15">
        <f>IF('ENCUESTA CONDUCTORES'!CB387="X",1,0)</f>
        <v>1</v>
      </c>
      <c r="BU387" s="15">
        <f>IF('ENCUESTA CONDUCTORES'!CC387="X",1,0)</f>
        <v>0</v>
      </c>
      <c r="BV387" s="15">
        <f>IF('ENCUESTA CONDUCTORES'!CD387="X",1,0)</f>
        <v>0</v>
      </c>
      <c r="BW387" s="15">
        <f>IF('ENCUESTA CONDUCTORES'!CE387="X",1,0)</f>
        <v>0</v>
      </c>
      <c r="BX387" s="15">
        <f>IF('ENCUESTA CONDUCTORES'!CF387="X",1,0)</f>
        <v>0</v>
      </c>
      <c r="BY387" s="15">
        <f>IF('ENCUESTA CONDUCTORES'!CG387="X",1,0)</f>
        <v>0</v>
      </c>
      <c r="BZ387" s="15">
        <f>IF('ENCUESTA CONDUCTORES'!CH387="X",1,0)</f>
        <v>0</v>
      </c>
      <c r="CA387" s="15">
        <f>IF('ENCUESTA CONDUCTORES'!CI387="X",1,0)</f>
        <v>0</v>
      </c>
      <c r="CB387" s="15">
        <f>IF('ENCUESTA CONDUCTORES'!CJ387="X",1,0)</f>
        <v>0</v>
      </c>
      <c r="CC387" s="15">
        <f>IF('ENCUESTA CONDUCTORES'!CK387="X",1,0)</f>
        <v>1</v>
      </c>
      <c r="CD387" s="15">
        <f>IF('ENCUESTA CONDUCTORES'!CL387="X",1,0)</f>
        <v>0</v>
      </c>
      <c r="CE387" s="15">
        <f>IF('ENCUESTA CONDUCTORES'!CM387="X",1,0)</f>
        <v>0</v>
      </c>
      <c r="CF387" s="15">
        <f>+'ENCUESTA CONDUCTORES'!CN387</f>
        <v>0</v>
      </c>
      <c r="CG387" s="15">
        <f>IF('ENCUESTA CONDUCTORES'!CO387="X",1,0)</f>
        <v>0</v>
      </c>
      <c r="CH387" s="15" t="str">
        <f>+'ENCUESTA CONDUCTORES'!CP387</f>
        <v>NO SABE</v>
      </c>
      <c r="CI387" s="15" t="str">
        <f>+'ENCUESTA CONDUCTORES'!CQ387</f>
        <v>NO SABE</v>
      </c>
      <c r="CJ387" s="15">
        <f>IF('ENCUESTA CONDUCTORES'!CR387="X",1,0)</f>
        <v>1</v>
      </c>
      <c r="CK387" s="15">
        <f>IF('ENCUESTA CONDUCTORES'!CS387="X",1,0)</f>
        <v>0</v>
      </c>
      <c r="CL387" s="15">
        <f>IF('ENCUESTA CONDUCTORES'!CT387="X",1,0)</f>
        <v>0</v>
      </c>
      <c r="CM387" s="15">
        <f>+'ENCUESTA CONDUCTORES'!CU387</f>
        <v>0</v>
      </c>
      <c r="CN387" s="15">
        <f>IF('ENCUESTA CONDUCTORES'!CV387="X",1,0)</f>
        <v>0</v>
      </c>
      <c r="CO387" s="15">
        <f>+'ENCUESTA CONDUCTORES'!CW387</f>
        <v>0</v>
      </c>
      <c r="CP387" s="15">
        <f>IF('ENCUESTA CONDUCTORES'!CX387="X",1,0)</f>
        <v>1</v>
      </c>
      <c r="CQ387" s="15">
        <f>IF('ENCUESTA CONDUCTORES'!CY387="X",1,0)</f>
        <v>1</v>
      </c>
      <c r="CR387" s="3">
        <f>+'ENCUESTA CONDUCTORES'!CZ387</f>
        <v>0</v>
      </c>
      <c r="CS387" s="49">
        <f>+'ENCUESTA CONDUCTORES'!DA387</f>
        <v>0</v>
      </c>
    </row>
    <row r="388" spans="1:97" x14ac:dyDescent="0.25">
      <c r="B388" s="14" t="str">
        <f>+'ENCUESTA CONDUCTORES'!D388</f>
        <v>C-399</v>
      </c>
      <c r="C388" s="15">
        <f>IF('ENCUESTA CONDUCTORES'!E388="X",1,0)</f>
        <v>1</v>
      </c>
      <c r="D388" s="15">
        <f>IF('ENCUESTA CONDUCTORES'!F388="X",1,0)</f>
        <v>0</v>
      </c>
      <c r="E388" s="15">
        <f>IF('ENCUESTA CONDUCTORES'!G388="X",1,0)</f>
        <v>0</v>
      </c>
      <c r="F388" s="15">
        <f>IF('ENCUESTA CONDUCTORES'!H388="X",1,0)</f>
        <v>0</v>
      </c>
      <c r="G388" s="15">
        <f>+'ENCUESTA CONDUCTORES'!I388</f>
        <v>63</v>
      </c>
      <c r="H388" s="15" t="str">
        <f>+'ENCUESTA CONDUCTORES'!J388</f>
        <v>M</v>
      </c>
      <c r="I388" s="15" t="str">
        <f>+'ENCUESTA CONDUCTORES'!K388</f>
        <v>SIN ESTUDIOS</v>
      </c>
      <c r="J388" s="15" t="str">
        <f>+'ENCUESTA CONDUCTORES'!L388</f>
        <v>PAPANTLA, VER</v>
      </c>
      <c r="K388" s="15" t="str">
        <f>+'ENCUESTA CONDUCTORES'!M388</f>
        <v>PAPANTLA</v>
      </c>
      <c r="L388" s="15" t="str">
        <f>+'ENCUESTA CONDUCTORES'!N388</f>
        <v>VERACRUZ</v>
      </c>
      <c r="M388" s="15">
        <f>+'ENCUESTA CONDUCTORES'!O388</f>
        <v>40</v>
      </c>
      <c r="N388" s="15">
        <f>IF('ENCUESTA CONDUCTORES'!P388="X",1,0)</f>
        <v>0</v>
      </c>
      <c r="O388" s="15">
        <f>IF('ENCUESTA CONDUCTORES'!Q388="X",1,0)</f>
        <v>1</v>
      </c>
      <c r="P388" s="15">
        <f>IF('ENCUESTA CONDUCTORES'!R388="X",1,0)</f>
        <v>0</v>
      </c>
      <c r="Q388" s="15">
        <f>IF('ENCUESTA CONDUCTORES'!S388="X",1,0)</f>
        <v>0</v>
      </c>
      <c r="R388" s="15">
        <f>IF('ENCUESTA CONDUCTORES'!T388="X",1,0)</f>
        <v>0</v>
      </c>
      <c r="S388" s="15">
        <f>IF('ENCUESTA CONDUCTORES'!U388="X",1,0)</f>
        <v>0</v>
      </c>
      <c r="T388" s="15">
        <f>IF('ENCUESTA CONDUCTORES'!V388="X",1,0)</f>
        <v>0</v>
      </c>
      <c r="U388" s="15">
        <f>IF('ENCUESTA CONDUCTORES'!W388="X",1,0)</f>
        <v>0</v>
      </c>
      <c r="V388" s="15">
        <f>IF('ENCUESTA CONDUCTORES'!X388="X",1,0)</f>
        <v>0</v>
      </c>
      <c r="W388" s="15">
        <f>IF('ENCUESTA CONDUCTORES'!Y388="X",1,0)</f>
        <v>0</v>
      </c>
      <c r="X388" s="15">
        <f>IF('ENCUESTA CONDUCTORES'!Z388="X",1,0)</f>
        <v>0</v>
      </c>
      <c r="Y388" s="15">
        <f>+'ENCUESTA CONDUCTORES'!AG388</f>
        <v>0</v>
      </c>
      <c r="Z388" s="15">
        <f>+'ENCUESTA CONDUCTORES'!AH388</f>
        <v>1995</v>
      </c>
      <c r="AA388" s="1" t="str">
        <f>+'ENCUESTA CONDUCTORES'!AI388</f>
        <v>DAÑADO</v>
      </c>
      <c r="AB388" s="15">
        <f>IF('ENCUESTA CONDUCTORES'!AJ388="X",1,0)</f>
        <v>0</v>
      </c>
      <c r="AC388" s="15">
        <f>IF('ENCUESTA CONDUCTORES'!AK388="X",1,0)</f>
        <v>0</v>
      </c>
      <c r="AD388" s="15">
        <f>IF('ENCUESTA CONDUCTORES'!AL388="X",1,0)</f>
        <v>1</v>
      </c>
      <c r="AE388" s="15">
        <f>IF('ENCUESTA CONDUCTORES'!AM388="X",1,0)</f>
        <v>0</v>
      </c>
      <c r="AF388" s="15">
        <f>IF('ENCUESTA CONDUCTORES'!AN388="X",1,0)</f>
        <v>0</v>
      </c>
      <c r="AG388" s="15">
        <f>IF('ENCUESTA CONDUCTORES'!AO388="X",1,0)</f>
        <v>0</v>
      </c>
      <c r="AH388" s="15">
        <f>IF('ENCUESTA CONDUCTORES'!AP388="X",1,0)</f>
        <v>1</v>
      </c>
      <c r="AI388" s="15">
        <f>IF('ENCUESTA CONDUCTORES'!AQ388="X",1,0)</f>
        <v>0</v>
      </c>
      <c r="AJ388" s="15">
        <f>IF('ENCUESTA CONDUCTORES'!AR388="X",1,0)</f>
        <v>0</v>
      </c>
      <c r="AK388" s="15">
        <f>+'ENCUESTA CONDUCTORES'!AS388</f>
        <v>0</v>
      </c>
      <c r="AL388" s="15" t="str">
        <f>+'ENCUESTA CONDUCTORES'!AT388</f>
        <v>MERCEDES BENZ</v>
      </c>
      <c r="AM388" s="1">
        <f>+'ENCUESTA CONDUCTORES'!AU388</f>
        <v>7000</v>
      </c>
      <c r="AN388" s="48">
        <f>+'ENCUESTA CONDUCTORES'!AV388</f>
        <v>0.5</v>
      </c>
      <c r="AO388" s="15">
        <f>+'ENCUESTA CONDUCTORES'!AW388</f>
        <v>3.8</v>
      </c>
      <c r="AP388" s="15">
        <f>+'ENCUESTA CONDUCTORES'!AX388</f>
        <v>3.1</v>
      </c>
      <c r="AQ388" s="15">
        <f>+'ENCUESTA CONDUCTORES'!AY388</f>
        <v>2</v>
      </c>
      <c r="AR388" s="15">
        <f>+'ENCUESTA CONDUCTORES'!AZ388</f>
        <v>510</v>
      </c>
      <c r="AS388" s="15">
        <f>+'ENCUESTA CONDUCTORES'!BA388</f>
        <v>1800</v>
      </c>
      <c r="AT388" s="15">
        <f>IF('ENCUESTA CONDUCTORES'!BB388="X",1,0)</f>
        <v>0</v>
      </c>
      <c r="AU388" s="15">
        <f>IF('ENCUESTA CONDUCTORES'!BC388="X",1,0)</f>
        <v>0</v>
      </c>
      <c r="AV388" s="15">
        <f>IF('ENCUESTA CONDUCTORES'!BD388="X",1,0)</f>
        <v>0</v>
      </c>
      <c r="AW388" s="1">
        <f>+'ENCUESTA CONDUCTORES'!BE388</f>
        <v>25000</v>
      </c>
      <c r="AX388" s="1" t="str">
        <f>+'ENCUESTA CONDUCTORES'!BF388</f>
        <v xml:space="preserve">NO SABE </v>
      </c>
      <c r="AY388" s="1">
        <f>+'ENCUESTA CONDUCTORES'!BG388</f>
        <v>25000</v>
      </c>
      <c r="AZ388" s="1">
        <f>+'ENCUESTA CONDUCTORES'!BH388</f>
        <v>130000</v>
      </c>
      <c r="BA388" s="1" t="str">
        <f>+'ENCUESTA CONDUCTORES'!BI388</f>
        <v xml:space="preserve">NO SABE </v>
      </c>
      <c r="BB388" s="15">
        <f>IF('ENCUESTA CONDUCTORES'!BJ388="X",1,0)</f>
        <v>1</v>
      </c>
      <c r="BC388" s="15">
        <f>IF('ENCUESTA CONDUCTORES'!BK388="X",1,0)</f>
        <v>1</v>
      </c>
      <c r="BD388" s="15">
        <f>IF('ENCUESTA CONDUCTORES'!BL388="X",1,0)</f>
        <v>0</v>
      </c>
      <c r="BE388" s="15">
        <f>IF('ENCUESTA CONDUCTORES'!BM388="X",1,0)</f>
        <v>0</v>
      </c>
      <c r="BF388" s="15">
        <f>IF('ENCUESTA CONDUCTORES'!BN388="X",1,0)</f>
        <v>0</v>
      </c>
      <c r="BG388" s="15">
        <f>IF('ENCUESTA CONDUCTORES'!BO388="X",1,0)</f>
        <v>1</v>
      </c>
      <c r="BH388" s="15">
        <f>IF('ENCUESTA CONDUCTORES'!BP388="X",1,0)</f>
        <v>0</v>
      </c>
      <c r="BI388" s="15">
        <f>IF('ENCUESTA CONDUCTORES'!BQ388="X",1,0)</f>
        <v>0</v>
      </c>
      <c r="BJ388" s="15">
        <f>IF('ENCUESTA CONDUCTORES'!BR388="X",1,0)</f>
        <v>0</v>
      </c>
      <c r="BK388" s="15">
        <f>+'ENCUESTA CONDUCTORES'!BS388</f>
        <v>0</v>
      </c>
      <c r="BL388" s="15">
        <f>IF('ENCUESTA CONDUCTORES'!BT388="X",1,0)</f>
        <v>0</v>
      </c>
      <c r="BM388" s="15">
        <f>IF('ENCUESTA CONDUCTORES'!BU388="X",1,0)</f>
        <v>0</v>
      </c>
      <c r="BN388" s="15">
        <f>IF('ENCUESTA CONDUCTORES'!BV388="X",1,0)</f>
        <v>1</v>
      </c>
      <c r="BO388" s="15">
        <f>IF('ENCUESTA CONDUCTORES'!BW388="X",1,0)</f>
        <v>0</v>
      </c>
      <c r="BP388" s="15">
        <f>+'ENCUESTA CONDUCTORES'!BX388</f>
        <v>1</v>
      </c>
      <c r="BQ388" s="15">
        <f>+'ENCUESTA CONDUCTORES'!BY388</f>
        <v>2</v>
      </c>
      <c r="BR388" s="15">
        <f>+'ENCUESTA CONDUCTORES'!BZ388</f>
        <v>3</v>
      </c>
      <c r="BS388" s="15">
        <f>+'ENCUESTA CONDUCTORES'!CA388</f>
        <v>0</v>
      </c>
      <c r="BT388" s="15">
        <f>IF('ENCUESTA CONDUCTORES'!CB388="X",1,0)</f>
        <v>1</v>
      </c>
      <c r="BU388" s="15">
        <f>IF('ENCUESTA CONDUCTORES'!CC388="X",1,0)</f>
        <v>0</v>
      </c>
      <c r="BV388" s="15">
        <f>IF('ENCUESTA CONDUCTORES'!CD388="X",1,0)</f>
        <v>0</v>
      </c>
      <c r="BW388" s="15">
        <f>IF('ENCUESTA CONDUCTORES'!CE388="X",1,0)</f>
        <v>0</v>
      </c>
      <c r="BX388" s="15">
        <f>IF('ENCUESTA CONDUCTORES'!CF388="X",1,0)</f>
        <v>0</v>
      </c>
      <c r="BY388" s="15">
        <f>IF('ENCUESTA CONDUCTORES'!CG388="X",1,0)</f>
        <v>0</v>
      </c>
      <c r="BZ388" s="15">
        <f>IF('ENCUESTA CONDUCTORES'!CH388="X",1,0)</f>
        <v>0</v>
      </c>
      <c r="CA388" s="15">
        <f>IF('ENCUESTA CONDUCTORES'!CI388="X",1,0)</f>
        <v>0</v>
      </c>
      <c r="CB388" s="15">
        <f>IF('ENCUESTA CONDUCTORES'!CJ388="X",1,0)</f>
        <v>0</v>
      </c>
      <c r="CC388" s="15">
        <f>IF('ENCUESTA CONDUCTORES'!CK388="X",1,0)</f>
        <v>1</v>
      </c>
      <c r="CD388" s="15">
        <f>IF('ENCUESTA CONDUCTORES'!CL388="X",1,0)</f>
        <v>0</v>
      </c>
      <c r="CE388" s="15">
        <f>IF('ENCUESTA CONDUCTORES'!CM388="X",1,0)</f>
        <v>0</v>
      </c>
      <c r="CF388" s="15">
        <f>+'ENCUESTA CONDUCTORES'!CN388</f>
        <v>0</v>
      </c>
      <c r="CG388" s="15">
        <f>IF('ENCUESTA CONDUCTORES'!CO388="X",1,0)</f>
        <v>0</v>
      </c>
      <c r="CH388" s="15" t="str">
        <f>+'ENCUESTA CONDUCTORES'!CP388</f>
        <v>NO SABE</v>
      </c>
      <c r="CI388" s="15" t="str">
        <f>+'ENCUESTA CONDUCTORES'!CQ388</f>
        <v>NO SABE</v>
      </c>
      <c r="CJ388" s="15">
        <f>IF('ENCUESTA CONDUCTORES'!CR388="X",1,0)</f>
        <v>1</v>
      </c>
      <c r="CK388" s="15">
        <f>IF('ENCUESTA CONDUCTORES'!CS388="X",1,0)</f>
        <v>0</v>
      </c>
      <c r="CL388" s="15">
        <f>IF('ENCUESTA CONDUCTORES'!CT388="X",1,0)</f>
        <v>0</v>
      </c>
      <c r="CM388" s="15">
        <f>+'ENCUESTA CONDUCTORES'!CU388</f>
        <v>0</v>
      </c>
      <c r="CN388" s="15">
        <f>IF('ENCUESTA CONDUCTORES'!CV388="X",1,0)</f>
        <v>1</v>
      </c>
      <c r="CO388" s="15" t="str">
        <f>+'ENCUESTA CONDUCTORES'!CW388</f>
        <v>NO LO NECESITO</v>
      </c>
      <c r="CP388" s="15">
        <f>IF('ENCUESTA CONDUCTORES'!CX388="X",1,0)</f>
        <v>0</v>
      </c>
      <c r="CQ388" s="15">
        <f>IF('ENCUESTA CONDUCTORES'!CY388="X",1,0)</f>
        <v>0</v>
      </c>
      <c r="CR388" s="3">
        <f>+'ENCUESTA CONDUCTORES'!CZ388</f>
        <v>0</v>
      </c>
      <c r="CS388" s="49">
        <f>+'ENCUESTA CONDUCTORES'!DA388</f>
        <v>0</v>
      </c>
    </row>
    <row r="389" spans="1:97" x14ac:dyDescent="0.25">
      <c r="B389" s="14" t="str">
        <f>+'ENCUESTA CONDUCTORES'!D389</f>
        <v>C-400</v>
      </c>
      <c r="C389" s="15">
        <f>IF('ENCUESTA CONDUCTORES'!E389="X",1,0)</f>
        <v>0</v>
      </c>
      <c r="D389" s="15">
        <f>IF('ENCUESTA CONDUCTORES'!F389="X",1,0)</f>
        <v>0</v>
      </c>
      <c r="E389" s="15">
        <f>IF('ENCUESTA CONDUCTORES'!G389="X",1,0)</f>
        <v>1</v>
      </c>
      <c r="F389" s="15">
        <f>IF('ENCUESTA CONDUCTORES'!H389="X",1,0)</f>
        <v>0</v>
      </c>
      <c r="G389" s="15">
        <f>+'ENCUESTA CONDUCTORES'!I389</f>
        <v>24</v>
      </c>
      <c r="H389" s="15" t="str">
        <f>+'ENCUESTA CONDUCTORES'!J389</f>
        <v>M</v>
      </c>
      <c r="I389" s="15" t="str">
        <f>+'ENCUESTA CONDUCTORES'!K389</f>
        <v>SECUNDARIA</v>
      </c>
      <c r="J389" s="15" t="str">
        <f>+'ENCUESTA CONDUCTORES'!L389</f>
        <v>MORELIA, MICH</v>
      </c>
      <c r="K389" s="15" t="str">
        <f>+'ENCUESTA CONDUCTORES'!M389</f>
        <v>MORELIA</v>
      </c>
      <c r="L389" s="15" t="str">
        <f>+'ENCUESTA CONDUCTORES'!N389</f>
        <v>MICHOACAN</v>
      </c>
      <c r="M389" s="15">
        <f>+'ENCUESTA CONDUCTORES'!O389</f>
        <v>3</v>
      </c>
      <c r="N389" s="15">
        <f>IF('ENCUESTA CONDUCTORES'!P389="X",1,0)</f>
        <v>0</v>
      </c>
      <c r="O389" s="15">
        <f>IF('ENCUESTA CONDUCTORES'!Q389="X",1,0)</f>
        <v>1</v>
      </c>
      <c r="P389" s="15">
        <f>IF('ENCUESTA CONDUCTORES'!R389="X",1,0)</f>
        <v>0</v>
      </c>
      <c r="Q389" s="15">
        <f>IF('ENCUESTA CONDUCTORES'!S389="X",1,0)</f>
        <v>0</v>
      </c>
      <c r="R389" s="15">
        <f>IF('ENCUESTA CONDUCTORES'!T389="X",1,0)</f>
        <v>0</v>
      </c>
      <c r="S389" s="15">
        <f>IF('ENCUESTA CONDUCTORES'!U389="X",1,0)</f>
        <v>0</v>
      </c>
      <c r="T389" s="15">
        <f>IF('ENCUESTA CONDUCTORES'!V389="X",1,0)</f>
        <v>0</v>
      </c>
      <c r="U389" s="15">
        <f>IF('ENCUESTA CONDUCTORES'!W389="X",1,0)</f>
        <v>0</v>
      </c>
      <c r="V389" s="15">
        <f>IF('ENCUESTA CONDUCTORES'!X389="X",1,0)</f>
        <v>0</v>
      </c>
      <c r="W389" s="15">
        <f>IF('ENCUESTA CONDUCTORES'!Y389="X",1,0)</f>
        <v>0</v>
      </c>
      <c r="X389" s="15">
        <f>IF('ENCUESTA CONDUCTORES'!Z389="X",1,0)</f>
        <v>0</v>
      </c>
      <c r="Y389" s="15">
        <f>+'ENCUESTA CONDUCTORES'!AG389</f>
        <v>0</v>
      </c>
      <c r="Z389" s="15">
        <f>+'ENCUESTA CONDUCTORES'!AH389</f>
        <v>1990</v>
      </c>
      <c r="AA389" s="1">
        <f>+'ENCUESTA CONDUCTORES'!AI389</f>
        <v>910755</v>
      </c>
      <c r="AB389" s="15">
        <f>IF('ENCUESTA CONDUCTORES'!AJ389="X",1,0)</f>
        <v>0</v>
      </c>
      <c r="AC389" s="15">
        <f>IF('ENCUESTA CONDUCTORES'!AK389="X",1,0)</f>
        <v>0</v>
      </c>
      <c r="AD389" s="15">
        <f>IF('ENCUESTA CONDUCTORES'!AL389="X",1,0)</f>
        <v>1</v>
      </c>
      <c r="AE389" s="15">
        <f>IF('ENCUESTA CONDUCTORES'!AM389="X",1,0)</f>
        <v>0</v>
      </c>
      <c r="AF389" s="15">
        <f>IF('ENCUESTA CONDUCTORES'!AN389="X",1,0)</f>
        <v>0</v>
      </c>
      <c r="AG389" s="15">
        <f>IF('ENCUESTA CONDUCTORES'!AO389="X",1,0)</f>
        <v>0</v>
      </c>
      <c r="AH389" s="15">
        <f>IF('ENCUESTA CONDUCTORES'!AP389="X",1,0)</f>
        <v>0</v>
      </c>
      <c r="AI389" s="15">
        <f>IF('ENCUESTA CONDUCTORES'!AQ389="X",1,0)</f>
        <v>0</v>
      </c>
      <c r="AJ389" s="15">
        <f>IF('ENCUESTA CONDUCTORES'!AR389="X",1,0)</f>
        <v>1</v>
      </c>
      <c r="AK389" s="15">
        <f>+'ENCUESTA CONDUCTORES'!AS389</f>
        <v>2010</v>
      </c>
      <c r="AL389" s="15" t="str">
        <f>+'ENCUESTA CONDUCTORES'!AT389</f>
        <v>CUMMINS</v>
      </c>
      <c r="AM389" s="1">
        <f>+'ENCUESTA CONDUCTORES'!AU389</f>
        <v>5000</v>
      </c>
      <c r="AN389" s="48">
        <f>+'ENCUESTA CONDUCTORES'!AV389</f>
        <v>0.1</v>
      </c>
      <c r="AO389" s="15">
        <f>+'ENCUESTA CONDUCTORES'!AW389</f>
        <v>4</v>
      </c>
      <c r="AP389" s="15">
        <f>+'ENCUESTA CONDUCTORES'!AX389</f>
        <v>3.2</v>
      </c>
      <c r="AQ389" s="15">
        <f>+'ENCUESTA CONDUCTORES'!AY389</f>
        <v>2</v>
      </c>
      <c r="AR389" s="15">
        <f>+'ENCUESTA CONDUCTORES'!AZ389</f>
        <v>420</v>
      </c>
      <c r="AS389" s="15">
        <f>+'ENCUESTA CONDUCTORES'!BA389</f>
        <v>1600</v>
      </c>
      <c r="AT389" s="15">
        <f>IF('ENCUESTA CONDUCTORES'!BB389="X",1,0)</f>
        <v>0</v>
      </c>
      <c r="AU389" s="15">
        <f>IF('ENCUESTA CONDUCTORES'!BC389="X",1,0)</f>
        <v>0</v>
      </c>
      <c r="AV389" s="15">
        <f>IF('ENCUESTA CONDUCTORES'!BD389="X",1,0)</f>
        <v>0</v>
      </c>
      <c r="AW389" s="1">
        <f>+'ENCUESTA CONDUCTORES'!BE389</f>
        <v>20000</v>
      </c>
      <c r="AX389" s="1">
        <f>+'ENCUESTA CONDUCTORES'!BF389</f>
        <v>100000</v>
      </c>
      <c r="AY389" s="1">
        <f>+'ENCUESTA CONDUCTORES'!BG389</f>
        <v>30000</v>
      </c>
      <c r="AZ389" s="1">
        <f>+'ENCUESTA CONDUCTORES'!BH389</f>
        <v>100000</v>
      </c>
      <c r="BA389" s="1" t="str">
        <f>+'ENCUESTA CONDUCTORES'!BI389</f>
        <v>NO SABE</v>
      </c>
      <c r="BB389" s="15">
        <f>IF('ENCUESTA CONDUCTORES'!BJ389="X",1,0)</f>
        <v>1</v>
      </c>
      <c r="BC389" s="15">
        <f>IF('ENCUESTA CONDUCTORES'!BK389="X",1,0)</f>
        <v>1</v>
      </c>
      <c r="BD389" s="15">
        <f>IF('ENCUESTA CONDUCTORES'!BL389="X",1,0)</f>
        <v>0</v>
      </c>
      <c r="BE389" s="15">
        <f>IF('ENCUESTA CONDUCTORES'!BM389="X",1,0)</f>
        <v>0</v>
      </c>
      <c r="BF389" s="15">
        <f>IF('ENCUESTA CONDUCTORES'!BN389="X",1,0)</f>
        <v>0</v>
      </c>
      <c r="BG389" s="15">
        <f>IF('ENCUESTA CONDUCTORES'!BO389="X",1,0)</f>
        <v>1</v>
      </c>
      <c r="BH389" s="15">
        <f>IF('ENCUESTA CONDUCTORES'!BP389="X",1,0)</f>
        <v>0</v>
      </c>
      <c r="BI389" s="15">
        <f>IF('ENCUESTA CONDUCTORES'!BQ389="X",1,0)</f>
        <v>0</v>
      </c>
      <c r="BJ389" s="15">
        <f>IF('ENCUESTA CONDUCTORES'!BR389="X",1,0)</f>
        <v>0</v>
      </c>
      <c r="BK389" s="15">
        <f>+'ENCUESTA CONDUCTORES'!BS389</f>
        <v>0</v>
      </c>
      <c r="BL389" s="15">
        <f>IF('ENCUESTA CONDUCTORES'!BT389="X",1,0)</f>
        <v>0</v>
      </c>
      <c r="BM389" s="15">
        <f>IF('ENCUESTA CONDUCTORES'!BU389="X",1,0)</f>
        <v>0</v>
      </c>
      <c r="BN389" s="15">
        <f>IF('ENCUESTA CONDUCTORES'!BV389="X",1,0)</f>
        <v>1</v>
      </c>
      <c r="BO389" s="15">
        <f>IF('ENCUESTA CONDUCTORES'!BW389="X",1,0)</f>
        <v>0</v>
      </c>
      <c r="BP389" s="15">
        <f>+'ENCUESTA CONDUCTORES'!BX389</f>
        <v>1</v>
      </c>
      <c r="BQ389" s="15">
        <f>+'ENCUESTA CONDUCTORES'!BY389</f>
        <v>3</v>
      </c>
      <c r="BR389" s="15">
        <f>+'ENCUESTA CONDUCTORES'!BZ389</f>
        <v>2</v>
      </c>
      <c r="BS389" s="15">
        <f>+'ENCUESTA CONDUCTORES'!CA389</f>
        <v>0</v>
      </c>
      <c r="BT389" s="15">
        <f>IF('ENCUESTA CONDUCTORES'!CB389="X",1,0)</f>
        <v>1</v>
      </c>
      <c r="BU389" s="15">
        <f>IF('ENCUESTA CONDUCTORES'!CC389="X",1,0)</f>
        <v>0</v>
      </c>
      <c r="BV389" s="15">
        <f>IF('ENCUESTA CONDUCTORES'!CD389="X",1,0)</f>
        <v>0</v>
      </c>
      <c r="BW389" s="15">
        <f>IF('ENCUESTA CONDUCTORES'!CE389="X",1,0)</f>
        <v>0</v>
      </c>
      <c r="BX389" s="15">
        <f>IF('ENCUESTA CONDUCTORES'!CF389="X",1,0)</f>
        <v>0</v>
      </c>
      <c r="BY389" s="15">
        <f>IF('ENCUESTA CONDUCTORES'!CG389="X",1,0)</f>
        <v>0</v>
      </c>
      <c r="BZ389" s="15">
        <f>IF('ENCUESTA CONDUCTORES'!CH389="X",1,0)</f>
        <v>0</v>
      </c>
      <c r="CA389" s="15">
        <f>IF('ENCUESTA CONDUCTORES'!CI389="X",1,0)</f>
        <v>0</v>
      </c>
      <c r="CB389" s="15">
        <f>IF('ENCUESTA CONDUCTORES'!CJ389="X",1,0)</f>
        <v>0</v>
      </c>
      <c r="CC389" s="15">
        <f>IF('ENCUESTA CONDUCTORES'!CK389="X",1,0)</f>
        <v>1</v>
      </c>
      <c r="CD389" s="15">
        <f>IF('ENCUESTA CONDUCTORES'!CL389="X",1,0)</f>
        <v>0</v>
      </c>
      <c r="CE389" s="15">
        <f>IF('ENCUESTA CONDUCTORES'!CM389="X",1,0)</f>
        <v>0</v>
      </c>
      <c r="CF389" s="15">
        <f>+'ENCUESTA CONDUCTORES'!CN389</f>
        <v>0</v>
      </c>
      <c r="CG389" s="15">
        <f>IF('ENCUESTA CONDUCTORES'!CO389="X",1,0)</f>
        <v>0</v>
      </c>
      <c r="CH389" s="15" t="str">
        <f>+'ENCUESTA CONDUCTORES'!CP389</f>
        <v>NO SABE</v>
      </c>
      <c r="CI389" s="15" t="str">
        <f>+'ENCUESTA CONDUCTORES'!CQ389</f>
        <v>NO SABE</v>
      </c>
      <c r="CJ389" s="15">
        <f>IF('ENCUESTA CONDUCTORES'!CR389="X",1,0)</f>
        <v>1</v>
      </c>
      <c r="CK389" s="15">
        <f>IF('ENCUESTA CONDUCTORES'!CS389="X",1,0)</f>
        <v>0</v>
      </c>
      <c r="CL389" s="15">
        <f>IF('ENCUESTA CONDUCTORES'!CT389="X",1,0)</f>
        <v>0</v>
      </c>
      <c r="CM389" s="15">
        <f>+'ENCUESTA CONDUCTORES'!CU389</f>
        <v>0</v>
      </c>
      <c r="CN389" s="15">
        <f>IF('ENCUESTA CONDUCTORES'!CV389="X",1,0)</f>
        <v>0</v>
      </c>
      <c r="CO389" s="15">
        <f>+'ENCUESTA CONDUCTORES'!CW389</f>
        <v>0</v>
      </c>
      <c r="CP389" s="15">
        <f>IF('ENCUESTA CONDUCTORES'!CX389="X",1,0)</f>
        <v>1</v>
      </c>
      <c r="CQ389" s="15">
        <f>IF('ENCUESTA CONDUCTORES'!CY389="X",1,0)</f>
        <v>1</v>
      </c>
      <c r="CR389" s="3">
        <f>+'ENCUESTA CONDUCTORES'!CZ389</f>
        <v>0</v>
      </c>
      <c r="CS389" s="49">
        <f>+'ENCUESTA CONDUCTORES'!DA389</f>
        <v>0</v>
      </c>
    </row>
    <row r="390" spans="1:97" x14ac:dyDescent="0.25">
      <c r="B390" s="14" t="str">
        <f>+'ENCUESTA CONDUCTORES'!D390</f>
        <v>C-401</v>
      </c>
      <c r="C390" s="15">
        <f>IF('ENCUESTA CONDUCTORES'!E390="X",1,0)</f>
        <v>0</v>
      </c>
      <c r="D390" s="15">
        <f>IF('ENCUESTA CONDUCTORES'!F390="X",1,0)</f>
        <v>0</v>
      </c>
      <c r="E390" s="15">
        <f>IF('ENCUESTA CONDUCTORES'!G390="X",1,0)</f>
        <v>0</v>
      </c>
      <c r="F390" s="15">
        <f>IF('ENCUESTA CONDUCTORES'!H390="X",1,0)</f>
        <v>1</v>
      </c>
      <c r="G390" s="15">
        <f>+'ENCUESTA CONDUCTORES'!I390</f>
        <v>31</v>
      </c>
      <c r="H390" s="15" t="str">
        <f>+'ENCUESTA CONDUCTORES'!J390</f>
        <v>M</v>
      </c>
      <c r="I390" s="15" t="str">
        <f>+'ENCUESTA CONDUCTORES'!K390</f>
        <v>SECUNDARIA</v>
      </c>
      <c r="J390" s="15" t="str">
        <f>+'ENCUESTA CONDUCTORES'!L390</f>
        <v>IZTAPALAPA, D.F.</v>
      </c>
      <c r="K390" s="15" t="str">
        <f>+'ENCUESTA CONDUCTORES'!M390</f>
        <v>IZTAPALAPA</v>
      </c>
      <c r="L390" s="15" t="str">
        <f>+'ENCUESTA CONDUCTORES'!N390</f>
        <v>D.F.</v>
      </c>
      <c r="M390" s="15">
        <f>+'ENCUESTA CONDUCTORES'!O390</f>
        <v>12</v>
      </c>
      <c r="N390" s="15">
        <f>IF('ENCUESTA CONDUCTORES'!P390="X",1,0)</f>
        <v>0</v>
      </c>
      <c r="O390" s="15">
        <f>IF('ENCUESTA CONDUCTORES'!Q390="X",1,0)</f>
        <v>0</v>
      </c>
      <c r="P390" s="15">
        <f>IF('ENCUESTA CONDUCTORES'!R390="X",1,0)</f>
        <v>0</v>
      </c>
      <c r="Q390" s="15">
        <f>IF('ENCUESTA CONDUCTORES'!S390="X",1,0)</f>
        <v>1</v>
      </c>
      <c r="R390" s="15">
        <f>IF('ENCUESTA CONDUCTORES'!T390="X",1,0)</f>
        <v>0</v>
      </c>
      <c r="S390" s="15">
        <f>IF('ENCUESTA CONDUCTORES'!U390="X",1,0)</f>
        <v>1</v>
      </c>
      <c r="T390" s="15">
        <f>IF('ENCUESTA CONDUCTORES'!V390="X",1,0)</f>
        <v>0</v>
      </c>
      <c r="U390" s="15">
        <f>IF('ENCUESTA CONDUCTORES'!W390="X",1,0)</f>
        <v>0</v>
      </c>
      <c r="V390" s="15">
        <f>IF('ENCUESTA CONDUCTORES'!X390="X",1,0)</f>
        <v>0</v>
      </c>
      <c r="W390" s="15">
        <f>IF('ENCUESTA CONDUCTORES'!Y390="X",1,0)</f>
        <v>0</v>
      </c>
      <c r="X390" s="15">
        <f>IF('ENCUESTA CONDUCTORES'!Z390="X",1,0)</f>
        <v>0</v>
      </c>
      <c r="Y390" s="15">
        <f>+'ENCUESTA CONDUCTORES'!AG390</f>
        <v>0</v>
      </c>
      <c r="Z390" s="15">
        <f>+'ENCUESTA CONDUCTORES'!AH390</f>
        <v>2007</v>
      </c>
      <c r="AA390" s="1">
        <f>+'ENCUESTA CONDUCTORES'!AI390</f>
        <v>623700</v>
      </c>
      <c r="AB390" s="15">
        <f>IF('ENCUESTA CONDUCTORES'!AJ390="X",1,0)</f>
        <v>0</v>
      </c>
      <c r="AC390" s="15">
        <f>IF('ENCUESTA CONDUCTORES'!AK390="X",1,0)</f>
        <v>0</v>
      </c>
      <c r="AD390" s="15">
        <f>IF('ENCUESTA CONDUCTORES'!AL390="X",1,0)</f>
        <v>1</v>
      </c>
      <c r="AE390" s="15">
        <f>IF('ENCUESTA CONDUCTORES'!AM390="X",1,0)</f>
        <v>0</v>
      </c>
      <c r="AF390" s="15">
        <f>IF('ENCUESTA CONDUCTORES'!AN390="X",1,0)</f>
        <v>0</v>
      </c>
      <c r="AG390" s="15">
        <f>IF('ENCUESTA CONDUCTORES'!AO390="X",1,0)</f>
        <v>1</v>
      </c>
      <c r="AH390" s="15">
        <f>IF('ENCUESTA CONDUCTORES'!AP390="X",1,0)</f>
        <v>0</v>
      </c>
      <c r="AI390" s="15">
        <f>IF('ENCUESTA CONDUCTORES'!AQ390="X",1,0)</f>
        <v>0</v>
      </c>
      <c r="AJ390" s="15">
        <f>IF('ENCUESTA CONDUCTORES'!AR390="X",1,0)</f>
        <v>0</v>
      </c>
      <c r="AK390" s="15">
        <f>+'ENCUESTA CONDUCTORES'!AS390</f>
        <v>0</v>
      </c>
      <c r="AL390" s="15" t="str">
        <f>+'ENCUESTA CONDUCTORES'!AT390</f>
        <v>DETROIT</v>
      </c>
      <c r="AM390" s="1">
        <f>+'ENCUESTA CONDUCTORES'!AU390</f>
        <v>12000</v>
      </c>
      <c r="AN390" s="48">
        <f>+'ENCUESTA CONDUCTORES'!AV390</f>
        <v>0</v>
      </c>
      <c r="AO390" s="15">
        <f>+'ENCUESTA CONDUCTORES'!AW390</f>
        <v>2.7</v>
      </c>
      <c r="AP390" s="15">
        <f>+'ENCUESTA CONDUCTORES'!AX390</f>
        <v>2.5</v>
      </c>
      <c r="AQ390" s="15">
        <f>+'ENCUESTA CONDUCTORES'!AY390</f>
        <v>2</v>
      </c>
      <c r="AR390" s="15">
        <f>+'ENCUESTA CONDUCTORES'!AZ390</f>
        <v>850</v>
      </c>
      <c r="AS390" s="15">
        <f>+'ENCUESTA CONDUCTORES'!BA390</f>
        <v>2200</v>
      </c>
      <c r="AT390" s="15">
        <f>IF('ENCUESTA CONDUCTORES'!BB390="X",1,0)</f>
        <v>1</v>
      </c>
      <c r="AU390" s="15">
        <f>IF('ENCUESTA CONDUCTORES'!BC390="X",1,0)</f>
        <v>1</v>
      </c>
      <c r="AV390" s="15">
        <f>IF('ENCUESTA CONDUCTORES'!BD390="X",1,0)</f>
        <v>0</v>
      </c>
      <c r="AW390" s="1">
        <f>+'ENCUESTA CONDUCTORES'!BE390</f>
        <v>18000</v>
      </c>
      <c r="AX390" s="1">
        <f>+'ENCUESTA CONDUCTORES'!BF390</f>
        <v>120000</v>
      </c>
      <c r="AY390" s="1">
        <f>+'ENCUESTA CONDUCTORES'!BG390</f>
        <v>22000</v>
      </c>
      <c r="AZ390" s="1">
        <f>+'ENCUESTA CONDUCTORES'!BH390</f>
        <v>120000</v>
      </c>
      <c r="BA390" s="1" t="str">
        <f>+'ENCUESTA CONDUCTORES'!BI390</f>
        <v>NO SABE</v>
      </c>
      <c r="BB390" s="15">
        <f>IF('ENCUESTA CONDUCTORES'!BJ390="X",1,0)</f>
        <v>0</v>
      </c>
      <c r="BC390" s="15">
        <f>IF('ENCUESTA CONDUCTORES'!BK390="X",1,0)</f>
        <v>1</v>
      </c>
      <c r="BD390" s="15">
        <f>IF('ENCUESTA CONDUCTORES'!BL390="X",1,0)</f>
        <v>0</v>
      </c>
      <c r="BE390" s="15">
        <f>IF('ENCUESTA CONDUCTORES'!BM390="X",1,0)</f>
        <v>1</v>
      </c>
      <c r="BF390" s="15">
        <f>IF('ENCUESTA CONDUCTORES'!BN390="X",1,0)</f>
        <v>1</v>
      </c>
      <c r="BG390" s="15">
        <f>IF('ENCUESTA CONDUCTORES'!BO390="X",1,0)</f>
        <v>0</v>
      </c>
      <c r="BH390" s="15">
        <f>IF('ENCUESTA CONDUCTORES'!BP390="X",1,0)</f>
        <v>1</v>
      </c>
      <c r="BI390" s="15">
        <f>IF('ENCUESTA CONDUCTORES'!BQ390="X",1,0)</f>
        <v>0</v>
      </c>
      <c r="BJ390" s="15">
        <f>IF('ENCUESTA CONDUCTORES'!BR390="X",1,0)</f>
        <v>0</v>
      </c>
      <c r="BK390" s="15">
        <f>+'ENCUESTA CONDUCTORES'!BS390</f>
        <v>0</v>
      </c>
      <c r="BL390" s="15">
        <f>IF('ENCUESTA CONDUCTORES'!BT390="X",1,0)</f>
        <v>0</v>
      </c>
      <c r="BM390" s="15">
        <f>IF('ENCUESTA CONDUCTORES'!BU390="X",1,0)</f>
        <v>1</v>
      </c>
      <c r="BN390" s="15">
        <f>IF('ENCUESTA CONDUCTORES'!BV390="X",1,0)</f>
        <v>0</v>
      </c>
      <c r="BO390" s="15">
        <f>IF('ENCUESTA CONDUCTORES'!BW390="X",1,0)</f>
        <v>0</v>
      </c>
      <c r="BP390" s="15">
        <f>+'ENCUESTA CONDUCTORES'!BX390</f>
        <v>1</v>
      </c>
      <c r="BQ390" s="15">
        <f>+'ENCUESTA CONDUCTORES'!BY390</f>
        <v>3</v>
      </c>
      <c r="BR390" s="15">
        <f>+'ENCUESTA CONDUCTORES'!BZ390</f>
        <v>2</v>
      </c>
      <c r="BS390" s="15">
        <f>+'ENCUESTA CONDUCTORES'!CA390</f>
        <v>0</v>
      </c>
      <c r="BT390" s="15">
        <f>IF('ENCUESTA CONDUCTORES'!CB390="X",1,0)</f>
        <v>1</v>
      </c>
      <c r="BU390" s="15">
        <f>IF('ENCUESTA CONDUCTORES'!CC390="X",1,0)</f>
        <v>0</v>
      </c>
      <c r="BV390" s="15">
        <f>IF('ENCUESTA CONDUCTORES'!CD390="X",1,0)</f>
        <v>0</v>
      </c>
      <c r="BW390" s="15">
        <f>IF('ENCUESTA CONDUCTORES'!CE390="X",1,0)</f>
        <v>0</v>
      </c>
      <c r="BX390" s="15">
        <f>IF('ENCUESTA CONDUCTORES'!CF390="X",1,0)</f>
        <v>0</v>
      </c>
      <c r="BY390" s="15">
        <f>IF('ENCUESTA CONDUCTORES'!CG390="X",1,0)</f>
        <v>0</v>
      </c>
      <c r="BZ390" s="15">
        <f>IF('ENCUESTA CONDUCTORES'!CH390="X",1,0)</f>
        <v>0</v>
      </c>
      <c r="CA390" s="15">
        <f>IF('ENCUESTA CONDUCTORES'!CI390="X",1,0)</f>
        <v>0</v>
      </c>
      <c r="CB390" s="15">
        <f>IF('ENCUESTA CONDUCTORES'!CJ390="X",1,0)</f>
        <v>0</v>
      </c>
      <c r="CC390" s="15">
        <f>IF('ENCUESTA CONDUCTORES'!CK390="X",1,0)</f>
        <v>1</v>
      </c>
      <c r="CD390" s="15">
        <f>IF('ENCUESTA CONDUCTORES'!CL390="X",1,0)</f>
        <v>0</v>
      </c>
      <c r="CE390" s="15">
        <f>IF('ENCUESTA CONDUCTORES'!CM390="X",1,0)</f>
        <v>0</v>
      </c>
      <c r="CF390" s="15">
        <f>+'ENCUESTA CONDUCTORES'!CN390</f>
        <v>0</v>
      </c>
      <c r="CG390" s="15">
        <f>IF('ENCUESTA CONDUCTORES'!CO390="X",1,0)</f>
        <v>0</v>
      </c>
      <c r="CH390" s="15" t="str">
        <f>+'ENCUESTA CONDUCTORES'!CP390</f>
        <v>NO SABE</v>
      </c>
      <c r="CI390" s="15" t="str">
        <f>+'ENCUESTA CONDUCTORES'!CQ390</f>
        <v>NO SABE</v>
      </c>
      <c r="CJ390" s="15">
        <f>IF('ENCUESTA CONDUCTORES'!CR390="X",1,0)</f>
        <v>0</v>
      </c>
      <c r="CK390" s="15">
        <f>IF('ENCUESTA CONDUCTORES'!CS390="X",1,0)</f>
        <v>0</v>
      </c>
      <c r="CL390" s="15">
        <f>IF('ENCUESTA CONDUCTORES'!CT390="X",1,0)</f>
        <v>0</v>
      </c>
      <c r="CM390" s="15" t="str">
        <f>+'ENCUESTA CONDUCTORES'!CU390</f>
        <v>PROGRAMA CONTRA ACCIDENTES</v>
      </c>
      <c r="CN390" s="15">
        <f>IF('ENCUESTA CONDUCTORES'!CV390="X",1,0)</f>
        <v>0</v>
      </c>
      <c r="CO390" s="15">
        <f>+'ENCUESTA CONDUCTORES'!CW390</f>
        <v>0</v>
      </c>
      <c r="CP390" s="15">
        <f>IF('ENCUESTA CONDUCTORES'!CX390="X",1,0)</f>
        <v>1</v>
      </c>
      <c r="CQ390" s="15">
        <f>IF('ENCUESTA CONDUCTORES'!CY390="X",1,0)</f>
        <v>1</v>
      </c>
      <c r="CR390" s="3">
        <f>+'ENCUESTA CONDUCTORES'!CZ390</f>
        <v>0</v>
      </c>
      <c r="CS390" s="49">
        <f>+'ENCUESTA CONDUCTORES'!DA390</f>
        <v>0</v>
      </c>
    </row>
    <row r="391" spans="1:97" x14ac:dyDescent="0.25">
      <c r="B391" s="14" t="str">
        <f>+'ENCUESTA CONDUCTORES'!D391</f>
        <v>C-402</v>
      </c>
      <c r="C391" s="15">
        <f>IF('ENCUESTA CONDUCTORES'!E391="X",1,0)</f>
        <v>0</v>
      </c>
      <c r="D391" s="15">
        <f>IF('ENCUESTA CONDUCTORES'!F391="X",1,0)</f>
        <v>0</v>
      </c>
      <c r="E391" s="15">
        <f>IF('ENCUESTA CONDUCTORES'!G391="X",1,0)</f>
        <v>1</v>
      </c>
      <c r="F391" s="15">
        <f>IF('ENCUESTA CONDUCTORES'!H391="X",1,0)</f>
        <v>0</v>
      </c>
      <c r="G391" s="15">
        <f>+'ENCUESTA CONDUCTORES'!I391</f>
        <v>56</v>
      </c>
      <c r="H391" s="15" t="str">
        <f>+'ENCUESTA CONDUCTORES'!J391</f>
        <v>M</v>
      </c>
      <c r="I391" s="15" t="str">
        <f>+'ENCUESTA CONDUCTORES'!K391</f>
        <v>PRIMARIA</v>
      </c>
      <c r="J391" s="15" t="str">
        <f>+'ENCUESTA CONDUCTORES'!L391</f>
        <v>GOMEZ PALACIO, DGO</v>
      </c>
      <c r="K391" s="15" t="str">
        <f>+'ENCUESTA CONDUCTORES'!M391</f>
        <v>GOMEZ PALACIO</v>
      </c>
      <c r="L391" s="15" t="str">
        <f>+'ENCUESTA CONDUCTORES'!N391</f>
        <v>DURANGO</v>
      </c>
      <c r="M391" s="15">
        <f>+'ENCUESTA CONDUCTORES'!O391</f>
        <v>37</v>
      </c>
      <c r="N391" s="15">
        <f>IF('ENCUESTA CONDUCTORES'!P391="X",1,0)</f>
        <v>0</v>
      </c>
      <c r="O391" s="15">
        <f>IF('ENCUESTA CONDUCTORES'!Q391="X",1,0)</f>
        <v>0</v>
      </c>
      <c r="P391" s="15">
        <f>IF('ENCUESTA CONDUCTORES'!R391="X",1,0)</f>
        <v>0</v>
      </c>
      <c r="Q391" s="15">
        <f>IF('ENCUESTA CONDUCTORES'!S391="X",1,0)</f>
        <v>1</v>
      </c>
      <c r="R391" s="15">
        <f>IF('ENCUESTA CONDUCTORES'!T391="X",1,0)</f>
        <v>0</v>
      </c>
      <c r="S391" s="15">
        <f>IF('ENCUESTA CONDUCTORES'!U391="X",1,0)</f>
        <v>1</v>
      </c>
      <c r="T391" s="15">
        <f>IF('ENCUESTA CONDUCTORES'!V391="X",1,0)</f>
        <v>0</v>
      </c>
      <c r="U391" s="15">
        <f>IF('ENCUESTA CONDUCTORES'!W391="X",1,0)</f>
        <v>0</v>
      </c>
      <c r="V391" s="15">
        <f>IF('ENCUESTA CONDUCTORES'!X391="X",1,0)</f>
        <v>0</v>
      </c>
      <c r="W391" s="15">
        <f>IF('ENCUESTA CONDUCTORES'!Y391="X",1,0)</f>
        <v>0</v>
      </c>
      <c r="X391" s="15">
        <f>IF('ENCUESTA CONDUCTORES'!Z391="X",1,0)</f>
        <v>0</v>
      </c>
      <c r="Y391" s="15">
        <f>+'ENCUESTA CONDUCTORES'!AG391</f>
        <v>0</v>
      </c>
      <c r="Z391" s="15">
        <f>+'ENCUESTA CONDUCTORES'!AH391</f>
        <v>2006</v>
      </c>
      <c r="AA391" s="1">
        <f>+'ENCUESTA CONDUCTORES'!AI391</f>
        <v>731855</v>
      </c>
      <c r="AB391" s="15">
        <f>IF('ENCUESTA CONDUCTORES'!AJ391="X",1,0)</f>
        <v>0</v>
      </c>
      <c r="AC391" s="15">
        <f>IF('ENCUESTA CONDUCTORES'!AK391="X",1,0)</f>
        <v>0</v>
      </c>
      <c r="AD391" s="15">
        <f>IF('ENCUESTA CONDUCTORES'!AL391="X",1,0)</f>
        <v>1</v>
      </c>
      <c r="AE391" s="15">
        <f>IF('ENCUESTA CONDUCTORES'!AM391="X",1,0)</f>
        <v>0</v>
      </c>
      <c r="AF391" s="15">
        <f>IF('ENCUESTA CONDUCTORES'!AN391="X",1,0)</f>
        <v>0</v>
      </c>
      <c r="AG391" s="15">
        <f>IF('ENCUESTA CONDUCTORES'!AO391="X",1,0)</f>
        <v>0</v>
      </c>
      <c r="AH391" s="15">
        <f>IF('ENCUESTA CONDUCTORES'!AP391="X",1,0)</f>
        <v>1</v>
      </c>
      <c r="AI391" s="15">
        <f>IF('ENCUESTA CONDUCTORES'!AQ391="X",1,0)</f>
        <v>0</v>
      </c>
      <c r="AJ391" s="15">
        <f>IF('ENCUESTA CONDUCTORES'!AR391="X",1,0)</f>
        <v>0</v>
      </c>
      <c r="AK391" s="15">
        <f>+'ENCUESTA CONDUCTORES'!AS391</f>
        <v>0</v>
      </c>
      <c r="AL391" s="15" t="str">
        <f>+'ENCUESTA CONDUCTORES'!AT391</f>
        <v>DETROIT</v>
      </c>
      <c r="AM391" s="1">
        <f>+'ENCUESTA CONDUCTORES'!AU391</f>
        <v>8333</v>
      </c>
      <c r="AN391" s="48">
        <f>+'ENCUESTA CONDUCTORES'!AV391</f>
        <v>0.5</v>
      </c>
      <c r="AO391" s="15">
        <f>+'ENCUESTA CONDUCTORES'!AW391</f>
        <v>2.7</v>
      </c>
      <c r="AP391" s="15">
        <f>+'ENCUESTA CONDUCTORES'!AX391</f>
        <v>2.5</v>
      </c>
      <c r="AQ391" s="15">
        <f>+'ENCUESTA CONDUCTORES'!AY391</f>
        <v>2</v>
      </c>
      <c r="AR391" s="15">
        <f>+'ENCUESTA CONDUCTORES'!AZ391</f>
        <v>960</v>
      </c>
      <c r="AS391" s="15">
        <f>+'ENCUESTA CONDUCTORES'!BA391</f>
        <v>2500</v>
      </c>
      <c r="AT391" s="15">
        <f>IF('ENCUESTA CONDUCTORES'!BB391="X",1,0)</f>
        <v>1</v>
      </c>
      <c r="AU391" s="15">
        <f>IF('ENCUESTA CONDUCTORES'!BC391="X",1,0)</f>
        <v>0</v>
      </c>
      <c r="AV391" s="15">
        <f>IF('ENCUESTA CONDUCTORES'!BD391="X",1,0)</f>
        <v>0</v>
      </c>
      <c r="AW391" s="1">
        <f>+'ENCUESTA CONDUCTORES'!BE391</f>
        <v>20000</v>
      </c>
      <c r="AX391" s="1">
        <f>+'ENCUESTA CONDUCTORES'!BF391</f>
        <v>100000</v>
      </c>
      <c r="AY391" s="1">
        <f>+'ENCUESTA CONDUCTORES'!BG391</f>
        <v>20000</v>
      </c>
      <c r="AZ391" s="1">
        <f>+'ENCUESTA CONDUCTORES'!BH391</f>
        <v>100000</v>
      </c>
      <c r="BA391" s="1" t="str">
        <f>+'ENCUESTA CONDUCTORES'!BI391</f>
        <v>NO SABE</v>
      </c>
      <c r="BB391" s="15">
        <f>IF('ENCUESTA CONDUCTORES'!BJ391="X",1,0)</f>
        <v>0</v>
      </c>
      <c r="BC391" s="15">
        <f>IF('ENCUESTA CONDUCTORES'!BK391="X",1,0)</f>
        <v>1</v>
      </c>
      <c r="BD391" s="15">
        <f>IF('ENCUESTA CONDUCTORES'!BL391="X",1,0)</f>
        <v>0</v>
      </c>
      <c r="BE391" s="15">
        <f>IF('ENCUESTA CONDUCTORES'!BM391="X",1,0)</f>
        <v>1</v>
      </c>
      <c r="BF391" s="15">
        <f>IF('ENCUESTA CONDUCTORES'!BN391="X",1,0)</f>
        <v>1</v>
      </c>
      <c r="BG391" s="15">
        <f>IF('ENCUESTA CONDUCTORES'!BO391="X",1,0)</f>
        <v>0</v>
      </c>
      <c r="BH391" s="15">
        <f>IF('ENCUESTA CONDUCTORES'!BP391="X",1,0)</f>
        <v>1</v>
      </c>
      <c r="BI391" s="15">
        <f>IF('ENCUESTA CONDUCTORES'!BQ391="X",1,0)</f>
        <v>0</v>
      </c>
      <c r="BJ391" s="15">
        <f>IF('ENCUESTA CONDUCTORES'!BR391="X",1,0)</f>
        <v>0</v>
      </c>
      <c r="BK391" s="15">
        <f>+'ENCUESTA CONDUCTORES'!BS391</f>
        <v>0</v>
      </c>
      <c r="BL391" s="15">
        <f>IF('ENCUESTA CONDUCTORES'!BT391="X",1,0)</f>
        <v>0</v>
      </c>
      <c r="BM391" s="15">
        <f>IF('ENCUESTA CONDUCTORES'!BU391="X",1,0)</f>
        <v>0</v>
      </c>
      <c r="BN391" s="15">
        <f>IF('ENCUESTA CONDUCTORES'!BV391="X",1,0)</f>
        <v>1</v>
      </c>
      <c r="BO391" s="15">
        <f>IF('ENCUESTA CONDUCTORES'!BW391="X",1,0)</f>
        <v>0</v>
      </c>
      <c r="BP391" s="15">
        <f>+'ENCUESTA CONDUCTORES'!BX391</f>
        <v>1</v>
      </c>
      <c r="BQ391" s="15">
        <f>+'ENCUESTA CONDUCTORES'!BY391</f>
        <v>3</v>
      </c>
      <c r="BR391" s="15">
        <f>+'ENCUESTA CONDUCTORES'!BZ391</f>
        <v>2</v>
      </c>
      <c r="BS391" s="15">
        <f>+'ENCUESTA CONDUCTORES'!CA391</f>
        <v>0</v>
      </c>
      <c r="BT391" s="15">
        <f>IF('ENCUESTA CONDUCTORES'!CB391="X",1,0)</f>
        <v>1</v>
      </c>
      <c r="BU391" s="15">
        <f>IF('ENCUESTA CONDUCTORES'!CC391="X",1,0)</f>
        <v>0</v>
      </c>
      <c r="BV391" s="15">
        <f>IF('ENCUESTA CONDUCTORES'!CD391="X",1,0)</f>
        <v>0</v>
      </c>
      <c r="BW391" s="15">
        <f>IF('ENCUESTA CONDUCTORES'!CE391="X",1,0)</f>
        <v>0</v>
      </c>
      <c r="BX391" s="15">
        <f>IF('ENCUESTA CONDUCTORES'!CF391="X",1,0)</f>
        <v>0</v>
      </c>
      <c r="BY391" s="15">
        <f>IF('ENCUESTA CONDUCTORES'!CG391="X",1,0)</f>
        <v>0</v>
      </c>
      <c r="BZ391" s="15">
        <f>IF('ENCUESTA CONDUCTORES'!CH391="X",1,0)</f>
        <v>0</v>
      </c>
      <c r="CA391" s="15">
        <f>IF('ENCUESTA CONDUCTORES'!CI391="X",1,0)</f>
        <v>0</v>
      </c>
      <c r="CB391" s="15">
        <f>IF('ENCUESTA CONDUCTORES'!CJ391="X",1,0)</f>
        <v>0</v>
      </c>
      <c r="CC391" s="15">
        <f>IF('ENCUESTA CONDUCTORES'!CK391="X",1,0)</f>
        <v>1</v>
      </c>
      <c r="CD391" s="15">
        <f>IF('ENCUESTA CONDUCTORES'!CL391="X",1,0)</f>
        <v>0</v>
      </c>
      <c r="CE391" s="15">
        <f>IF('ENCUESTA CONDUCTORES'!CM391="X",1,0)</f>
        <v>0</v>
      </c>
      <c r="CF391" s="15">
        <f>+'ENCUESTA CONDUCTORES'!CN391</f>
        <v>0</v>
      </c>
      <c r="CG391" s="15">
        <f>IF('ENCUESTA CONDUCTORES'!CO391="X",1,0)</f>
        <v>0</v>
      </c>
      <c r="CH391" s="15" t="str">
        <f>+'ENCUESTA CONDUCTORES'!CP391</f>
        <v>NO SABE</v>
      </c>
      <c r="CI391" s="15" t="str">
        <f>+'ENCUESTA CONDUCTORES'!CQ391</f>
        <v>NO SABE</v>
      </c>
      <c r="CJ391" s="15">
        <f>IF('ENCUESTA CONDUCTORES'!CR391="X",1,0)</f>
        <v>1</v>
      </c>
      <c r="CK391" s="15">
        <f>IF('ENCUESTA CONDUCTORES'!CS391="X",1,0)</f>
        <v>0</v>
      </c>
      <c r="CL391" s="15">
        <f>IF('ENCUESTA CONDUCTORES'!CT391="X",1,0)</f>
        <v>0</v>
      </c>
      <c r="CM391" s="15">
        <f>+'ENCUESTA CONDUCTORES'!CU391</f>
        <v>0</v>
      </c>
      <c r="CN391" s="15">
        <f>IF('ENCUESTA CONDUCTORES'!CV391="X",1,0)</f>
        <v>0</v>
      </c>
      <c r="CO391" s="15">
        <f>+'ENCUESTA CONDUCTORES'!CW391</f>
        <v>0</v>
      </c>
      <c r="CP391" s="15">
        <f>IF('ENCUESTA CONDUCTORES'!CX391="X",1,0)</f>
        <v>0</v>
      </c>
      <c r="CQ391" s="15">
        <f>IF('ENCUESTA CONDUCTORES'!CY391="X",1,0)</f>
        <v>1</v>
      </c>
      <c r="CR391" s="3">
        <f>+'ENCUESTA CONDUCTORES'!CZ391</f>
        <v>0</v>
      </c>
      <c r="CS391" s="49">
        <f>+'ENCUESTA CONDUCTORES'!DA391</f>
        <v>0</v>
      </c>
    </row>
    <row r="392" spans="1:97" x14ac:dyDescent="0.25">
      <c r="B392" s="14" t="str">
        <f>+'ENCUESTA CONDUCTORES'!D392</f>
        <v>C-403</v>
      </c>
      <c r="C392" s="15">
        <f>IF('ENCUESTA CONDUCTORES'!E392="X",1,0)</f>
        <v>0</v>
      </c>
      <c r="D392" s="15">
        <f>IF('ENCUESTA CONDUCTORES'!F392="X",1,0)</f>
        <v>0</v>
      </c>
      <c r="E392" s="15">
        <f>IF('ENCUESTA CONDUCTORES'!G392="X",1,0)</f>
        <v>0</v>
      </c>
      <c r="F392" s="15">
        <f>IF('ENCUESTA CONDUCTORES'!H392="X",1,0)</f>
        <v>1</v>
      </c>
      <c r="G392" s="15">
        <f>+'ENCUESTA CONDUCTORES'!I392</f>
        <v>24</v>
      </c>
      <c r="H392" s="15" t="str">
        <f>+'ENCUESTA CONDUCTORES'!J392</f>
        <v>M</v>
      </c>
      <c r="I392" s="15" t="str">
        <f>+'ENCUESTA CONDUCTORES'!K392</f>
        <v>SECUNDARIA</v>
      </c>
      <c r="J392" s="15" t="str">
        <f>+'ENCUESTA CONDUCTORES'!L392</f>
        <v>TOLUCA, EDO. MEX.</v>
      </c>
      <c r="K392" s="15" t="str">
        <f>+'ENCUESTA CONDUCTORES'!M392</f>
        <v>TOLUCA</v>
      </c>
      <c r="L392" s="15" t="str">
        <f>+'ENCUESTA CONDUCTORES'!N392</f>
        <v>EDO. MEX.</v>
      </c>
      <c r="M392" s="15">
        <f>+'ENCUESTA CONDUCTORES'!O392</f>
        <v>3</v>
      </c>
      <c r="N392" s="15">
        <f>IF('ENCUESTA CONDUCTORES'!P392="X",1,0)</f>
        <v>0</v>
      </c>
      <c r="O392" s="15">
        <f>IF('ENCUESTA CONDUCTORES'!Q392="X",1,0)</f>
        <v>0</v>
      </c>
      <c r="P392" s="15">
        <f>IF('ENCUESTA CONDUCTORES'!R392="X",1,0)</f>
        <v>0</v>
      </c>
      <c r="Q392" s="15">
        <f>IF('ENCUESTA CONDUCTORES'!S392="X",1,0)</f>
        <v>1</v>
      </c>
      <c r="R392" s="15">
        <f>IF('ENCUESTA CONDUCTORES'!T392="X",1,0)</f>
        <v>0</v>
      </c>
      <c r="S392" s="15">
        <f>IF('ENCUESTA CONDUCTORES'!U392="X",1,0)</f>
        <v>1</v>
      </c>
      <c r="T392" s="15">
        <f>IF('ENCUESTA CONDUCTORES'!V392="X",1,0)</f>
        <v>0</v>
      </c>
      <c r="U392" s="15">
        <f>IF('ENCUESTA CONDUCTORES'!W392="X",1,0)</f>
        <v>0</v>
      </c>
      <c r="V392" s="15">
        <f>IF('ENCUESTA CONDUCTORES'!X392="X",1,0)</f>
        <v>0</v>
      </c>
      <c r="W392" s="15">
        <f>IF('ENCUESTA CONDUCTORES'!Y392="X",1,0)</f>
        <v>0</v>
      </c>
      <c r="X392" s="15">
        <f>IF('ENCUESTA CONDUCTORES'!Z392="X",1,0)</f>
        <v>0</v>
      </c>
      <c r="Y392" s="15">
        <f>+'ENCUESTA CONDUCTORES'!AG392</f>
        <v>0</v>
      </c>
      <c r="Z392" s="15">
        <f>+'ENCUESTA CONDUCTORES'!AH392</f>
        <v>2007</v>
      </c>
      <c r="AA392" s="1">
        <f>+'ENCUESTA CONDUCTORES'!AI392</f>
        <v>543201</v>
      </c>
      <c r="AB392" s="15">
        <f>IF('ENCUESTA CONDUCTORES'!AJ392="X",1,0)</f>
        <v>0</v>
      </c>
      <c r="AC392" s="15">
        <f>IF('ENCUESTA CONDUCTORES'!AK392="X",1,0)</f>
        <v>0</v>
      </c>
      <c r="AD392" s="15">
        <f>IF('ENCUESTA CONDUCTORES'!AL392="X",1,0)</f>
        <v>1</v>
      </c>
      <c r="AE392" s="15">
        <f>IF('ENCUESTA CONDUCTORES'!AM392="X",1,0)</f>
        <v>0</v>
      </c>
      <c r="AF392" s="15">
        <f>IF('ENCUESTA CONDUCTORES'!AN392="X",1,0)</f>
        <v>0</v>
      </c>
      <c r="AG392" s="15">
        <f>IF('ENCUESTA CONDUCTORES'!AO392="X",1,0)</f>
        <v>0</v>
      </c>
      <c r="AH392" s="15">
        <f>IF('ENCUESTA CONDUCTORES'!AP392="X",1,0)</f>
        <v>1</v>
      </c>
      <c r="AI392" s="15">
        <f>IF('ENCUESTA CONDUCTORES'!AQ392="X",1,0)</f>
        <v>0</v>
      </c>
      <c r="AJ392" s="15">
        <f>IF('ENCUESTA CONDUCTORES'!AR392="X",1,0)</f>
        <v>0</v>
      </c>
      <c r="AK392" s="15">
        <f>+'ENCUESTA CONDUCTORES'!AS392</f>
        <v>0</v>
      </c>
      <c r="AL392" s="15" t="str">
        <f>+'ENCUESTA CONDUCTORES'!AT392</f>
        <v>CUMMINS</v>
      </c>
      <c r="AM392" s="1">
        <f>+'ENCUESTA CONDUCTORES'!AU392</f>
        <v>7000</v>
      </c>
      <c r="AN392" s="48">
        <f>+'ENCUESTA CONDUCTORES'!AV392</f>
        <v>0.5</v>
      </c>
      <c r="AO392" s="15">
        <f>+'ENCUESTA CONDUCTORES'!AW392</f>
        <v>2.7</v>
      </c>
      <c r="AP392" s="15">
        <f>+'ENCUESTA CONDUCTORES'!AX392</f>
        <v>2.4</v>
      </c>
      <c r="AQ392" s="15">
        <f>+'ENCUESTA CONDUCTORES'!AY392</f>
        <v>2</v>
      </c>
      <c r="AR392" s="15">
        <f>+'ENCUESTA CONDUCTORES'!AZ392</f>
        <v>850</v>
      </c>
      <c r="AS392" s="15">
        <f>+'ENCUESTA CONDUCTORES'!BA392</f>
        <v>2200</v>
      </c>
      <c r="AT392" s="15">
        <f>IF('ENCUESTA CONDUCTORES'!BB392="X",1,0)</f>
        <v>1</v>
      </c>
      <c r="AU392" s="15">
        <f>IF('ENCUESTA CONDUCTORES'!BC392="X",1,0)</f>
        <v>0</v>
      </c>
      <c r="AV392" s="15">
        <f>IF('ENCUESTA CONDUCTORES'!BD392="X",1,0)</f>
        <v>0</v>
      </c>
      <c r="AW392" s="1">
        <f>+'ENCUESTA CONDUCTORES'!BE392</f>
        <v>18000</v>
      </c>
      <c r="AX392" s="1">
        <f>+'ENCUESTA CONDUCTORES'!BF392</f>
        <v>120000</v>
      </c>
      <c r="AY392" s="1">
        <f>+'ENCUESTA CONDUCTORES'!BG392</f>
        <v>20000</v>
      </c>
      <c r="AZ392" s="1">
        <f>+'ENCUESTA CONDUCTORES'!BH392</f>
        <v>120000</v>
      </c>
      <c r="BA392" s="1" t="str">
        <f>+'ENCUESTA CONDUCTORES'!BI392</f>
        <v>NO SABE</v>
      </c>
      <c r="BB392" s="15">
        <f>IF('ENCUESTA CONDUCTORES'!BJ392="X",1,0)</f>
        <v>0</v>
      </c>
      <c r="BC392" s="15">
        <f>IF('ENCUESTA CONDUCTORES'!BK392="X",1,0)</f>
        <v>1</v>
      </c>
      <c r="BD392" s="15">
        <f>IF('ENCUESTA CONDUCTORES'!BL392="X",1,0)</f>
        <v>0</v>
      </c>
      <c r="BE392" s="15">
        <f>IF('ENCUESTA CONDUCTORES'!BM392="X",1,0)</f>
        <v>0</v>
      </c>
      <c r="BF392" s="15">
        <f>IF('ENCUESTA CONDUCTORES'!BN392="X",1,0)</f>
        <v>1</v>
      </c>
      <c r="BG392" s="15">
        <f>IF('ENCUESTA CONDUCTORES'!BO392="X",1,0)</f>
        <v>0</v>
      </c>
      <c r="BH392" s="15">
        <f>IF('ENCUESTA CONDUCTORES'!BP392="X",1,0)</f>
        <v>0</v>
      </c>
      <c r="BI392" s="15">
        <f>IF('ENCUESTA CONDUCTORES'!BQ392="X",1,0)</f>
        <v>0</v>
      </c>
      <c r="BJ392" s="15">
        <f>IF('ENCUESTA CONDUCTORES'!BR392="X",1,0)</f>
        <v>0</v>
      </c>
      <c r="BK392" s="15">
        <f>+'ENCUESTA CONDUCTORES'!BS392</f>
        <v>0</v>
      </c>
      <c r="BL392" s="15">
        <f>IF('ENCUESTA CONDUCTORES'!BT392="X",1,0)</f>
        <v>0</v>
      </c>
      <c r="BM392" s="15">
        <f>IF('ENCUESTA CONDUCTORES'!BU392="X",1,0)</f>
        <v>0</v>
      </c>
      <c r="BN392" s="15">
        <f>IF('ENCUESTA CONDUCTORES'!BV392="X",1,0)</f>
        <v>1</v>
      </c>
      <c r="BO392" s="15">
        <f>IF('ENCUESTA CONDUCTORES'!BW392="X",1,0)</f>
        <v>0</v>
      </c>
      <c r="BP392" s="15">
        <f>+'ENCUESTA CONDUCTORES'!BX392</f>
        <v>1</v>
      </c>
      <c r="BQ392" s="15">
        <f>+'ENCUESTA CONDUCTORES'!BY392</f>
        <v>3</v>
      </c>
      <c r="BR392" s="15">
        <f>+'ENCUESTA CONDUCTORES'!BZ392</f>
        <v>2</v>
      </c>
      <c r="BS392" s="15">
        <f>+'ENCUESTA CONDUCTORES'!CA392</f>
        <v>0</v>
      </c>
      <c r="BT392" s="15">
        <f>IF('ENCUESTA CONDUCTORES'!CB392="X",1,0)</f>
        <v>1</v>
      </c>
      <c r="BU392" s="15">
        <f>IF('ENCUESTA CONDUCTORES'!CC392="X",1,0)</f>
        <v>0</v>
      </c>
      <c r="BV392" s="15">
        <f>IF('ENCUESTA CONDUCTORES'!CD392="X",1,0)</f>
        <v>0</v>
      </c>
      <c r="BW392" s="15">
        <f>IF('ENCUESTA CONDUCTORES'!CE392="X",1,0)</f>
        <v>0</v>
      </c>
      <c r="BX392" s="15">
        <f>IF('ENCUESTA CONDUCTORES'!CF392="X",1,0)</f>
        <v>0</v>
      </c>
      <c r="BY392" s="15">
        <f>IF('ENCUESTA CONDUCTORES'!CG392="X",1,0)</f>
        <v>0</v>
      </c>
      <c r="BZ392" s="15">
        <f>IF('ENCUESTA CONDUCTORES'!CH392="X",1,0)</f>
        <v>0</v>
      </c>
      <c r="CA392" s="15">
        <f>IF('ENCUESTA CONDUCTORES'!CI392="X",1,0)</f>
        <v>0</v>
      </c>
      <c r="CB392" s="15">
        <f>IF('ENCUESTA CONDUCTORES'!CJ392="X",1,0)</f>
        <v>0</v>
      </c>
      <c r="CC392" s="15">
        <f>IF('ENCUESTA CONDUCTORES'!CK392="X",1,0)</f>
        <v>1</v>
      </c>
      <c r="CD392" s="15">
        <f>IF('ENCUESTA CONDUCTORES'!CL392="X",1,0)</f>
        <v>0</v>
      </c>
      <c r="CE392" s="15">
        <f>IF('ENCUESTA CONDUCTORES'!CM392="X",1,0)</f>
        <v>0</v>
      </c>
      <c r="CF392" s="15">
        <f>+'ENCUESTA CONDUCTORES'!CN392</f>
        <v>0</v>
      </c>
      <c r="CG392" s="15">
        <f>IF('ENCUESTA CONDUCTORES'!CO392="X",1,0)</f>
        <v>0</v>
      </c>
      <c r="CH392" s="15" t="str">
        <f>+'ENCUESTA CONDUCTORES'!CP392</f>
        <v>NO SABE</v>
      </c>
      <c r="CI392" s="15" t="str">
        <f>+'ENCUESTA CONDUCTORES'!CQ392</f>
        <v>NO SABE</v>
      </c>
      <c r="CJ392" s="15">
        <f>IF('ENCUESTA CONDUCTORES'!CR392="X",1,0)</f>
        <v>1</v>
      </c>
      <c r="CK392" s="15">
        <f>IF('ENCUESTA CONDUCTORES'!CS392="X",1,0)</f>
        <v>0</v>
      </c>
      <c r="CL392" s="15">
        <f>IF('ENCUESTA CONDUCTORES'!CT392="X",1,0)</f>
        <v>0</v>
      </c>
      <c r="CM392" s="15">
        <f>+'ENCUESTA CONDUCTORES'!CU392</f>
        <v>0</v>
      </c>
      <c r="CN392" s="15">
        <f>IF('ENCUESTA CONDUCTORES'!CV392="X",1,0)</f>
        <v>0</v>
      </c>
      <c r="CO392" s="15">
        <f>+'ENCUESTA CONDUCTORES'!CW392</f>
        <v>0</v>
      </c>
      <c r="CP392" s="15">
        <f>IF('ENCUESTA CONDUCTORES'!CX392="X",1,0)</f>
        <v>1</v>
      </c>
      <c r="CQ392" s="15">
        <f>IF('ENCUESTA CONDUCTORES'!CY392="X",1,0)</f>
        <v>1</v>
      </c>
      <c r="CR392" s="3">
        <f>+'ENCUESTA CONDUCTORES'!CZ392</f>
        <v>0</v>
      </c>
      <c r="CS392" s="49">
        <f>+'ENCUESTA CONDUCTORES'!DA392</f>
        <v>0</v>
      </c>
    </row>
    <row r="393" spans="1:97" x14ac:dyDescent="0.25">
      <c r="B393" s="14" t="str">
        <f>+'ENCUESTA CONDUCTORES'!D393</f>
        <v>C-404</v>
      </c>
      <c r="C393" s="15">
        <f>IF('ENCUESTA CONDUCTORES'!E393="X",1,0)</f>
        <v>0</v>
      </c>
      <c r="D393" s="15">
        <f>IF('ENCUESTA CONDUCTORES'!F393="X",1,0)</f>
        <v>1</v>
      </c>
      <c r="E393" s="15">
        <f>IF('ENCUESTA CONDUCTORES'!G393="X",1,0)</f>
        <v>0</v>
      </c>
      <c r="F393" s="15">
        <f>IF('ENCUESTA CONDUCTORES'!H393="X",1,0)</f>
        <v>0</v>
      </c>
      <c r="G393" s="15">
        <f>+'ENCUESTA CONDUCTORES'!I393</f>
        <v>31</v>
      </c>
      <c r="H393" s="15" t="str">
        <f>+'ENCUESTA CONDUCTORES'!J393</f>
        <v>M</v>
      </c>
      <c r="I393" s="15" t="str">
        <f>+'ENCUESTA CONDUCTORES'!K393</f>
        <v>SECUNDARIA</v>
      </c>
      <c r="J393" s="15" t="str">
        <f>+'ENCUESTA CONDUCTORES'!L393</f>
        <v>CADEREYTA, NVO LEON</v>
      </c>
      <c r="K393" s="15" t="str">
        <f>+'ENCUESTA CONDUCTORES'!M393</f>
        <v>CADEREYTA</v>
      </c>
      <c r="L393" s="15" t="str">
        <f>+'ENCUESTA CONDUCTORES'!N393</f>
        <v>NVO. LEON</v>
      </c>
      <c r="M393" s="15">
        <f>+'ENCUESTA CONDUCTORES'!O393</f>
        <v>8</v>
      </c>
      <c r="N393" s="15">
        <f>IF('ENCUESTA CONDUCTORES'!P393="X",1,0)</f>
        <v>0</v>
      </c>
      <c r="O393" s="15">
        <f>IF('ENCUESTA CONDUCTORES'!Q393="X",1,0)</f>
        <v>0</v>
      </c>
      <c r="P393" s="15">
        <f>IF('ENCUESTA CONDUCTORES'!R393="X",1,0)</f>
        <v>0</v>
      </c>
      <c r="Q393" s="15">
        <f>IF('ENCUESTA CONDUCTORES'!S393="X",1,0)</f>
        <v>1</v>
      </c>
      <c r="R393" s="15">
        <f>IF('ENCUESTA CONDUCTORES'!T393="X",1,0)</f>
        <v>0</v>
      </c>
      <c r="S393" s="15">
        <f>IF('ENCUESTA CONDUCTORES'!U393="X",1,0)</f>
        <v>0</v>
      </c>
      <c r="T393" s="15">
        <f>IF('ENCUESTA CONDUCTORES'!V393="X",1,0)</f>
        <v>0</v>
      </c>
      <c r="U393" s="15">
        <f>IF('ENCUESTA CONDUCTORES'!W393="X",1,0)</f>
        <v>1</v>
      </c>
      <c r="V393" s="15">
        <f>IF('ENCUESTA CONDUCTORES'!X393="X",1,0)</f>
        <v>0</v>
      </c>
      <c r="W393" s="15">
        <f>IF('ENCUESTA CONDUCTORES'!Y393="X",1,0)</f>
        <v>0</v>
      </c>
      <c r="X393" s="15">
        <f>IF('ENCUESTA CONDUCTORES'!Z393="X",1,0)</f>
        <v>0</v>
      </c>
      <c r="Y393" s="15">
        <f>+'ENCUESTA CONDUCTORES'!AG393</f>
        <v>0</v>
      </c>
      <c r="Z393" s="15">
        <f>+'ENCUESTA CONDUCTORES'!AH393</f>
        <v>2005</v>
      </c>
      <c r="AA393" s="1">
        <f>+'ENCUESTA CONDUCTORES'!AI393</f>
        <v>771802</v>
      </c>
      <c r="AB393" s="15">
        <f>IF('ENCUESTA CONDUCTORES'!AJ393="X",1,0)</f>
        <v>0</v>
      </c>
      <c r="AC393" s="15">
        <f>IF('ENCUESTA CONDUCTORES'!AK393="X",1,0)</f>
        <v>0</v>
      </c>
      <c r="AD393" s="15">
        <f>IF('ENCUESTA CONDUCTORES'!AL393="X",1,0)</f>
        <v>1</v>
      </c>
      <c r="AE393" s="15">
        <f>IF('ENCUESTA CONDUCTORES'!AM393="X",1,0)</f>
        <v>0</v>
      </c>
      <c r="AF393" s="15">
        <f>IF('ENCUESTA CONDUCTORES'!AN393="X",1,0)</f>
        <v>0</v>
      </c>
      <c r="AG393" s="15">
        <f>IF('ENCUESTA CONDUCTORES'!AO393="X",1,0)</f>
        <v>0</v>
      </c>
      <c r="AH393" s="15">
        <f>IF('ENCUESTA CONDUCTORES'!AP393="X",1,0)</f>
        <v>1</v>
      </c>
      <c r="AI393" s="15">
        <f>IF('ENCUESTA CONDUCTORES'!AQ393="X",1,0)</f>
        <v>0</v>
      </c>
      <c r="AJ393" s="15">
        <f>IF('ENCUESTA CONDUCTORES'!AR393="X",1,0)</f>
        <v>0</v>
      </c>
      <c r="AK393" s="15">
        <f>+'ENCUESTA CONDUCTORES'!AS393</f>
        <v>0</v>
      </c>
      <c r="AL393" s="15" t="str">
        <f>+'ENCUESTA CONDUCTORES'!AT393</f>
        <v>DETROIT</v>
      </c>
      <c r="AM393" s="1">
        <f>+'ENCUESTA CONDUCTORES'!AU393</f>
        <v>9000</v>
      </c>
      <c r="AN393" s="48">
        <f>+'ENCUESTA CONDUCTORES'!AV393</f>
        <v>0.5</v>
      </c>
      <c r="AO393" s="15">
        <f>+'ENCUESTA CONDUCTORES'!AW393</f>
        <v>2.7</v>
      </c>
      <c r="AP393" s="15">
        <f>+'ENCUESTA CONDUCTORES'!AX393</f>
        <v>2.2999999999999998</v>
      </c>
      <c r="AQ393" s="15">
        <f>+'ENCUESTA CONDUCTORES'!AY393</f>
        <v>2</v>
      </c>
      <c r="AR393" s="15">
        <f>+'ENCUESTA CONDUCTORES'!AZ393</f>
        <v>880</v>
      </c>
      <c r="AS393" s="15">
        <f>+'ENCUESTA CONDUCTORES'!BA393</f>
        <v>2300</v>
      </c>
      <c r="AT393" s="15">
        <f>IF('ENCUESTA CONDUCTORES'!BB393="X",1,0)</f>
        <v>1</v>
      </c>
      <c r="AU393" s="15">
        <f>IF('ENCUESTA CONDUCTORES'!BC393="X",1,0)</f>
        <v>0</v>
      </c>
      <c r="AV393" s="15">
        <f>IF('ENCUESTA CONDUCTORES'!BD393="X",1,0)</f>
        <v>0</v>
      </c>
      <c r="AW393" s="1">
        <f>+'ENCUESTA CONDUCTORES'!BE393</f>
        <v>18000</v>
      </c>
      <c r="AX393" s="1">
        <f>+'ENCUESTA CONDUCTORES'!BF393</f>
        <v>150000</v>
      </c>
      <c r="AY393" s="1">
        <f>+'ENCUESTA CONDUCTORES'!BG393</f>
        <v>24000</v>
      </c>
      <c r="AZ393" s="1">
        <f>+'ENCUESTA CONDUCTORES'!BH393</f>
        <v>100000</v>
      </c>
      <c r="BA393" s="1" t="str">
        <f>+'ENCUESTA CONDUCTORES'!BI393</f>
        <v>NO SABE</v>
      </c>
      <c r="BB393" s="15">
        <f>IF('ENCUESTA CONDUCTORES'!BJ393="X",1,0)</f>
        <v>1</v>
      </c>
      <c r="BC393" s="15">
        <f>IF('ENCUESTA CONDUCTORES'!BK393="X",1,0)</f>
        <v>0</v>
      </c>
      <c r="BD393" s="15">
        <f>IF('ENCUESTA CONDUCTORES'!BL393="X",1,0)</f>
        <v>0</v>
      </c>
      <c r="BE393" s="15">
        <f>IF('ENCUESTA CONDUCTORES'!BM393="X",1,0)</f>
        <v>0</v>
      </c>
      <c r="BF393" s="15">
        <f>IF('ENCUESTA CONDUCTORES'!BN393="X",1,0)</f>
        <v>0</v>
      </c>
      <c r="BG393" s="15">
        <f>IF('ENCUESTA CONDUCTORES'!BO393="X",1,0)</f>
        <v>1</v>
      </c>
      <c r="BH393" s="15">
        <f>IF('ENCUESTA CONDUCTORES'!BP393="X",1,0)</f>
        <v>0</v>
      </c>
      <c r="BI393" s="15">
        <f>IF('ENCUESTA CONDUCTORES'!BQ393="X",1,0)</f>
        <v>0</v>
      </c>
      <c r="BJ393" s="15">
        <f>IF('ENCUESTA CONDUCTORES'!BR393="X",1,0)</f>
        <v>0</v>
      </c>
      <c r="BK393" s="15">
        <f>+'ENCUESTA CONDUCTORES'!BS393</f>
        <v>0</v>
      </c>
      <c r="BL393" s="15">
        <f>IF('ENCUESTA CONDUCTORES'!BT393="X",1,0)</f>
        <v>0</v>
      </c>
      <c r="BM393" s="15">
        <f>IF('ENCUESTA CONDUCTORES'!BU393="X",1,0)</f>
        <v>1</v>
      </c>
      <c r="BN393" s="15">
        <f>IF('ENCUESTA CONDUCTORES'!BV393="X",1,0)</f>
        <v>0</v>
      </c>
      <c r="BO393" s="15">
        <f>IF('ENCUESTA CONDUCTORES'!BW393="X",1,0)</f>
        <v>0</v>
      </c>
      <c r="BP393" s="15">
        <f>+'ENCUESTA CONDUCTORES'!BX393</f>
        <v>3</v>
      </c>
      <c r="BQ393" s="15">
        <f>+'ENCUESTA CONDUCTORES'!BY393</f>
        <v>2</v>
      </c>
      <c r="BR393" s="15">
        <f>+'ENCUESTA CONDUCTORES'!BZ393</f>
        <v>1</v>
      </c>
      <c r="BS393" s="15">
        <f>+'ENCUESTA CONDUCTORES'!CA393</f>
        <v>0</v>
      </c>
      <c r="BT393" s="15">
        <f>IF('ENCUESTA CONDUCTORES'!CB393="X",1,0)</f>
        <v>1</v>
      </c>
      <c r="BU393" s="15">
        <f>IF('ENCUESTA CONDUCTORES'!CC393="X",1,0)</f>
        <v>0</v>
      </c>
      <c r="BV393" s="15">
        <f>IF('ENCUESTA CONDUCTORES'!CD393="X",1,0)</f>
        <v>0</v>
      </c>
      <c r="BW393" s="15">
        <f>IF('ENCUESTA CONDUCTORES'!CE393="X",1,0)</f>
        <v>0</v>
      </c>
      <c r="BX393" s="15">
        <f>IF('ENCUESTA CONDUCTORES'!CF393="X",1,0)</f>
        <v>0</v>
      </c>
      <c r="BY393" s="15">
        <f>IF('ENCUESTA CONDUCTORES'!CG393="X",1,0)</f>
        <v>0</v>
      </c>
      <c r="BZ393" s="15">
        <f>IF('ENCUESTA CONDUCTORES'!CH393="X",1,0)</f>
        <v>0</v>
      </c>
      <c r="CA393" s="15">
        <f>IF('ENCUESTA CONDUCTORES'!CI393="X",1,0)</f>
        <v>0</v>
      </c>
      <c r="CB393" s="15">
        <f>IF('ENCUESTA CONDUCTORES'!CJ393="X",1,0)</f>
        <v>0</v>
      </c>
      <c r="CC393" s="15">
        <f>IF('ENCUESTA CONDUCTORES'!CK393="X",1,0)</f>
        <v>1</v>
      </c>
      <c r="CD393" s="15">
        <f>IF('ENCUESTA CONDUCTORES'!CL393="X",1,0)</f>
        <v>0</v>
      </c>
      <c r="CE393" s="15">
        <f>IF('ENCUESTA CONDUCTORES'!CM393="X",1,0)</f>
        <v>0</v>
      </c>
      <c r="CF393" s="15">
        <f>+'ENCUESTA CONDUCTORES'!CN393</f>
        <v>0</v>
      </c>
      <c r="CG393" s="15">
        <f>IF('ENCUESTA CONDUCTORES'!CO393="X",1,0)</f>
        <v>0</v>
      </c>
      <c r="CH393" s="15" t="str">
        <f>+'ENCUESTA CONDUCTORES'!CP393</f>
        <v>NO SABE</v>
      </c>
      <c r="CI393" s="15" t="str">
        <f>+'ENCUESTA CONDUCTORES'!CQ393</f>
        <v>NO SABE</v>
      </c>
      <c r="CJ393" s="15">
        <f>IF('ENCUESTA CONDUCTORES'!CR393="X",1,0)</f>
        <v>1</v>
      </c>
      <c r="CK393" s="15">
        <f>IF('ENCUESTA CONDUCTORES'!CS393="X",1,0)</f>
        <v>0</v>
      </c>
      <c r="CL393" s="15">
        <f>IF('ENCUESTA CONDUCTORES'!CT393="X",1,0)</f>
        <v>0</v>
      </c>
      <c r="CM393" s="15">
        <f>+'ENCUESTA CONDUCTORES'!CU393</f>
        <v>0</v>
      </c>
      <c r="CN393" s="15">
        <f>IF('ENCUESTA CONDUCTORES'!CV393="X",1,0)</f>
        <v>0</v>
      </c>
      <c r="CO393" s="15">
        <f>+'ENCUESTA CONDUCTORES'!CW393</f>
        <v>0</v>
      </c>
      <c r="CP393" s="15">
        <f>IF('ENCUESTA CONDUCTORES'!CX393="X",1,0)</f>
        <v>1</v>
      </c>
      <c r="CQ393" s="15">
        <f>IF('ENCUESTA CONDUCTORES'!CY393="X",1,0)</f>
        <v>0</v>
      </c>
      <c r="CR393" s="3">
        <f>+'ENCUESTA CONDUCTORES'!CZ393</f>
        <v>0</v>
      </c>
      <c r="CS393" s="49">
        <f>+'ENCUESTA CONDUCTORES'!DA393</f>
        <v>0</v>
      </c>
    </row>
    <row r="394" spans="1:97" x14ac:dyDescent="0.25">
      <c r="B394" s="14" t="str">
        <f>+'ENCUESTA CONDUCTORES'!D394</f>
        <v>C-405</v>
      </c>
      <c r="C394" s="15">
        <f>IF('ENCUESTA CONDUCTORES'!E394="X",1,0)</f>
        <v>1</v>
      </c>
      <c r="D394" s="15">
        <f>IF('ENCUESTA CONDUCTORES'!F394="X",1,0)</f>
        <v>0</v>
      </c>
      <c r="E394" s="15">
        <f>IF('ENCUESTA CONDUCTORES'!G394="X",1,0)</f>
        <v>0</v>
      </c>
      <c r="F394" s="15">
        <f>IF('ENCUESTA CONDUCTORES'!H394="X",1,0)</f>
        <v>0</v>
      </c>
      <c r="G394" s="15">
        <f>+'ENCUESTA CONDUCTORES'!I394</f>
        <v>60</v>
      </c>
      <c r="H394" s="15" t="str">
        <f>+'ENCUESTA CONDUCTORES'!J394</f>
        <v>M</v>
      </c>
      <c r="I394" s="15" t="str">
        <f>+'ENCUESTA CONDUCTORES'!K394</f>
        <v>SIN ESTUDIOS</v>
      </c>
      <c r="J394" s="15" t="str">
        <f>+'ENCUESTA CONDUCTORES'!L394</f>
        <v>ROSA MORADA, NAYARIT</v>
      </c>
      <c r="K394" s="15" t="str">
        <f>+'ENCUESTA CONDUCTORES'!M394</f>
        <v>ROSA MORADA</v>
      </c>
      <c r="L394" s="15" t="str">
        <f>+'ENCUESTA CONDUCTORES'!N394</f>
        <v>NAYARIT</v>
      </c>
      <c r="M394" s="15">
        <f>+'ENCUESTA CONDUCTORES'!O394</f>
        <v>40</v>
      </c>
      <c r="N394" s="15">
        <f>IF('ENCUESTA CONDUCTORES'!P394="X",1,0)</f>
        <v>0</v>
      </c>
      <c r="O394" s="15">
        <f>IF('ENCUESTA CONDUCTORES'!Q394="X",1,0)</f>
        <v>1</v>
      </c>
      <c r="P394" s="15">
        <f>IF('ENCUESTA CONDUCTORES'!R394="X",1,0)</f>
        <v>0</v>
      </c>
      <c r="Q394" s="15">
        <f>IF('ENCUESTA CONDUCTORES'!S394="X",1,0)</f>
        <v>0</v>
      </c>
      <c r="R394" s="15">
        <f>IF('ENCUESTA CONDUCTORES'!T394="X",1,0)</f>
        <v>0</v>
      </c>
      <c r="S394" s="15">
        <f>IF('ENCUESTA CONDUCTORES'!U394="X",1,0)</f>
        <v>0</v>
      </c>
      <c r="T394" s="15">
        <f>IF('ENCUESTA CONDUCTORES'!V394="X",1,0)</f>
        <v>0</v>
      </c>
      <c r="U394" s="15">
        <f>IF('ENCUESTA CONDUCTORES'!W394="X",1,0)</f>
        <v>0</v>
      </c>
      <c r="V394" s="15">
        <f>IF('ENCUESTA CONDUCTORES'!X394="X",1,0)</f>
        <v>0</v>
      </c>
      <c r="W394" s="15">
        <f>IF('ENCUESTA CONDUCTORES'!Y394="X",1,0)</f>
        <v>0</v>
      </c>
      <c r="X394" s="15">
        <f>IF('ENCUESTA CONDUCTORES'!Z394="X",1,0)</f>
        <v>0</v>
      </c>
      <c r="Y394" s="15">
        <f>+'ENCUESTA CONDUCTORES'!AG394</f>
        <v>0</v>
      </c>
      <c r="Z394" s="15">
        <f>+'ENCUESTA CONDUCTORES'!AH394</f>
        <v>2003</v>
      </c>
      <c r="AA394" s="1">
        <f>+'ENCUESTA CONDUCTORES'!AI394</f>
        <v>905673</v>
      </c>
      <c r="AB394" s="15">
        <f>IF('ENCUESTA CONDUCTORES'!AJ394="X",1,0)</f>
        <v>0</v>
      </c>
      <c r="AC394" s="15">
        <f>IF('ENCUESTA CONDUCTORES'!AK394="X",1,0)</f>
        <v>0</v>
      </c>
      <c r="AD394" s="15">
        <f>IF('ENCUESTA CONDUCTORES'!AL394="X",1,0)</f>
        <v>1</v>
      </c>
      <c r="AE394" s="15">
        <f>IF('ENCUESTA CONDUCTORES'!AM394="X",1,0)</f>
        <v>0</v>
      </c>
      <c r="AF394" s="15">
        <f>IF('ENCUESTA CONDUCTORES'!AN394="X",1,0)</f>
        <v>0</v>
      </c>
      <c r="AG394" s="15">
        <f>IF('ENCUESTA CONDUCTORES'!AO394="X",1,0)</f>
        <v>0</v>
      </c>
      <c r="AH394" s="15">
        <f>IF('ENCUESTA CONDUCTORES'!AP394="X",1,0)</f>
        <v>1</v>
      </c>
      <c r="AI394" s="15">
        <f>IF('ENCUESTA CONDUCTORES'!AQ394="X",1,0)</f>
        <v>0</v>
      </c>
      <c r="AJ394" s="15">
        <f>IF('ENCUESTA CONDUCTORES'!AR394="X",1,0)</f>
        <v>0</v>
      </c>
      <c r="AK394" s="15">
        <f>+'ENCUESTA CONDUCTORES'!AS394</f>
        <v>0</v>
      </c>
      <c r="AL394" s="15" t="str">
        <f>+'ENCUESTA CONDUCTORES'!AT394</f>
        <v>CUMMINS</v>
      </c>
      <c r="AM394" s="1">
        <f>+'ENCUESTA CONDUCTORES'!AU394</f>
        <v>8000</v>
      </c>
      <c r="AN394" s="48">
        <f>+'ENCUESTA CONDUCTORES'!AV394</f>
        <v>0.2</v>
      </c>
      <c r="AO394" s="15">
        <f>+'ENCUESTA CONDUCTORES'!AW394</f>
        <v>3.8</v>
      </c>
      <c r="AP394" s="15">
        <f>+'ENCUESTA CONDUCTORES'!AX394</f>
        <v>3.2</v>
      </c>
      <c r="AQ394" s="15">
        <f>+'ENCUESTA CONDUCTORES'!AY394</f>
        <v>2</v>
      </c>
      <c r="AR394" s="15">
        <f>+'ENCUESTA CONDUCTORES'!AZ394</f>
        <v>800</v>
      </c>
      <c r="AS394" s="15">
        <f>+'ENCUESTA CONDUCTORES'!BA394</f>
        <v>2800</v>
      </c>
      <c r="AT394" s="15">
        <f>IF('ENCUESTA CONDUCTORES'!BB394="X",1,0)</f>
        <v>1</v>
      </c>
      <c r="AU394" s="15">
        <f>IF('ENCUESTA CONDUCTORES'!BC394="X",1,0)</f>
        <v>0</v>
      </c>
      <c r="AV394" s="15">
        <f>IF('ENCUESTA CONDUCTORES'!BD394="X",1,0)</f>
        <v>0</v>
      </c>
      <c r="AW394" s="1">
        <f>+'ENCUESTA CONDUCTORES'!BE394</f>
        <v>24000</v>
      </c>
      <c r="AX394" s="1">
        <f>+'ENCUESTA CONDUCTORES'!BF394</f>
        <v>150000</v>
      </c>
      <c r="AY394" s="1">
        <f>+'ENCUESTA CONDUCTORES'!BG394</f>
        <v>24000</v>
      </c>
      <c r="AZ394" s="1">
        <f>+'ENCUESTA CONDUCTORES'!BH394</f>
        <v>150000</v>
      </c>
      <c r="BA394" s="1" t="str">
        <f>+'ENCUESTA CONDUCTORES'!BI394</f>
        <v>NO SABE</v>
      </c>
      <c r="BB394" s="15">
        <f>IF('ENCUESTA CONDUCTORES'!BJ394="X",1,0)</f>
        <v>1</v>
      </c>
      <c r="BC394" s="15">
        <f>IF('ENCUESTA CONDUCTORES'!BK394="X",1,0)</f>
        <v>1</v>
      </c>
      <c r="BD394" s="15">
        <f>IF('ENCUESTA CONDUCTORES'!BL394="X",1,0)</f>
        <v>0</v>
      </c>
      <c r="BE394" s="15">
        <f>IF('ENCUESTA CONDUCTORES'!BM394="X",1,0)</f>
        <v>0</v>
      </c>
      <c r="BF394" s="15">
        <f>IF('ENCUESTA CONDUCTORES'!BN394="X",1,0)</f>
        <v>0</v>
      </c>
      <c r="BG394" s="15">
        <f>IF('ENCUESTA CONDUCTORES'!BO394="X",1,0)</f>
        <v>1</v>
      </c>
      <c r="BH394" s="15">
        <f>IF('ENCUESTA CONDUCTORES'!BP394="X",1,0)</f>
        <v>0</v>
      </c>
      <c r="BI394" s="15">
        <f>IF('ENCUESTA CONDUCTORES'!BQ394="X",1,0)</f>
        <v>0</v>
      </c>
      <c r="BJ394" s="15">
        <f>IF('ENCUESTA CONDUCTORES'!BR394="X",1,0)</f>
        <v>0</v>
      </c>
      <c r="BK394" s="15">
        <f>+'ENCUESTA CONDUCTORES'!BS394</f>
        <v>0</v>
      </c>
      <c r="BL394" s="15">
        <f>IF('ENCUESTA CONDUCTORES'!BT394="X",1,0)</f>
        <v>0</v>
      </c>
      <c r="BM394" s="15">
        <f>IF('ENCUESTA CONDUCTORES'!BU394="X",1,0)</f>
        <v>0</v>
      </c>
      <c r="BN394" s="15">
        <f>IF('ENCUESTA CONDUCTORES'!BV394="X",1,0)</f>
        <v>1</v>
      </c>
      <c r="BO394" s="15">
        <f>IF('ENCUESTA CONDUCTORES'!BW394="X",1,0)</f>
        <v>0</v>
      </c>
      <c r="BP394" s="15">
        <f>+'ENCUESTA CONDUCTORES'!BX394</f>
        <v>1</v>
      </c>
      <c r="BQ394" s="15">
        <f>+'ENCUESTA CONDUCTORES'!BY394</f>
        <v>3</v>
      </c>
      <c r="BR394" s="15">
        <f>+'ENCUESTA CONDUCTORES'!BZ394</f>
        <v>2</v>
      </c>
      <c r="BS394" s="15">
        <f>+'ENCUESTA CONDUCTORES'!CA394</f>
        <v>0</v>
      </c>
      <c r="BT394" s="15">
        <f>IF('ENCUESTA CONDUCTORES'!CB394="X",1,0)</f>
        <v>1</v>
      </c>
      <c r="BU394" s="15">
        <f>IF('ENCUESTA CONDUCTORES'!CC394="X",1,0)</f>
        <v>0</v>
      </c>
      <c r="BV394" s="15">
        <f>IF('ENCUESTA CONDUCTORES'!CD394="X",1,0)</f>
        <v>0</v>
      </c>
      <c r="BW394" s="15">
        <f>IF('ENCUESTA CONDUCTORES'!CE394="X",1,0)</f>
        <v>0</v>
      </c>
      <c r="BX394" s="15">
        <f>IF('ENCUESTA CONDUCTORES'!CF394="X",1,0)</f>
        <v>0</v>
      </c>
      <c r="BY394" s="15">
        <f>IF('ENCUESTA CONDUCTORES'!CG394="X",1,0)</f>
        <v>0</v>
      </c>
      <c r="BZ394" s="15">
        <f>IF('ENCUESTA CONDUCTORES'!CH394="X",1,0)</f>
        <v>0</v>
      </c>
      <c r="CA394" s="15">
        <f>IF('ENCUESTA CONDUCTORES'!CI394="X",1,0)</f>
        <v>0</v>
      </c>
      <c r="CB394" s="15">
        <f>IF('ENCUESTA CONDUCTORES'!CJ394="X",1,0)</f>
        <v>0</v>
      </c>
      <c r="CC394" s="15">
        <f>IF('ENCUESTA CONDUCTORES'!CK394="X",1,0)</f>
        <v>1</v>
      </c>
      <c r="CD394" s="15">
        <f>IF('ENCUESTA CONDUCTORES'!CL394="X",1,0)</f>
        <v>0</v>
      </c>
      <c r="CE394" s="15">
        <f>IF('ENCUESTA CONDUCTORES'!CM394="X",1,0)</f>
        <v>0</v>
      </c>
      <c r="CF394" s="15">
        <f>+'ENCUESTA CONDUCTORES'!CN394</f>
        <v>0</v>
      </c>
      <c r="CG394" s="15">
        <f>IF('ENCUESTA CONDUCTORES'!CO394="X",1,0)</f>
        <v>0</v>
      </c>
      <c r="CH394" s="15" t="str">
        <f>+'ENCUESTA CONDUCTORES'!CP394</f>
        <v>NO SABE</v>
      </c>
      <c r="CI394" s="15" t="str">
        <f>+'ENCUESTA CONDUCTORES'!CQ394</f>
        <v>NO SABE</v>
      </c>
      <c r="CJ394" s="15">
        <f>IF('ENCUESTA CONDUCTORES'!CR394="X",1,0)</f>
        <v>1</v>
      </c>
      <c r="CK394" s="15">
        <f>IF('ENCUESTA CONDUCTORES'!CS394="X",1,0)</f>
        <v>0</v>
      </c>
      <c r="CL394" s="15">
        <f>IF('ENCUESTA CONDUCTORES'!CT394="X",1,0)</f>
        <v>0</v>
      </c>
      <c r="CM394" s="15">
        <f>+'ENCUESTA CONDUCTORES'!CU394</f>
        <v>0</v>
      </c>
      <c r="CN394" s="15">
        <f>IF('ENCUESTA CONDUCTORES'!CV394="X",1,0)</f>
        <v>0</v>
      </c>
      <c r="CO394" s="15">
        <f>+'ENCUESTA CONDUCTORES'!CW394</f>
        <v>0</v>
      </c>
      <c r="CP394" s="15">
        <f>IF('ENCUESTA CONDUCTORES'!CX394="X",1,0)</f>
        <v>1</v>
      </c>
      <c r="CQ394" s="15">
        <f>IF('ENCUESTA CONDUCTORES'!CY394="X",1,0)</f>
        <v>1</v>
      </c>
      <c r="CR394" s="3">
        <f>+'ENCUESTA CONDUCTORES'!CZ394</f>
        <v>0</v>
      </c>
      <c r="CS394" s="49">
        <f>+'ENCUESTA CONDUCTORES'!DA394</f>
        <v>0</v>
      </c>
    </row>
    <row r="395" spans="1:97" x14ac:dyDescent="0.25">
      <c r="B395" s="14" t="str">
        <f>+'ENCUESTA CONDUCTORES'!D395</f>
        <v>C-406</v>
      </c>
      <c r="C395" s="15">
        <f>IF('ENCUESTA CONDUCTORES'!E395="X",1,0)</f>
        <v>1</v>
      </c>
      <c r="D395" s="15">
        <f>IF('ENCUESTA CONDUCTORES'!F395="X",1,0)</f>
        <v>0</v>
      </c>
      <c r="E395" s="15">
        <f>IF('ENCUESTA CONDUCTORES'!G395="X",1,0)</f>
        <v>0</v>
      </c>
      <c r="F395" s="15">
        <f>IF('ENCUESTA CONDUCTORES'!H395="X",1,0)</f>
        <v>0</v>
      </c>
      <c r="G395" s="15">
        <f>+'ENCUESTA CONDUCTORES'!I395</f>
        <v>46</v>
      </c>
      <c r="H395" s="15" t="str">
        <f>+'ENCUESTA CONDUCTORES'!J395</f>
        <v>M</v>
      </c>
      <c r="I395" s="15" t="str">
        <f>+'ENCUESTA CONDUCTORES'!K395</f>
        <v>LICENCIATURA</v>
      </c>
      <c r="J395" s="15" t="str">
        <f>+'ENCUESTA CONDUCTORES'!L395</f>
        <v>TEXCOCO, EDO. MEX</v>
      </c>
      <c r="K395" s="15" t="str">
        <f>+'ENCUESTA CONDUCTORES'!M395</f>
        <v>TEXCOCO</v>
      </c>
      <c r="L395" s="15" t="str">
        <f>+'ENCUESTA CONDUCTORES'!N395</f>
        <v>EDO. MEX.</v>
      </c>
      <c r="M395" s="15">
        <f>+'ENCUESTA CONDUCTORES'!O395</f>
        <v>27</v>
      </c>
      <c r="N395" s="15">
        <f>IF('ENCUESTA CONDUCTORES'!P395="X",1,0)</f>
        <v>0</v>
      </c>
      <c r="O395" s="15">
        <f>IF('ENCUESTA CONDUCTORES'!Q395="X",1,0)</f>
        <v>1</v>
      </c>
      <c r="P395" s="15">
        <f>IF('ENCUESTA CONDUCTORES'!R395="X",1,0)</f>
        <v>0</v>
      </c>
      <c r="Q395" s="15">
        <f>IF('ENCUESTA CONDUCTORES'!S395="X",1,0)</f>
        <v>0</v>
      </c>
      <c r="R395" s="15">
        <f>IF('ENCUESTA CONDUCTORES'!T395="X",1,0)</f>
        <v>0</v>
      </c>
      <c r="S395" s="15">
        <f>IF('ENCUESTA CONDUCTORES'!U395="X",1,0)</f>
        <v>0</v>
      </c>
      <c r="T395" s="15">
        <f>IF('ENCUESTA CONDUCTORES'!V395="X",1,0)</f>
        <v>0</v>
      </c>
      <c r="U395" s="15">
        <f>IF('ENCUESTA CONDUCTORES'!W395="X",1,0)</f>
        <v>0</v>
      </c>
      <c r="V395" s="15">
        <f>IF('ENCUESTA CONDUCTORES'!X395="X",1,0)</f>
        <v>0</v>
      </c>
      <c r="W395" s="15">
        <f>IF('ENCUESTA CONDUCTORES'!Y395="X",1,0)</f>
        <v>0</v>
      </c>
      <c r="X395" s="15">
        <f>IF('ENCUESTA CONDUCTORES'!Z395="X",1,0)</f>
        <v>0</v>
      </c>
      <c r="Y395" s="15">
        <f>+'ENCUESTA CONDUCTORES'!AG395</f>
        <v>0</v>
      </c>
      <c r="Z395" s="15">
        <f>+'ENCUESTA CONDUCTORES'!AH395</f>
        <v>1985</v>
      </c>
      <c r="AA395" s="1" t="str">
        <f>+'ENCUESTA CONDUCTORES'!AI395</f>
        <v>DAÑADO</v>
      </c>
      <c r="AB395" s="15">
        <f>IF('ENCUESTA CONDUCTORES'!AJ395="X",1,0)</f>
        <v>0</v>
      </c>
      <c r="AC395" s="15">
        <f>IF('ENCUESTA CONDUCTORES'!AK395="X",1,0)</f>
        <v>0</v>
      </c>
      <c r="AD395" s="15">
        <f>IF('ENCUESTA CONDUCTORES'!AL395="X",1,0)</f>
        <v>1</v>
      </c>
      <c r="AE395" s="15">
        <f>IF('ENCUESTA CONDUCTORES'!AM395="X",1,0)</f>
        <v>0</v>
      </c>
      <c r="AF395" s="15">
        <f>IF('ENCUESTA CONDUCTORES'!AN395="X",1,0)</f>
        <v>0</v>
      </c>
      <c r="AG395" s="15">
        <f>IF('ENCUESTA CONDUCTORES'!AO395="X",1,0)</f>
        <v>1</v>
      </c>
      <c r="AH395" s="15">
        <f>IF('ENCUESTA CONDUCTORES'!AP395="X",1,0)</f>
        <v>0</v>
      </c>
      <c r="AI395" s="15">
        <f>IF('ENCUESTA CONDUCTORES'!AQ395="X",1,0)</f>
        <v>0</v>
      </c>
      <c r="AJ395" s="15">
        <f>IF('ENCUESTA CONDUCTORES'!AR395="X",1,0)</f>
        <v>0</v>
      </c>
      <c r="AK395" s="15">
        <f>+'ENCUESTA CONDUCTORES'!AS395</f>
        <v>0</v>
      </c>
      <c r="AL395" s="15" t="str">
        <f>+'ENCUESTA CONDUCTORES'!AT395</f>
        <v>MERCEDES BENZ</v>
      </c>
      <c r="AM395" s="1">
        <f>+'ENCUESTA CONDUCTORES'!AU395</f>
        <v>4800</v>
      </c>
      <c r="AN395" s="48">
        <f>+'ENCUESTA CONDUCTORES'!AV395</f>
        <v>0.1</v>
      </c>
      <c r="AO395" s="15">
        <f>+'ENCUESTA CONDUCTORES'!AW395</f>
        <v>3.4</v>
      </c>
      <c r="AP395" s="15">
        <f>+'ENCUESTA CONDUCTORES'!AX395</f>
        <v>3</v>
      </c>
      <c r="AQ395" s="15">
        <f>+'ENCUESTA CONDUCTORES'!AY395</f>
        <v>2</v>
      </c>
      <c r="AR395" s="15">
        <f>+'ENCUESTA CONDUCTORES'!AZ395</f>
        <v>375</v>
      </c>
      <c r="AS395" s="15">
        <f>+'ENCUESTA CONDUCTORES'!BA395</f>
        <v>1200</v>
      </c>
      <c r="AT395" s="15">
        <f>IF('ENCUESTA CONDUCTORES'!BB395="X",1,0)</f>
        <v>0</v>
      </c>
      <c r="AU395" s="15">
        <f>IF('ENCUESTA CONDUCTORES'!BC395="X",1,0)</f>
        <v>0</v>
      </c>
      <c r="AV395" s="15">
        <f>IF('ENCUESTA CONDUCTORES'!BD395="X",1,0)</f>
        <v>0</v>
      </c>
      <c r="AW395" s="1">
        <f>+'ENCUESTA CONDUCTORES'!BE395</f>
        <v>20000</v>
      </c>
      <c r="AX395" s="1">
        <f>+'ENCUESTA CONDUCTORES'!BF395</f>
        <v>100000</v>
      </c>
      <c r="AY395" s="1">
        <f>+'ENCUESTA CONDUCTORES'!BG395</f>
        <v>20000</v>
      </c>
      <c r="AZ395" s="1">
        <f>+'ENCUESTA CONDUCTORES'!BH395</f>
        <v>100000</v>
      </c>
      <c r="BA395" s="1" t="str">
        <f>+'ENCUESTA CONDUCTORES'!BI395</f>
        <v>NO SABE</v>
      </c>
      <c r="BB395" s="15">
        <f>IF('ENCUESTA CONDUCTORES'!BJ395="X",1,0)</f>
        <v>1</v>
      </c>
      <c r="BC395" s="15">
        <f>IF('ENCUESTA CONDUCTORES'!BK395="X",1,0)</f>
        <v>1</v>
      </c>
      <c r="BD395" s="15">
        <f>IF('ENCUESTA CONDUCTORES'!BL395="X",1,0)</f>
        <v>0</v>
      </c>
      <c r="BE395" s="15">
        <f>IF('ENCUESTA CONDUCTORES'!BM395="X",1,0)</f>
        <v>0</v>
      </c>
      <c r="BF395" s="15">
        <f>IF('ENCUESTA CONDUCTORES'!BN395="X",1,0)</f>
        <v>0</v>
      </c>
      <c r="BG395" s="15">
        <f>IF('ENCUESTA CONDUCTORES'!BO395="X",1,0)</f>
        <v>1</v>
      </c>
      <c r="BH395" s="15">
        <f>IF('ENCUESTA CONDUCTORES'!BP395="X",1,0)</f>
        <v>0</v>
      </c>
      <c r="BI395" s="15">
        <f>IF('ENCUESTA CONDUCTORES'!BQ395="X",1,0)</f>
        <v>0</v>
      </c>
      <c r="BJ395" s="15">
        <f>IF('ENCUESTA CONDUCTORES'!BR395="X",1,0)</f>
        <v>0</v>
      </c>
      <c r="BK395" s="15">
        <f>+'ENCUESTA CONDUCTORES'!BS395</f>
        <v>0</v>
      </c>
      <c r="BL395" s="15">
        <f>IF('ENCUESTA CONDUCTORES'!BT395="X",1,0)</f>
        <v>0</v>
      </c>
      <c r="BM395" s="15">
        <f>IF('ENCUESTA CONDUCTORES'!BU395="X",1,0)</f>
        <v>1</v>
      </c>
      <c r="BN395" s="15">
        <f>IF('ENCUESTA CONDUCTORES'!BV395="X",1,0)</f>
        <v>0</v>
      </c>
      <c r="BO395" s="15">
        <f>IF('ENCUESTA CONDUCTORES'!BW395="X",1,0)</f>
        <v>0</v>
      </c>
      <c r="BP395" s="15">
        <f>+'ENCUESTA CONDUCTORES'!BX395</f>
        <v>2</v>
      </c>
      <c r="BQ395" s="15">
        <f>+'ENCUESTA CONDUCTORES'!BY395</f>
        <v>3</v>
      </c>
      <c r="BR395" s="15">
        <f>+'ENCUESTA CONDUCTORES'!BZ395</f>
        <v>1</v>
      </c>
      <c r="BS395" s="15">
        <f>+'ENCUESTA CONDUCTORES'!CA395</f>
        <v>0</v>
      </c>
      <c r="BT395" s="15">
        <f>IF('ENCUESTA CONDUCTORES'!CB395="X",1,0)</f>
        <v>1</v>
      </c>
      <c r="BU395" s="15">
        <f>IF('ENCUESTA CONDUCTORES'!CC395="X",1,0)</f>
        <v>0</v>
      </c>
      <c r="BV395" s="15">
        <f>IF('ENCUESTA CONDUCTORES'!CD395="X",1,0)</f>
        <v>0</v>
      </c>
      <c r="BW395" s="15">
        <f>IF('ENCUESTA CONDUCTORES'!CE395="X",1,0)</f>
        <v>0</v>
      </c>
      <c r="BX395" s="15">
        <f>IF('ENCUESTA CONDUCTORES'!CF395="X",1,0)</f>
        <v>0</v>
      </c>
      <c r="BY395" s="15">
        <f>IF('ENCUESTA CONDUCTORES'!CG395="X",1,0)</f>
        <v>0</v>
      </c>
      <c r="BZ395" s="15">
        <f>IF('ENCUESTA CONDUCTORES'!CH395="X",1,0)</f>
        <v>0</v>
      </c>
      <c r="CA395" s="15">
        <f>IF('ENCUESTA CONDUCTORES'!CI395="X",1,0)</f>
        <v>0</v>
      </c>
      <c r="CB395" s="15">
        <f>IF('ENCUESTA CONDUCTORES'!CJ395="X",1,0)</f>
        <v>0</v>
      </c>
      <c r="CC395" s="15">
        <f>IF('ENCUESTA CONDUCTORES'!CK395="X",1,0)</f>
        <v>1</v>
      </c>
      <c r="CD395" s="15">
        <f>IF('ENCUESTA CONDUCTORES'!CL395="X",1,0)</f>
        <v>0</v>
      </c>
      <c r="CE395" s="15">
        <f>IF('ENCUESTA CONDUCTORES'!CM395="X",1,0)</f>
        <v>0</v>
      </c>
      <c r="CF395" s="15">
        <f>+'ENCUESTA CONDUCTORES'!CN395</f>
        <v>0</v>
      </c>
      <c r="CG395" s="15">
        <f>IF('ENCUESTA CONDUCTORES'!CO395="X",1,0)</f>
        <v>0</v>
      </c>
      <c r="CH395" s="15" t="str">
        <f>+'ENCUESTA CONDUCTORES'!CP395</f>
        <v>NO SABE</v>
      </c>
      <c r="CI395" s="15" t="str">
        <f>+'ENCUESTA CONDUCTORES'!CQ395</f>
        <v>NO SABE</v>
      </c>
      <c r="CJ395" s="15">
        <f>IF('ENCUESTA CONDUCTORES'!CR395="X",1,0)</f>
        <v>0</v>
      </c>
      <c r="CK395" s="15">
        <f>IF('ENCUESTA CONDUCTORES'!CS395="X",1,0)</f>
        <v>0</v>
      </c>
      <c r="CL395" s="15">
        <f>IF('ENCUESTA CONDUCTORES'!CT395="X",1,0)</f>
        <v>1</v>
      </c>
      <c r="CM395" s="15">
        <f>+'ENCUESTA CONDUCTORES'!CU395</f>
        <v>0</v>
      </c>
      <c r="CN395" s="15">
        <f>IF('ENCUESTA CONDUCTORES'!CV395="X",1,0)</f>
        <v>0</v>
      </c>
      <c r="CO395" s="15">
        <f>+'ENCUESTA CONDUCTORES'!CW395</f>
        <v>0</v>
      </c>
      <c r="CP395" s="15">
        <f>IF('ENCUESTA CONDUCTORES'!CX395="X",1,0)</f>
        <v>1</v>
      </c>
      <c r="CQ395" s="15">
        <f>IF('ENCUESTA CONDUCTORES'!CY395="X",1,0)</f>
        <v>0</v>
      </c>
      <c r="CR395" s="3">
        <f>+'ENCUESTA CONDUCTORES'!CZ395</f>
        <v>0</v>
      </c>
      <c r="CS395" s="49">
        <f>+'ENCUESTA CONDUCTORES'!DA395</f>
        <v>0</v>
      </c>
    </row>
    <row r="396" spans="1:97" x14ac:dyDescent="0.25">
      <c r="B396" s="14" t="str">
        <f>+'ENCUESTA CONDUCTORES'!D396</f>
        <v>C-407</v>
      </c>
      <c r="C396" s="15">
        <f>IF('ENCUESTA CONDUCTORES'!E396="X",1,0)</f>
        <v>0</v>
      </c>
      <c r="D396" s="15">
        <f>IF('ENCUESTA CONDUCTORES'!F396="X",1,0)</f>
        <v>0</v>
      </c>
      <c r="E396" s="15">
        <f>IF('ENCUESTA CONDUCTORES'!G396="X",1,0)</f>
        <v>1</v>
      </c>
      <c r="F396" s="15">
        <f>IF('ENCUESTA CONDUCTORES'!H396="X",1,0)</f>
        <v>0</v>
      </c>
      <c r="G396" s="15">
        <f>+'ENCUESTA CONDUCTORES'!I396</f>
        <v>41</v>
      </c>
      <c r="H396" s="15" t="str">
        <f>+'ENCUESTA CONDUCTORES'!J396</f>
        <v>M</v>
      </c>
      <c r="I396" s="15" t="str">
        <f>+'ENCUESTA CONDUCTORES'!K396</f>
        <v>PRIMARIA</v>
      </c>
      <c r="J396" s="15" t="str">
        <f>+'ENCUESTA CONDUCTORES'!L396</f>
        <v>CORREGIDORA, QRO.</v>
      </c>
      <c r="K396" s="15" t="str">
        <f>+'ENCUESTA CONDUCTORES'!M396</f>
        <v>CORREGIDORA</v>
      </c>
      <c r="L396" s="15" t="str">
        <f>+'ENCUESTA CONDUCTORES'!N396</f>
        <v>QUERÉTARO</v>
      </c>
      <c r="M396" s="15">
        <f>+'ENCUESTA CONDUCTORES'!O396</f>
        <v>21</v>
      </c>
      <c r="N396" s="15">
        <f>IF('ENCUESTA CONDUCTORES'!P396="X",1,0)</f>
        <v>0</v>
      </c>
      <c r="O396" s="15">
        <f>IF('ENCUESTA CONDUCTORES'!Q396="X",1,0)</f>
        <v>0</v>
      </c>
      <c r="P396" s="15">
        <f>IF('ENCUESTA CONDUCTORES'!R396="X",1,0)</f>
        <v>0</v>
      </c>
      <c r="Q396" s="15">
        <f>IF('ENCUESTA CONDUCTORES'!S396="X",1,0)</f>
        <v>1</v>
      </c>
      <c r="R396" s="15">
        <f>IF('ENCUESTA CONDUCTORES'!T396="X",1,0)</f>
        <v>0</v>
      </c>
      <c r="S396" s="15">
        <f>IF('ENCUESTA CONDUCTORES'!U396="X",1,0)</f>
        <v>1</v>
      </c>
      <c r="T396" s="15">
        <f>IF('ENCUESTA CONDUCTORES'!V396="X",1,0)</f>
        <v>0</v>
      </c>
      <c r="U396" s="15">
        <f>IF('ENCUESTA CONDUCTORES'!W396="X",1,0)</f>
        <v>0</v>
      </c>
      <c r="V396" s="15">
        <f>IF('ENCUESTA CONDUCTORES'!X396="X",1,0)</f>
        <v>0</v>
      </c>
      <c r="W396" s="15">
        <f>IF('ENCUESTA CONDUCTORES'!Y396="X",1,0)</f>
        <v>0</v>
      </c>
      <c r="X396" s="15">
        <f>IF('ENCUESTA CONDUCTORES'!Z396="X",1,0)</f>
        <v>0</v>
      </c>
      <c r="Y396" s="15">
        <f>+'ENCUESTA CONDUCTORES'!AG396</f>
        <v>0</v>
      </c>
      <c r="Z396" s="15">
        <f>+'ENCUESTA CONDUCTORES'!AH396</f>
        <v>2006</v>
      </c>
      <c r="AA396" s="1">
        <f>+'ENCUESTA CONDUCTORES'!AI396</f>
        <v>683499</v>
      </c>
      <c r="AB396" s="15">
        <f>IF('ENCUESTA CONDUCTORES'!AJ396="X",1,0)</f>
        <v>0</v>
      </c>
      <c r="AC396" s="15">
        <f>IF('ENCUESTA CONDUCTORES'!AK396="X",1,0)</f>
        <v>0</v>
      </c>
      <c r="AD396" s="15">
        <f>IF('ENCUESTA CONDUCTORES'!AL396="X",1,0)</f>
        <v>1</v>
      </c>
      <c r="AE396" s="15">
        <f>IF('ENCUESTA CONDUCTORES'!AM396="X",1,0)</f>
        <v>0</v>
      </c>
      <c r="AF396" s="15">
        <f>IF('ENCUESTA CONDUCTORES'!AN396="X",1,0)</f>
        <v>0</v>
      </c>
      <c r="AG396" s="15">
        <f>IF('ENCUESTA CONDUCTORES'!AO396="X",1,0)</f>
        <v>0</v>
      </c>
      <c r="AH396" s="15">
        <f>IF('ENCUESTA CONDUCTORES'!AP396="X",1,0)</f>
        <v>1</v>
      </c>
      <c r="AI396" s="15">
        <f>IF('ENCUESTA CONDUCTORES'!AQ396="X",1,0)</f>
        <v>0</v>
      </c>
      <c r="AJ396" s="15">
        <f>IF('ENCUESTA CONDUCTORES'!AR396="X",1,0)</f>
        <v>0</v>
      </c>
      <c r="AK396" s="15">
        <f>+'ENCUESTA CONDUCTORES'!AS396</f>
        <v>0</v>
      </c>
      <c r="AL396" s="15" t="str">
        <f>+'ENCUESTA CONDUCTORES'!AT396</f>
        <v>DETROIT</v>
      </c>
      <c r="AM396" s="1">
        <f>+'ENCUESTA CONDUCTORES'!AU396</f>
        <v>6000</v>
      </c>
      <c r="AN396" s="48">
        <f>+'ENCUESTA CONDUCTORES'!AV396</f>
        <v>0.5</v>
      </c>
      <c r="AO396" s="15">
        <f>+'ENCUESTA CONDUCTORES'!AW396</f>
        <v>2.8</v>
      </c>
      <c r="AP396" s="15">
        <f>+'ENCUESTA CONDUCTORES'!AX396</f>
        <v>2.5</v>
      </c>
      <c r="AQ396" s="15">
        <f>+'ENCUESTA CONDUCTORES'!AY396</f>
        <v>2</v>
      </c>
      <c r="AR396" s="15">
        <f>+'ENCUESTA CONDUCTORES'!AZ396</f>
        <v>880</v>
      </c>
      <c r="AS396" s="15">
        <f>+'ENCUESTA CONDUCTORES'!BA396</f>
        <v>2300</v>
      </c>
      <c r="AT396" s="15">
        <f>IF('ENCUESTA CONDUCTORES'!BB396="X",1,0)</f>
        <v>1</v>
      </c>
      <c r="AU396" s="15">
        <f>IF('ENCUESTA CONDUCTORES'!BC396="X",1,0)</f>
        <v>0</v>
      </c>
      <c r="AV396" s="15">
        <f>IF('ENCUESTA CONDUCTORES'!BD396="X",1,0)</f>
        <v>0</v>
      </c>
      <c r="AW396" s="1">
        <f>+'ENCUESTA CONDUCTORES'!BE396</f>
        <v>18000</v>
      </c>
      <c r="AX396" s="1">
        <f>+'ENCUESTA CONDUCTORES'!BF396</f>
        <v>150000</v>
      </c>
      <c r="AY396" s="1">
        <f>+'ENCUESTA CONDUCTORES'!BG396</f>
        <v>36000</v>
      </c>
      <c r="AZ396" s="1">
        <f>+'ENCUESTA CONDUCTORES'!BH396</f>
        <v>15000</v>
      </c>
      <c r="BA396" s="1" t="str">
        <f>+'ENCUESTA CONDUCTORES'!BI396</f>
        <v>NO SABE</v>
      </c>
      <c r="BB396" s="15">
        <f>IF('ENCUESTA CONDUCTORES'!BJ396="X",1,0)</f>
        <v>1</v>
      </c>
      <c r="BC396" s="15">
        <f>IF('ENCUESTA CONDUCTORES'!BK396="X",1,0)</f>
        <v>1</v>
      </c>
      <c r="BD396" s="15">
        <f>IF('ENCUESTA CONDUCTORES'!BL396="X",1,0)</f>
        <v>0</v>
      </c>
      <c r="BE396" s="15">
        <f>IF('ENCUESTA CONDUCTORES'!BM396="X",1,0)</f>
        <v>1</v>
      </c>
      <c r="BF396" s="15">
        <f>IF('ENCUESTA CONDUCTORES'!BN396="X",1,0)</f>
        <v>1</v>
      </c>
      <c r="BG396" s="15">
        <f>IF('ENCUESTA CONDUCTORES'!BO396="X",1,0)</f>
        <v>1</v>
      </c>
      <c r="BH396" s="15">
        <f>IF('ENCUESTA CONDUCTORES'!BP396="X",1,0)</f>
        <v>1</v>
      </c>
      <c r="BI396" s="15">
        <f>IF('ENCUESTA CONDUCTORES'!BQ396="X",1,0)</f>
        <v>0</v>
      </c>
      <c r="BJ396" s="15">
        <f>IF('ENCUESTA CONDUCTORES'!BR396="X",1,0)</f>
        <v>0</v>
      </c>
      <c r="BK396" s="15">
        <f>+'ENCUESTA CONDUCTORES'!BS396</f>
        <v>0</v>
      </c>
      <c r="BL396" s="15">
        <f>IF('ENCUESTA CONDUCTORES'!BT396="X",1,0)</f>
        <v>0</v>
      </c>
      <c r="BM396" s="15">
        <f>IF('ENCUESTA CONDUCTORES'!BU396="X",1,0)</f>
        <v>1</v>
      </c>
      <c r="BN396" s="15">
        <f>IF('ENCUESTA CONDUCTORES'!BV396="X",1,0)</f>
        <v>0</v>
      </c>
      <c r="BO396" s="15">
        <f>IF('ENCUESTA CONDUCTORES'!BW396="X",1,0)</f>
        <v>0</v>
      </c>
      <c r="BP396" s="15">
        <f>+'ENCUESTA CONDUCTORES'!BX396</f>
        <v>1</v>
      </c>
      <c r="BQ396" s="15">
        <f>+'ENCUESTA CONDUCTORES'!BY396</f>
        <v>3</v>
      </c>
      <c r="BR396" s="15">
        <f>+'ENCUESTA CONDUCTORES'!BZ396</f>
        <v>2</v>
      </c>
      <c r="BS396" s="15">
        <f>+'ENCUESTA CONDUCTORES'!CA396</f>
        <v>0</v>
      </c>
      <c r="BT396" s="15">
        <f>IF('ENCUESTA CONDUCTORES'!CB396="X",1,0)</f>
        <v>1</v>
      </c>
      <c r="BU396" s="15">
        <f>IF('ENCUESTA CONDUCTORES'!CC396="X",1,0)</f>
        <v>0</v>
      </c>
      <c r="BV396" s="15">
        <f>IF('ENCUESTA CONDUCTORES'!CD396="X",1,0)</f>
        <v>0</v>
      </c>
      <c r="BW396" s="15">
        <f>IF('ENCUESTA CONDUCTORES'!CE396="X",1,0)</f>
        <v>0</v>
      </c>
      <c r="BX396" s="15">
        <f>IF('ENCUESTA CONDUCTORES'!CF396="X",1,0)</f>
        <v>0</v>
      </c>
      <c r="BY396" s="15">
        <f>IF('ENCUESTA CONDUCTORES'!CG396="X",1,0)</f>
        <v>0</v>
      </c>
      <c r="BZ396" s="15">
        <f>IF('ENCUESTA CONDUCTORES'!CH396="X",1,0)</f>
        <v>0</v>
      </c>
      <c r="CA396" s="15">
        <f>IF('ENCUESTA CONDUCTORES'!CI396="X",1,0)</f>
        <v>0</v>
      </c>
      <c r="CB396" s="15">
        <f>IF('ENCUESTA CONDUCTORES'!CJ396="X",1,0)</f>
        <v>0</v>
      </c>
      <c r="CC396" s="15">
        <f>IF('ENCUESTA CONDUCTORES'!CK396="X",1,0)</f>
        <v>1</v>
      </c>
      <c r="CD396" s="15">
        <f>IF('ENCUESTA CONDUCTORES'!CL396="X",1,0)</f>
        <v>0</v>
      </c>
      <c r="CE396" s="15">
        <f>IF('ENCUESTA CONDUCTORES'!CM396="X",1,0)</f>
        <v>0</v>
      </c>
      <c r="CF396" s="15">
        <f>+'ENCUESTA CONDUCTORES'!CN396</f>
        <v>0</v>
      </c>
      <c r="CG396" s="15">
        <f>IF('ENCUESTA CONDUCTORES'!CO396="X",1,0)</f>
        <v>0</v>
      </c>
      <c r="CH396" s="15" t="str">
        <f>+'ENCUESTA CONDUCTORES'!CP396</f>
        <v>NO SABE</v>
      </c>
      <c r="CI396" s="15" t="str">
        <f>+'ENCUESTA CONDUCTORES'!CQ396</f>
        <v>NO SABE</v>
      </c>
      <c r="CJ396" s="15">
        <f>IF('ENCUESTA CONDUCTORES'!CR396="X",1,0)</f>
        <v>1</v>
      </c>
      <c r="CK396" s="15">
        <f>IF('ENCUESTA CONDUCTORES'!CS396="X",1,0)</f>
        <v>0</v>
      </c>
      <c r="CL396" s="15">
        <f>IF('ENCUESTA CONDUCTORES'!CT396="X",1,0)</f>
        <v>0</v>
      </c>
      <c r="CM396" s="15">
        <f>+'ENCUESTA CONDUCTORES'!CU396</f>
        <v>0</v>
      </c>
      <c r="CN396" s="15">
        <f>IF('ENCUESTA CONDUCTORES'!CV396="X",1,0)</f>
        <v>0</v>
      </c>
      <c r="CO396" s="15">
        <f>+'ENCUESTA CONDUCTORES'!CW396</f>
        <v>0</v>
      </c>
      <c r="CP396" s="15">
        <f>IF('ENCUESTA CONDUCTORES'!CX396="X",1,0)</f>
        <v>1</v>
      </c>
      <c r="CQ396" s="15">
        <f>IF('ENCUESTA CONDUCTORES'!CY396="X",1,0)</f>
        <v>0</v>
      </c>
      <c r="CR396" s="3">
        <f>+'ENCUESTA CONDUCTORES'!CZ396</f>
        <v>0</v>
      </c>
      <c r="CS396" s="49">
        <f>+'ENCUESTA CONDUCTORES'!DA396</f>
        <v>0</v>
      </c>
    </row>
    <row r="397" spans="1:97" x14ac:dyDescent="0.25">
      <c r="B397" s="14" t="str">
        <f>+'ENCUESTA CONDUCTORES'!D397</f>
        <v>C-408</v>
      </c>
      <c r="C397" s="15">
        <f>IF('ENCUESTA CONDUCTORES'!E397="X",1,0)</f>
        <v>0</v>
      </c>
      <c r="D397" s="15">
        <f>IF('ENCUESTA CONDUCTORES'!F397="X",1,0)</f>
        <v>0</v>
      </c>
      <c r="E397" s="15">
        <f>IF('ENCUESTA CONDUCTORES'!G397="X",1,0)</f>
        <v>0</v>
      </c>
      <c r="F397" s="15">
        <f>IF('ENCUESTA CONDUCTORES'!H397="X",1,0)</f>
        <v>1</v>
      </c>
      <c r="G397" s="15">
        <f>+'ENCUESTA CONDUCTORES'!I397</f>
        <v>53</v>
      </c>
      <c r="H397" s="15" t="str">
        <f>+'ENCUESTA CONDUCTORES'!J397</f>
        <v>M</v>
      </c>
      <c r="I397" s="15" t="str">
        <f>+'ENCUESTA CONDUCTORES'!K397</f>
        <v>PRIMARIA</v>
      </c>
      <c r="J397" s="15" t="str">
        <f>+'ENCUESTA CONDUCTORES'!L397</f>
        <v>APODACA, NVO. LEON</v>
      </c>
      <c r="K397" s="15" t="str">
        <f>+'ENCUESTA CONDUCTORES'!M397</f>
        <v>APODACA</v>
      </c>
      <c r="L397" s="15" t="str">
        <f>+'ENCUESTA CONDUCTORES'!N397</f>
        <v>NVO. LEON</v>
      </c>
      <c r="M397" s="15">
        <f>+'ENCUESTA CONDUCTORES'!O397</f>
        <v>30</v>
      </c>
      <c r="N397" s="15">
        <f>IF('ENCUESTA CONDUCTORES'!P397="X",1,0)</f>
        <v>0</v>
      </c>
      <c r="O397" s="15">
        <f>IF('ENCUESTA CONDUCTORES'!Q397="X",1,0)</f>
        <v>0</v>
      </c>
      <c r="P397" s="15">
        <f>IF('ENCUESTA CONDUCTORES'!R397="X",1,0)</f>
        <v>0</v>
      </c>
      <c r="Q397" s="15">
        <f>IF('ENCUESTA CONDUCTORES'!S397="X",1,0)</f>
        <v>1</v>
      </c>
      <c r="R397" s="15">
        <f>IF('ENCUESTA CONDUCTORES'!T397="X",1,0)</f>
        <v>0</v>
      </c>
      <c r="S397" s="15">
        <f>IF('ENCUESTA CONDUCTORES'!U397="X",1,0)</f>
        <v>1</v>
      </c>
      <c r="T397" s="15">
        <f>IF('ENCUESTA CONDUCTORES'!V397="X",1,0)</f>
        <v>0</v>
      </c>
      <c r="U397" s="15">
        <f>IF('ENCUESTA CONDUCTORES'!W397="X",1,0)</f>
        <v>0</v>
      </c>
      <c r="V397" s="15">
        <f>IF('ENCUESTA CONDUCTORES'!X397="X",1,0)</f>
        <v>0</v>
      </c>
      <c r="W397" s="15">
        <f>IF('ENCUESTA CONDUCTORES'!Y397="X",1,0)</f>
        <v>0</v>
      </c>
      <c r="X397" s="15">
        <f>IF('ENCUESTA CONDUCTORES'!Z397="X",1,0)</f>
        <v>0</v>
      </c>
      <c r="Y397" s="15">
        <f>+'ENCUESTA CONDUCTORES'!AG397</f>
        <v>0</v>
      </c>
      <c r="Z397" s="15">
        <f>+'ENCUESTA CONDUCTORES'!AH397</f>
        <v>2007</v>
      </c>
      <c r="AA397" s="1">
        <f>+'ENCUESTA CONDUCTORES'!AI397</f>
        <v>583201</v>
      </c>
      <c r="AB397" s="15">
        <f>IF('ENCUESTA CONDUCTORES'!AJ397="X",1,0)</f>
        <v>0</v>
      </c>
      <c r="AC397" s="15">
        <f>IF('ENCUESTA CONDUCTORES'!AK397="X",1,0)</f>
        <v>0</v>
      </c>
      <c r="AD397" s="15">
        <f>IF('ENCUESTA CONDUCTORES'!AL397="X",1,0)</f>
        <v>1</v>
      </c>
      <c r="AE397" s="15">
        <f>IF('ENCUESTA CONDUCTORES'!AM397="X",1,0)</f>
        <v>0</v>
      </c>
      <c r="AF397" s="15">
        <f>IF('ENCUESTA CONDUCTORES'!AN397="X",1,0)</f>
        <v>0</v>
      </c>
      <c r="AG397" s="15">
        <f>IF('ENCUESTA CONDUCTORES'!AO397="X",1,0)</f>
        <v>0</v>
      </c>
      <c r="AH397" s="15">
        <f>IF('ENCUESTA CONDUCTORES'!AP397="X",1,0)</f>
        <v>1</v>
      </c>
      <c r="AI397" s="15">
        <f>IF('ENCUESTA CONDUCTORES'!AQ397="X",1,0)</f>
        <v>0</v>
      </c>
      <c r="AJ397" s="15">
        <f>IF('ENCUESTA CONDUCTORES'!AR397="X",1,0)</f>
        <v>0</v>
      </c>
      <c r="AK397" s="15">
        <f>+'ENCUESTA CONDUCTORES'!AS397</f>
        <v>0</v>
      </c>
      <c r="AL397" s="15" t="str">
        <f>+'ENCUESTA CONDUCTORES'!AT397</f>
        <v>DETROIT</v>
      </c>
      <c r="AM397" s="1">
        <f>+'ENCUESTA CONDUCTORES'!AU397</f>
        <v>8000</v>
      </c>
      <c r="AN397" s="48">
        <f>+'ENCUESTA CONDUCTORES'!AV397</f>
        <v>0.5</v>
      </c>
      <c r="AO397" s="15">
        <f>+'ENCUESTA CONDUCTORES'!AW397</f>
        <v>2.8</v>
      </c>
      <c r="AP397" s="15">
        <f>+'ENCUESTA CONDUCTORES'!AX397</f>
        <v>2.5</v>
      </c>
      <c r="AQ397" s="15">
        <f>+'ENCUESTA CONDUCTORES'!AY397</f>
        <v>3</v>
      </c>
      <c r="AR397" s="15">
        <f>+'ENCUESTA CONDUCTORES'!AZ397</f>
        <v>1100</v>
      </c>
      <c r="AS397" s="15">
        <f>+'ENCUESTA CONDUCTORES'!BA397</f>
        <v>3000</v>
      </c>
      <c r="AT397" s="15">
        <f>IF('ENCUESTA CONDUCTORES'!BB397="X",1,0)</f>
        <v>1</v>
      </c>
      <c r="AU397" s="15">
        <f>IF('ENCUESTA CONDUCTORES'!BC397="X",1,0)</f>
        <v>1</v>
      </c>
      <c r="AV397" s="15">
        <f>IF('ENCUESTA CONDUCTORES'!BD397="X",1,0)</f>
        <v>0</v>
      </c>
      <c r="AW397" s="1">
        <f>+'ENCUESTA CONDUCTORES'!BE397</f>
        <v>16000</v>
      </c>
      <c r="AX397" s="1">
        <f>+'ENCUESTA CONDUCTORES'!BF397</f>
        <v>120000</v>
      </c>
      <c r="AY397" s="1">
        <f>+'ENCUESTA CONDUCTORES'!BG397</f>
        <v>32000</v>
      </c>
      <c r="AZ397" s="1">
        <f>+'ENCUESTA CONDUCTORES'!BH397</f>
        <v>120000</v>
      </c>
      <c r="BA397" s="1" t="str">
        <f>+'ENCUESTA CONDUCTORES'!BI397</f>
        <v>NO SABE</v>
      </c>
      <c r="BB397" s="15">
        <f>IF('ENCUESTA CONDUCTORES'!BJ397="X",1,0)</f>
        <v>0</v>
      </c>
      <c r="BC397" s="15">
        <f>IF('ENCUESTA CONDUCTORES'!BK397="X",1,0)</f>
        <v>1</v>
      </c>
      <c r="BD397" s="15">
        <f>IF('ENCUESTA CONDUCTORES'!BL397="X",1,0)</f>
        <v>0</v>
      </c>
      <c r="BE397" s="15">
        <f>IF('ENCUESTA CONDUCTORES'!BM397="X",1,0)</f>
        <v>1</v>
      </c>
      <c r="BF397" s="15">
        <f>IF('ENCUESTA CONDUCTORES'!BN397="X",1,0)</f>
        <v>1</v>
      </c>
      <c r="BG397" s="15">
        <f>IF('ENCUESTA CONDUCTORES'!BO397="X",1,0)</f>
        <v>0</v>
      </c>
      <c r="BH397" s="15">
        <f>IF('ENCUESTA CONDUCTORES'!BP397="X",1,0)</f>
        <v>1</v>
      </c>
      <c r="BI397" s="15">
        <f>IF('ENCUESTA CONDUCTORES'!BQ397="X",1,0)</f>
        <v>0</v>
      </c>
      <c r="BJ397" s="15">
        <f>IF('ENCUESTA CONDUCTORES'!BR397="X",1,0)</f>
        <v>0</v>
      </c>
      <c r="BK397" s="15">
        <f>+'ENCUESTA CONDUCTORES'!BS397</f>
        <v>0</v>
      </c>
      <c r="BL397" s="15">
        <f>IF('ENCUESTA CONDUCTORES'!BT397="X",1,0)</f>
        <v>0</v>
      </c>
      <c r="BM397" s="15">
        <f>IF('ENCUESTA CONDUCTORES'!BU397="X",1,0)</f>
        <v>1</v>
      </c>
      <c r="BN397" s="15">
        <f>IF('ENCUESTA CONDUCTORES'!BV397="X",1,0)</f>
        <v>0</v>
      </c>
      <c r="BO397" s="15">
        <f>IF('ENCUESTA CONDUCTORES'!BW397="X",1,0)</f>
        <v>0</v>
      </c>
      <c r="BP397" s="15">
        <f>+'ENCUESTA CONDUCTORES'!BX397</f>
        <v>1</v>
      </c>
      <c r="BQ397" s="15">
        <f>+'ENCUESTA CONDUCTORES'!BY397</f>
        <v>3</v>
      </c>
      <c r="BR397" s="15">
        <f>+'ENCUESTA CONDUCTORES'!BZ397</f>
        <v>2</v>
      </c>
      <c r="BS397" s="15">
        <f>+'ENCUESTA CONDUCTORES'!CA397</f>
        <v>0</v>
      </c>
      <c r="BT397" s="15">
        <f>IF('ENCUESTA CONDUCTORES'!CB397="X",1,0)</f>
        <v>1</v>
      </c>
      <c r="BU397" s="15">
        <f>IF('ENCUESTA CONDUCTORES'!CC397="X",1,0)</f>
        <v>0</v>
      </c>
      <c r="BV397" s="15">
        <f>IF('ENCUESTA CONDUCTORES'!CD397="X",1,0)</f>
        <v>0</v>
      </c>
      <c r="BW397" s="15">
        <f>IF('ENCUESTA CONDUCTORES'!CE397="X",1,0)</f>
        <v>0</v>
      </c>
      <c r="BX397" s="15">
        <f>IF('ENCUESTA CONDUCTORES'!CF397="X",1,0)</f>
        <v>0</v>
      </c>
      <c r="BY397" s="15">
        <f>IF('ENCUESTA CONDUCTORES'!CG397="X",1,0)</f>
        <v>0</v>
      </c>
      <c r="BZ397" s="15">
        <f>IF('ENCUESTA CONDUCTORES'!CH397="X",1,0)</f>
        <v>0</v>
      </c>
      <c r="CA397" s="15">
        <f>IF('ENCUESTA CONDUCTORES'!CI397="X",1,0)</f>
        <v>0</v>
      </c>
      <c r="CB397" s="15">
        <f>IF('ENCUESTA CONDUCTORES'!CJ397="X",1,0)</f>
        <v>0</v>
      </c>
      <c r="CC397" s="15">
        <f>IF('ENCUESTA CONDUCTORES'!CK397="X",1,0)</f>
        <v>1</v>
      </c>
      <c r="CD397" s="15">
        <f>IF('ENCUESTA CONDUCTORES'!CL397="X",1,0)</f>
        <v>0</v>
      </c>
      <c r="CE397" s="15">
        <f>IF('ENCUESTA CONDUCTORES'!CM397="X",1,0)</f>
        <v>0</v>
      </c>
      <c r="CF397" s="15">
        <f>+'ENCUESTA CONDUCTORES'!CN397</f>
        <v>0</v>
      </c>
      <c r="CG397" s="15">
        <f>IF('ENCUESTA CONDUCTORES'!CO397="X",1,0)</f>
        <v>0</v>
      </c>
      <c r="CH397" s="15" t="str">
        <f>+'ENCUESTA CONDUCTORES'!CP397</f>
        <v>NO SABE</v>
      </c>
      <c r="CI397" s="15" t="str">
        <f>+'ENCUESTA CONDUCTORES'!CQ397</f>
        <v>NO SABE</v>
      </c>
      <c r="CJ397" s="15">
        <f>IF('ENCUESTA CONDUCTORES'!CR397="X",1,0)</f>
        <v>0</v>
      </c>
      <c r="CK397" s="15">
        <f>IF('ENCUESTA CONDUCTORES'!CS397="X",1,0)</f>
        <v>0</v>
      </c>
      <c r="CL397" s="15">
        <f>IF('ENCUESTA CONDUCTORES'!CT397="X",1,0)</f>
        <v>1</v>
      </c>
      <c r="CM397" s="15">
        <f>+'ENCUESTA CONDUCTORES'!CU397</f>
        <v>0</v>
      </c>
      <c r="CN397" s="15">
        <f>IF('ENCUESTA CONDUCTORES'!CV397="X",1,0)</f>
        <v>0</v>
      </c>
      <c r="CO397" s="15">
        <f>+'ENCUESTA CONDUCTORES'!CW397</f>
        <v>0</v>
      </c>
      <c r="CP397" s="15">
        <f>IF('ENCUESTA CONDUCTORES'!CX397="X",1,0)</f>
        <v>1</v>
      </c>
      <c r="CQ397" s="15">
        <f>IF('ENCUESTA CONDUCTORES'!CY397="X",1,0)</f>
        <v>0</v>
      </c>
      <c r="CR397" s="3">
        <f>+'ENCUESTA CONDUCTORES'!CZ397</f>
        <v>0</v>
      </c>
      <c r="CS397" s="49">
        <f>+'ENCUESTA CONDUCTORES'!DA397</f>
        <v>0</v>
      </c>
    </row>
    <row r="398" spans="1:97" x14ac:dyDescent="0.25">
      <c r="B398" s="14" t="str">
        <f>+'ENCUESTA CONDUCTORES'!D398</f>
        <v>C-409</v>
      </c>
      <c r="C398" s="15">
        <f>IF('ENCUESTA CONDUCTORES'!E398="X",1,0)</f>
        <v>1</v>
      </c>
      <c r="D398" s="15">
        <f>IF('ENCUESTA CONDUCTORES'!F398="X",1,0)</f>
        <v>0</v>
      </c>
      <c r="E398" s="15">
        <f>IF('ENCUESTA CONDUCTORES'!G398="X",1,0)</f>
        <v>0</v>
      </c>
      <c r="F398" s="15">
        <f>IF('ENCUESTA CONDUCTORES'!H398="X",1,0)</f>
        <v>0</v>
      </c>
      <c r="G398" s="15">
        <f>+'ENCUESTA CONDUCTORES'!I398</f>
        <v>44</v>
      </c>
      <c r="H398" s="15" t="str">
        <f>+'ENCUESTA CONDUCTORES'!J398</f>
        <v>M</v>
      </c>
      <c r="I398" s="15" t="str">
        <f>+'ENCUESTA CONDUCTORES'!K398</f>
        <v>SECUNDARIA</v>
      </c>
      <c r="J398" s="15" t="str">
        <f>+'ENCUESTA CONDUCTORES'!L398</f>
        <v>SAN LUIS POTOSI, SLP</v>
      </c>
      <c r="K398" s="15" t="str">
        <f>+'ENCUESTA CONDUCTORES'!M398</f>
        <v>SAN LUIS POTOSI</v>
      </c>
      <c r="L398" s="15" t="str">
        <f>+'ENCUESTA CONDUCTORES'!N398</f>
        <v>SAN LUIS POTOSI</v>
      </c>
      <c r="M398" s="15">
        <f>+'ENCUESTA CONDUCTORES'!O398</f>
        <v>21</v>
      </c>
      <c r="N398" s="15">
        <f>IF('ENCUESTA CONDUCTORES'!P398="X",1,0)</f>
        <v>0</v>
      </c>
      <c r="O398" s="15">
        <f>IF('ENCUESTA CONDUCTORES'!Q398="X",1,0)</f>
        <v>0</v>
      </c>
      <c r="P398" s="15">
        <f>IF('ENCUESTA CONDUCTORES'!R398="X",1,0)</f>
        <v>0</v>
      </c>
      <c r="Q398" s="15">
        <f>IF('ENCUESTA CONDUCTORES'!S398="X",1,0)</f>
        <v>1</v>
      </c>
      <c r="R398" s="15">
        <f>IF('ENCUESTA CONDUCTORES'!T398="X",1,0)</f>
        <v>0</v>
      </c>
      <c r="S398" s="15">
        <f>IF('ENCUESTA CONDUCTORES'!U398="X",1,0)</f>
        <v>1</v>
      </c>
      <c r="T398" s="15">
        <f>IF('ENCUESTA CONDUCTORES'!V398="X",1,0)</f>
        <v>0</v>
      </c>
      <c r="U398" s="15">
        <f>IF('ENCUESTA CONDUCTORES'!W398="X",1,0)</f>
        <v>0</v>
      </c>
      <c r="V398" s="15">
        <f>IF('ENCUESTA CONDUCTORES'!X398="X",1,0)</f>
        <v>0</v>
      </c>
      <c r="W398" s="15">
        <f>IF('ENCUESTA CONDUCTORES'!Y398="X",1,0)</f>
        <v>0</v>
      </c>
      <c r="X398" s="15">
        <f>IF('ENCUESTA CONDUCTORES'!Z398="X",1,0)</f>
        <v>0</v>
      </c>
      <c r="Y398" s="15">
        <f>+'ENCUESTA CONDUCTORES'!AG398</f>
        <v>0</v>
      </c>
      <c r="Z398" s="15">
        <f>+'ENCUESTA CONDUCTORES'!AH398</f>
        <v>2008</v>
      </c>
      <c r="AA398" s="1">
        <f>+'ENCUESTA CONDUCTORES'!AI398</f>
        <v>428635</v>
      </c>
      <c r="AB398" s="15">
        <f>IF('ENCUESTA CONDUCTORES'!AJ398="X",1,0)</f>
        <v>0</v>
      </c>
      <c r="AC398" s="15">
        <f>IF('ENCUESTA CONDUCTORES'!AK398="X",1,0)</f>
        <v>0</v>
      </c>
      <c r="AD398" s="15">
        <f>IF('ENCUESTA CONDUCTORES'!AL398="X",1,0)</f>
        <v>1</v>
      </c>
      <c r="AE398" s="15">
        <f>IF('ENCUESTA CONDUCTORES'!AM398="X",1,0)</f>
        <v>0</v>
      </c>
      <c r="AF398" s="15">
        <f>IF('ENCUESTA CONDUCTORES'!AN398="X",1,0)</f>
        <v>0</v>
      </c>
      <c r="AG398" s="15">
        <f>IF('ENCUESTA CONDUCTORES'!AO398="X",1,0)</f>
        <v>0</v>
      </c>
      <c r="AH398" s="15">
        <f>IF('ENCUESTA CONDUCTORES'!AP398="X",1,0)</f>
        <v>1</v>
      </c>
      <c r="AI398" s="15">
        <f>IF('ENCUESTA CONDUCTORES'!AQ398="X",1,0)</f>
        <v>0</v>
      </c>
      <c r="AJ398" s="15">
        <f>IF('ENCUESTA CONDUCTORES'!AR398="X",1,0)</f>
        <v>0</v>
      </c>
      <c r="AK398" s="15">
        <f>+'ENCUESTA CONDUCTORES'!AS398</f>
        <v>0</v>
      </c>
      <c r="AL398" s="15" t="str">
        <f>+'ENCUESTA CONDUCTORES'!AT398</f>
        <v>CUMMINS</v>
      </c>
      <c r="AM398" s="1">
        <f>+'ENCUESTA CONDUCTORES'!AU398</f>
        <v>10000</v>
      </c>
      <c r="AN398" s="48">
        <f>+'ENCUESTA CONDUCTORES'!AV398</f>
        <v>0.5</v>
      </c>
      <c r="AO398" s="15">
        <f>+'ENCUESTA CONDUCTORES'!AW398</f>
        <v>2.7</v>
      </c>
      <c r="AP398" s="15">
        <f>+'ENCUESTA CONDUCTORES'!AX398</f>
        <v>2.4</v>
      </c>
      <c r="AQ398" s="15">
        <f>+'ENCUESTA CONDUCTORES'!AY398</f>
        <v>2</v>
      </c>
      <c r="AR398" s="15">
        <f>+'ENCUESTA CONDUCTORES'!AZ398</f>
        <v>850</v>
      </c>
      <c r="AS398" s="15">
        <f>+'ENCUESTA CONDUCTORES'!BA398</f>
        <v>2200</v>
      </c>
      <c r="AT398" s="15">
        <f>IF('ENCUESTA CONDUCTORES'!BB398="X",1,0)</f>
        <v>1</v>
      </c>
      <c r="AU398" s="15">
        <f>IF('ENCUESTA CONDUCTORES'!BC398="X",1,0)</f>
        <v>0</v>
      </c>
      <c r="AV398" s="15">
        <f>IF('ENCUESTA CONDUCTORES'!BD398="X",1,0)</f>
        <v>0</v>
      </c>
      <c r="AW398" s="1">
        <f>+'ENCUESTA CONDUCTORES'!BE398</f>
        <v>20000</v>
      </c>
      <c r="AX398" s="1">
        <f>+'ENCUESTA CONDUCTORES'!BF398</f>
        <v>180000</v>
      </c>
      <c r="AY398" s="1">
        <f>+'ENCUESTA CONDUCTORES'!BG398</f>
        <v>30000</v>
      </c>
      <c r="AZ398" s="1">
        <f>+'ENCUESTA CONDUCTORES'!BH398</f>
        <v>120000</v>
      </c>
      <c r="BA398" s="1" t="str">
        <f>+'ENCUESTA CONDUCTORES'!BI398</f>
        <v>NO SABE</v>
      </c>
      <c r="BB398" s="15">
        <f>IF('ENCUESTA CONDUCTORES'!BJ398="X",1,0)</f>
        <v>1</v>
      </c>
      <c r="BC398" s="15">
        <f>IF('ENCUESTA CONDUCTORES'!BK398="X",1,0)</f>
        <v>0</v>
      </c>
      <c r="BD398" s="15">
        <f>IF('ENCUESTA CONDUCTORES'!BL398="X",1,0)</f>
        <v>0</v>
      </c>
      <c r="BE398" s="15">
        <f>IF('ENCUESTA CONDUCTORES'!BM398="X",1,0)</f>
        <v>0</v>
      </c>
      <c r="BF398" s="15">
        <f>IF('ENCUESTA CONDUCTORES'!BN398="X",1,0)</f>
        <v>0</v>
      </c>
      <c r="BG398" s="15">
        <f>IF('ENCUESTA CONDUCTORES'!BO398="X",1,0)</f>
        <v>0</v>
      </c>
      <c r="BH398" s="15">
        <f>IF('ENCUESTA CONDUCTORES'!BP398="X",1,0)</f>
        <v>0</v>
      </c>
      <c r="BI398" s="15">
        <f>IF('ENCUESTA CONDUCTORES'!BQ398="X",1,0)</f>
        <v>0</v>
      </c>
      <c r="BJ398" s="15">
        <f>IF('ENCUESTA CONDUCTORES'!BR398="X",1,0)</f>
        <v>0</v>
      </c>
      <c r="BK398" s="15">
        <f>+'ENCUESTA CONDUCTORES'!BS398</f>
        <v>0</v>
      </c>
      <c r="BL398" s="15">
        <f>IF('ENCUESTA CONDUCTORES'!BT398="X",1,0)</f>
        <v>0</v>
      </c>
      <c r="BM398" s="15">
        <f>IF('ENCUESTA CONDUCTORES'!BU398="X",1,0)</f>
        <v>1</v>
      </c>
      <c r="BN398" s="15">
        <f>IF('ENCUESTA CONDUCTORES'!BV398="X",1,0)</f>
        <v>0</v>
      </c>
      <c r="BO398" s="15">
        <f>IF('ENCUESTA CONDUCTORES'!BW398="X",1,0)</f>
        <v>0</v>
      </c>
      <c r="BP398" s="15">
        <f>+'ENCUESTA CONDUCTORES'!BX398</f>
        <v>2</v>
      </c>
      <c r="BQ398" s="15">
        <f>+'ENCUESTA CONDUCTORES'!BY398</f>
        <v>3</v>
      </c>
      <c r="BR398" s="15">
        <f>+'ENCUESTA CONDUCTORES'!BZ398</f>
        <v>1</v>
      </c>
      <c r="BS398" s="15">
        <f>+'ENCUESTA CONDUCTORES'!CA398</f>
        <v>0</v>
      </c>
      <c r="BT398" s="15">
        <f>IF('ENCUESTA CONDUCTORES'!CB398="X",1,0)</f>
        <v>1</v>
      </c>
      <c r="BU398" s="15">
        <f>IF('ENCUESTA CONDUCTORES'!CC398="X",1,0)</f>
        <v>0</v>
      </c>
      <c r="BV398" s="15">
        <f>IF('ENCUESTA CONDUCTORES'!CD398="X",1,0)</f>
        <v>0</v>
      </c>
      <c r="BW398" s="15">
        <f>IF('ENCUESTA CONDUCTORES'!CE398="X",1,0)</f>
        <v>0</v>
      </c>
      <c r="BX398" s="15">
        <f>IF('ENCUESTA CONDUCTORES'!CF398="X",1,0)</f>
        <v>0</v>
      </c>
      <c r="BY398" s="15">
        <f>IF('ENCUESTA CONDUCTORES'!CG398="X",1,0)</f>
        <v>0</v>
      </c>
      <c r="BZ398" s="15">
        <f>IF('ENCUESTA CONDUCTORES'!CH398="X",1,0)</f>
        <v>0</v>
      </c>
      <c r="CA398" s="15">
        <f>IF('ENCUESTA CONDUCTORES'!CI398="X",1,0)</f>
        <v>0</v>
      </c>
      <c r="CB398" s="15">
        <f>IF('ENCUESTA CONDUCTORES'!CJ398="X",1,0)</f>
        <v>0</v>
      </c>
      <c r="CC398" s="15">
        <f>IF('ENCUESTA CONDUCTORES'!CK398="X",1,0)</f>
        <v>1</v>
      </c>
      <c r="CD398" s="15">
        <f>IF('ENCUESTA CONDUCTORES'!CL398="X",1,0)</f>
        <v>0</v>
      </c>
      <c r="CE398" s="15">
        <f>IF('ENCUESTA CONDUCTORES'!CM398="X",1,0)</f>
        <v>0</v>
      </c>
      <c r="CF398" s="15">
        <f>+'ENCUESTA CONDUCTORES'!CN398</f>
        <v>0</v>
      </c>
      <c r="CG398" s="15">
        <f>IF('ENCUESTA CONDUCTORES'!CO398="X",1,0)</f>
        <v>0</v>
      </c>
      <c r="CH398" s="15" t="str">
        <f>+'ENCUESTA CONDUCTORES'!CP398</f>
        <v>NO SABE</v>
      </c>
      <c r="CI398" s="15" t="str">
        <f>+'ENCUESTA CONDUCTORES'!CQ398</f>
        <v>NO SABE</v>
      </c>
      <c r="CJ398" s="15">
        <f>IF('ENCUESTA CONDUCTORES'!CR398="X",1,0)</f>
        <v>1</v>
      </c>
      <c r="CK398" s="15">
        <f>IF('ENCUESTA CONDUCTORES'!CS398="X",1,0)</f>
        <v>0</v>
      </c>
      <c r="CL398" s="15">
        <f>IF('ENCUESTA CONDUCTORES'!CT398="X",1,0)</f>
        <v>0</v>
      </c>
      <c r="CM398" s="15">
        <f>+'ENCUESTA CONDUCTORES'!CU398</f>
        <v>0</v>
      </c>
      <c r="CN398" s="15">
        <f>IF('ENCUESTA CONDUCTORES'!CV398="X",1,0)</f>
        <v>1</v>
      </c>
      <c r="CO398" s="15" t="str">
        <f>+'ENCUESTA CONDUCTORES'!CW398</f>
        <v>NO TIENE TIEMPO</v>
      </c>
      <c r="CP398" s="15">
        <f>IF('ENCUESTA CONDUCTORES'!CX398="X",1,0)</f>
        <v>0</v>
      </c>
      <c r="CQ398" s="15">
        <f>IF('ENCUESTA CONDUCTORES'!CY398="X",1,0)</f>
        <v>0</v>
      </c>
      <c r="CR398" s="3">
        <f>+'ENCUESTA CONDUCTORES'!CZ398</f>
        <v>0</v>
      </c>
      <c r="CS398" s="49">
        <f>+'ENCUESTA CONDUCTORES'!DA398</f>
        <v>0</v>
      </c>
    </row>
    <row r="399" spans="1:97" x14ac:dyDescent="0.25">
      <c r="B399" s="14" t="str">
        <f>+'ENCUESTA CONDUCTORES'!D399</f>
        <v>C-410</v>
      </c>
      <c r="C399" s="15">
        <f>IF('ENCUESTA CONDUCTORES'!E399="X",1,0)</f>
        <v>1</v>
      </c>
      <c r="D399" s="15">
        <f>IF('ENCUESTA CONDUCTORES'!F399="X",1,0)</f>
        <v>0</v>
      </c>
      <c r="E399" s="15">
        <f>IF('ENCUESTA CONDUCTORES'!G399="X",1,0)</f>
        <v>0</v>
      </c>
      <c r="F399" s="15">
        <f>IF('ENCUESTA CONDUCTORES'!H399="X",1,0)</f>
        <v>0</v>
      </c>
      <c r="G399" s="15">
        <f>+'ENCUESTA CONDUCTORES'!I399</f>
        <v>30</v>
      </c>
      <c r="H399" s="15" t="str">
        <f>+'ENCUESTA CONDUCTORES'!J399</f>
        <v>M</v>
      </c>
      <c r="I399" s="15" t="str">
        <f>+'ENCUESTA CONDUCTORES'!K399</f>
        <v>SECUNDARIA</v>
      </c>
      <c r="J399" s="15" t="str">
        <f>+'ENCUESTA CONDUCTORES'!L399</f>
        <v>CELAYA, GTO.</v>
      </c>
      <c r="K399" s="15" t="str">
        <f>+'ENCUESTA CONDUCTORES'!M399</f>
        <v>CELAYA</v>
      </c>
      <c r="L399" s="15" t="str">
        <f>+'ENCUESTA CONDUCTORES'!N399</f>
        <v>GUANAJUATO</v>
      </c>
      <c r="M399" s="15">
        <f>+'ENCUESTA CONDUCTORES'!O399</f>
        <v>10</v>
      </c>
      <c r="N399" s="15">
        <f>IF('ENCUESTA CONDUCTORES'!P399="X",1,0)</f>
        <v>0</v>
      </c>
      <c r="O399" s="15">
        <f>IF('ENCUESTA CONDUCTORES'!Q399="X",1,0)</f>
        <v>0</v>
      </c>
      <c r="P399" s="15">
        <f>IF('ENCUESTA CONDUCTORES'!R399="X",1,0)</f>
        <v>0</v>
      </c>
      <c r="Q399" s="15">
        <f>IF('ENCUESTA CONDUCTORES'!S399="X",1,0)</f>
        <v>1</v>
      </c>
      <c r="R399" s="15">
        <f>IF('ENCUESTA CONDUCTORES'!T399="X",1,0)</f>
        <v>0</v>
      </c>
      <c r="S399" s="15">
        <f>IF('ENCUESTA CONDUCTORES'!U399="X",1,0)</f>
        <v>1</v>
      </c>
      <c r="T399" s="15">
        <f>IF('ENCUESTA CONDUCTORES'!V399="X",1,0)</f>
        <v>0</v>
      </c>
      <c r="U399" s="15">
        <f>IF('ENCUESTA CONDUCTORES'!W399="X",1,0)</f>
        <v>0</v>
      </c>
      <c r="V399" s="15">
        <f>IF('ENCUESTA CONDUCTORES'!X399="X",1,0)</f>
        <v>0</v>
      </c>
      <c r="W399" s="15">
        <f>IF('ENCUESTA CONDUCTORES'!Y399="X",1,0)</f>
        <v>0</v>
      </c>
      <c r="X399" s="15">
        <f>IF('ENCUESTA CONDUCTORES'!Z399="X",1,0)</f>
        <v>0</v>
      </c>
      <c r="Y399" s="15">
        <f>+'ENCUESTA CONDUCTORES'!AG399</f>
        <v>0</v>
      </c>
      <c r="Z399" s="15">
        <f>+'ENCUESTA CONDUCTORES'!AH399</f>
        <v>2004</v>
      </c>
      <c r="AA399" s="1">
        <f>+'ENCUESTA CONDUCTORES'!AI399</f>
        <v>825200</v>
      </c>
      <c r="AB399" s="15">
        <f>IF('ENCUESTA CONDUCTORES'!AJ399="X",1,0)</f>
        <v>0</v>
      </c>
      <c r="AC399" s="15">
        <f>IF('ENCUESTA CONDUCTORES'!AK399="X",1,0)</f>
        <v>0</v>
      </c>
      <c r="AD399" s="15">
        <f>IF('ENCUESTA CONDUCTORES'!AL399="X",1,0)</f>
        <v>1</v>
      </c>
      <c r="AE399" s="15">
        <f>IF('ENCUESTA CONDUCTORES'!AM399="X",1,0)</f>
        <v>0</v>
      </c>
      <c r="AF399" s="15">
        <f>IF('ENCUESTA CONDUCTORES'!AN399="X",1,0)</f>
        <v>0</v>
      </c>
      <c r="AG399" s="15">
        <f>IF('ENCUESTA CONDUCTORES'!AO399="X",1,0)</f>
        <v>0</v>
      </c>
      <c r="AH399" s="15">
        <f>IF('ENCUESTA CONDUCTORES'!AP399="X",1,0)</f>
        <v>1</v>
      </c>
      <c r="AI399" s="15">
        <f>IF('ENCUESTA CONDUCTORES'!AQ399="X",1,0)</f>
        <v>0</v>
      </c>
      <c r="AJ399" s="15">
        <f>IF('ENCUESTA CONDUCTORES'!AR399="X",1,0)</f>
        <v>0</v>
      </c>
      <c r="AK399" s="15">
        <f>+'ENCUESTA CONDUCTORES'!AS399</f>
        <v>0</v>
      </c>
      <c r="AL399" s="15" t="str">
        <f>+'ENCUESTA CONDUCTORES'!AT399</f>
        <v>DETROIT</v>
      </c>
      <c r="AM399" s="1">
        <f>+'ENCUESTA CONDUCTORES'!AU399</f>
        <v>10000</v>
      </c>
      <c r="AN399" s="48">
        <f>+'ENCUESTA CONDUCTORES'!AV399</f>
        <v>0.1</v>
      </c>
      <c r="AO399" s="15">
        <f>+'ENCUESTA CONDUCTORES'!AW399</f>
        <v>2.7</v>
      </c>
      <c r="AP399" s="15">
        <f>+'ENCUESTA CONDUCTORES'!AX399</f>
        <v>2.4</v>
      </c>
      <c r="AQ399" s="15">
        <f>+'ENCUESTA CONDUCTORES'!AY399</f>
        <v>2</v>
      </c>
      <c r="AR399" s="15">
        <f>+'ENCUESTA CONDUCTORES'!AZ399</f>
        <v>850</v>
      </c>
      <c r="AS399" s="15">
        <f>+'ENCUESTA CONDUCTORES'!BA399</f>
        <v>2200</v>
      </c>
      <c r="AT399" s="15">
        <f>IF('ENCUESTA CONDUCTORES'!BB399="X",1,0)</f>
        <v>1</v>
      </c>
      <c r="AU399" s="15">
        <f>IF('ENCUESTA CONDUCTORES'!BC399="X",1,0)</f>
        <v>0</v>
      </c>
      <c r="AV399" s="15">
        <f>IF('ENCUESTA CONDUCTORES'!BD399="X",1,0)</f>
        <v>0</v>
      </c>
      <c r="AW399" s="1">
        <f>+'ENCUESTA CONDUCTORES'!BE399</f>
        <v>24000</v>
      </c>
      <c r="AX399" s="1">
        <f>+'ENCUESTA CONDUCTORES'!BF399</f>
        <v>200000</v>
      </c>
      <c r="AY399" s="1">
        <f>+'ENCUESTA CONDUCTORES'!BG399</f>
        <v>24000</v>
      </c>
      <c r="AZ399" s="1">
        <f>+'ENCUESTA CONDUCTORES'!BH399</f>
        <v>100000</v>
      </c>
      <c r="BA399" s="1" t="str">
        <f>+'ENCUESTA CONDUCTORES'!BI399</f>
        <v>NO SABE</v>
      </c>
      <c r="BB399" s="15">
        <f>IF('ENCUESTA CONDUCTORES'!BJ399="X",1,0)</f>
        <v>1</v>
      </c>
      <c r="BC399" s="15">
        <f>IF('ENCUESTA CONDUCTORES'!BK399="X",1,0)</f>
        <v>1</v>
      </c>
      <c r="BD399" s="15">
        <f>IF('ENCUESTA CONDUCTORES'!BL399="X",1,0)</f>
        <v>0</v>
      </c>
      <c r="BE399" s="15">
        <f>IF('ENCUESTA CONDUCTORES'!BM399="X",1,0)</f>
        <v>0</v>
      </c>
      <c r="BF399" s="15">
        <f>IF('ENCUESTA CONDUCTORES'!BN399="X",1,0)</f>
        <v>1</v>
      </c>
      <c r="BG399" s="15">
        <f>IF('ENCUESTA CONDUCTORES'!BO399="X",1,0)</f>
        <v>0</v>
      </c>
      <c r="BH399" s="15">
        <f>IF('ENCUESTA CONDUCTORES'!BP399="X",1,0)</f>
        <v>0</v>
      </c>
      <c r="BI399" s="15">
        <f>IF('ENCUESTA CONDUCTORES'!BQ399="X",1,0)</f>
        <v>0</v>
      </c>
      <c r="BJ399" s="15">
        <f>IF('ENCUESTA CONDUCTORES'!BR399="X",1,0)</f>
        <v>0</v>
      </c>
      <c r="BK399" s="15">
        <f>+'ENCUESTA CONDUCTORES'!BS399</f>
        <v>0</v>
      </c>
      <c r="BL399" s="15">
        <f>IF('ENCUESTA CONDUCTORES'!BT399="X",1,0)</f>
        <v>0</v>
      </c>
      <c r="BM399" s="15">
        <f>IF('ENCUESTA CONDUCTORES'!BU399="X",1,0)</f>
        <v>0</v>
      </c>
      <c r="BN399" s="15">
        <f>IF('ENCUESTA CONDUCTORES'!BV399="X",1,0)</f>
        <v>1</v>
      </c>
      <c r="BO399" s="15">
        <f>IF('ENCUESTA CONDUCTORES'!BW399="X",1,0)</f>
        <v>0</v>
      </c>
      <c r="BP399" s="15">
        <f>+'ENCUESTA CONDUCTORES'!BX399</f>
        <v>1</v>
      </c>
      <c r="BQ399" s="15">
        <f>+'ENCUESTA CONDUCTORES'!BY399</f>
        <v>3</v>
      </c>
      <c r="BR399" s="15">
        <f>+'ENCUESTA CONDUCTORES'!BZ399</f>
        <v>2</v>
      </c>
      <c r="BS399" s="15">
        <f>+'ENCUESTA CONDUCTORES'!CA399</f>
        <v>0</v>
      </c>
      <c r="BT399" s="15">
        <f>IF('ENCUESTA CONDUCTORES'!CB399="X",1,0)</f>
        <v>1</v>
      </c>
      <c r="BU399" s="15">
        <f>IF('ENCUESTA CONDUCTORES'!CC399="X",1,0)</f>
        <v>0</v>
      </c>
      <c r="BV399" s="15">
        <f>IF('ENCUESTA CONDUCTORES'!CD399="X",1,0)</f>
        <v>0</v>
      </c>
      <c r="BW399" s="15">
        <f>IF('ENCUESTA CONDUCTORES'!CE399="X",1,0)</f>
        <v>0</v>
      </c>
      <c r="BX399" s="15">
        <f>IF('ENCUESTA CONDUCTORES'!CF399="X",1,0)</f>
        <v>0</v>
      </c>
      <c r="BY399" s="15">
        <f>IF('ENCUESTA CONDUCTORES'!CG399="X",1,0)</f>
        <v>0</v>
      </c>
      <c r="BZ399" s="15">
        <f>IF('ENCUESTA CONDUCTORES'!CH399="X",1,0)</f>
        <v>0</v>
      </c>
      <c r="CA399" s="15">
        <f>IF('ENCUESTA CONDUCTORES'!CI399="X",1,0)</f>
        <v>0</v>
      </c>
      <c r="CB399" s="15">
        <f>IF('ENCUESTA CONDUCTORES'!CJ399="X",1,0)</f>
        <v>0</v>
      </c>
      <c r="CC399" s="15">
        <f>IF('ENCUESTA CONDUCTORES'!CK399="X",1,0)</f>
        <v>1</v>
      </c>
      <c r="CD399" s="15">
        <f>IF('ENCUESTA CONDUCTORES'!CL399="X",1,0)</f>
        <v>0</v>
      </c>
      <c r="CE399" s="15">
        <f>IF('ENCUESTA CONDUCTORES'!CM399="X",1,0)</f>
        <v>0</v>
      </c>
      <c r="CF399" s="15">
        <f>+'ENCUESTA CONDUCTORES'!CN399</f>
        <v>0</v>
      </c>
      <c r="CG399" s="15">
        <f>IF('ENCUESTA CONDUCTORES'!CO399="X",1,0)</f>
        <v>0</v>
      </c>
      <c r="CH399" s="15" t="str">
        <f>+'ENCUESTA CONDUCTORES'!CP399</f>
        <v>NO SABE</v>
      </c>
      <c r="CI399" s="15" t="str">
        <f>+'ENCUESTA CONDUCTORES'!CQ399</f>
        <v>NO SABE</v>
      </c>
      <c r="CJ399" s="15">
        <f>IF('ENCUESTA CONDUCTORES'!CR399="X",1,0)</f>
        <v>1</v>
      </c>
      <c r="CK399" s="15">
        <f>IF('ENCUESTA CONDUCTORES'!CS399="X",1,0)</f>
        <v>0</v>
      </c>
      <c r="CL399" s="15">
        <f>IF('ENCUESTA CONDUCTORES'!CT399="X",1,0)</f>
        <v>0</v>
      </c>
      <c r="CM399" s="15">
        <f>+'ENCUESTA CONDUCTORES'!CU399</f>
        <v>0</v>
      </c>
      <c r="CN399" s="15">
        <f>IF('ENCUESTA CONDUCTORES'!CV399="X",1,0)</f>
        <v>1</v>
      </c>
      <c r="CO399" s="15" t="str">
        <f>+'ENCUESTA CONDUCTORES'!CW399</f>
        <v>NO SIRVEN</v>
      </c>
      <c r="CP399" s="15">
        <f>IF('ENCUESTA CONDUCTORES'!CX399="X",1,0)</f>
        <v>0</v>
      </c>
      <c r="CQ399" s="15">
        <f>IF('ENCUESTA CONDUCTORES'!CY399="X",1,0)</f>
        <v>0</v>
      </c>
      <c r="CR399" s="3">
        <f>+'ENCUESTA CONDUCTORES'!CZ399</f>
        <v>0</v>
      </c>
      <c r="CS399" s="49">
        <f>+'ENCUESTA CONDUCTORES'!DA399</f>
        <v>0</v>
      </c>
    </row>
    <row r="400" spans="1:97" x14ac:dyDescent="0.25">
      <c r="A400" s="70"/>
      <c r="B400" s="14" t="str">
        <f>+'ENCUESTA CONDUCTORES'!D400</f>
        <v>C-411</v>
      </c>
      <c r="C400" s="15">
        <f>IF('ENCUESTA CONDUCTORES'!E400="X",1,0)</f>
        <v>0</v>
      </c>
      <c r="D400" s="15">
        <f>IF('ENCUESTA CONDUCTORES'!F400="X",1,0)</f>
        <v>0</v>
      </c>
      <c r="E400" s="15">
        <f>IF('ENCUESTA CONDUCTORES'!G400="X",1,0)</f>
        <v>0</v>
      </c>
      <c r="F400" s="15">
        <f>IF('ENCUESTA CONDUCTORES'!H400="X",1,0)</f>
        <v>1</v>
      </c>
      <c r="G400" s="15">
        <f>+'ENCUESTA CONDUCTORES'!I400</f>
        <v>42</v>
      </c>
      <c r="H400" s="15" t="str">
        <f>+'ENCUESTA CONDUCTORES'!J400</f>
        <v>M</v>
      </c>
      <c r="I400" s="15" t="str">
        <f>+'ENCUESTA CONDUCTORES'!K400</f>
        <v>SECUNDARIA</v>
      </c>
      <c r="J400" s="15" t="str">
        <f>+'ENCUESTA CONDUCTORES'!L400</f>
        <v>AGUASCALIENTES, AGS</v>
      </c>
      <c r="K400" s="15" t="str">
        <f>+'ENCUESTA CONDUCTORES'!M400</f>
        <v>AGUASCALIENTES</v>
      </c>
      <c r="L400" s="15" t="str">
        <f>+'ENCUESTA CONDUCTORES'!N400</f>
        <v>AGUASCALIENTES</v>
      </c>
      <c r="M400" s="15">
        <f>+'ENCUESTA CONDUCTORES'!O400</f>
        <v>18</v>
      </c>
      <c r="N400" s="15">
        <f>IF('ENCUESTA CONDUCTORES'!P400="X",1,0)</f>
        <v>0</v>
      </c>
      <c r="O400" s="15">
        <f>IF('ENCUESTA CONDUCTORES'!Q400="X",1,0)</f>
        <v>0</v>
      </c>
      <c r="P400" s="15">
        <f>IF('ENCUESTA CONDUCTORES'!R400="X",1,0)</f>
        <v>0</v>
      </c>
      <c r="Q400" s="15">
        <f>IF('ENCUESTA CONDUCTORES'!S400="X",1,0)</f>
        <v>1</v>
      </c>
      <c r="R400" s="15">
        <f>IF('ENCUESTA CONDUCTORES'!T400="X",1,0)</f>
        <v>0</v>
      </c>
      <c r="S400" s="15">
        <f>IF('ENCUESTA CONDUCTORES'!U400="X",1,0)</f>
        <v>0</v>
      </c>
      <c r="T400" s="15">
        <f>IF('ENCUESTA CONDUCTORES'!V400="X",1,0)</f>
        <v>1</v>
      </c>
      <c r="U400" s="15">
        <f>IF('ENCUESTA CONDUCTORES'!W400="X",1,0)</f>
        <v>0</v>
      </c>
      <c r="V400" s="15">
        <f>IF('ENCUESTA CONDUCTORES'!X400="X",1,0)</f>
        <v>0</v>
      </c>
      <c r="W400" s="15">
        <f>IF('ENCUESTA CONDUCTORES'!Y400="X",1,0)</f>
        <v>0</v>
      </c>
      <c r="X400" s="15">
        <f>IF('ENCUESTA CONDUCTORES'!Z400="X",1,0)</f>
        <v>0</v>
      </c>
      <c r="Y400" s="15">
        <f>+'ENCUESTA CONDUCTORES'!AG400</f>
        <v>0</v>
      </c>
      <c r="Z400" s="15">
        <f>+'ENCUESTA CONDUCTORES'!AH400</f>
        <v>2008</v>
      </c>
      <c r="AA400" s="1">
        <f>+'ENCUESTA CONDUCTORES'!AI400</f>
        <v>558791</v>
      </c>
      <c r="AB400" s="15">
        <f>IF('ENCUESTA CONDUCTORES'!AJ400="X",1,0)</f>
        <v>0</v>
      </c>
      <c r="AC400" s="15">
        <f>IF('ENCUESTA CONDUCTORES'!AK400="X",1,0)</f>
        <v>0</v>
      </c>
      <c r="AD400" s="15">
        <f>IF('ENCUESTA CONDUCTORES'!AL400="X",1,0)</f>
        <v>1</v>
      </c>
      <c r="AE400" s="15">
        <f>IF('ENCUESTA CONDUCTORES'!AM400="X",1,0)</f>
        <v>0</v>
      </c>
      <c r="AF400" s="15">
        <f>IF('ENCUESTA CONDUCTORES'!AN400="X",1,0)</f>
        <v>0</v>
      </c>
      <c r="AG400" s="15">
        <f>IF('ENCUESTA CONDUCTORES'!AO400="X",1,0)</f>
        <v>0</v>
      </c>
      <c r="AH400" s="15">
        <f>IF('ENCUESTA CONDUCTORES'!AP400="X",1,0)</f>
        <v>1</v>
      </c>
      <c r="AI400" s="15">
        <f>IF('ENCUESTA CONDUCTORES'!AQ400="X",1,0)</f>
        <v>0</v>
      </c>
      <c r="AJ400" s="15">
        <f>IF('ENCUESTA CONDUCTORES'!AR400="X",1,0)</f>
        <v>0</v>
      </c>
      <c r="AK400" s="15">
        <f>+'ENCUESTA CONDUCTORES'!AS400</f>
        <v>0</v>
      </c>
      <c r="AL400" s="15" t="str">
        <f>+'ENCUESTA CONDUCTORES'!AT400</f>
        <v>CUMMINS</v>
      </c>
      <c r="AM400" s="1">
        <f>+'ENCUESTA CONDUCTORES'!AU400</f>
        <v>9000</v>
      </c>
      <c r="AN400" s="48">
        <f>+'ENCUESTA CONDUCTORES'!AV400</f>
        <v>0.1</v>
      </c>
      <c r="AO400" s="15">
        <f>+'ENCUESTA CONDUCTORES'!AW400</f>
        <v>2.8</v>
      </c>
      <c r="AP400" s="15">
        <f>+'ENCUESTA CONDUCTORES'!AX400</f>
        <v>2.5</v>
      </c>
      <c r="AQ400" s="15">
        <f>+'ENCUESTA CONDUCTORES'!AY400</f>
        <v>2</v>
      </c>
      <c r="AR400" s="15">
        <f>+'ENCUESTA CONDUCTORES'!AZ400</f>
        <v>810</v>
      </c>
      <c r="AS400" s="15">
        <f>+'ENCUESTA CONDUCTORES'!BA400</f>
        <v>2200</v>
      </c>
      <c r="AT400" s="15">
        <f>IF('ENCUESTA CONDUCTORES'!BB400="X",1,0)</f>
        <v>1</v>
      </c>
      <c r="AU400" s="15">
        <f>IF('ENCUESTA CONDUCTORES'!BC400="X",1,0)</f>
        <v>1</v>
      </c>
      <c r="AV400" s="15">
        <f>IF('ENCUESTA CONDUCTORES'!BD400="X",1,0)</f>
        <v>0</v>
      </c>
      <c r="AW400" s="1">
        <f>+'ENCUESTA CONDUCTORES'!BE400</f>
        <v>18000</v>
      </c>
      <c r="AX400" s="1">
        <f>+'ENCUESTA CONDUCTORES'!BF400</f>
        <v>160000</v>
      </c>
      <c r="AY400" s="1">
        <f>+'ENCUESTA CONDUCTORES'!BG400</f>
        <v>18000</v>
      </c>
      <c r="AZ400" s="1">
        <f>+'ENCUESTA CONDUCTORES'!BH400</f>
        <v>160000</v>
      </c>
      <c r="BA400" s="1" t="str">
        <f>+'ENCUESTA CONDUCTORES'!BI400</f>
        <v>NO SABE</v>
      </c>
      <c r="BB400" s="15">
        <f>IF('ENCUESTA CONDUCTORES'!BJ400="X",1,0)</f>
        <v>1</v>
      </c>
      <c r="BC400" s="15">
        <f>IF('ENCUESTA CONDUCTORES'!BK400="X",1,0)</f>
        <v>1</v>
      </c>
      <c r="BD400" s="15">
        <f>IF('ENCUESTA CONDUCTORES'!BL400="X",1,0)</f>
        <v>0</v>
      </c>
      <c r="BE400" s="15">
        <f>IF('ENCUESTA CONDUCTORES'!BM400="X",1,0)</f>
        <v>0</v>
      </c>
      <c r="BF400" s="15">
        <f>IF('ENCUESTA CONDUCTORES'!BN400="X",1,0)</f>
        <v>0</v>
      </c>
      <c r="BG400" s="15">
        <f>IF('ENCUESTA CONDUCTORES'!BO400="X",1,0)</f>
        <v>0</v>
      </c>
      <c r="BH400" s="15">
        <f>IF('ENCUESTA CONDUCTORES'!BP400="X",1,0)</f>
        <v>0</v>
      </c>
      <c r="BI400" s="15">
        <f>IF('ENCUESTA CONDUCTORES'!BQ400="X",1,0)</f>
        <v>1</v>
      </c>
      <c r="BJ400" s="15">
        <f>IF('ENCUESTA CONDUCTORES'!BR400="X",1,0)</f>
        <v>0</v>
      </c>
      <c r="BK400" s="15">
        <f>+'ENCUESTA CONDUCTORES'!BS400</f>
        <v>0</v>
      </c>
      <c r="BL400" s="15">
        <f>IF('ENCUESTA CONDUCTORES'!BT400="X",1,0)</f>
        <v>0</v>
      </c>
      <c r="BM400" s="15">
        <f>IF('ENCUESTA CONDUCTORES'!BU400="X",1,0)</f>
        <v>1</v>
      </c>
      <c r="BN400" s="15">
        <f>IF('ENCUESTA CONDUCTORES'!BV400="X",1,0)</f>
        <v>0</v>
      </c>
      <c r="BO400" s="15">
        <f>IF('ENCUESTA CONDUCTORES'!BW400="X",1,0)</f>
        <v>0</v>
      </c>
      <c r="BP400" s="15">
        <f>+'ENCUESTA CONDUCTORES'!BX400</f>
        <v>1</v>
      </c>
      <c r="BQ400" s="15">
        <f>+'ENCUESTA CONDUCTORES'!BY400</f>
        <v>3</v>
      </c>
      <c r="BR400" s="15">
        <f>+'ENCUESTA CONDUCTORES'!BZ400</f>
        <v>2</v>
      </c>
      <c r="BS400" s="15">
        <f>+'ENCUESTA CONDUCTORES'!CA400</f>
        <v>0</v>
      </c>
      <c r="BT400" s="15">
        <f>IF('ENCUESTA CONDUCTORES'!CB400="X",1,0)</f>
        <v>1</v>
      </c>
      <c r="BU400" s="15">
        <f>IF('ENCUESTA CONDUCTORES'!CC400="X",1,0)</f>
        <v>0</v>
      </c>
      <c r="BV400" s="15">
        <f>IF('ENCUESTA CONDUCTORES'!CD400="X",1,0)</f>
        <v>0</v>
      </c>
      <c r="BW400" s="15">
        <f>IF('ENCUESTA CONDUCTORES'!CE400="X",1,0)</f>
        <v>0</v>
      </c>
      <c r="BX400" s="15">
        <f>IF('ENCUESTA CONDUCTORES'!CF400="X",1,0)</f>
        <v>0</v>
      </c>
      <c r="BY400" s="15">
        <f>IF('ENCUESTA CONDUCTORES'!CG400="X",1,0)</f>
        <v>0</v>
      </c>
      <c r="BZ400" s="15">
        <f>IF('ENCUESTA CONDUCTORES'!CH400="X",1,0)</f>
        <v>0</v>
      </c>
      <c r="CA400" s="15">
        <f>IF('ENCUESTA CONDUCTORES'!CI400="X",1,0)</f>
        <v>0</v>
      </c>
      <c r="CB400" s="15">
        <f>IF('ENCUESTA CONDUCTORES'!CJ400="X",1,0)</f>
        <v>0</v>
      </c>
      <c r="CC400" s="15">
        <f>IF('ENCUESTA CONDUCTORES'!CK400="X",1,0)</f>
        <v>1</v>
      </c>
      <c r="CD400" s="15">
        <f>IF('ENCUESTA CONDUCTORES'!CL400="X",1,0)</f>
        <v>0</v>
      </c>
      <c r="CE400" s="15">
        <f>IF('ENCUESTA CONDUCTORES'!CM400="X",1,0)</f>
        <v>0</v>
      </c>
      <c r="CF400" s="15">
        <f>+'ENCUESTA CONDUCTORES'!CN400</f>
        <v>0</v>
      </c>
      <c r="CG400" s="15">
        <f>IF('ENCUESTA CONDUCTORES'!CO400="X",1,0)</f>
        <v>0</v>
      </c>
      <c r="CH400" s="15" t="str">
        <f>+'ENCUESTA CONDUCTORES'!CP400</f>
        <v>NO SABE</v>
      </c>
      <c r="CI400" s="15" t="str">
        <f>+'ENCUESTA CONDUCTORES'!CQ400</f>
        <v>NO SABE</v>
      </c>
      <c r="CJ400" s="15">
        <f>IF('ENCUESTA CONDUCTORES'!CR400="X",1,0)</f>
        <v>0</v>
      </c>
      <c r="CK400" s="15">
        <f>IF('ENCUESTA CONDUCTORES'!CS400="X",1,0)</f>
        <v>0</v>
      </c>
      <c r="CL400" s="15">
        <f>IF('ENCUESTA CONDUCTORES'!CT400="X",1,0)</f>
        <v>0</v>
      </c>
      <c r="CM400" s="15" t="str">
        <f>+'ENCUESTA CONDUCTORES'!CU400</f>
        <v>CADENA DE FRIO</v>
      </c>
      <c r="CN400" s="15">
        <f>IF('ENCUESTA CONDUCTORES'!CV400="X",1,0)</f>
        <v>0</v>
      </c>
      <c r="CO400" s="15">
        <f>+'ENCUESTA CONDUCTORES'!CW400</f>
        <v>0</v>
      </c>
      <c r="CP400" s="15">
        <f>IF('ENCUESTA CONDUCTORES'!CX400="X",1,0)</f>
        <v>1</v>
      </c>
      <c r="CQ400" s="15">
        <f>IF('ENCUESTA CONDUCTORES'!CY400="X",1,0)</f>
        <v>0</v>
      </c>
      <c r="CR400" s="3">
        <f>+'ENCUESTA CONDUCTORES'!CZ400</f>
        <v>0</v>
      </c>
      <c r="CS400" s="49">
        <f>+'ENCUESTA CONDUCTORES'!DA400</f>
        <v>0</v>
      </c>
    </row>
    <row r="401" spans="1:97" x14ac:dyDescent="0.25">
      <c r="A401" s="70"/>
      <c r="B401" s="71" t="str">
        <f>+'ENCUESTA CONDUCTORES'!D401</f>
        <v>C-412</v>
      </c>
      <c r="C401" s="15">
        <f>IF('ENCUESTA CONDUCTORES'!E401="X",1,0)</f>
        <v>0</v>
      </c>
      <c r="D401" s="15">
        <f>IF('ENCUESTA CONDUCTORES'!F401="X",1,0)</f>
        <v>1</v>
      </c>
      <c r="E401" s="15">
        <f>IF('ENCUESTA CONDUCTORES'!G401="X",1,0)</f>
        <v>0</v>
      </c>
      <c r="F401" s="15">
        <f>IF('ENCUESTA CONDUCTORES'!H401="X",1,0)</f>
        <v>0</v>
      </c>
      <c r="G401" s="15">
        <f>+'ENCUESTA CONDUCTORES'!I401</f>
        <v>23</v>
      </c>
      <c r="H401" s="15" t="str">
        <f>+'ENCUESTA CONDUCTORES'!J401</f>
        <v>M</v>
      </c>
      <c r="I401" s="15" t="str">
        <f>+'ENCUESTA CONDUCTORES'!K401</f>
        <v>PREPARATORIA</v>
      </c>
      <c r="J401" s="15" t="str">
        <f>+'ENCUESTA CONDUCTORES'!L401</f>
        <v>QUERÉTARO, QRO.</v>
      </c>
      <c r="K401" s="15" t="str">
        <f>+'ENCUESTA CONDUCTORES'!M401</f>
        <v>QUERÉTARO</v>
      </c>
      <c r="L401" s="15" t="str">
        <f>+'ENCUESTA CONDUCTORES'!N401</f>
        <v>QUERÉTARO</v>
      </c>
      <c r="M401" s="15">
        <f>+'ENCUESTA CONDUCTORES'!O401</f>
        <v>3</v>
      </c>
      <c r="N401" s="15">
        <f>IF('ENCUESTA CONDUCTORES'!P401="X",1,0)</f>
        <v>0</v>
      </c>
      <c r="O401" s="15">
        <f>IF('ENCUESTA CONDUCTORES'!Q401="X",1,0)</f>
        <v>0</v>
      </c>
      <c r="P401" s="15">
        <f>IF('ENCUESTA CONDUCTORES'!R401="X",1,0)</f>
        <v>0</v>
      </c>
      <c r="Q401" s="15">
        <f>IF('ENCUESTA CONDUCTORES'!S401="X",1,0)</f>
        <v>1</v>
      </c>
      <c r="R401" s="15">
        <f>IF('ENCUESTA CONDUCTORES'!T401="X",1,0)</f>
        <v>0</v>
      </c>
      <c r="S401" s="15">
        <f>IF('ENCUESTA CONDUCTORES'!U401="X",1,0)</f>
        <v>1</v>
      </c>
      <c r="T401" s="15">
        <f>IF('ENCUESTA CONDUCTORES'!V401="X",1,0)</f>
        <v>0</v>
      </c>
      <c r="U401" s="15">
        <f>IF('ENCUESTA CONDUCTORES'!W401="X",1,0)</f>
        <v>0</v>
      </c>
      <c r="V401" s="15">
        <f>IF('ENCUESTA CONDUCTORES'!X401="X",1,0)</f>
        <v>0</v>
      </c>
      <c r="W401" s="15">
        <f>IF('ENCUESTA CONDUCTORES'!Y401="X",1,0)</f>
        <v>0</v>
      </c>
      <c r="X401" s="15">
        <f>IF('ENCUESTA CONDUCTORES'!Z401="X",1,0)</f>
        <v>0</v>
      </c>
      <c r="Y401" s="15">
        <f>+'ENCUESTA CONDUCTORES'!AG401</f>
        <v>0</v>
      </c>
      <c r="Z401" s="15">
        <f>+'ENCUESTA CONDUCTORES'!AH401</f>
        <v>2001</v>
      </c>
      <c r="AA401" s="1">
        <f>+'ENCUESTA CONDUCTORES'!AI401</f>
        <v>857620</v>
      </c>
      <c r="AB401" s="15">
        <f>IF('ENCUESTA CONDUCTORES'!AJ401="X",1,0)</f>
        <v>0</v>
      </c>
      <c r="AC401" s="15">
        <f>IF('ENCUESTA CONDUCTORES'!AK401="X",1,0)</f>
        <v>0</v>
      </c>
      <c r="AD401" s="15">
        <f>IF('ENCUESTA CONDUCTORES'!AL401="X",1,0)</f>
        <v>1</v>
      </c>
      <c r="AE401" s="15">
        <f>IF('ENCUESTA CONDUCTORES'!AM401="X",1,0)</f>
        <v>0</v>
      </c>
      <c r="AF401" s="15">
        <f>IF('ENCUESTA CONDUCTORES'!AN401="X",1,0)</f>
        <v>0</v>
      </c>
      <c r="AG401" s="15">
        <f>IF('ENCUESTA CONDUCTORES'!AO401="X",1,0)</f>
        <v>0</v>
      </c>
      <c r="AH401" s="15">
        <f>IF('ENCUESTA CONDUCTORES'!AP401="X",1,0)</f>
        <v>1</v>
      </c>
      <c r="AI401" s="15">
        <f>IF('ENCUESTA CONDUCTORES'!AQ401="X",1,0)</f>
        <v>0</v>
      </c>
      <c r="AJ401" s="15">
        <f>IF('ENCUESTA CONDUCTORES'!AR401="X",1,0)</f>
        <v>0</v>
      </c>
      <c r="AK401" s="15">
        <f>+'ENCUESTA CONDUCTORES'!AS401</f>
        <v>0</v>
      </c>
      <c r="AL401" s="15" t="str">
        <f>+'ENCUESTA CONDUCTORES'!AT401</f>
        <v>CUMMINS</v>
      </c>
      <c r="AM401" s="1">
        <f>+'ENCUESTA CONDUCTORES'!AU401</f>
        <v>8000</v>
      </c>
      <c r="AN401" s="48">
        <f>+'ENCUESTA CONDUCTORES'!AV401</f>
        <v>0.2</v>
      </c>
      <c r="AO401" s="15">
        <f>+'ENCUESTA CONDUCTORES'!AW401</f>
        <v>2.8</v>
      </c>
      <c r="AP401" s="15">
        <f>+'ENCUESTA CONDUCTORES'!AX401</f>
        <v>2.4</v>
      </c>
      <c r="AQ401" s="15">
        <f>+'ENCUESTA CONDUCTORES'!AY401</f>
        <v>3</v>
      </c>
      <c r="AR401" s="15">
        <f>+'ENCUESTA CONDUCTORES'!AZ401</f>
        <v>1100</v>
      </c>
      <c r="AS401" s="15">
        <f>+'ENCUESTA CONDUCTORES'!BA401</f>
        <v>2800</v>
      </c>
      <c r="AT401" s="15">
        <f>IF('ENCUESTA CONDUCTORES'!BB401="X",1,0)</f>
        <v>1</v>
      </c>
      <c r="AU401" s="15">
        <f>IF('ENCUESTA CONDUCTORES'!BC401="X",1,0)</f>
        <v>0</v>
      </c>
      <c r="AV401" s="15">
        <f>IF('ENCUESTA CONDUCTORES'!BD401="X",1,0)</f>
        <v>0</v>
      </c>
      <c r="AW401" s="1">
        <f>+'ENCUESTA CONDUCTORES'!BE401</f>
        <v>16000</v>
      </c>
      <c r="AX401" s="1">
        <f>+'ENCUESTA CONDUCTORES'!BF401</f>
        <v>200000</v>
      </c>
      <c r="AY401" s="1">
        <f>+'ENCUESTA CONDUCTORES'!BG401</f>
        <v>24000</v>
      </c>
      <c r="AZ401" s="1">
        <f>+'ENCUESTA CONDUCTORES'!BH401</f>
        <v>100000</v>
      </c>
      <c r="BA401" s="1" t="str">
        <f>+'ENCUESTA CONDUCTORES'!BI401</f>
        <v>NO SABE</v>
      </c>
      <c r="BB401" s="15">
        <f>IF('ENCUESTA CONDUCTORES'!BJ401="X",1,0)</f>
        <v>1</v>
      </c>
      <c r="BC401" s="15">
        <f>IF('ENCUESTA CONDUCTORES'!BK401="X",1,0)</f>
        <v>1</v>
      </c>
      <c r="BD401" s="15">
        <f>IF('ENCUESTA CONDUCTORES'!BL401="X",1,0)</f>
        <v>0</v>
      </c>
      <c r="BE401" s="15">
        <f>IF('ENCUESTA CONDUCTORES'!BM401="X",1,0)</f>
        <v>1</v>
      </c>
      <c r="BF401" s="15">
        <f>IF('ENCUESTA CONDUCTORES'!BN401="X",1,0)</f>
        <v>1</v>
      </c>
      <c r="BG401" s="15">
        <f>IF('ENCUESTA CONDUCTORES'!BO401="X",1,0)</f>
        <v>0</v>
      </c>
      <c r="BH401" s="15">
        <f>IF('ENCUESTA CONDUCTORES'!BP401="X",1,0)</f>
        <v>1</v>
      </c>
      <c r="BI401" s="15">
        <f>IF('ENCUESTA CONDUCTORES'!BQ401="X",1,0)</f>
        <v>0</v>
      </c>
      <c r="BJ401" s="15">
        <f>IF('ENCUESTA CONDUCTORES'!BR401="X",1,0)</f>
        <v>0</v>
      </c>
      <c r="BK401" s="15">
        <f>+'ENCUESTA CONDUCTORES'!BS401</f>
        <v>0</v>
      </c>
      <c r="BL401" s="15">
        <f>IF('ENCUESTA CONDUCTORES'!BT401="X",1,0)</f>
        <v>0</v>
      </c>
      <c r="BM401" s="15">
        <f>IF('ENCUESTA CONDUCTORES'!BU401="X",1,0)</f>
        <v>1</v>
      </c>
      <c r="BN401" s="15">
        <f>IF('ENCUESTA CONDUCTORES'!BV401="X",1,0)</f>
        <v>0</v>
      </c>
      <c r="BO401" s="15">
        <f>IF('ENCUESTA CONDUCTORES'!BW401="X",1,0)</f>
        <v>0</v>
      </c>
      <c r="BP401" s="15">
        <f>+'ENCUESTA CONDUCTORES'!BX401</f>
        <v>2</v>
      </c>
      <c r="BQ401" s="15">
        <f>+'ENCUESTA CONDUCTORES'!BY401</f>
        <v>1</v>
      </c>
      <c r="BR401" s="15">
        <f>+'ENCUESTA CONDUCTORES'!BZ401</f>
        <v>3</v>
      </c>
      <c r="BS401" s="15">
        <f>+'ENCUESTA CONDUCTORES'!CA401</f>
        <v>0</v>
      </c>
      <c r="BT401" s="15">
        <f>IF('ENCUESTA CONDUCTORES'!CB401="X",1,0)</f>
        <v>1</v>
      </c>
      <c r="BU401" s="15">
        <f>IF('ENCUESTA CONDUCTORES'!CC401="X",1,0)</f>
        <v>0</v>
      </c>
      <c r="BV401" s="15">
        <f>IF('ENCUESTA CONDUCTORES'!CD401="X",1,0)</f>
        <v>0</v>
      </c>
      <c r="BW401" s="15">
        <f>IF('ENCUESTA CONDUCTORES'!CE401="X",1,0)</f>
        <v>0</v>
      </c>
      <c r="BX401" s="15">
        <f>IF('ENCUESTA CONDUCTORES'!CF401="X",1,0)</f>
        <v>0</v>
      </c>
      <c r="BY401" s="15">
        <f>IF('ENCUESTA CONDUCTORES'!CG401="X",1,0)</f>
        <v>0</v>
      </c>
      <c r="BZ401" s="15">
        <f>IF('ENCUESTA CONDUCTORES'!CH401="X",1,0)</f>
        <v>0</v>
      </c>
      <c r="CA401" s="15">
        <f>IF('ENCUESTA CONDUCTORES'!CI401="X",1,0)</f>
        <v>0</v>
      </c>
      <c r="CB401" s="15">
        <f>IF('ENCUESTA CONDUCTORES'!CJ401="X",1,0)</f>
        <v>0</v>
      </c>
      <c r="CC401" s="15">
        <f>IF('ENCUESTA CONDUCTORES'!CK401="X",1,0)</f>
        <v>1</v>
      </c>
      <c r="CD401" s="15">
        <f>IF('ENCUESTA CONDUCTORES'!CL401="X",1,0)</f>
        <v>0</v>
      </c>
      <c r="CE401" s="15">
        <f>IF('ENCUESTA CONDUCTORES'!CM401="X",1,0)</f>
        <v>0</v>
      </c>
      <c r="CF401" s="15">
        <f>+'ENCUESTA CONDUCTORES'!CN401</f>
        <v>0</v>
      </c>
      <c r="CG401" s="15">
        <f>IF('ENCUESTA CONDUCTORES'!CO401="X",1,0)</f>
        <v>0</v>
      </c>
      <c r="CH401" s="15" t="str">
        <f>+'ENCUESTA CONDUCTORES'!CP401</f>
        <v>NO SABE</v>
      </c>
      <c r="CI401" s="15" t="str">
        <f>+'ENCUESTA CONDUCTORES'!CQ401</f>
        <v>NO SABE</v>
      </c>
      <c r="CJ401" s="15">
        <f>IF('ENCUESTA CONDUCTORES'!CR401="X",1,0)</f>
        <v>1</v>
      </c>
      <c r="CK401" s="15">
        <f>IF('ENCUESTA CONDUCTORES'!CS401="X",1,0)</f>
        <v>0</v>
      </c>
      <c r="CL401" s="15">
        <f>IF('ENCUESTA CONDUCTORES'!CT401="X",1,0)</f>
        <v>0</v>
      </c>
      <c r="CM401" s="15">
        <f>+'ENCUESTA CONDUCTORES'!CU401</f>
        <v>0</v>
      </c>
      <c r="CN401" s="15">
        <f>IF('ENCUESTA CONDUCTORES'!CV401="X",1,0)</f>
        <v>0</v>
      </c>
      <c r="CO401" s="15">
        <f>+'ENCUESTA CONDUCTORES'!CW401</f>
        <v>0</v>
      </c>
      <c r="CP401" s="15">
        <f>IF('ENCUESTA CONDUCTORES'!CX401="X",1,0)</f>
        <v>1</v>
      </c>
      <c r="CQ401" s="15">
        <f>IF('ENCUESTA CONDUCTORES'!CY401="X",1,0)</f>
        <v>1</v>
      </c>
      <c r="CR401" s="3">
        <f>+'ENCUESTA CONDUCTORES'!CZ401</f>
        <v>0</v>
      </c>
      <c r="CS401" s="49">
        <f>+'ENCUESTA CONDUCTORES'!DA401</f>
        <v>0</v>
      </c>
    </row>
    <row r="402" spans="1:97" x14ac:dyDescent="0.25">
      <c r="A402" s="70"/>
      <c r="B402" s="71" t="str">
        <f>+'ENCUESTA CONDUCTORES'!D402</f>
        <v>C-413</v>
      </c>
      <c r="C402" s="15">
        <f>IF('ENCUESTA CONDUCTORES'!E402="X",1,0)</f>
        <v>1</v>
      </c>
      <c r="D402" s="15">
        <f>IF('ENCUESTA CONDUCTORES'!F402="X",1,0)</f>
        <v>0</v>
      </c>
      <c r="E402" s="15">
        <f>IF('ENCUESTA CONDUCTORES'!G402="X",1,0)</f>
        <v>0</v>
      </c>
      <c r="F402" s="15">
        <f>IF('ENCUESTA CONDUCTORES'!H402="X",1,0)</f>
        <v>0</v>
      </c>
      <c r="G402" s="15">
        <f>+'ENCUESTA CONDUCTORES'!I402</f>
        <v>47</v>
      </c>
      <c r="H402" s="15" t="str">
        <f>+'ENCUESTA CONDUCTORES'!J402</f>
        <v>M</v>
      </c>
      <c r="I402" s="15" t="str">
        <f>+'ENCUESTA CONDUCTORES'!K402</f>
        <v>PREPARATORIA</v>
      </c>
      <c r="J402" s="15" t="str">
        <f>+'ENCUESTA CONDUCTORES'!L402</f>
        <v>TULTITLÁN, EDO. MEX.</v>
      </c>
      <c r="K402" s="15" t="str">
        <f>+'ENCUESTA CONDUCTORES'!M402</f>
        <v>TULTITLÁN</v>
      </c>
      <c r="L402" s="15" t="str">
        <f>+'ENCUESTA CONDUCTORES'!N402</f>
        <v>EDO. MEX.</v>
      </c>
      <c r="M402" s="15">
        <f>+'ENCUESTA CONDUCTORES'!O402</f>
        <v>15</v>
      </c>
      <c r="N402" s="15">
        <f>IF('ENCUESTA CONDUCTORES'!P402="X",1,0)</f>
        <v>0</v>
      </c>
      <c r="O402" s="15">
        <f>IF('ENCUESTA CONDUCTORES'!Q402="X",1,0)</f>
        <v>0</v>
      </c>
      <c r="P402" s="15">
        <f>IF('ENCUESTA CONDUCTORES'!R402="X",1,0)</f>
        <v>0</v>
      </c>
      <c r="Q402" s="15">
        <f>IF('ENCUESTA CONDUCTORES'!S402="X",1,0)</f>
        <v>1</v>
      </c>
      <c r="R402" s="15">
        <f>IF('ENCUESTA CONDUCTORES'!T402="X",1,0)</f>
        <v>0</v>
      </c>
      <c r="S402" s="15">
        <f>IF('ENCUESTA CONDUCTORES'!U402="X",1,0)</f>
        <v>1</v>
      </c>
      <c r="T402" s="15">
        <f>IF('ENCUESTA CONDUCTORES'!V402="X",1,0)</f>
        <v>0</v>
      </c>
      <c r="U402" s="15">
        <f>IF('ENCUESTA CONDUCTORES'!W402="X",1,0)</f>
        <v>0</v>
      </c>
      <c r="V402" s="15">
        <f>IF('ENCUESTA CONDUCTORES'!X402="X",1,0)</f>
        <v>0</v>
      </c>
      <c r="W402" s="15">
        <f>IF('ENCUESTA CONDUCTORES'!Y402="X",1,0)</f>
        <v>0</v>
      </c>
      <c r="X402" s="15">
        <f>IF('ENCUESTA CONDUCTORES'!Z402="X",1,0)</f>
        <v>0</v>
      </c>
      <c r="Y402" s="15">
        <f>+'ENCUESTA CONDUCTORES'!AG402</f>
        <v>0</v>
      </c>
      <c r="Z402" s="15">
        <f>+'ENCUESTA CONDUCTORES'!AH402</f>
        <v>2005</v>
      </c>
      <c r="AA402" s="1">
        <f>+'ENCUESTA CONDUCTORES'!AI402</f>
        <v>615724</v>
      </c>
      <c r="AB402" s="15">
        <f>IF('ENCUESTA CONDUCTORES'!AJ402="X",1,0)</f>
        <v>0</v>
      </c>
      <c r="AC402" s="15">
        <f>IF('ENCUESTA CONDUCTORES'!AK402="X",1,0)</f>
        <v>0</v>
      </c>
      <c r="AD402" s="15">
        <f>IF('ENCUESTA CONDUCTORES'!AL402="X",1,0)</f>
        <v>1</v>
      </c>
      <c r="AE402" s="15">
        <f>IF('ENCUESTA CONDUCTORES'!AM402="X",1,0)</f>
        <v>0</v>
      </c>
      <c r="AF402" s="15">
        <f>IF('ENCUESTA CONDUCTORES'!AN402="X",1,0)</f>
        <v>0</v>
      </c>
      <c r="AG402" s="15">
        <f>IF('ENCUESTA CONDUCTORES'!AO402="X",1,0)</f>
        <v>0</v>
      </c>
      <c r="AH402" s="15">
        <f>IF('ENCUESTA CONDUCTORES'!AP402="X",1,0)</f>
        <v>1</v>
      </c>
      <c r="AI402" s="15">
        <f>IF('ENCUESTA CONDUCTORES'!AQ402="X",1,0)</f>
        <v>0</v>
      </c>
      <c r="AJ402" s="15">
        <f>IF('ENCUESTA CONDUCTORES'!AR402="X",1,0)</f>
        <v>0</v>
      </c>
      <c r="AK402" s="15">
        <f>+'ENCUESTA CONDUCTORES'!AS402</f>
        <v>0</v>
      </c>
      <c r="AL402" s="15" t="str">
        <f>+'ENCUESTA CONDUCTORES'!AT402</f>
        <v>DETROIT</v>
      </c>
      <c r="AM402" s="1">
        <f>+'ENCUESTA CONDUCTORES'!AU402</f>
        <v>8000</v>
      </c>
      <c r="AN402" s="48">
        <f>+'ENCUESTA CONDUCTORES'!AV402</f>
        <v>0.1</v>
      </c>
      <c r="AO402" s="15">
        <f>+'ENCUESTA CONDUCTORES'!AW402</f>
        <v>2.8</v>
      </c>
      <c r="AP402" s="15">
        <f>+'ENCUESTA CONDUCTORES'!AX402</f>
        <v>2.5</v>
      </c>
      <c r="AQ402" s="15">
        <f>+'ENCUESTA CONDUCTORES'!AY402</f>
        <v>2</v>
      </c>
      <c r="AR402" s="15">
        <f>+'ENCUESTA CONDUCTORES'!AZ402</f>
        <v>850</v>
      </c>
      <c r="AS402" s="15">
        <f>+'ENCUESTA CONDUCTORES'!BA402</f>
        <v>2200</v>
      </c>
      <c r="AT402" s="15">
        <f>IF('ENCUESTA CONDUCTORES'!BB402="X",1,0)</f>
        <v>1</v>
      </c>
      <c r="AU402" s="15">
        <f>IF('ENCUESTA CONDUCTORES'!BC402="X",1,0)</f>
        <v>0</v>
      </c>
      <c r="AV402" s="15">
        <f>IF('ENCUESTA CONDUCTORES'!BD402="X",1,0)</f>
        <v>0</v>
      </c>
      <c r="AW402" s="1">
        <f>+'ENCUESTA CONDUCTORES'!BE402</f>
        <v>20000</v>
      </c>
      <c r="AX402" s="1">
        <f>+'ENCUESTA CONDUCTORES'!BF402</f>
        <v>120000</v>
      </c>
      <c r="AY402" s="1">
        <f>+'ENCUESTA CONDUCTORES'!BG402</f>
        <v>20000</v>
      </c>
      <c r="AZ402" s="1">
        <f>+'ENCUESTA CONDUCTORES'!BH402</f>
        <v>120000</v>
      </c>
      <c r="BA402" s="1" t="str">
        <f>+'ENCUESTA CONDUCTORES'!BI402</f>
        <v>NO SABE</v>
      </c>
      <c r="BB402" s="15">
        <f>IF('ENCUESTA CONDUCTORES'!BJ402="X",1,0)</f>
        <v>0</v>
      </c>
      <c r="BC402" s="15">
        <f>IF('ENCUESTA CONDUCTORES'!BK402="X",1,0)</f>
        <v>1</v>
      </c>
      <c r="BD402" s="15">
        <f>IF('ENCUESTA CONDUCTORES'!BL402="X",1,0)</f>
        <v>0</v>
      </c>
      <c r="BE402" s="15">
        <f>IF('ENCUESTA CONDUCTORES'!BM402="X",1,0)</f>
        <v>0</v>
      </c>
      <c r="BF402" s="15">
        <f>IF('ENCUESTA CONDUCTORES'!BN402="X",1,0)</f>
        <v>1</v>
      </c>
      <c r="BG402" s="15">
        <f>IF('ENCUESTA CONDUCTORES'!BO402="X",1,0)</f>
        <v>0</v>
      </c>
      <c r="BH402" s="15">
        <f>IF('ENCUESTA CONDUCTORES'!BP402="X",1,0)</f>
        <v>1</v>
      </c>
      <c r="BI402" s="15">
        <f>IF('ENCUESTA CONDUCTORES'!BQ402="X",1,0)</f>
        <v>0</v>
      </c>
      <c r="BJ402" s="15">
        <f>IF('ENCUESTA CONDUCTORES'!BR402="X",1,0)</f>
        <v>0</v>
      </c>
      <c r="BK402" s="15">
        <f>+'ENCUESTA CONDUCTORES'!BS402</f>
        <v>0</v>
      </c>
      <c r="BL402" s="15">
        <f>IF('ENCUESTA CONDUCTORES'!BT402="X",1,0)</f>
        <v>0</v>
      </c>
      <c r="BM402" s="15">
        <f>IF('ENCUESTA CONDUCTORES'!BU402="X",1,0)</f>
        <v>1</v>
      </c>
      <c r="BN402" s="15">
        <f>IF('ENCUESTA CONDUCTORES'!BV402="X",1,0)</f>
        <v>0</v>
      </c>
      <c r="BO402" s="15">
        <f>IF('ENCUESTA CONDUCTORES'!BW402="X",1,0)</f>
        <v>0</v>
      </c>
      <c r="BP402" s="15">
        <f>+'ENCUESTA CONDUCTORES'!BX402</f>
        <v>1</v>
      </c>
      <c r="BQ402" s="15">
        <f>+'ENCUESTA CONDUCTORES'!BY402</f>
        <v>3</v>
      </c>
      <c r="BR402" s="15">
        <f>+'ENCUESTA CONDUCTORES'!BZ402</f>
        <v>2</v>
      </c>
      <c r="BS402" s="15">
        <f>+'ENCUESTA CONDUCTORES'!CA402</f>
        <v>0</v>
      </c>
      <c r="BT402" s="15">
        <f>IF('ENCUESTA CONDUCTORES'!CB402="X",1,0)</f>
        <v>1</v>
      </c>
      <c r="BU402" s="15">
        <f>IF('ENCUESTA CONDUCTORES'!CC402="X",1,0)</f>
        <v>0</v>
      </c>
      <c r="BV402" s="15">
        <f>IF('ENCUESTA CONDUCTORES'!CD402="X",1,0)</f>
        <v>0</v>
      </c>
      <c r="BW402" s="15">
        <f>IF('ENCUESTA CONDUCTORES'!CE402="X",1,0)</f>
        <v>0</v>
      </c>
      <c r="BX402" s="15">
        <f>IF('ENCUESTA CONDUCTORES'!CF402="X",1,0)</f>
        <v>0</v>
      </c>
      <c r="BY402" s="15">
        <f>IF('ENCUESTA CONDUCTORES'!CG402="X",1,0)</f>
        <v>0</v>
      </c>
      <c r="BZ402" s="15">
        <f>IF('ENCUESTA CONDUCTORES'!CH402="X",1,0)</f>
        <v>0</v>
      </c>
      <c r="CA402" s="15">
        <f>IF('ENCUESTA CONDUCTORES'!CI402="X",1,0)</f>
        <v>0</v>
      </c>
      <c r="CB402" s="15">
        <f>IF('ENCUESTA CONDUCTORES'!CJ402="X",1,0)</f>
        <v>0</v>
      </c>
      <c r="CC402" s="15">
        <f>IF('ENCUESTA CONDUCTORES'!CK402="X",1,0)</f>
        <v>1</v>
      </c>
      <c r="CD402" s="15">
        <f>IF('ENCUESTA CONDUCTORES'!CL402="X",1,0)</f>
        <v>0</v>
      </c>
      <c r="CE402" s="15">
        <f>IF('ENCUESTA CONDUCTORES'!CM402="X",1,0)</f>
        <v>0</v>
      </c>
      <c r="CF402" s="15">
        <f>+'ENCUESTA CONDUCTORES'!CN402</f>
        <v>0</v>
      </c>
      <c r="CG402" s="15">
        <f>IF('ENCUESTA CONDUCTORES'!CO402="X",1,0)</f>
        <v>0</v>
      </c>
      <c r="CH402" s="15" t="str">
        <f>+'ENCUESTA CONDUCTORES'!CP402</f>
        <v>NO SABE</v>
      </c>
      <c r="CI402" s="15" t="str">
        <f>+'ENCUESTA CONDUCTORES'!CQ402</f>
        <v>NO SABE</v>
      </c>
      <c r="CJ402" s="15">
        <f>IF('ENCUESTA CONDUCTORES'!CR402="X",1,0)</f>
        <v>1</v>
      </c>
      <c r="CK402" s="15">
        <f>IF('ENCUESTA CONDUCTORES'!CS402="X",1,0)</f>
        <v>0</v>
      </c>
      <c r="CL402" s="15">
        <f>IF('ENCUESTA CONDUCTORES'!CT402="X",1,0)</f>
        <v>0</v>
      </c>
      <c r="CM402" s="15">
        <f>+'ENCUESTA CONDUCTORES'!CU402</f>
        <v>0</v>
      </c>
      <c r="CN402" s="15">
        <f>IF('ENCUESTA CONDUCTORES'!CV402="X",1,0)</f>
        <v>0</v>
      </c>
      <c r="CO402" s="15">
        <f>+'ENCUESTA CONDUCTORES'!CW402</f>
        <v>0</v>
      </c>
      <c r="CP402" s="15">
        <f>IF('ENCUESTA CONDUCTORES'!CX402="X",1,0)</f>
        <v>1</v>
      </c>
      <c r="CQ402" s="15">
        <f>IF('ENCUESTA CONDUCTORES'!CY402="X",1,0)</f>
        <v>1</v>
      </c>
      <c r="CR402" s="3">
        <f>+'ENCUESTA CONDUCTORES'!CZ402</f>
        <v>0</v>
      </c>
      <c r="CS402" s="49">
        <f>+'ENCUESTA CONDUCTORES'!DA402</f>
        <v>0</v>
      </c>
    </row>
    <row r="403" spans="1:97" x14ac:dyDescent="0.25">
      <c r="B403" s="14" t="str">
        <f>+'ENCUESTA CONDUCTORES'!D403</f>
        <v>C-414</v>
      </c>
      <c r="C403" s="15">
        <f>IF('ENCUESTA CONDUCTORES'!E403="X",1,0)</f>
        <v>0</v>
      </c>
      <c r="D403" s="15">
        <f>IF('ENCUESTA CONDUCTORES'!F403="X",1,0)</f>
        <v>1</v>
      </c>
      <c r="E403" s="15">
        <f>IF('ENCUESTA CONDUCTORES'!G403="X",1,0)</f>
        <v>0</v>
      </c>
      <c r="F403" s="15">
        <f>IF('ENCUESTA CONDUCTORES'!H403="X",1,0)</f>
        <v>0</v>
      </c>
      <c r="G403" s="15">
        <f>+'ENCUESTA CONDUCTORES'!I403</f>
        <v>42</v>
      </c>
      <c r="H403" s="15" t="str">
        <f>+'ENCUESTA CONDUCTORES'!J403</f>
        <v>M</v>
      </c>
      <c r="I403" s="15" t="str">
        <f>+'ENCUESTA CONDUCTORES'!K403</f>
        <v>PRIMARIA</v>
      </c>
      <c r="J403" s="15" t="str">
        <f>+'ENCUESTA CONDUCTORES'!L403</f>
        <v>SAN MARTIN, EDO. MEX.</v>
      </c>
      <c r="K403" s="15" t="str">
        <f>+'ENCUESTA CONDUCTORES'!M403</f>
        <v>SAN MARTIN</v>
      </c>
      <c r="L403" s="15" t="str">
        <f>+'ENCUESTA CONDUCTORES'!N403</f>
        <v>EDO. MEX.</v>
      </c>
      <c r="M403" s="15">
        <f>+'ENCUESTA CONDUCTORES'!O403</f>
        <v>15</v>
      </c>
      <c r="N403" s="15">
        <f>IF('ENCUESTA CONDUCTORES'!P403="X",1,0)</f>
        <v>0</v>
      </c>
      <c r="O403" s="15">
        <f>IF('ENCUESTA CONDUCTORES'!Q403="X",1,0)</f>
        <v>1</v>
      </c>
      <c r="P403" s="15">
        <f>IF('ENCUESTA CONDUCTORES'!R403="X",1,0)</f>
        <v>0</v>
      </c>
      <c r="Q403" s="15">
        <f>IF('ENCUESTA CONDUCTORES'!S403="X",1,0)</f>
        <v>0</v>
      </c>
      <c r="R403" s="15">
        <f>IF('ENCUESTA CONDUCTORES'!T403="X",1,0)</f>
        <v>0</v>
      </c>
      <c r="S403" s="15">
        <f>IF('ENCUESTA CONDUCTORES'!U403="X",1,0)</f>
        <v>1</v>
      </c>
      <c r="T403" s="15">
        <f>IF('ENCUESTA CONDUCTORES'!V403="X",1,0)</f>
        <v>0</v>
      </c>
      <c r="U403" s="15">
        <f>IF('ENCUESTA CONDUCTORES'!W403="X",1,0)</f>
        <v>0</v>
      </c>
      <c r="V403" s="15">
        <f>IF('ENCUESTA CONDUCTORES'!X403="X",1,0)</f>
        <v>0</v>
      </c>
      <c r="W403" s="15">
        <f>IF('ENCUESTA CONDUCTORES'!Y403="X",1,0)</f>
        <v>0</v>
      </c>
      <c r="X403" s="15">
        <f>IF('ENCUESTA CONDUCTORES'!Z403="X",1,0)</f>
        <v>0</v>
      </c>
      <c r="Y403" s="15">
        <f>+'ENCUESTA CONDUCTORES'!AG403</f>
        <v>0</v>
      </c>
      <c r="Z403" s="15">
        <f>+'ENCUESTA CONDUCTORES'!AH403</f>
        <v>2001</v>
      </c>
      <c r="AA403" s="1">
        <f>+'ENCUESTA CONDUCTORES'!AI403</f>
        <v>1200000</v>
      </c>
      <c r="AB403" s="15">
        <f>IF('ENCUESTA CONDUCTORES'!AJ403="X",1,0)</f>
        <v>0</v>
      </c>
      <c r="AC403" s="15">
        <f>IF('ENCUESTA CONDUCTORES'!AK403="X",1,0)</f>
        <v>0</v>
      </c>
      <c r="AD403" s="15">
        <f>IF('ENCUESTA CONDUCTORES'!AL403="X",1,0)</f>
        <v>1</v>
      </c>
      <c r="AE403" s="15">
        <f>IF('ENCUESTA CONDUCTORES'!AM403="X",1,0)</f>
        <v>0</v>
      </c>
      <c r="AF403" s="15">
        <f>IF('ENCUESTA CONDUCTORES'!AN403="X",1,0)</f>
        <v>0</v>
      </c>
      <c r="AG403" s="15">
        <f>IF('ENCUESTA CONDUCTORES'!AO403="X",1,0)</f>
        <v>1</v>
      </c>
      <c r="AH403" s="15">
        <f>IF('ENCUESTA CONDUCTORES'!AP403="X",1,0)</f>
        <v>0</v>
      </c>
      <c r="AI403" s="15">
        <f>IF('ENCUESTA CONDUCTORES'!AQ403="X",1,0)</f>
        <v>0</v>
      </c>
      <c r="AJ403" s="15">
        <f>IF('ENCUESTA CONDUCTORES'!AR403="X",1,0)</f>
        <v>0</v>
      </c>
      <c r="AK403" s="15">
        <f>+'ENCUESTA CONDUCTORES'!AS403</f>
        <v>0</v>
      </c>
      <c r="AL403" s="15" t="str">
        <f>+'ENCUESTA CONDUCTORES'!AT403</f>
        <v>MERCEDES BENZ</v>
      </c>
      <c r="AM403" s="1">
        <f>+'ENCUESTA CONDUCTORES'!AU403</f>
        <v>20000</v>
      </c>
      <c r="AN403" s="48">
        <f>+'ENCUESTA CONDUCTORES'!AV403</f>
        <v>0.25</v>
      </c>
      <c r="AO403" s="15">
        <f>+'ENCUESTA CONDUCTORES'!AW403</f>
        <v>2.6</v>
      </c>
      <c r="AP403" s="15">
        <f>+'ENCUESTA CONDUCTORES'!AX403</f>
        <v>2.2000000000000002</v>
      </c>
      <c r="AQ403" s="15">
        <f>+'ENCUESTA CONDUCTORES'!AY403</f>
        <v>2</v>
      </c>
      <c r="AR403" s="15">
        <f>+'ENCUESTA CONDUCTORES'!AZ403</f>
        <v>1000</v>
      </c>
      <c r="AS403" s="15">
        <f>+'ENCUESTA CONDUCTORES'!BA403</f>
        <v>2500</v>
      </c>
      <c r="AT403" s="15">
        <f>IF('ENCUESTA CONDUCTORES'!BB403="X",1,0)</f>
        <v>1</v>
      </c>
      <c r="AU403" s="15">
        <f>IF('ENCUESTA CONDUCTORES'!BC403="X",1,0)</f>
        <v>1</v>
      </c>
      <c r="AV403" s="15">
        <f>IF('ENCUESTA CONDUCTORES'!BD403="X",1,0)</f>
        <v>0</v>
      </c>
      <c r="AW403" s="1">
        <f>+'ENCUESTA CONDUCTORES'!BE403</f>
        <v>20000</v>
      </c>
      <c r="AX403" s="1">
        <f>+'ENCUESTA CONDUCTORES'!BF403</f>
        <v>40000</v>
      </c>
      <c r="AY403" s="1">
        <f>+'ENCUESTA CONDUCTORES'!BG403</f>
        <v>30000</v>
      </c>
      <c r="AZ403" s="1">
        <f>+'ENCUESTA CONDUCTORES'!BH403</f>
        <v>90000</v>
      </c>
      <c r="BA403" s="1">
        <f>+'ENCUESTA CONDUCTORES'!BI403</f>
        <v>30000</v>
      </c>
      <c r="BB403" s="15">
        <f>IF('ENCUESTA CONDUCTORES'!BJ403="X",1,0)</f>
        <v>0</v>
      </c>
      <c r="BC403" s="15">
        <f>IF('ENCUESTA CONDUCTORES'!BK403="X",1,0)</f>
        <v>0</v>
      </c>
      <c r="BD403" s="15">
        <f>IF('ENCUESTA CONDUCTORES'!BL403="X",1,0)</f>
        <v>0</v>
      </c>
      <c r="BE403" s="15">
        <f>IF('ENCUESTA CONDUCTORES'!BM403="X",1,0)</f>
        <v>0</v>
      </c>
      <c r="BF403" s="15">
        <f>IF('ENCUESTA CONDUCTORES'!BN403="X",1,0)</f>
        <v>0</v>
      </c>
      <c r="BG403" s="15">
        <f>IF('ENCUESTA CONDUCTORES'!BO403="X",1,0)</f>
        <v>0</v>
      </c>
      <c r="BH403" s="15">
        <f>IF('ENCUESTA CONDUCTORES'!BP403="X",1,0)</f>
        <v>0</v>
      </c>
      <c r="BI403" s="15">
        <f>IF('ENCUESTA CONDUCTORES'!BQ403="X",1,0)</f>
        <v>0</v>
      </c>
      <c r="BJ403" s="15">
        <f>IF('ENCUESTA CONDUCTORES'!BR403="X",1,0)</f>
        <v>0</v>
      </c>
      <c r="BK403" s="15" t="str">
        <f>+'ENCUESTA CONDUCTORES'!BS403</f>
        <v>GENERAL</v>
      </c>
      <c r="BL403" s="15">
        <f>IF('ENCUESTA CONDUCTORES'!BT403="X",1,0)</f>
        <v>0</v>
      </c>
      <c r="BM403" s="15">
        <f>IF('ENCUESTA CONDUCTORES'!BU403="X",1,0)</f>
        <v>0</v>
      </c>
      <c r="BN403" s="15">
        <f>IF('ENCUESTA CONDUCTORES'!BV403="X",1,0)</f>
        <v>1</v>
      </c>
      <c r="BO403" s="15">
        <f>IF('ENCUESTA CONDUCTORES'!BW403="X",1,0)</f>
        <v>0</v>
      </c>
      <c r="BP403" s="15">
        <f>+'ENCUESTA CONDUCTORES'!BX403</f>
        <v>3</v>
      </c>
      <c r="BQ403" s="15">
        <f>+'ENCUESTA CONDUCTORES'!BY403</f>
        <v>1</v>
      </c>
      <c r="BR403" s="15">
        <f>+'ENCUESTA CONDUCTORES'!BZ403</f>
        <v>2</v>
      </c>
      <c r="BS403" s="15">
        <f>+'ENCUESTA CONDUCTORES'!CA403</f>
        <v>0</v>
      </c>
      <c r="BT403" s="15">
        <f>IF('ENCUESTA CONDUCTORES'!CB403="X",1,0)</f>
        <v>1</v>
      </c>
      <c r="BU403" s="15">
        <f>IF('ENCUESTA CONDUCTORES'!CC403="X",1,0)</f>
        <v>0</v>
      </c>
      <c r="BV403" s="15">
        <f>IF('ENCUESTA CONDUCTORES'!CD403="X",1,0)</f>
        <v>0</v>
      </c>
      <c r="BW403" s="15">
        <f>IF('ENCUESTA CONDUCTORES'!CE403="X",1,0)</f>
        <v>0</v>
      </c>
      <c r="BX403" s="15">
        <f>IF('ENCUESTA CONDUCTORES'!CF403="X",1,0)</f>
        <v>0</v>
      </c>
      <c r="BY403" s="15">
        <f>IF('ENCUESTA CONDUCTORES'!CG403="X",1,0)</f>
        <v>0</v>
      </c>
      <c r="BZ403" s="15">
        <f>IF('ENCUESTA CONDUCTORES'!CH403="X",1,0)</f>
        <v>0</v>
      </c>
      <c r="CA403" s="15">
        <f>IF('ENCUESTA CONDUCTORES'!CI403="X",1,0)</f>
        <v>0</v>
      </c>
      <c r="CB403" s="15">
        <f>IF('ENCUESTA CONDUCTORES'!CJ403="X",1,0)</f>
        <v>0</v>
      </c>
      <c r="CC403" s="15">
        <f>IF('ENCUESTA CONDUCTORES'!CK403="X",1,0)</f>
        <v>1</v>
      </c>
      <c r="CD403" s="15">
        <f>IF('ENCUESTA CONDUCTORES'!CL403="X",1,0)</f>
        <v>0</v>
      </c>
      <c r="CE403" s="15">
        <f>IF('ENCUESTA CONDUCTORES'!CM403="X",1,0)</f>
        <v>0</v>
      </c>
      <c r="CF403" s="15">
        <f>+'ENCUESTA CONDUCTORES'!CN403</f>
        <v>0</v>
      </c>
      <c r="CG403" s="15">
        <f>IF('ENCUESTA CONDUCTORES'!CO403="X",1,0)</f>
        <v>0</v>
      </c>
      <c r="CH403" s="15" t="str">
        <f>+'ENCUESTA CONDUCTORES'!CP403</f>
        <v>NO SABE</v>
      </c>
      <c r="CI403" s="15" t="str">
        <f>+'ENCUESTA CONDUCTORES'!CQ403</f>
        <v>NO SABE</v>
      </c>
      <c r="CJ403" s="15">
        <f>IF('ENCUESTA CONDUCTORES'!CR403="X",1,0)</f>
        <v>1</v>
      </c>
      <c r="CK403" s="15">
        <f>IF('ENCUESTA CONDUCTORES'!CS403="X",1,0)</f>
        <v>0</v>
      </c>
      <c r="CL403" s="15">
        <f>IF('ENCUESTA CONDUCTORES'!CT403="X",1,0)</f>
        <v>0</v>
      </c>
      <c r="CM403" s="15">
        <f>+'ENCUESTA CONDUCTORES'!CU403</f>
        <v>0</v>
      </c>
      <c r="CN403" s="15">
        <f>IF('ENCUESTA CONDUCTORES'!CV403="X",1,0)</f>
        <v>0</v>
      </c>
      <c r="CO403" s="15">
        <f>+'ENCUESTA CONDUCTORES'!CW403</f>
        <v>0</v>
      </c>
      <c r="CP403" s="15">
        <f>IF('ENCUESTA CONDUCTORES'!CX403="X",1,0)</f>
        <v>1</v>
      </c>
      <c r="CQ403" s="15">
        <f>IF('ENCUESTA CONDUCTORES'!CY403="X",1,0)</f>
        <v>1</v>
      </c>
      <c r="CR403" s="3">
        <f>+'ENCUESTA CONDUCTORES'!CZ403</f>
        <v>0</v>
      </c>
      <c r="CS403" s="49">
        <f>+'ENCUESTA CONDUCTORES'!DA403</f>
        <v>0</v>
      </c>
    </row>
    <row r="404" spans="1:97" x14ac:dyDescent="0.25">
      <c r="B404" s="14" t="str">
        <f>+'ENCUESTA CONDUCTORES'!D404</f>
        <v>C-415</v>
      </c>
      <c r="C404" s="15">
        <f>IF('ENCUESTA CONDUCTORES'!E404="X",1,0)</f>
        <v>0</v>
      </c>
      <c r="D404" s="15">
        <f>IF('ENCUESTA CONDUCTORES'!F404="X",1,0)</f>
        <v>0</v>
      </c>
      <c r="E404" s="15">
        <f>IF('ENCUESTA CONDUCTORES'!G404="X",1,0)</f>
        <v>1</v>
      </c>
      <c r="F404" s="15">
        <f>IF('ENCUESTA CONDUCTORES'!H404="X",1,0)</f>
        <v>0</v>
      </c>
      <c r="G404" s="15">
        <f>+'ENCUESTA CONDUCTORES'!I404</f>
        <v>36</v>
      </c>
      <c r="H404" s="15" t="str">
        <f>+'ENCUESTA CONDUCTORES'!J404</f>
        <v>M</v>
      </c>
      <c r="I404" s="15" t="str">
        <f>+'ENCUESTA CONDUCTORES'!K404</f>
        <v>SECUNDARIA</v>
      </c>
      <c r="J404" s="15" t="str">
        <f>+'ENCUESTA CONDUCTORES'!L404</f>
        <v>SAN LUIS POTOSI, SLP</v>
      </c>
      <c r="K404" s="15" t="str">
        <f>+'ENCUESTA CONDUCTORES'!M404</f>
        <v>SAN LUIS POTOSI</v>
      </c>
      <c r="L404" s="15" t="str">
        <f>+'ENCUESTA CONDUCTORES'!N404</f>
        <v>SAN LUIS POTOSI</v>
      </c>
      <c r="M404" s="15">
        <f>+'ENCUESTA CONDUCTORES'!O404</f>
        <v>10</v>
      </c>
      <c r="N404" s="15">
        <f>IF('ENCUESTA CONDUCTORES'!P404="X",1,0)</f>
        <v>0</v>
      </c>
      <c r="O404" s="15">
        <f>IF('ENCUESTA CONDUCTORES'!Q404="X",1,0)</f>
        <v>0</v>
      </c>
      <c r="P404" s="15">
        <f>IF('ENCUESTA CONDUCTORES'!R404="X",1,0)</f>
        <v>0</v>
      </c>
      <c r="Q404" s="15">
        <f>IF('ENCUESTA CONDUCTORES'!S404="X",1,0)</f>
        <v>1</v>
      </c>
      <c r="R404" s="15">
        <f>IF('ENCUESTA CONDUCTORES'!T404="X",1,0)</f>
        <v>0</v>
      </c>
      <c r="S404" s="15">
        <f>IF('ENCUESTA CONDUCTORES'!U404="X",1,0)</f>
        <v>1</v>
      </c>
      <c r="T404" s="15">
        <f>IF('ENCUESTA CONDUCTORES'!V404="X",1,0)</f>
        <v>0</v>
      </c>
      <c r="U404" s="15">
        <f>IF('ENCUESTA CONDUCTORES'!W404="X",1,0)</f>
        <v>0</v>
      </c>
      <c r="V404" s="15">
        <f>IF('ENCUESTA CONDUCTORES'!X404="X",1,0)</f>
        <v>0</v>
      </c>
      <c r="W404" s="15">
        <f>IF('ENCUESTA CONDUCTORES'!Y404="X",1,0)</f>
        <v>0</v>
      </c>
      <c r="X404" s="15">
        <f>IF('ENCUESTA CONDUCTORES'!Z404="X",1,0)</f>
        <v>0</v>
      </c>
      <c r="Y404" s="15">
        <f>+'ENCUESTA CONDUCTORES'!AG404</f>
        <v>0</v>
      </c>
      <c r="Z404" s="15">
        <f>+'ENCUESTA CONDUCTORES'!AH404</f>
        <v>2003</v>
      </c>
      <c r="AA404" s="1">
        <f>+'ENCUESTA CONDUCTORES'!AI404</f>
        <v>973591</v>
      </c>
      <c r="AB404" s="15">
        <f>IF('ENCUESTA CONDUCTORES'!AJ404="X",1,0)</f>
        <v>0</v>
      </c>
      <c r="AC404" s="15">
        <f>IF('ENCUESTA CONDUCTORES'!AK404="X",1,0)</f>
        <v>0</v>
      </c>
      <c r="AD404" s="15">
        <f>IF('ENCUESTA CONDUCTORES'!AL404="X",1,0)</f>
        <v>1</v>
      </c>
      <c r="AE404" s="15">
        <f>IF('ENCUESTA CONDUCTORES'!AM404="X",1,0)</f>
        <v>0</v>
      </c>
      <c r="AF404" s="15">
        <f>IF('ENCUESTA CONDUCTORES'!AN404="X",1,0)</f>
        <v>0</v>
      </c>
      <c r="AG404" s="15">
        <f>IF('ENCUESTA CONDUCTORES'!AO404="X",1,0)</f>
        <v>1</v>
      </c>
      <c r="AH404" s="15">
        <f>IF('ENCUESTA CONDUCTORES'!AP404="X",1,0)</f>
        <v>0</v>
      </c>
      <c r="AI404" s="15">
        <f>IF('ENCUESTA CONDUCTORES'!AQ404="X",1,0)</f>
        <v>0</v>
      </c>
      <c r="AJ404" s="15">
        <f>IF('ENCUESTA CONDUCTORES'!AR404="X",1,0)</f>
        <v>0</v>
      </c>
      <c r="AK404" s="15">
        <f>+'ENCUESTA CONDUCTORES'!AS404</f>
        <v>0</v>
      </c>
      <c r="AL404" s="15" t="str">
        <f>+'ENCUESTA CONDUCTORES'!AT404</f>
        <v>CUMMINS</v>
      </c>
      <c r="AM404" s="1">
        <f>+'ENCUESTA CONDUCTORES'!AU404</f>
        <v>10000</v>
      </c>
      <c r="AN404" s="48">
        <f>+'ENCUESTA CONDUCTORES'!AV404</f>
        <v>0.5</v>
      </c>
      <c r="AO404" s="15">
        <f>+'ENCUESTA CONDUCTORES'!AW404</f>
        <v>2.7</v>
      </c>
      <c r="AP404" s="15">
        <f>+'ENCUESTA CONDUCTORES'!AX404</f>
        <v>2.4</v>
      </c>
      <c r="AQ404" s="15">
        <f>+'ENCUESTA CONDUCTORES'!AY404</f>
        <v>2</v>
      </c>
      <c r="AR404" s="15">
        <f>+'ENCUESTA CONDUCTORES'!AZ404</f>
        <v>830</v>
      </c>
      <c r="AS404" s="15">
        <f>+'ENCUESTA CONDUCTORES'!BA404</f>
        <v>2150</v>
      </c>
      <c r="AT404" s="15">
        <f>IF('ENCUESTA CONDUCTORES'!BB404="X",1,0)</f>
        <v>1</v>
      </c>
      <c r="AU404" s="15">
        <f>IF('ENCUESTA CONDUCTORES'!BC404="X",1,0)</f>
        <v>0</v>
      </c>
      <c r="AV404" s="15">
        <f>IF('ENCUESTA CONDUCTORES'!BD404="X",1,0)</f>
        <v>0</v>
      </c>
      <c r="AW404" s="1">
        <f>+'ENCUESTA CONDUCTORES'!BE404</f>
        <v>22000</v>
      </c>
      <c r="AX404" s="1" t="str">
        <f>+'ENCUESTA CONDUCTORES'!BF404</f>
        <v>NO SABE</v>
      </c>
      <c r="AY404" s="1">
        <f>+'ENCUESTA CONDUCTORES'!BG404</f>
        <v>44000</v>
      </c>
      <c r="AZ404" s="1" t="str">
        <f>+'ENCUESTA CONDUCTORES'!BH404</f>
        <v>NO SABE</v>
      </c>
      <c r="BA404" s="1" t="str">
        <f>+'ENCUESTA CONDUCTORES'!BI404</f>
        <v>NO SABE</v>
      </c>
      <c r="BB404" s="15">
        <f>IF('ENCUESTA CONDUCTORES'!BJ404="X",1,0)</f>
        <v>0</v>
      </c>
      <c r="BC404" s="15">
        <f>IF('ENCUESTA CONDUCTORES'!BK404="X",1,0)</f>
        <v>0</v>
      </c>
      <c r="BD404" s="15">
        <f>IF('ENCUESTA CONDUCTORES'!BL404="X",1,0)</f>
        <v>0</v>
      </c>
      <c r="BE404" s="15">
        <f>IF('ENCUESTA CONDUCTORES'!BM404="X",1,0)</f>
        <v>0</v>
      </c>
      <c r="BF404" s="15">
        <f>IF('ENCUESTA CONDUCTORES'!BN404="X",1,0)</f>
        <v>1</v>
      </c>
      <c r="BG404" s="15">
        <f>IF('ENCUESTA CONDUCTORES'!BO404="X",1,0)</f>
        <v>0</v>
      </c>
      <c r="BH404" s="15">
        <f>IF('ENCUESTA CONDUCTORES'!BP404="X",1,0)</f>
        <v>1</v>
      </c>
      <c r="BI404" s="15">
        <f>IF('ENCUESTA CONDUCTORES'!BQ404="X",1,0)</f>
        <v>0</v>
      </c>
      <c r="BJ404" s="15">
        <f>IF('ENCUESTA CONDUCTORES'!BR404="X",1,0)</f>
        <v>0</v>
      </c>
      <c r="BK404" s="15">
        <f>+'ENCUESTA CONDUCTORES'!BS404</f>
        <v>0</v>
      </c>
      <c r="BL404" s="15">
        <f>IF('ENCUESTA CONDUCTORES'!BT404="X",1,0)</f>
        <v>0</v>
      </c>
      <c r="BM404" s="15">
        <f>IF('ENCUESTA CONDUCTORES'!BU404="X",1,0)</f>
        <v>1</v>
      </c>
      <c r="BN404" s="15">
        <f>IF('ENCUESTA CONDUCTORES'!BV404="X",1,0)</f>
        <v>0</v>
      </c>
      <c r="BO404" s="15">
        <f>IF('ENCUESTA CONDUCTORES'!BW404="X",1,0)</f>
        <v>0</v>
      </c>
      <c r="BP404" s="15">
        <f>+'ENCUESTA CONDUCTORES'!BX404</f>
        <v>1</v>
      </c>
      <c r="BQ404" s="15">
        <f>+'ENCUESTA CONDUCTORES'!BY404</f>
        <v>2</v>
      </c>
      <c r="BR404" s="15">
        <f>+'ENCUESTA CONDUCTORES'!BZ404</f>
        <v>3</v>
      </c>
      <c r="BS404" s="15">
        <f>+'ENCUESTA CONDUCTORES'!CA404</f>
        <v>0</v>
      </c>
      <c r="BT404" s="15">
        <f>IF('ENCUESTA CONDUCTORES'!CB404="X",1,0)</f>
        <v>1</v>
      </c>
      <c r="BU404" s="15">
        <f>IF('ENCUESTA CONDUCTORES'!CC404="X",1,0)</f>
        <v>0</v>
      </c>
      <c r="BV404" s="15">
        <f>IF('ENCUESTA CONDUCTORES'!CD404="X",1,0)</f>
        <v>0</v>
      </c>
      <c r="BW404" s="15">
        <f>IF('ENCUESTA CONDUCTORES'!CE404="X",1,0)</f>
        <v>0</v>
      </c>
      <c r="BX404" s="15">
        <f>IF('ENCUESTA CONDUCTORES'!CF404="X",1,0)</f>
        <v>0</v>
      </c>
      <c r="BY404" s="15">
        <f>IF('ENCUESTA CONDUCTORES'!CG404="X",1,0)</f>
        <v>0</v>
      </c>
      <c r="BZ404" s="15">
        <f>IF('ENCUESTA CONDUCTORES'!CH404="X",1,0)</f>
        <v>0</v>
      </c>
      <c r="CA404" s="15">
        <f>IF('ENCUESTA CONDUCTORES'!CI404="X",1,0)</f>
        <v>0</v>
      </c>
      <c r="CB404" s="15">
        <f>IF('ENCUESTA CONDUCTORES'!CJ404="X",1,0)</f>
        <v>0</v>
      </c>
      <c r="CC404" s="15">
        <f>IF('ENCUESTA CONDUCTORES'!CK404="X",1,0)</f>
        <v>1</v>
      </c>
      <c r="CD404" s="15">
        <f>IF('ENCUESTA CONDUCTORES'!CL404="X",1,0)</f>
        <v>0</v>
      </c>
      <c r="CE404" s="15">
        <f>IF('ENCUESTA CONDUCTORES'!CM404="X",1,0)</f>
        <v>0</v>
      </c>
      <c r="CF404" s="15">
        <f>+'ENCUESTA CONDUCTORES'!CN404</f>
        <v>0</v>
      </c>
      <c r="CG404" s="15">
        <f>IF('ENCUESTA CONDUCTORES'!CO404="X",1,0)</f>
        <v>0</v>
      </c>
      <c r="CH404" s="15" t="str">
        <f>+'ENCUESTA CONDUCTORES'!CP404</f>
        <v>NO SABE</v>
      </c>
      <c r="CI404" s="15" t="str">
        <f>+'ENCUESTA CONDUCTORES'!CQ404</f>
        <v>NO SABE</v>
      </c>
      <c r="CJ404" s="15">
        <f>IF('ENCUESTA CONDUCTORES'!CR404="X",1,0)</f>
        <v>1</v>
      </c>
      <c r="CK404" s="15">
        <f>IF('ENCUESTA CONDUCTORES'!CS404="X",1,0)</f>
        <v>0</v>
      </c>
      <c r="CL404" s="15">
        <f>IF('ENCUESTA CONDUCTORES'!CT404="X",1,0)</f>
        <v>0</v>
      </c>
      <c r="CM404" s="15">
        <f>+'ENCUESTA CONDUCTORES'!CU404</f>
        <v>0</v>
      </c>
      <c r="CN404" s="15">
        <f>IF('ENCUESTA CONDUCTORES'!CV404="X",1,0)</f>
        <v>0</v>
      </c>
      <c r="CO404" s="15">
        <f>+'ENCUESTA CONDUCTORES'!CW404</f>
        <v>0</v>
      </c>
      <c r="CP404" s="15">
        <f>IF('ENCUESTA CONDUCTORES'!CX404="X",1,0)</f>
        <v>0</v>
      </c>
      <c r="CQ404" s="15">
        <f>IF('ENCUESTA CONDUCTORES'!CY404="X",1,0)</f>
        <v>1</v>
      </c>
      <c r="CR404" s="3">
        <f>+'ENCUESTA CONDUCTORES'!CZ404</f>
        <v>0</v>
      </c>
      <c r="CS404" s="49">
        <f>+'ENCUESTA CONDUCTORES'!DA404</f>
        <v>0</v>
      </c>
    </row>
    <row r="405" spans="1:97" x14ac:dyDescent="0.25">
      <c r="B405" s="14" t="str">
        <f>+'ENCUESTA CONDUCTORES'!D405</f>
        <v>C-416</v>
      </c>
      <c r="C405" s="15">
        <f>IF('ENCUESTA CONDUCTORES'!E405="X",1,0)</f>
        <v>0</v>
      </c>
      <c r="D405" s="15">
        <f>IF('ENCUESTA CONDUCTORES'!F405="X",1,0)</f>
        <v>1</v>
      </c>
      <c r="E405" s="15">
        <f>IF('ENCUESTA CONDUCTORES'!G405="X",1,0)</f>
        <v>0</v>
      </c>
      <c r="F405" s="15">
        <f>IF('ENCUESTA CONDUCTORES'!H405="X",1,0)</f>
        <v>0</v>
      </c>
      <c r="G405" s="15">
        <f>+'ENCUESTA CONDUCTORES'!I405</f>
        <v>45</v>
      </c>
      <c r="H405" s="15" t="str">
        <f>+'ENCUESTA CONDUCTORES'!J405</f>
        <v>M</v>
      </c>
      <c r="I405" s="15" t="str">
        <f>+'ENCUESTA CONDUCTORES'!K405</f>
        <v>SECUNDARIA</v>
      </c>
      <c r="J405" s="15" t="str">
        <f>+'ENCUESTA CONDUCTORES'!L405</f>
        <v>HUEJOTZINGO, PUEBLA</v>
      </c>
      <c r="K405" s="15" t="str">
        <f>+'ENCUESTA CONDUCTORES'!M405</f>
        <v>HUEJOTZINGO</v>
      </c>
      <c r="L405" s="15" t="str">
        <f>+'ENCUESTA CONDUCTORES'!N405</f>
        <v>PUEBLA</v>
      </c>
      <c r="M405" s="15">
        <f>+'ENCUESTA CONDUCTORES'!O405</f>
        <v>20</v>
      </c>
      <c r="N405" s="15">
        <f>IF('ENCUESTA CONDUCTORES'!P405="X",1,0)</f>
        <v>0</v>
      </c>
      <c r="O405" s="15">
        <f>IF('ENCUESTA CONDUCTORES'!Q405="X",1,0)</f>
        <v>0</v>
      </c>
      <c r="P405" s="15">
        <f>IF('ENCUESTA CONDUCTORES'!R405="X",1,0)</f>
        <v>0</v>
      </c>
      <c r="Q405" s="15">
        <f>IF('ENCUESTA CONDUCTORES'!S405="X",1,0)</f>
        <v>1</v>
      </c>
      <c r="R405" s="15">
        <f>IF('ENCUESTA CONDUCTORES'!T405="X",1,0)</f>
        <v>0</v>
      </c>
      <c r="S405" s="15">
        <f>IF('ENCUESTA CONDUCTORES'!U405="X",1,0)</f>
        <v>1</v>
      </c>
      <c r="T405" s="15">
        <f>IF('ENCUESTA CONDUCTORES'!V405="X",1,0)</f>
        <v>0</v>
      </c>
      <c r="U405" s="15">
        <f>IF('ENCUESTA CONDUCTORES'!W405="X",1,0)</f>
        <v>0</v>
      </c>
      <c r="V405" s="15">
        <f>IF('ENCUESTA CONDUCTORES'!X405="X",1,0)</f>
        <v>0</v>
      </c>
      <c r="W405" s="15">
        <f>IF('ENCUESTA CONDUCTORES'!Y405="X",1,0)</f>
        <v>0</v>
      </c>
      <c r="X405" s="15">
        <f>IF('ENCUESTA CONDUCTORES'!Z405="X",1,0)</f>
        <v>0</v>
      </c>
      <c r="Y405" s="15">
        <f>+'ENCUESTA CONDUCTORES'!AG405</f>
        <v>0</v>
      </c>
      <c r="Z405" s="15">
        <f>+'ENCUESTA CONDUCTORES'!AH405</f>
        <v>1999</v>
      </c>
      <c r="AA405" s="1" t="str">
        <f>+'ENCUESTA CONDUCTORES'!AI405</f>
        <v>NO SABE</v>
      </c>
      <c r="AB405" s="15">
        <f>IF('ENCUESTA CONDUCTORES'!AJ405="X",1,0)</f>
        <v>0</v>
      </c>
      <c r="AC405" s="15">
        <f>IF('ENCUESTA CONDUCTORES'!AK405="X",1,0)</f>
        <v>0</v>
      </c>
      <c r="AD405" s="15">
        <f>IF('ENCUESTA CONDUCTORES'!AL405="X",1,0)</f>
        <v>1</v>
      </c>
      <c r="AE405" s="15">
        <f>IF('ENCUESTA CONDUCTORES'!AM405="X",1,0)</f>
        <v>0</v>
      </c>
      <c r="AF405" s="15">
        <f>IF('ENCUESTA CONDUCTORES'!AN405="X",1,0)</f>
        <v>0</v>
      </c>
      <c r="AG405" s="15">
        <f>IF('ENCUESTA CONDUCTORES'!AO405="X",1,0)</f>
        <v>0</v>
      </c>
      <c r="AH405" s="15">
        <f>IF('ENCUESTA CONDUCTORES'!AP405="X",1,0)</f>
        <v>1</v>
      </c>
      <c r="AI405" s="15">
        <f>IF('ENCUESTA CONDUCTORES'!AQ405="X",1,0)</f>
        <v>0</v>
      </c>
      <c r="AJ405" s="15">
        <f>IF('ENCUESTA CONDUCTORES'!AR405="X",1,0)</f>
        <v>0</v>
      </c>
      <c r="AK405" s="15">
        <f>+'ENCUESTA CONDUCTORES'!AS405</f>
        <v>0</v>
      </c>
      <c r="AL405" s="15" t="str">
        <f>+'ENCUESTA CONDUCTORES'!AT405</f>
        <v>CUMMINS</v>
      </c>
      <c r="AM405" s="1">
        <f>+'ENCUESTA CONDUCTORES'!AU405</f>
        <v>8000</v>
      </c>
      <c r="AN405" s="48">
        <f>+'ENCUESTA CONDUCTORES'!AV405</f>
        <v>0.5</v>
      </c>
      <c r="AO405" s="15">
        <f>+'ENCUESTA CONDUCTORES'!AW405</f>
        <v>2.7</v>
      </c>
      <c r="AP405" s="15">
        <f>+'ENCUESTA CONDUCTORES'!AX405</f>
        <v>2.5</v>
      </c>
      <c r="AQ405" s="15">
        <f>+'ENCUESTA CONDUCTORES'!AY405</f>
        <v>2</v>
      </c>
      <c r="AR405" s="15">
        <f>+'ENCUESTA CONDUCTORES'!AZ405</f>
        <v>880</v>
      </c>
      <c r="AS405" s="15">
        <f>+'ENCUESTA CONDUCTORES'!BA405</f>
        <v>2300</v>
      </c>
      <c r="AT405" s="15">
        <f>IF('ENCUESTA CONDUCTORES'!BB405="X",1,0)</f>
        <v>0</v>
      </c>
      <c r="AU405" s="15">
        <f>IF('ENCUESTA CONDUCTORES'!BC405="X",1,0)</f>
        <v>0</v>
      </c>
      <c r="AV405" s="15">
        <f>IF('ENCUESTA CONDUCTORES'!BD405="X",1,0)</f>
        <v>0</v>
      </c>
      <c r="AW405" s="1">
        <f>+'ENCUESTA CONDUCTORES'!BE405</f>
        <v>30000</v>
      </c>
      <c r="AX405" s="1" t="str">
        <f>+'ENCUESTA CONDUCTORES'!BF405</f>
        <v>NO SABE</v>
      </c>
      <c r="AY405" s="1" t="str">
        <f>+'ENCUESTA CONDUCTORES'!BG405</f>
        <v>NO SABE</v>
      </c>
      <c r="AZ405" s="1" t="str">
        <f>+'ENCUESTA CONDUCTORES'!BH405</f>
        <v>NO SABE</v>
      </c>
      <c r="BA405" s="1" t="str">
        <f>+'ENCUESTA CONDUCTORES'!BI405</f>
        <v>NO SABE</v>
      </c>
      <c r="BB405" s="15">
        <f>IF('ENCUESTA CONDUCTORES'!BJ405="X",1,0)</f>
        <v>0</v>
      </c>
      <c r="BC405" s="15">
        <f>IF('ENCUESTA CONDUCTORES'!BK405="X",1,0)</f>
        <v>0</v>
      </c>
      <c r="BD405" s="15">
        <f>IF('ENCUESTA CONDUCTORES'!BL405="X",1,0)</f>
        <v>0</v>
      </c>
      <c r="BE405" s="15">
        <f>IF('ENCUESTA CONDUCTORES'!BM405="X",1,0)</f>
        <v>0</v>
      </c>
      <c r="BF405" s="15">
        <f>IF('ENCUESTA CONDUCTORES'!BN405="X",1,0)</f>
        <v>1</v>
      </c>
      <c r="BG405" s="15">
        <f>IF('ENCUESTA CONDUCTORES'!BO405="X",1,0)</f>
        <v>0</v>
      </c>
      <c r="BH405" s="15">
        <f>IF('ENCUESTA CONDUCTORES'!BP405="X",1,0)</f>
        <v>1</v>
      </c>
      <c r="BI405" s="15">
        <f>IF('ENCUESTA CONDUCTORES'!BQ405="X",1,0)</f>
        <v>0</v>
      </c>
      <c r="BJ405" s="15">
        <f>IF('ENCUESTA CONDUCTORES'!BR405="X",1,0)</f>
        <v>0</v>
      </c>
      <c r="BK405" s="15">
        <f>+'ENCUESTA CONDUCTORES'!BS405</f>
        <v>0</v>
      </c>
      <c r="BL405" s="15">
        <f>IF('ENCUESTA CONDUCTORES'!BT405="X",1,0)</f>
        <v>0</v>
      </c>
      <c r="BM405" s="15">
        <f>IF('ENCUESTA CONDUCTORES'!BU405="X",1,0)</f>
        <v>0</v>
      </c>
      <c r="BN405" s="15">
        <f>IF('ENCUESTA CONDUCTORES'!BV405="X",1,0)</f>
        <v>1</v>
      </c>
      <c r="BO405" s="15">
        <f>IF('ENCUESTA CONDUCTORES'!BW405="X",1,0)</f>
        <v>0</v>
      </c>
      <c r="BP405" s="15">
        <f>+'ENCUESTA CONDUCTORES'!BX405</f>
        <v>1</v>
      </c>
      <c r="BQ405" s="15">
        <f>+'ENCUESTA CONDUCTORES'!BY405</f>
        <v>3</v>
      </c>
      <c r="BR405" s="15">
        <f>+'ENCUESTA CONDUCTORES'!BZ405</f>
        <v>2</v>
      </c>
      <c r="BS405" s="15">
        <f>+'ENCUESTA CONDUCTORES'!CA405</f>
        <v>0</v>
      </c>
      <c r="BT405" s="15">
        <f>IF('ENCUESTA CONDUCTORES'!CB405="X",1,0)</f>
        <v>1</v>
      </c>
      <c r="BU405" s="15">
        <f>IF('ENCUESTA CONDUCTORES'!CC405="X",1,0)</f>
        <v>0</v>
      </c>
      <c r="BV405" s="15">
        <f>IF('ENCUESTA CONDUCTORES'!CD405="X",1,0)</f>
        <v>0</v>
      </c>
      <c r="BW405" s="15">
        <f>IF('ENCUESTA CONDUCTORES'!CE405="X",1,0)</f>
        <v>0</v>
      </c>
      <c r="BX405" s="15">
        <f>IF('ENCUESTA CONDUCTORES'!CF405="X",1,0)</f>
        <v>0</v>
      </c>
      <c r="BY405" s="15">
        <f>IF('ENCUESTA CONDUCTORES'!CG405="X",1,0)</f>
        <v>0</v>
      </c>
      <c r="BZ405" s="15">
        <f>IF('ENCUESTA CONDUCTORES'!CH405="X",1,0)</f>
        <v>0</v>
      </c>
      <c r="CA405" s="15">
        <f>IF('ENCUESTA CONDUCTORES'!CI405="X",1,0)</f>
        <v>0</v>
      </c>
      <c r="CB405" s="15">
        <f>IF('ENCUESTA CONDUCTORES'!CJ405="X",1,0)</f>
        <v>0</v>
      </c>
      <c r="CC405" s="15">
        <f>IF('ENCUESTA CONDUCTORES'!CK405="X",1,0)</f>
        <v>1</v>
      </c>
      <c r="CD405" s="15">
        <f>IF('ENCUESTA CONDUCTORES'!CL405="X",1,0)</f>
        <v>0</v>
      </c>
      <c r="CE405" s="15">
        <f>IF('ENCUESTA CONDUCTORES'!CM405="X",1,0)</f>
        <v>0</v>
      </c>
      <c r="CF405" s="15">
        <f>+'ENCUESTA CONDUCTORES'!CN405</f>
        <v>0</v>
      </c>
      <c r="CG405" s="15">
        <f>IF('ENCUESTA CONDUCTORES'!CO405="X",1,0)</f>
        <v>0</v>
      </c>
      <c r="CH405" s="15" t="str">
        <f>+'ENCUESTA CONDUCTORES'!CP405</f>
        <v>NO SABE</v>
      </c>
      <c r="CI405" s="15" t="str">
        <f>+'ENCUESTA CONDUCTORES'!CQ405</f>
        <v>NO SABE</v>
      </c>
      <c r="CJ405" s="15">
        <f>IF('ENCUESTA CONDUCTORES'!CR405="X",1,0)</f>
        <v>1</v>
      </c>
      <c r="CK405" s="15">
        <f>IF('ENCUESTA CONDUCTORES'!CS405="X",1,0)</f>
        <v>0</v>
      </c>
      <c r="CL405" s="15">
        <f>IF('ENCUESTA CONDUCTORES'!CT405="X",1,0)</f>
        <v>0</v>
      </c>
      <c r="CM405" s="15">
        <f>+'ENCUESTA CONDUCTORES'!CU405</f>
        <v>0</v>
      </c>
      <c r="CN405" s="15">
        <f>IF('ENCUESTA CONDUCTORES'!CV405="X",1,0)</f>
        <v>0</v>
      </c>
      <c r="CO405" s="15">
        <f>+'ENCUESTA CONDUCTORES'!CW405</f>
        <v>0</v>
      </c>
      <c r="CP405" s="15">
        <f>IF('ENCUESTA CONDUCTORES'!CX405="X",1,0)</f>
        <v>1</v>
      </c>
      <c r="CQ405" s="15">
        <f>IF('ENCUESTA CONDUCTORES'!CY405="X",1,0)</f>
        <v>0</v>
      </c>
      <c r="CR405" s="3">
        <f>+'ENCUESTA CONDUCTORES'!CZ405</f>
        <v>0</v>
      </c>
      <c r="CS405" s="49">
        <f>+'ENCUESTA CONDUCTORES'!DA405</f>
        <v>0</v>
      </c>
    </row>
    <row r="406" spans="1:97" x14ac:dyDescent="0.25">
      <c r="B406" s="14" t="str">
        <f>+'ENCUESTA CONDUCTORES'!D406</f>
        <v>C-417</v>
      </c>
      <c r="C406" s="15">
        <f>IF('ENCUESTA CONDUCTORES'!E406="X",1,0)</f>
        <v>0</v>
      </c>
      <c r="D406" s="15">
        <f>IF('ENCUESTA CONDUCTORES'!F406="X",1,0)</f>
        <v>0</v>
      </c>
      <c r="E406" s="15">
        <f>IF('ENCUESTA CONDUCTORES'!G406="X",1,0)</f>
        <v>1</v>
      </c>
      <c r="F406" s="15">
        <f>IF('ENCUESTA CONDUCTORES'!H406="X",1,0)</f>
        <v>0</v>
      </c>
      <c r="G406" s="15">
        <f>+'ENCUESTA CONDUCTORES'!I406</f>
        <v>52</v>
      </c>
      <c r="H406" s="15" t="str">
        <f>+'ENCUESTA CONDUCTORES'!J406</f>
        <v>M</v>
      </c>
      <c r="I406" s="15" t="str">
        <f>+'ENCUESTA CONDUCTORES'!K406</f>
        <v>PRIMARIA</v>
      </c>
      <c r="J406" s="15" t="str">
        <f>+'ENCUESTA CONDUCTORES'!L406</f>
        <v>QUERÉTARO, QRO.</v>
      </c>
      <c r="K406" s="15" t="str">
        <f>+'ENCUESTA CONDUCTORES'!M406</f>
        <v>QUERÉTARO</v>
      </c>
      <c r="L406" s="15" t="str">
        <f>+'ENCUESTA CONDUCTORES'!N406</f>
        <v>QUERÉTARO</v>
      </c>
      <c r="M406" s="15">
        <f>+'ENCUESTA CONDUCTORES'!O406</f>
        <v>30</v>
      </c>
      <c r="N406" s="15">
        <f>IF('ENCUESTA CONDUCTORES'!P406="X",1,0)</f>
        <v>0</v>
      </c>
      <c r="O406" s="15">
        <f>IF('ENCUESTA CONDUCTORES'!Q406="X",1,0)</f>
        <v>0</v>
      </c>
      <c r="P406" s="15">
        <f>IF('ENCUESTA CONDUCTORES'!R406="X",1,0)</f>
        <v>0</v>
      </c>
      <c r="Q406" s="15">
        <f>IF('ENCUESTA CONDUCTORES'!S406="X",1,0)</f>
        <v>1</v>
      </c>
      <c r="R406" s="15">
        <f>IF('ENCUESTA CONDUCTORES'!T406="X",1,0)</f>
        <v>0</v>
      </c>
      <c r="S406" s="15">
        <f>IF('ENCUESTA CONDUCTORES'!U406="X",1,0)</f>
        <v>1</v>
      </c>
      <c r="T406" s="15">
        <f>IF('ENCUESTA CONDUCTORES'!V406="X",1,0)</f>
        <v>0</v>
      </c>
      <c r="U406" s="15">
        <f>IF('ENCUESTA CONDUCTORES'!W406="X",1,0)</f>
        <v>0</v>
      </c>
      <c r="V406" s="15">
        <f>IF('ENCUESTA CONDUCTORES'!X406="X",1,0)</f>
        <v>0</v>
      </c>
      <c r="W406" s="15">
        <f>IF('ENCUESTA CONDUCTORES'!Y406="X",1,0)</f>
        <v>0</v>
      </c>
      <c r="X406" s="15">
        <f>IF('ENCUESTA CONDUCTORES'!Z406="X",1,0)</f>
        <v>0</v>
      </c>
      <c r="Y406" s="15">
        <f>+'ENCUESTA CONDUCTORES'!AG406</f>
        <v>0</v>
      </c>
      <c r="Z406" s="15">
        <f>+'ENCUESTA CONDUCTORES'!AH406</f>
        <v>2003</v>
      </c>
      <c r="AA406" s="1">
        <f>+'ENCUESTA CONDUCTORES'!AI406</f>
        <v>860990</v>
      </c>
      <c r="AB406" s="15">
        <f>IF('ENCUESTA CONDUCTORES'!AJ406="X",1,0)</f>
        <v>0</v>
      </c>
      <c r="AC406" s="15">
        <f>IF('ENCUESTA CONDUCTORES'!AK406="X",1,0)</f>
        <v>0</v>
      </c>
      <c r="AD406" s="15">
        <f>IF('ENCUESTA CONDUCTORES'!AL406="X",1,0)</f>
        <v>1</v>
      </c>
      <c r="AE406" s="15">
        <f>IF('ENCUESTA CONDUCTORES'!AM406="X",1,0)</f>
        <v>0</v>
      </c>
      <c r="AF406" s="15">
        <f>IF('ENCUESTA CONDUCTORES'!AN406="X",1,0)</f>
        <v>0</v>
      </c>
      <c r="AG406" s="15">
        <f>IF('ENCUESTA CONDUCTORES'!AO406="X",1,0)</f>
        <v>0</v>
      </c>
      <c r="AH406" s="15">
        <f>IF('ENCUESTA CONDUCTORES'!AP406="X",1,0)</f>
        <v>1</v>
      </c>
      <c r="AI406" s="15">
        <f>IF('ENCUESTA CONDUCTORES'!AQ406="X",1,0)</f>
        <v>0</v>
      </c>
      <c r="AJ406" s="15">
        <f>IF('ENCUESTA CONDUCTORES'!AR406="X",1,0)</f>
        <v>0</v>
      </c>
      <c r="AK406" s="15">
        <f>+'ENCUESTA CONDUCTORES'!AS406</f>
        <v>0</v>
      </c>
      <c r="AL406" s="15" t="str">
        <f>+'ENCUESTA CONDUCTORES'!AT406</f>
        <v>CUMMINS</v>
      </c>
      <c r="AM406" s="1">
        <f>+'ENCUESTA CONDUCTORES'!AU406</f>
        <v>10000</v>
      </c>
      <c r="AN406" s="48">
        <f>+'ENCUESTA CONDUCTORES'!AV406</f>
        <v>0.1</v>
      </c>
      <c r="AO406" s="15">
        <f>+'ENCUESTA CONDUCTORES'!AW406</f>
        <v>2.7</v>
      </c>
      <c r="AP406" s="15">
        <f>+'ENCUESTA CONDUCTORES'!AX406</f>
        <v>2.4</v>
      </c>
      <c r="AQ406" s="15">
        <f>+'ENCUESTA CONDUCTORES'!AY406</f>
        <v>2</v>
      </c>
      <c r="AR406" s="15">
        <f>+'ENCUESTA CONDUCTORES'!AZ406</f>
        <v>920</v>
      </c>
      <c r="AS406" s="15">
        <f>+'ENCUESTA CONDUCTORES'!BA406</f>
        <v>2300</v>
      </c>
      <c r="AT406" s="15">
        <f>IF('ENCUESTA CONDUCTORES'!BB406="X",1,0)</f>
        <v>1</v>
      </c>
      <c r="AU406" s="15">
        <f>IF('ENCUESTA CONDUCTORES'!BC406="X",1,0)</f>
        <v>0</v>
      </c>
      <c r="AV406" s="15">
        <f>IF('ENCUESTA CONDUCTORES'!BD406="X",1,0)</f>
        <v>0</v>
      </c>
      <c r="AW406" s="1">
        <f>+'ENCUESTA CONDUCTORES'!BE406</f>
        <v>18000</v>
      </c>
      <c r="AX406" s="1" t="str">
        <f>+'ENCUESTA CONDUCTORES'!BF406</f>
        <v>NO SABE</v>
      </c>
      <c r="AY406" s="1">
        <f>+'ENCUESTA CONDUCTORES'!BG406</f>
        <v>36000</v>
      </c>
      <c r="AZ406" s="1">
        <f>+'ENCUESTA CONDUCTORES'!BH406</f>
        <v>120000</v>
      </c>
      <c r="BA406" s="1" t="str">
        <f>+'ENCUESTA CONDUCTORES'!BI406</f>
        <v>NO SABE</v>
      </c>
      <c r="BB406" s="15">
        <f>IF('ENCUESTA CONDUCTORES'!BJ406="X",1,0)</f>
        <v>0</v>
      </c>
      <c r="BC406" s="15">
        <f>IF('ENCUESTA CONDUCTORES'!BK406="X",1,0)</f>
        <v>0</v>
      </c>
      <c r="BD406" s="15">
        <f>IF('ENCUESTA CONDUCTORES'!BL406="X",1,0)</f>
        <v>0</v>
      </c>
      <c r="BE406" s="15">
        <f>IF('ENCUESTA CONDUCTORES'!BM406="X",1,0)</f>
        <v>0</v>
      </c>
      <c r="BF406" s="15">
        <f>IF('ENCUESTA CONDUCTORES'!BN406="X",1,0)</f>
        <v>1</v>
      </c>
      <c r="BG406" s="15">
        <f>IF('ENCUESTA CONDUCTORES'!BO406="X",1,0)</f>
        <v>0</v>
      </c>
      <c r="BH406" s="15">
        <f>IF('ENCUESTA CONDUCTORES'!BP406="X",1,0)</f>
        <v>1</v>
      </c>
      <c r="BI406" s="15">
        <f>IF('ENCUESTA CONDUCTORES'!BQ406="X",1,0)</f>
        <v>0</v>
      </c>
      <c r="BJ406" s="15">
        <f>IF('ENCUESTA CONDUCTORES'!BR406="X",1,0)</f>
        <v>0</v>
      </c>
      <c r="BK406" s="15">
        <f>+'ENCUESTA CONDUCTORES'!BS406</f>
        <v>0</v>
      </c>
      <c r="BL406" s="15">
        <f>IF('ENCUESTA CONDUCTORES'!BT406="X",1,0)</f>
        <v>0</v>
      </c>
      <c r="BM406" s="15">
        <f>IF('ENCUESTA CONDUCTORES'!BU406="X",1,0)</f>
        <v>1</v>
      </c>
      <c r="BN406" s="15">
        <f>IF('ENCUESTA CONDUCTORES'!BV406="X",1,0)</f>
        <v>0</v>
      </c>
      <c r="BO406" s="15">
        <f>IF('ENCUESTA CONDUCTORES'!BW406="X",1,0)</f>
        <v>0</v>
      </c>
      <c r="BP406" s="15">
        <f>+'ENCUESTA CONDUCTORES'!BX406</f>
        <v>1</v>
      </c>
      <c r="BQ406" s="15">
        <f>+'ENCUESTA CONDUCTORES'!BY406</f>
        <v>3</v>
      </c>
      <c r="BR406" s="15">
        <f>+'ENCUESTA CONDUCTORES'!BZ406</f>
        <v>2</v>
      </c>
      <c r="BS406" s="15">
        <f>+'ENCUESTA CONDUCTORES'!CA406</f>
        <v>0</v>
      </c>
      <c r="BT406" s="15">
        <f>IF('ENCUESTA CONDUCTORES'!CB406="X",1,0)</f>
        <v>1</v>
      </c>
      <c r="BU406" s="15">
        <f>IF('ENCUESTA CONDUCTORES'!CC406="X",1,0)</f>
        <v>0</v>
      </c>
      <c r="BV406" s="15">
        <f>IF('ENCUESTA CONDUCTORES'!CD406="X",1,0)</f>
        <v>0</v>
      </c>
      <c r="BW406" s="15">
        <f>IF('ENCUESTA CONDUCTORES'!CE406="X",1,0)</f>
        <v>0</v>
      </c>
      <c r="BX406" s="15">
        <f>IF('ENCUESTA CONDUCTORES'!CF406="X",1,0)</f>
        <v>0</v>
      </c>
      <c r="BY406" s="15">
        <f>IF('ENCUESTA CONDUCTORES'!CG406="X",1,0)</f>
        <v>0</v>
      </c>
      <c r="BZ406" s="15">
        <f>IF('ENCUESTA CONDUCTORES'!CH406="X",1,0)</f>
        <v>0</v>
      </c>
      <c r="CA406" s="15">
        <f>IF('ENCUESTA CONDUCTORES'!CI406="X",1,0)</f>
        <v>0</v>
      </c>
      <c r="CB406" s="15">
        <f>IF('ENCUESTA CONDUCTORES'!CJ406="X",1,0)</f>
        <v>0</v>
      </c>
      <c r="CC406" s="15">
        <f>IF('ENCUESTA CONDUCTORES'!CK406="X",1,0)</f>
        <v>1</v>
      </c>
      <c r="CD406" s="15">
        <f>IF('ENCUESTA CONDUCTORES'!CL406="X",1,0)</f>
        <v>0</v>
      </c>
      <c r="CE406" s="15">
        <f>IF('ENCUESTA CONDUCTORES'!CM406="X",1,0)</f>
        <v>0</v>
      </c>
      <c r="CF406" s="15">
        <f>+'ENCUESTA CONDUCTORES'!CN406</f>
        <v>0</v>
      </c>
      <c r="CG406" s="15">
        <f>IF('ENCUESTA CONDUCTORES'!CO406="X",1,0)</f>
        <v>0</v>
      </c>
      <c r="CH406" s="15" t="str">
        <f>+'ENCUESTA CONDUCTORES'!CP406</f>
        <v>NO SABE</v>
      </c>
      <c r="CI406" s="15" t="str">
        <f>+'ENCUESTA CONDUCTORES'!CQ406</f>
        <v>NO SABE</v>
      </c>
      <c r="CJ406" s="15">
        <f>IF('ENCUESTA CONDUCTORES'!CR406="X",1,0)</f>
        <v>1</v>
      </c>
      <c r="CK406" s="15">
        <f>IF('ENCUESTA CONDUCTORES'!CS406="X",1,0)</f>
        <v>0</v>
      </c>
      <c r="CL406" s="15">
        <f>IF('ENCUESTA CONDUCTORES'!CT406="X",1,0)</f>
        <v>0</v>
      </c>
      <c r="CM406" s="15">
        <f>+'ENCUESTA CONDUCTORES'!CU406</f>
        <v>0</v>
      </c>
      <c r="CN406" s="15">
        <f>IF('ENCUESTA CONDUCTORES'!CV406="X",1,0)</f>
        <v>0</v>
      </c>
      <c r="CO406" s="15">
        <f>+'ENCUESTA CONDUCTORES'!CW406</f>
        <v>0</v>
      </c>
      <c r="CP406" s="15">
        <f>IF('ENCUESTA CONDUCTORES'!CX406="X",1,0)</f>
        <v>1</v>
      </c>
      <c r="CQ406" s="15">
        <f>IF('ENCUESTA CONDUCTORES'!CY406="X",1,0)</f>
        <v>0</v>
      </c>
      <c r="CR406" s="3">
        <f>+'ENCUESTA CONDUCTORES'!CZ406</f>
        <v>0</v>
      </c>
      <c r="CS406" s="49">
        <f>+'ENCUESTA CONDUCTORES'!DA406</f>
        <v>0</v>
      </c>
    </row>
    <row r="407" spans="1:97" x14ac:dyDescent="0.25">
      <c r="B407" s="14" t="str">
        <f>+'ENCUESTA CONDUCTORES'!D407</f>
        <v>C-418</v>
      </c>
      <c r="C407" s="15">
        <f>IF('ENCUESTA CONDUCTORES'!E407="X",1,0)</f>
        <v>0</v>
      </c>
      <c r="D407" s="15">
        <f>IF('ENCUESTA CONDUCTORES'!F407="X",1,0)</f>
        <v>0</v>
      </c>
      <c r="E407" s="15">
        <f>IF('ENCUESTA CONDUCTORES'!G407="X",1,0)</f>
        <v>0</v>
      </c>
      <c r="F407" s="15">
        <f>IF('ENCUESTA CONDUCTORES'!H407="X",1,0)</f>
        <v>1</v>
      </c>
      <c r="G407" s="15">
        <f>+'ENCUESTA CONDUCTORES'!I407</f>
        <v>50</v>
      </c>
      <c r="H407" s="15" t="str">
        <f>+'ENCUESTA CONDUCTORES'!J407</f>
        <v>M</v>
      </c>
      <c r="I407" s="15" t="str">
        <f>+'ENCUESTA CONDUCTORES'!K407</f>
        <v>PRIMARIA</v>
      </c>
      <c r="J407" s="15" t="str">
        <f>+'ENCUESTA CONDUCTORES'!L407</f>
        <v>MONTERREY, NVO. LEON</v>
      </c>
      <c r="K407" s="15" t="str">
        <f>+'ENCUESTA CONDUCTORES'!M407</f>
        <v>MONTERREY</v>
      </c>
      <c r="L407" s="15" t="str">
        <f>+'ENCUESTA CONDUCTORES'!N407</f>
        <v>NVO. LEON</v>
      </c>
      <c r="M407" s="15">
        <f>+'ENCUESTA CONDUCTORES'!O407</f>
        <v>25</v>
      </c>
      <c r="N407" s="15">
        <f>IF('ENCUESTA CONDUCTORES'!P407="X",1,0)</f>
        <v>0</v>
      </c>
      <c r="O407" s="15">
        <f>IF('ENCUESTA CONDUCTORES'!Q407="X",1,0)</f>
        <v>0</v>
      </c>
      <c r="P407" s="15">
        <f>IF('ENCUESTA CONDUCTORES'!R407="X",1,0)</f>
        <v>0</v>
      </c>
      <c r="Q407" s="15">
        <f>IF('ENCUESTA CONDUCTORES'!S407="X",1,0)</f>
        <v>1</v>
      </c>
      <c r="R407" s="15">
        <f>IF('ENCUESTA CONDUCTORES'!T407="X",1,0)</f>
        <v>0</v>
      </c>
      <c r="S407" s="15">
        <f>IF('ENCUESTA CONDUCTORES'!U407="X",1,0)</f>
        <v>1</v>
      </c>
      <c r="T407" s="15">
        <f>IF('ENCUESTA CONDUCTORES'!V407="X",1,0)</f>
        <v>0</v>
      </c>
      <c r="U407" s="15">
        <f>IF('ENCUESTA CONDUCTORES'!W407="X",1,0)</f>
        <v>0</v>
      </c>
      <c r="V407" s="15">
        <f>IF('ENCUESTA CONDUCTORES'!X407="X",1,0)</f>
        <v>0</v>
      </c>
      <c r="W407" s="15">
        <f>IF('ENCUESTA CONDUCTORES'!Y407="X",1,0)</f>
        <v>0</v>
      </c>
      <c r="X407" s="15">
        <f>IF('ENCUESTA CONDUCTORES'!Z407="X",1,0)</f>
        <v>0</v>
      </c>
      <c r="Y407" s="15">
        <f>+'ENCUESTA CONDUCTORES'!AG407</f>
        <v>0</v>
      </c>
      <c r="Z407" s="15">
        <f>+'ENCUESTA CONDUCTORES'!AH407</f>
        <v>2005</v>
      </c>
      <c r="AA407" s="1">
        <f>+'ENCUESTA CONDUCTORES'!AI407</f>
        <v>758120</v>
      </c>
      <c r="AB407" s="15">
        <f>IF('ENCUESTA CONDUCTORES'!AJ407="X",1,0)</f>
        <v>0</v>
      </c>
      <c r="AC407" s="15">
        <f>IF('ENCUESTA CONDUCTORES'!AK407="X",1,0)</f>
        <v>0</v>
      </c>
      <c r="AD407" s="15">
        <f>IF('ENCUESTA CONDUCTORES'!AL407="X",1,0)</f>
        <v>1</v>
      </c>
      <c r="AE407" s="15">
        <f>IF('ENCUESTA CONDUCTORES'!AM407="X",1,0)</f>
        <v>0</v>
      </c>
      <c r="AF407" s="15">
        <f>IF('ENCUESTA CONDUCTORES'!AN407="X",1,0)</f>
        <v>0</v>
      </c>
      <c r="AG407" s="15">
        <f>IF('ENCUESTA CONDUCTORES'!AO407="X",1,0)</f>
        <v>0</v>
      </c>
      <c r="AH407" s="15">
        <f>IF('ENCUESTA CONDUCTORES'!AP407="X",1,0)</f>
        <v>1</v>
      </c>
      <c r="AI407" s="15">
        <f>IF('ENCUESTA CONDUCTORES'!AQ407="X",1,0)</f>
        <v>0</v>
      </c>
      <c r="AJ407" s="15">
        <f>IF('ENCUESTA CONDUCTORES'!AR407="X",1,0)</f>
        <v>0</v>
      </c>
      <c r="AK407" s="15">
        <f>+'ENCUESTA CONDUCTORES'!AS407</f>
        <v>0</v>
      </c>
      <c r="AL407" s="15" t="str">
        <f>+'ENCUESTA CONDUCTORES'!AT407</f>
        <v>DETROIT</v>
      </c>
      <c r="AM407" s="1">
        <f>+'ENCUESTA CONDUCTORES'!AU407</f>
        <v>9000</v>
      </c>
      <c r="AN407" s="48">
        <f>+'ENCUESTA CONDUCTORES'!AV407</f>
        <v>0.5</v>
      </c>
      <c r="AO407" s="15">
        <f>+'ENCUESTA CONDUCTORES'!AW407</f>
        <v>2.7</v>
      </c>
      <c r="AP407" s="15">
        <f>+'ENCUESTA CONDUCTORES'!AX407</f>
        <v>2.5</v>
      </c>
      <c r="AQ407" s="15">
        <f>+'ENCUESTA CONDUCTORES'!AY407</f>
        <v>2</v>
      </c>
      <c r="AR407" s="15">
        <f>+'ENCUESTA CONDUCTORES'!AZ407</f>
        <v>960</v>
      </c>
      <c r="AS407" s="15">
        <f>+'ENCUESTA CONDUCTORES'!BA407</f>
        <v>2500</v>
      </c>
      <c r="AT407" s="15">
        <f>IF('ENCUESTA CONDUCTORES'!BB407="X",1,0)</f>
        <v>1</v>
      </c>
      <c r="AU407" s="15">
        <f>IF('ENCUESTA CONDUCTORES'!BC407="X",1,0)</f>
        <v>1</v>
      </c>
      <c r="AV407" s="15">
        <f>IF('ENCUESTA CONDUCTORES'!BD407="X",1,0)</f>
        <v>0</v>
      </c>
      <c r="AW407" s="1">
        <f>+'ENCUESTA CONDUCTORES'!BE407</f>
        <v>20000</v>
      </c>
      <c r="AX407" s="1">
        <f>+'ENCUESTA CONDUCTORES'!BF407</f>
        <v>200000</v>
      </c>
      <c r="AY407" s="1">
        <f>+'ENCUESTA CONDUCTORES'!BG407</f>
        <v>40000</v>
      </c>
      <c r="AZ407" s="1">
        <f>+'ENCUESTA CONDUCTORES'!BH407</f>
        <v>120000</v>
      </c>
      <c r="BA407" s="1" t="str">
        <f>+'ENCUESTA CONDUCTORES'!BI407</f>
        <v>NO SABE</v>
      </c>
      <c r="BB407" s="15">
        <f>IF('ENCUESTA CONDUCTORES'!BJ407="X",1,0)</f>
        <v>0</v>
      </c>
      <c r="BC407" s="15">
        <f>IF('ENCUESTA CONDUCTORES'!BK407="X",1,0)</f>
        <v>0</v>
      </c>
      <c r="BD407" s="15">
        <f>IF('ENCUESTA CONDUCTORES'!BL407="X",1,0)</f>
        <v>0</v>
      </c>
      <c r="BE407" s="15">
        <f>IF('ENCUESTA CONDUCTORES'!BM407="X",1,0)</f>
        <v>0</v>
      </c>
      <c r="BF407" s="15">
        <f>IF('ENCUESTA CONDUCTORES'!BN407="X",1,0)</f>
        <v>1</v>
      </c>
      <c r="BG407" s="15">
        <f>IF('ENCUESTA CONDUCTORES'!BO407="X",1,0)</f>
        <v>0</v>
      </c>
      <c r="BH407" s="15">
        <f>IF('ENCUESTA CONDUCTORES'!BP407="X",1,0)</f>
        <v>1</v>
      </c>
      <c r="BI407" s="15">
        <f>IF('ENCUESTA CONDUCTORES'!BQ407="X",1,0)</f>
        <v>0</v>
      </c>
      <c r="BJ407" s="15">
        <f>IF('ENCUESTA CONDUCTORES'!BR407="X",1,0)</f>
        <v>0</v>
      </c>
      <c r="BK407" s="15">
        <f>+'ENCUESTA CONDUCTORES'!BS407</f>
        <v>0</v>
      </c>
      <c r="BL407" s="15">
        <f>IF('ENCUESTA CONDUCTORES'!BT407="X",1,0)</f>
        <v>0</v>
      </c>
      <c r="BM407" s="15">
        <f>IF('ENCUESTA CONDUCTORES'!BU407="X",1,0)</f>
        <v>1</v>
      </c>
      <c r="BN407" s="15">
        <f>IF('ENCUESTA CONDUCTORES'!BV407="X",1,0)</f>
        <v>0</v>
      </c>
      <c r="BO407" s="15">
        <f>IF('ENCUESTA CONDUCTORES'!BW407="X",1,0)</f>
        <v>0</v>
      </c>
      <c r="BP407" s="15">
        <f>+'ENCUESTA CONDUCTORES'!BX407</f>
        <v>1</v>
      </c>
      <c r="BQ407" s="15">
        <f>+'ENCUESTA CONDUCTORES'!BY407</f>
        <v>3</v>
      </c>
      <c r="BR407" s="15">
        <f>+'ENCUESTA CONDUCTORES'!BZ407</f>
        <v>2</v>
      </c>
      <c r="BS407" s="15">
        <f>+'ENCUESTA CONDUCTORES'!CA407</f>
        <v>0</v>
      </c>
      <c r="BT407" s="15">
        <f>IF('ENCUESTA CONDUCTORES'!CB407="X",1,0)</f>
        <v>1</v>
      </c>
      <c r="BU407" s="15">
        <f>IF('ENCUESTA CONDUCTORES'!CC407="X",1,0)</f>
        <v>0</v>
      </c>
      <c r="BV407" s="15">
        <f>IF('ENCUESTA CONDUCTORES'!CD407="X",1,0)</f>
        <v>0</v>
      </c>
      <c r="BW407" s="15">
        <f>IF('ENCUESTA CONDUCTORES'!CE407="X",1,0)</f>
        <v>0</v>
      </c>
      <c r="BX407" s="15">
        <f>IF('ENCUESTA CONDUCTORES'!CF407="X",1,0)</f>
        <v>0</v>
      </c>
      <c r="BY407" s="15">
        <f>IF('ENCUESTA CONDUCTORES'!CG407="X",1,0)</f>
        <v>0</v>
      </c>
      <c r="BZ407" s="15">
        <f>IF('ENCUESTA CONDUCTORES'!CH407="X",1,0)</f>
        <v>0</v>
      </c>
      <c r="CA407" s="15">
        <f>IF('ENCUESTA CONDUCTORES'!CI407="X",1,0)</f>
        <v>0</v>
      </c>
      <c r="CB407" s="15">
        <f>IF('ENCUESTA CONDUCTORES'!CJ407="X",1,0)</f>
        <v>0</v>
      </c>
      <c r="CC407" s="15">
        <f>IF('ENCUESTA CONDUCTORES'!CK407="X",1,0)</f>
        <v>1</v>
      </c>
      <c r="CD407" s="15">
        <f>IF('ENCUESTA CONDUCTORES'!CL407="X",1,0)</f>
        <v>0</v>
      </c>
      <c r="CE407" s="15">
        <f>IF('ENCUESTA CONDUCTORES'!CM407="X",1,0)</f>
        <v>0</v>
      </c>
      <c r="CF407" s="15">
        <f>+'ENCUESTA CONDUCTORES'!CN407</f>
        <v>0</v>
      </c>
      <c r="CG407" s="15">
        <f>IF('ENCUESTA CONDUCTORES'!CO407="X",1,0)</f>
        <v>0</v>
      </c>
      <c r="CH407" s="15" t="str">
        <f>+'ENCUESTA CONDUCTORES'!CP407</f>
        <v>NO SABE</v>
      </c>
      <c r="CI407" s="15" t="str">
        <f>+'ENCUESTA CONDUCTORES'!CQ407</f>
        <v>NO SABE</v>
      </c>
      <c r="CJ407" s="15">
        <f>IF('ENCUESTA CONDUCTORES'!CR407="X",1,0)</f>
        <v>1</v>
      </c>
      <c r="CK407" s="15">
        <f>IF('ENCUESTA CONDUCTORES'!CS407="X",1,0)</f>
        <v>0</v>
      </c>
      <c r="CL407" s="15">
        <f>IF('ENCUESTA CONDUCTORES'!CT407="X",1,0)</f>
        <v>0</v>
      </c>
      <c r="CM407" s="15">
        <f>+'ENCUESTA CONDUCTORES'!CU407</f>
        <v>0</v>
      </c>
      <c r="CN407" s="15">
        <f>IF('ENCUESTA CONDUCTORES'!CV407="X",1,0)</f>
        <v>0</v>
      </c>
      <c r="CO407" s="15">
        <f>+'ENCUESTA CONDUCTORES'!CW407</f>
        <v>0</v>
      </c>
      <c r="CP407" s="15">
        <f>IF('ENCUESTA CONDUCTORES'!CX407="X",1,0)</f>
        <v>1</v>
      </c>
      <c r="CQ407" s="15">
        <f>IF('ENCUESTA CONDUCTORES'!CY407="X",1,0)</f>
        <v>0</v>
      </c>
      <c r="CR407" s="3">
        <f>+'ENCUESTA CONDUCTORES'!CZ407</f>
        <v>0</v>
      </c>
      <c r="CS407" s="49">
        <f>+'ENCUESTA CONDUCTORES'!DA407</f>
        <v>0</v>
      </c>
    </row>
    <row r="408" spans="1:97" x14ac:dyDescent="0.25">
      <c r="B408" s="14" t="str">
        <f>+'ENCUESTA CONDUCTORES'!D408</f>
        <v>C-419</v>
      </c>
      <c r="C408" s="15">
        <f>IF('ENCUESTA CONDUCTORES'!E408="X",1,0)</f>
        <v>0</v>
      </c>
      <c r="D408" s="15">
        <f>IF('ENCUESTA CONDUCTORES'!F408="X",1,0)</f>
        <v>0</v>
      </c>
      <c r="E408" s="15">
        <f>IF('ENCUESTA CONDUCTORES'!G408="X",1,0)</f>
        <v>1</v>
      </c>
      <c r="F408" s="15">
        <f>IF('ENCUESTA CONDUCTORES'!H408="X",1,0)</f>
        <v>0</v>
      </c>
      <c r="G408" s="15">
        <f>+'ENCUESTA CONDUCTORES'!I408</f>
        <v>59</v>
      </c>
      <c r="H408" s="15" t="str">
        <f>+'ENCUESTA CONDUCTORES'!J408</f>
        <v>M</v>
      </c>
      <c r="I408" s="15" t="str">
        <f>+'ENCUESTA CONDUCTORES'!K408</f>
        <v>PRIMARIA</v>
      </c>
      <c r="J408" s="15" t="str">
        <f>+'ENCUESTA CONDUCTORES'!L408</f>
        <v>SAN JOSE ITURBIDE, GTO</v>
      </c>
      <c r="K408" s="15" t="str">
        <f>+'ENCUESTA CONDUCTORES'!M408</f>
        <v>SAN JOSE ITURBIDE</v>
      </c>
      <c r="L408" s="15" t="str">
        <f>+'ENCUESTA CONDUCTORES'!N408</f>
        <v>GUANAJUATO</v>
      </c>
      <c r="M408" s="15">
        <f>+'ENCUESTA CONDUCTORES'!O408</f>
        <v>30</v>
      </c>
      <c r="N408" s="15">
        <f>IF('ENCUESTA CONDUCTORES'!P408="X",1,0)</f>
        <v>0</v>
      </c>
      <c r="O408" s="15">
        <f>IF('ENCUESTA CONDUCTORES'!Q408="X",1,0)</f>
        <v>0</v>
      </c>
      <c r="P408" s="15">
        <f>IF('ENCUESTA CONDUCTORES'!R408="X",1,0)</f>
        <v>0</v>
      </c>
      <c r="Q408" s="15">
        <f>IF('ENCUESTA CONDUCTORES'!S408="X",1,0)</f>
        <v>1</v>
      </c>
      <c r="R408" s="15">
        <f>IF('ENCUESTA CONDUCTORES'!T408="X",1,0)</f>
        <v>0</v>
      </c>
      <c r="S408" s="15">
        <f>IF('ENCUESTA CONDUCTORES'!U408="X",1,0)</f>
        <v>1</v>
      </c>
      <c r="T408" s="15">
        <f>IF('ENCUESTA CONDUCTORES'!V408="X",1,0)</f>
        <v>0</v>
      </c>
      <c r="U408" s="15">
        <f>IF('ENCUESTA CONDUCTORES'!W408="X",1,0)</f>
        <v>0</v>
      </c>
      <c r="V408" s="15">
        <f>IF('ENCUESTA CONDUCTORES'!X408="X",1,0)</f>
        <v>0</v>
      </c>
      <c r="W408" s="15">
        <f>IF('ENCUESTA CONDUCTORES'!Y408="X",1,0)</f>
        <v>0</v>
      </c>
      <c r="X408" s="15">
        <f>IF('ENCUESTA CONDUCTORES'!Z408="X",1,0)</f>
        <v>0</v>
      </c>
      <c r="Y408" s="15">
        <f>+'ENCUESTA CONDUCTORES'!AG408</f>
        <v>0</v>
      </c>
      <c r="Z408" s="15">
        <f>+'ENCUESTA CONDUCTORES'!AH408</f>
        <v>2006</v>
      </c>
      <c r="AA408" s="1">
        <f>+'ENCUESTA CONDUCTORES'!AI408</f>
        <v>721832</v>
      </c>
      <c r="AB408" s="15">
        <f>IF('ENCUESTA CONDUCTORES'!AJ408="X",1,0)</f>
        <v>0</v>
      </c>
      <c r="AC408" s="15">
        <f>IF('ENCUESTA CONDUCTORES'!AK408="X",1,0)</f>
        <v>0</v>
      </c>
      <c r="AD408" s="15">
        <f>IF('ENCUESTA CONDUCTORES'!AL408="X",1,0)</f>
        <v>1</v>
      </c>
      <c r="AE408" s="15">
        <f>IF('ENCUESTA CONDUCTORES'!AM408="X",1,0)</f>
        <v>0</v>
      </c>
      <c r="AF408" s="15">
        <f>IF('ENCUESTA CONDUCTORES'!AN408="X",1,0)</f>
        <v>0</v>
      </c>
      <c r="AG408" s="15">
        <f>IF('ENCUESTA CONDUCTORES'!AO408="X",1,0)</f>
        <v>0</v>
      </c>
      <c r="AH408" s="15">
        <f>IF('ENCUESTA CONDUCTORES'!AP408="X",1,0)</f>
        <v>1</v>
      </c>
      <c r="AI408" s="15">
        <f>IF('ENCUESTA CONDUCTORES'!AQ408="X",1,0)</f>
        <v>0</v>
      </c>
      <c r="AJ408" s="15">
        <f>IF('ENCUESTA CONDUCTORES'!AR408="X",1,0)</f>
        <v>0</v>
      </c>
      <c r="AK408" s="15">
        <f>+'ENCUESTA CONDUCTORES'!AS408</f>
        <v>0</v>
      </c>
      <c r="AL408" s="15" t="str">
        <f>+'ENCUESTA CONDUCTORES'!AT408</f>
        <v>CUMMINS</v>
      </c>
      <c r="AM408" s="1">
        <f>+'ENCUESTA CONDUCTORES'!AU408</f>
        <v>9800</v>
      </c>
      <c r="AN408" s="48">
        <f>+'ENCUESTA CONDUCTORES'!AV408</f>
        <v>0.5</v>
      </c>
      <c r="AO408" s="15">
        <f>+'ENCUESTA CONDUCTORES'!AW408</f>
        <v>2.8</v>
      </c>
      <c r="AP408" s="15">
        <f>+'ENCUESTA CONDUCTORES'!AX408</f>
        <v>2.5</v>
      </c>
      <c r="AQ408" s="15">
        <f>+'ENCUESTA CONDUCTORES'!AY408</f>
        <v>2</v>
      </c>
      <c r="AR408" s="15">
        <f>+'ENCUESTA CONDUCTORES'!AZ408</f>
        <v>890</v>
      </c>
      <c r="AS408" s="15">
        <f>+'ENCUESTA CONDUCTORES'!BA408</f>
        <v>2400</v>
      </c>
      <c r="AT408" s="15">
        <f>IF('ENCUESTA CONDUCTORES'!BB408="X",1,0)</f>
        <v>1</v>
      </c>
      <c r="AU408" s="15">
        <f>IF('ENCUESTA CONDUCTORES'!BC408="X",1,0)</f>
        <v>0</v>
      </c>
      <c r="AV408" s="15">
        <f>IF('ENCUESTA CONDUCTORES'!BD408="X",1,0)</f>
        <v>0</v>
      </c>
      <c r="AW408" s="1">
        <f>+'ENCUESTA CONDUCTORES'!BE408</f>
        <v>19000</v>
      </c>
      <c r="AX408" s="1">
        <f>+'ENCUESTA CONDUCTORES'!BF408</f>
        <v>180000</v>
      </c>
      <c r="AY408" s="1">
        <f>+'ENCUESTA CONDUCTORES'!BG408</f>
        <v>38000</v>
      </c>
      <c r="AZ408" s="1">
        <f>+'ENCUESTA CONDUCTORES'!BH408</f>
        <v>120000</v>
      </c>
      <c r="BA408" s="1" t="str">
        <f>+'ENCUESTA CONDUCTORES'!BI408</f>
        <v>NO SABE</v>
      </c>
      <c r="BB408" s="15">
        <f>IF('ENCUESTA CONDUCTORES'!BJ408="X",1,0)</f>
        <v>0</v>
      </c>
      <c r="BC408" s="15">
        <f>IF('ENCUESTA CONDUCTORES'!BK408="X",1,0)</f>
        <v>0</v>
      </c>
      <c r="BD408" s="15">
        <f>IF('ENCUESTA CONDUCTORES'!BL408="X",1,0)</f>
        <v>0</v>
      </c>
      <c r="BE408" s="15">
        <f>IF('ENCUESTA CONDUCTORES'!BM408="X",1,0)</f>
        <v>0</v>
      </c>
      <c r="BF408" s="15">
        <f>IF('ENCUESTA CONDUCTORES'!BN408="X",1,0)</f>
        <v>1</v>
      </c>
      <c r="BG408" s="15">
        <f>IF('ENCUESTA CONDUCTORES'!BO408="X",1,0)</f>
        <v>0</v>
      </c>
      <c r="BH408" s="15">
        <f>IF('ENCUESTA CONDUCTORES'!BP408="X",1,0)</f>
        <v>0</v>
      </c>
      <c r="BI408" s="15">
        <f>IF('ENCUESTA CONDUCTORES'!BQ408="X",1,0)</f>
        <v>0</v>
      </c>
      <c r="BJ408" s="15">
        <f>IF('ENCUESTA CONDUCTORES'!BR408="X",1,0)</f>
        <v>0</v>
      </c>
      <c r="BK408" s="15" t="str">
        <f>+'ENCUESTA CONDUCTORES'!BS408</f>
        <v>PRODUCTOS DE HIGIENE PERSONAL</v>
      </c>
      <c r="BL408" s="15">
        <f>IF('ENCUESTA CONDUCTORES'!BT408="X",1,0)</f>
        <v>0</v>
      </c>
      <c r="BM408" s="15">
        <f>IF('ENCUESTA CONDUCTORES'!BU408="X",1,0)</f>
        <v>0</v>
      </c>
      <c r="BN408" s="15">
        <f>IF('ENCUESTA CONDUCTORES'!BV408="X",1,0)</f>
        <v>1</v>
      </c>
      <c r="BO408" s="15">
        <f>IF('ENCUESTA CONDUCTORES'!BW408="X",1,0)</f>
        <v>0</v>
      </c>
      <c r="BP408" s="15">
        <f>+'ENCUESTA CONDUCTORES'!BX408</f>
        <v>1</v>
      </c>
      <c r="BQ408" s="15">
        <f>+'ENCUESTA CONDUCTORES'!BY408</f>
        <v>2</v>
      </c>
      <c r="BR408" s="15">
        <f>+'ENCUESTA CONDUCTORES'!BZ408</f>
        <v>3</v>
      </c>
      <c r="BS408" s="15">
        <f>+'ENCUESTA CONDUCTORES'!CA408</f>
        <v>0</v>
      </c>
      <c r="BT408" s="15">
        <f>IF('ENCUESTA CONDUCTORES'!CB408="X",1,0)</f>
        <v>1</v>
      </c>
      <c r="BU408" s="15">
        <f>IF('ENCUESTA CONDUCTORES'!CC408="X",1,0)</f>
        <v>0</v>
      </c>
      <c r="BV408" s="15">
        <f>IF('ENCUESTA CONDUCTORES'!CD408="X",1,0)</f>
        <v>0</v>
      </c>
      <c r="BW408" s="15">
        <f>IF('ENCUESTA CONDUCTORES'!CE408="X",1,0)</f>
        <v>0</v>
      </c>
      <c r="BX408" s="15">
        <f>IF('ENCUESTA CONDUCTORES'!CF408="X",1,0)</f>
        <v>0</v>
      </c>
      <c r="BY408" s="15">
        <f>IF('ENCUESTA CONDUCTORES'!CG408="X",1,0)</f>
        <v>0</v>
      </c>
      <c r="BZ408" s="15">
        <f>IF('ENCUESTA CONDUCTORES'!CH408="X",1,0)</f>
        <v>0</v>
      </c>
      <c r="CA408" s="15">
        <f>IF('ENCUESTA CONDUCTORES'!CI408="X",1,0)</f>
        <v>0</v>
      </c>
      <c r="CB408" s="15">
        <f>IF('ENCUESTA CONDUCTORES'!CJ408="X",1,0)</f>
        <v>0</v>
      </c>
      <c r="CC408" s="15">
        <f>IF('ENCUESTA CONDUCTORES'!CK408="X",1,0)</f>
        <v>1</v>
      </c>
      <c r="CD408" s="15">
        <f>IF('ENCUESTA CONDUCTORES'!CL408="X",1,0)</f>
        <v>0</v>
      </c>
      <c r="CE408" s="15">
        <f>IF('ENCUESTA CONDUCTORES'!CM408="X",1,0)</f>
        <v>0</v>
      </c>
      <c r="CF408" s="15">
        <f>+'ENCUESTA CONDUCTORES'!CN408</f>
        <v>0</v>
      </c>
      <c r="CG408" s="15">
        <f>IF('ENCUESTA CONDUCTORES'!CO408="X",1,0)</f>
        <v>0</v>
      </c>
      <c r="CH408" s="15" t="str">
        <f>+'ENCUESTA CONDUCTORES'!CP408</f>
        <v>NO SABE</v>
      </c>
      <c r="CI408" s="15" t="str">
        <f>+'ENCUESTA CONDUCTORES'!CQ408</f>
        <v>NO SABE</v>
      </c>
      <c r="CJ408" s="15">
        <f>IF('ENCUESTA CONDUCTORES'!CR408="X",1,0)</f>
        <v>1</v>
      </c>
      <c r="CK408" s="15">
        <f>IF('ENCUESTA CONDUCTORES'!CS408="X",1,0)</f>
        <v>0</v>
      </c>
      <c r="CL408" s="15">
        <f>IF('ENCUESTA CONDUCTORES'!CT408="X",1,0)</f>
        <v>0</v>
      </c>
      <c r="CM408" s="15">
        <f>+'ENCUESTA CONDUCTORES'!CU408</f>
        <v>0</v>
      </c>
      <c r="CN408" s="15">
        <f>IF('ENCUESTA CONDUCTORES'!CV408="X",1,0)</f>
        <v>0</v>
      </c>
      <c r="CO408" s="15">
        <f>+'ENCUESTA CONDUCTORES'!CW408</f>
        <v>0</v>
      </c>
      <c r="CP408" s="15">
        <f>IF('ENCUESTA CONDUCTORES'!CX408="X",1,0)</f>
        <v>0</v>
      </c>
      <c r="CQ408" s="15">
        <f>IF('ENCUESTA CONDUCTORES'!CY408="X",1,0)</f>
        <v>1</v>
      </c>
      <c r="CR408" s="3">
        <f>+'ENCUESTA CONDUCTORES'!CZ408</f>
        <v>0</v>
      </c>
      <c r="CS408" s="49">
        <f>+'ENCUESTA CONDUCTORES'!DA408</f>
        <v>0</v>
      </c>
    </row>
    <row r="409" spans="1:97" x14ac:dyDescent="0.25">
      <c r="B409" s="14" t="str">
        <f>+'ENCUESTA CONDUCTORES'!D409</f>
        <v>C-420</v>
      </c>
      <c r="C409" s="15">
        <f>IF('ENCUESTA CONDUCTORES'!E409="X",1,0)</f>
        <v>0</v>
      </c>
      <c r="D409" s="15">
        <f>IF('ENCUESTA CONDUCTORES'!F409="X",1,0)</f>
        <v>0</v>
      </c>
      <c r="E409" s="15">
        <f>IF('ENCUESTA CONDUCTORES'!G409="X",1,0)</f>
        <v>1</v>
      </c>
      <c r="F409" s="15">
        <f>IF('ENCUESTA CONDUCTORES'!H409="X",1,0)</f>
        <v>0</v>
      </c>
      <c r="G409" s="15">
        <f>+'ENCUESTA CONDUCTORES'!I409</f>
        <v>48</v>
      </c>
      <c r="H409" s="15" t="str">
        <f>+'ENCUESTA CONDUCTORES'!J409</f>
        <v>M</v>
      </c>
      <c r="I409" s="15" t="str">
        <f>+'ENCUESTA CONDUCTORES'!K409</f>
        <v>SECUNDARIA</v>
      </c>
      <c r="J409" s="15" t="str">
        <f>+'ENCUESTA CONDUCTORES'!L409</f>
        <v>QUERÉTARO, QRO.</v>
      </c>
      <c r="K409" s="15" t="str">
        <f>+'ENCUESTA CONDUCTORES'!M409</f>
        <v>QUERÉTARO</v>
      </c>
      <c r="L409" s="15" t="str">
        <f>+'ENCUESTA CONDUCTORES'!N409</f>
        <v>QUERÉTARO</v>
      </c>
      <c r="M409" s="15">
        <f>+'ENCUESTA CONDUCTORES'!O409</f>
        <v>25</v>
      </c>
      <c r="N409" s="15">
        <f>IF('ENCUESTA CONDUCTORES'!P409="X",1,0)</f>
        <v>0</v>
      </c>
      <c r="O409" s="15">
        <f>IF('ENCUESTA CONDUCTORES'!Q409="X",1,0)</f>
        <v>0</v>
      </c>
      <c r="P409" s="15">
        <f>IF('ENCUESTA CONDUCTORES'!R409="X",1,0)</f>
        <v>0</v>
      </c>
      <c r="Q409" s="15">
        <f>IF('ENCUESTA CONDUCTORES'!S409="X",1,0)</f>
        <v>1</v>
      </c>
      <c r="R409" s="15">
        <f>IF('ENCUESTA CONDUCTORES'!T409="X",1,0)</f>
        <v>0</v>
      </c>
      <c r="S409" s="15">
        <f>IF('ENCUESTA CONDUCTORES'!U409="X",1,0)</f>
        <v>1</v>
      </c>
      <c r="T409" s="15">
        <f>IF('ENCUESTA CONDUCTORES'!V409="X",1,0)</f>
        <v>0</v>
      </c>
      <c r="U409" s="15">
        <f>IF('ENCUESTA CONDUCTORES'!W409="X",1,0)</f>
        <v>0</v>
      </c>
      <c r="V409" s="15">
        <f>IF('ENCUESTA CONDUCTORES'!X409="X",1,0)</f>
        <v>0</v>
      </c>
      <c r="W409" s="15">
        <f>IF('ENCUESTA CONDUCTORES'!Y409="X",1,0)</f>
        <v>0</v>
      </c>
      <c r="X409" s="15">
        <f>IF('ENCUESTA CONDUCTORES'!Z409="X",1,0)</f>
        <v>0</v>
      </c>
      <c r="Y409" s="15">
        <f>+'ENCUESTA CONDUCTORES'!AG409</f>
        <v>0</v>
      </c>
      <c r="Z409" s="15">
        <f>+'ENCUESTA CONDUCTORES'!AH409</f>
        <v>2007</v>
      </c>
      <c r="AA409" s="1">
        <f>+'ENCUESTA CONDUCTORES'!AI409</f>
        <v>619880</v>
      </c>
      <c r="AB409" s="15">
        <f>IF('ENCUESTA CONDUCTORES'!AJ409="X",1,0)</f>
        <v>0</v>
      </c>
      <c r="AC409" s="15">
        <f>IF('ENCUESTA CONDUCTORES'!AK409="X",1,0)</f>
        <v>0</v>
      </c>
      <c r="AD409" s="15">
        <f>IF('ENCUESTA CONDUCTORES'!AL409="X",1,0)</f>
        <v>1</v>
      </c>
      <c r="AE409" s="15">
        <f>IF('ENCUESTA CONDUCTORES'!AM409="X",1,0)</f>
        <v>0</v>
      </c>
      <c r="AF409" s="15">
        <f>IF('ENCUESTA CONDUCTORES'!AN409="X",1,0)</f>
        <v>0</v>
      </c>
      <c r="AG409" s="15">
        <f>IF('ENCUESTA CONDUCTORES'!AO409="X",1,0)</f>
        <v>0</v>
      </c>
      <c r="AH409" s="15">
        <f>IF('ENCUESTA CONDUCTORES'!AP409="X",1,0)</f>
        <v>1</v>
      </c>
      <c r="AI409" s="15">
        <f>IF('ENCUESTA CONDUCTORES'!AQ409="X",1,0)</f>
        <v>0</v>
      </c>
      <c r="AJ409" s="15">
        <f>IF('ENCUESTA CONDUCTORES'!AR409="X",1,0)</f>
        <v>0</v>
      </c>
      <c r="AK409" s="15">
        <f>+'ENCUESTA CONDUCTORES'!AS409</f>
        <v>0</v>
      </c>
      <c r="AL409" s="15" t="str">
        <f>+'ENCUESTA CONDUCTORES'!AT409</f>
        <v>DETROIT</v>
      </c>
      <c r="AM409" s="1">
        <f>+'ENCUESTA CONDUCTORES'!AU409</f>
        <v>10000</v>
      </c>
      <c r="AN409" s="48">
        <f>+'ENCUESTA CONDUCTORES'!AV409</f>
        <v>0.1</v>
      </c>
      <c r="AO409" s="15">
        <f>+'ENCUESTA CONDUCTORES'!AW409</f>
        <v>2.7</v>
      </c>
      <c r="AP409" s="15">
        <f>+'ENCUESTA CONDUCTORES'!AX409</f>
        <v>2.5</v>
      </c>
      <c r="AQ409" s="15">
        <f>+'ENCUESTA CONDUCTORES'!AY409</f>
        <v>2</v>
      </c>
      <c r="AR409" s="15">
        <f>+'ENCUESTA CONDUCTORES'!AZ409</f>
        <v>880</v>
      </c>
      <c r="AS409" s="15">
        <f>+'ENCUESTA CONDUCTORES'!BA409</f>
        <v>2300</v>
      </c>
      <c r="AT409" s="15">
        <f>IF('ENCUESTA CONDUCTORES'!BB409="X",1,0)</f>
        <v>1</v>
      </c>
      <c r="AU409" s="15">
        <f>IF('ENCUESTA CONDUCTORES'!BC409="X",1,0)</f>
        <v>0</v>
      </c>
      <c r="AV409" s="15">
        <f>IF('ENCUESTA CONDUCTORES'!BD409="X",1,0)</f>
        <v>0</v>
      </c>
      <c r="AW409" s="1">
        <f>+'ENCUESTA CONDUCTORES'!BE409</f>
        <v>20000</v>
      </c>
      <c r="AX409" s="1">
        <f>+'ENCUESTA CONDUCTORES'!BF409</f>
        <v>240000</v>
      </c>
      <c r="AY409" s="1">
        <f>+'ENCUESTA CONDUCTORES'!BG409</f>
        <v>60000</v>
      </c>
      <c r="AZ409" s="1">
        <f>+'ENCUESTA CONDUCTORES'!BH409</f>
        <v>120000</v>
      </c>
      <c r="BA409" s="1" t="str">
        <f>+'ENCUESTA CONDUCTORES'!BI409</f>
        <v>NO SABE</v>
      </c>
      <c r="BB409" s="15">
        <f>IF('ENCUESTA CONDUCTORES'!BJ409="X",1,0)</f>
        <v>0</v>
      </c>
      <c r="BC409" s="15">
        <f>IF('ENCUESTA CONDUCTORES'!BK409="X",1,0)</f>
        <v>0</v>
      </c>
      <c r="BD409" s="15">
        <f>IF('ENCUESTA CONDUCTORES'!BL409="X",1,0)</f>
        <v>0</v>
      </c>
      <c r="BE409" s="15">
        <f>IF('ENCUESTA CONDUCTORES'!BM409="X",1,0)</f>
        <v>0</v>
      </c>
      <c r="BF409" s="15">
        <f>IF('ENCUESTA CONDUCTORES'!BN409="X",1,0)</f>
        <v>0</v>
      </c>
      <c r="BG409" s="15">
        <f>IF('ENCUESTA CONDUCTORES'!BO409="X",1,0)</f>
        <v>0</v>
      </c>
      <c r="BH409" s="15">
        <f>IF('ENCUESTA CONDUCTORES'!BP409="X",1,0)</f>
        <v>1</v>
      </c>
      <c r="BI409" s="15">
        <f>IF('ENCUESTA CONDUCTORES'!BQ409="X",1,0)</f>
        <v>0</v>
      </c>
      <c r="BJ409" s="15">
        <f>IF('ENCUESTA CONDUCTORES'!BR409="X",1,0)</f>
        <v>0</v>
      </c>
      <c r="BK409" s="15">
        <f>+'ENCUESTA CONDUCTORES'!BS409</f>
        <v>0</v>
      </c>
      <c r="BL409" s="15">
        <f>IF('ENCUESTA CONDUCTORES'!BT409="X",1,0)</f>
        <v>0</v>
      </c>
      <c r="BM409" s="15">
        <f>IF('ENCUESTA CONDUCTORES'!BU409="X",1,0)</f>
        <v>0</v>
      </c>
      <c r="BN409" s="15">
        <f>IF('ENCUESTA CONDUCTORES'!BV409="X",1,0)</f>
        <v>1</v>
      </c>
      <c r="BO409" s="15">
        <f>IF('ENCUESTA CONDUCTORES'!BW409="X",1,0)</f>
        <v>0</v>
      </c>
      <c r="BP409" s="15">
        <f>+'ENCUESTA CONDUCTORES'!BX409</f>
        <v>1</v>
      </c>
      <c r="BQ409" s="15">
        <f>+'ENCUESTA CONDUCTORES'!BY409</f>
        <v>3</v>
      </c>
      <c r="BR409" s="15">
        <f>+'ENCUESTA CONDUCTORES'!BZ409</f>
        <v>2</v>
      </c>
      <c r="BS409" s="15">
        <f>+'ENCUESTA CONDUCTORES'!CA409</f>
        <v>0</v>
      </c>
      <c r="BT409" s="15">
        <f>IF('ENCUESTA CONDUCTORES'!CB409="X",1,0)</f>
        <v>1</v>
      </c>
      <c r="BU409" s="15">
        <f>IF('ENCUESTA CONDUCTORES'!CC409="X",1,0)</f>
        <v>0</v>
      </c>
      <c r="BV409" s="15">
        <f>IF('ENCUESTA CONDUCTORES'!CD409="X",1,0)</f>
        <v>0</v>
      </c>
      <c r="BW409" s="15">
        <f>IF('ENCUESTA CONDUCTORES'!CE409="X",1,0)</f>
        <v>0</v>
      </c>
      <c r="BX409" s="15">
        <f>IF('ENCUESTA CONDUCTORES'!CF409="X",1,0)</f>
        <v>0</v>
      </c>
      <c r="BY409" s="15">
        <f>IF('ENCUESTA CONDUCTORES'!CG409="X",1,0)</f>
        <v>0</v>
      </c>
      <c r="BZ409" s="15">
        <f>IF('ENCUESTA CONDUCTORES'!CH409="X",1,0)</f>
        <v>0</v>
      </c>
      <c r="CA409" s="15">
        <f>IF('ENCUESTA CONDUCTORES'!CI409="X",1,0)</f>
        <v>0</v>
      </c>
      <c r="CB409" s="15">
        <f>IF('ENCUESTA CONDUCTORES'!CJ409="X",1,0)</f>
        <v>0</v>
      </c>
      <c r="CC409" s="15">
        <f>IF('ENCUESTA CONDUCTORES'!CK409="X",1,0)</f>
        <v>1</v>
      </c>
      <c r="CD409" s="15">
        <f>IF('ENCUESTA CONDUCTORES'!CL409="X",1,0)</f>
        <v>0</v>
      </c>
      <c r="CE409" s="15">
        <f>IF('ENCUESTA CONDUCTORES'!CM409="X",1,0)</f>
        <v>0</v>
      </c>
      <c r="CF409" s="15">
        <f>+'ENCUESTA CONDUCTORES'!CN409</f>
        <v>0</v>
      </c>
      <c r="CG409" s="15">
        <f>IF('ENCUESTA CONDUCTORES'!CO409="X",1,0)</f>
        <v>0</v>
      </c>
      <c r="CH409" s="15" t="str">
        <f>+'ENCUESTA CONDUCTORES'!CP409</f>
        <v>NO SABE</v>
      </c>
      <c r="CI409" s="15" t="str">
        <f>+'ENCUESTA CONDUCTORES'!CQ409</f>
        <v>NO SABE</v>
      </c>
      <c r="CJ409" s="15">
        <f>IF('ENCUESTA CONDUCTORES'!CR409="X",1,0)</f>
        <v>1</v>
      </c>
      <c r="CK409" s="15">
        <f>IF('ENCUESTA CONDUCTORES'!CS409="X",1,0)</f>
        <v>0</v>
      </c>
      <c r="CL409" s="15">
        <f>IF('ENCUESTA CONDUCTORES'!CT409="X",1,0)</f>
        <v>0</v>
      </c>
      <c r="CM409" s="15">
        <f>+'ENCUESTA CONDUCTORES'!CU409</f>
        <v>0</v>
      </c>
      <c r="CN409" s="15">
        <f>IF('ENCUESTA CONDUCTORES'!CV409="X",1,0)</f>
        <v>0</v>
      </c>
      <c r="CO409" s="15">
        <f>+'ENCUESTA CONDUCTORES'!CW409</f>
        <v>0</v>
      </c>
      <c r="CP409" s="15">
        <f>IF('ENCUESTA CONDUCTORES'!CX409="X",1,0)</f>
        <v>1</v>
      </c>
      <c r="CQ409" s="15">
        <f>IF('ENCUESTA CONDUCTORES'!CY409="X",1,0)</f>
        <v>0</v>
      </c>
      <c r="CR409" s="3">
        <f>+'ENCUESTA CONDUCTORES'!CZ409</f>
        <v>0</v>
      </c>
      <c r="CS409" s="49">
        <f>+'ENCUESTA CONDUCTORES'!DA409</f>
        <v>0</v>
      </c>
    </row>
    <row r="410" spans="1:97" x14ac:dyDescent="0.25">
      <c r="B410" s="14" t="str">
        <f>+'ENCUESTA CONDUCTORES'!D410</f>
        <v>C-421</v>
      </c>
      <c r="C410" s="15">
        <f>IF('ENCUESTA CONDUCTORES'!E410="X",1,0)</f>
        <v>1</v>
      </c>
      <c r="D410" s="15">
        <f>IF('ENCUESTA CONDUCTORES'!F410="X",1,0)</f>
        <v>0</v>
      </c>
      <c r="E410" s="15">
        <f>IF('ENCUESTA CONDUCTORES'!G410="X",1,0)</f>
        <v>0</v>
      </c>
      <c r="F410" s="15">
        <f>IF('ENCUESTA CONDUCTORES'!H410="X",1,0)</f>
        <v>0</v>
      </c>
      <c r="G410" s="15">
        <f>+'ENCUESTA CONDUCTORES'!I410</f>
        <v>54</v>
      </c>
      <c r="H410" s="15" t="str">
        <f>+'ENCUESTA CONDUCTORES'!J410</f>
        <v>M</v>
      </c>
      <c r="I410" s="15" t="str">
        <f>+'ENCUESTA CONDUCTORES'!K410</f>
        <v>PRIMARIA</v>
      </c>
      <c r="J410" s="15" t="str">
        <f>+'ENCUESTA CONDUCTORES'!L410</f>
        <v>CHALCO, EDO. MEX.</v>
      </c>
      <c r="K410" s="15" t="str">
        <f>+'ENCUESTA CONDUCTORES'!M410</f>
        <v>CHALCO</v>
      </c>
      <c r="L410" s="15" t="str">
        <f>+'ENCUESTA CONDUCTORES'!N410</f>
        <v>EDO. MEX.</v>
      </c>
      <c r="M410" s="15">
        <f>+'ENCUESTA CONDUCTORES'!O410</f>
        <v>31</v>
      </c>
      <c r="N410" s="15">
        <f>IF('ENCUESTA CONDUCTORES'!P410="X",1,0)</f>
        <v>0</v>
      </c>
      <c r="O410" s="15">
        <f>IF('ENCUESTA CONDUCTORES'!Q410="X",1,0)</f>
        <v>1</v>
      </c>
      <c r="P410" s="15">
        <f>IF('ENCUESTA CONDUCTORES'!R410="X",1,0)</f>
        <v>0</v>
      </c>
      <c r="Q410" s="15">
        <f>IF('ENCUESTA CONDUCTORES'!S410="X",1,0)</f>
        <v>0</v>
      </c>
      <c r="R410" s="15">
        <f>IF('ENCUESTA CONDUCTORES'!T410="X",1,0)</f>
        <v>0</v>
      </c>
      <c r="S410" s="15">
        <f>IF('ENCUESTA CONDUCTORES'!U410="X",1,0)</f>
        <v>0</v>
      </c>
      <c r="T410" s="15">
        <f>IF('ENCUESTA CONDUCTORES'!V410="X",1,0)</f>
        <v>1</v>
      </c>
      <c r="U410" s="15">
        <f>IF('ENCUESTA CONDUCTORES'!W410="X",1,0)</f>
        <v>0</v>
      </c>
      <c r="V410" s="15">
        <f>IF('ENCUESTA CONDUCTORES'!X410="X",1,0)</f>
        <v>0</v>
      </c>
      <c r="W410" s="15">
        <f>IF('ENCUESTA CONDUCTORES'!Y410="X",1,0)</f>
        <v>0</v>
      </c>
      <c r="X410" s="15">
        <f>IF('ENCUESTA CONDUCTORES'!Z410="X",1,0)</f>
        <v>0</v>
      </c>
      <c r="Y410" s="15">
        <f>+'ENCUESTA CONDUCTORES'!AG410</f>
        <v>0</v>
      </c>
      <c r="Z410" s="15">
        <f>+'ENCUESTA CONDUCTORES'!AH410</f>
        <v>1996</v>
      </c>
      <c r="AA410" s="1" t="str">
        <f>+'ENCUESTA CONDUCTORES'!AI410</f>
        <v>NO SABE</v>
      </c>
      <c r="AB410" s="15">
        <f>IF('ENCUESTA CONDUCTORES'!AJ410="X",1,0)</f>
        <v>0</v>
      </c>
      <c r="AC410" s="15">
        <f>IF('ENCUESTA CONDUCTORES'!AK410="X",1,0)</f>
        <v>0</v>
      </c>
      <c r="AD410" s="15">
        <f>IF('ENCUESTA CONDUCTORES'!AL410="X",1,0)</f>
        <v>1</v>
      </c>
      <c r="AE410" s="15">
        <f>IF('ENCUESTA CONDUCTORES'!AM410="X",1,0)</f>
        <v>0</v>
      </c>
      <c r="AF410" s="15">
        <f>IF('ENCUESTA CONDUCTORES'!AN410="X",1,0)</f>
        <v>0</v>
      </c>
      <c r="AG410" s="15">
        <f>IF('ENCUESTA CONDUCTORES'!AO410="X",1,0)</f>
        <v>0</v>
      </c>
      <c r="AH410" s="15">
        <f>IF('ENCUESTA CONDUCTORES'!AP410="X",1,0)</f>
        <v>1</v>
      </c>
      <c r="AI410" s="15">
        <f>IF('ENCUESTA CONDUCTORES'!AQ410="X",1,0)</f>
        <v>0</v>
      </c>
      <c r="AJ410" s="15">
        <f>IF('ENCUESTA CONDUCTORES'!AR410="X",1,0)</f>
        <v>0</v>
      </c>
      <c r="AK410" s="15">
        <f>+'ENCUESTA CONDUCTORES'!AS410</f>
        <v>0</v>
      </c>
      <c r="AL410" s="15" t="str">
        <f>+'ENCUESTA CONDUCTORES'!AT410</f>
        <v>MERCEDES BENZ</v>
      </c>
      <c r="AM410" s="1">
        <f>+'ENCUESTA CONDUCTORES'!AU410</f>
        <v>9000</v>
      </c>
      <c r="AN410" s="48">
        <f>+'ENCUESTA CONDUCTORES'!AV410</f>
        <v>0.5</v>
      </c>
      <c r="AO410" s="15">
        <f>+'ENCUESTA CONDUCTORES'!AW410</f>
        <v>3.2</v>
      </c>
      <c r="AP410" s="15">
        <f>+'ENCUESTA CONDUCTORES'!AX410</f>
        <v>2.9</v>
      </c>
      <c r="AQ410" s="15">
        <f>+'ENCUESTA CONDUCTORES'!AY410</f>
        <v>2</v>
      </c>
      <c r="AR410" s="15">
        <f>+'ENCUESTA CONDUCTORES'!AZ410</f>
        <v>580</v>
      </c>
      <c r="AS410" s="15">
        <f>+'ENCUESTA CONDUCTORES'!BA410</f>
        <v>1750</v>
      </c>
      <c r="AT410" s="15">
        <f>IF('ENCUESTA CONDUCTORES'!BB410="X",1,0)</f>
        <v>1</v>
      </c>
      <c r="AU410" s="15">
        <f>IF('ENCUESTA CONDUCTORES'!BC410="X",1,0)</f>
        <v>0</v>
      </c>
      <c r="AV410" s="15">
        <f>IF('ENCUESTA CONDUCTORES'!BD410="X",1,0)</f>
        <v>0</v>
      </c>
      <c r="AW410" s="1">
        <f>+'ENCUESTA CONDUCTORES'!BE410</f>
        <v>30000</v>
      </c>
      <c r="AX410" s="1" t="str">
        <f>+'ENCUESTA CONDUCTORES'!BF410</f>
        <v>NO SABE</v>
      </c>
      <c r="AY410" s="1">
        <f>+'ENCUESTA CONDUCTORES'!BG410</f>
        <v>100000</v>
      </c>
      <c r="AZ410" s="1" t="str">
        <f>+'ENCUESTA CONDUCTORES'!BH410</f>
        <v>NO SABE</v>
      </c>
      <c r="BA410" s="1" t="str">
        <f>+'ENCUESTA CONDUCTORES'!BI410</f>
        <v>NO SABE</v>
      </c>
      <c r="BB410" s="15">
        <f>IF('ENCUESTA CONDUCTORES'!BJ410="X",1,0)</f>
        <v>0</v>
      </c>
      <c r="BC410" s="15">
        <f>IF('ENCUESTA CONDUCTORES'!BK410="X",1,0)</f>
        <v>0</v>
      </c>
      <c r="BD410" s="15">
        <f>IF('ENCUESTA CONDUCTORES'!BL410="X",1,0)</f>
        <v>0</v>
      </c>
      <c r="BE410" s="15">
        <f>IF('ENCUESTA CONDUCTORES'!BM410="X",1,0)</f>
        <v>0</v>
      </c>
      <c r="BF410" s="15">
        <f>IF('ENCUESTA CONDUCTORES'!BN410="X",1,0)</f>
        <v>0</v>
      </c>
      <c r="BG410" s="15">
        <f>IF('ENCUESTA CONDUCTORES'!BO410="X",1,0)</f>
        <v>0</v>
      </c>
      <c r="BH410" s="15">
        <f>IF('ENCUESTA CONDUCTORES'!BP410="X",1,0)</f>
        <v>0</v>
      </c>
      <c r="BI410" s="15">
        <f>IF('ENCUESTA CONDUCTORES'!BQ410="X",1,0)</f>
        <v>1</v>
      </c>
      <c r="BJ410" s="15">
        <f>IF('ENCUESTA CONDUCTORES'!BR410="X",1,0)</f>
        <v>0</v>
      </c>
      <c r="BK410" s="15">
        <f>+'ENCUESTA CONDUCTORES'!BS410</f>
        <v>0</v>
      </c>
      <c r="BL410" s="15">
        <f>IF('ENCUESTA CONDUCTORES'!BT410="X",1,0)</f>
        <v>0</v>
      </c>
      <c r="BM410" s="15">
        <f>IF('ENCUESTA CONDUCTORES'!BU410="X",1,0)</f>
        <v>1</v>
      </c>
      <c r="BN410" s="15">
        <f>IF('ENCUESTA CONDUCTORES'!BV410="X",1,0)</f>
        <v>0</v>
      </c>
      <c r="BO410" s="15">
        <f>IF('ENCUESTA CONDUCTORES'!BW410="X",1,0)</f>
        <v>0</v>
      </c>
      <c r="BP410" s="15">
        <f>+'ENCUESTA CONDUCTORES'!BX410</f>
        <v>3</v>
      </c>
      <c r="BQ410" s="15">
        <f>+'ENCUESTA CONDUCTORES'!BY410</f>
        <v>1</v>
      </c>
      <c r="BR410" s="15">
        <f>+'ENCUESTA CONDUCTORES'!BZ410</f>
        <v>2</v>
      </c>
      <c r="BS410" s="15">
        <f>+'ENCUESTA CONDUCTORES'!CA410</f>
        <v>0</v>
      </c>
      <c r="BT410" s="15">
        <f>IF('ENCUESTA CONDUCTORES'!CB410="X",1,0)</f>
        <v>1</v>
      </c>
      <c r="BU410" s="15">
        <f>IF('ENCUESTA CONDUCTORES'!CC410="X",1,0)</f>
        <v>0</v>
      </c>
      <c r="BV410" s="15">
        <f>IF('ENCUESTA CONDUCTORES'!CD410="X",1,0)</f>
        <v>0</v>
      </c>
      <c r="BW410" s="15">
        <f>IF('ENCUESTA CONDUCTORES'!CE410="X",1,0)</f>
        <v>0</v>
      </c>
      <c r="BX410" s="15">
        <f>IF('ENCUESTA CONDUCTORES'!CF410="X",1,0)</f>
        <v>0</v>
      </c>
      <c r="BY410" s="15">
        <f>IF('ENCUESTA CONDUCTORES'!CG410="X",1,0)</f>
        <v>0</v>
      </c>
      <c r="BZ410" s="15">
        <f>IF('ENCUESTA CONDUCTORES'!CH410="X",1,0)</f>
        <v>0</v>
      </c>
      <c r="CA410" s="15">
        <f>IF('ENCUESTA CONDUCTORES'!CI410="X",1,0)</f>
        <v>0</v>
      </c>
      <c r="CB410" s="15">
        <f>IF('ENCUESTA CONDUCTORES'!CJ410="X",1,0)</f>
        <v>0</v>
      </c>
      <c r="CC410" s="15">
        <f>IF('ENCUESTA CONDUCTORES'!CK410="X",1,0)</f>
        <v>1</v>
      </c>
      <c r="CD410" s="15">
        <f>IF('ENCUESTA CONDUCTORES'!CL410="X",1,0)</f>
        <v>0</v>
      </c>
      <c r="CE410" s="15">
        <f>IF('ENCUESTA CONDUCTORES'!CM410="X",1,0)</f>
        <v>0</v>
      </c>
      <c r="CF410" s="15">
        <f>+'ENCUESTA CONDUCTORES'!CN410</f>
        <v>0</v>
      </c>
      <c r="CG410" s="15">
        <f>IF('ENCUESTA CONDUCTORES'!CO410="X",1,0)</f>
        <v>0</v>
      </c>
      <c r="CH410" s="15" t="str">
        <f>+'ENCUESTA CONDUCTORES'!CP410</f>
        <v>NO SABE</v>
      </c>
      <c r="CI410" s="15" t="str">
        <f>+'ENCUESTA CONDUCTORES'!CQ410</f>
        <v>NO SABE</v>
      </c>
      <c r="CJ410" s="15">
        <f>IF('ENCUESTA CONDUCTORES'!CR410="X",1,0)</f>
        <v>1</v>
      </c>
      <c r="CK410" s="15">
        <f>IF('ENCUESTA CONDUCTORES'!CS410="X",1,0)</f>
        <v>0</v>
      </c>
      <c r="CL410" s="15">
        <f>IF('ENCUESTA CONDUCTORES'!CT410="X",1,0)</f>
        <v>0</v>
      </c>
      <c r="CM410" s="15">
        <f>+'ENCUESTA CONDUCTORES'!CU410</f>
        <v>0</v>
      </c>
      <c r="CN410" s="15">
        <f>IF('ENCUESTA CONDUCTORES'!CV410="X",1,0)</f>
        <v>1</v>
      </c>
      <c r="CO410" s="15" t="str">
        <f>+'ENCUESTA CONDUCTORES'!CW410</f>
        <v>NO TIENE TIEMPO</v>
      </c>
      <c r="CP410" s="15">
        <f>IF('ENCUESTA CONDUCTORES'!CX410="X",1,0)</f>
        <v>0</v>
      </c>
      <c r="CQ410" s="15">
        <f>IF('ENCUESTA CONDUCTORES'!CY410="X",1,0)</f>
        <v>0</v>
      </c>
      <c r="CR410" s="3">
        <f>+'ENCUESTA CONDUCTORES'!CZ410</f>
        <v>0</v>
      </c>
      <c r="CS410" s="49">
        <f>+'ENCUESTA CONDUCTORES'!DA410</f>
        <v>0</v>
      </c>
    </row>
    <row r="411" spans="1:97" x14ac:dyDescent="0.25">
      <c r="B411" s="14" t="str">
        <f>+'ENCUESTA CONDUCTORES'!D411</f>
        <v>C-422</v>
      </c>
      <c r="C411" s="15">
        <f>IF('ENCUESTA CONDUCTORES'!E411="X",1,0)</f>
        <v>0</v>
      </c>
      <c r="D411" s="15">
        <f>IF('ENCUESTA CONDUCTORES'!F411="X",1,0)</f>
        <v>0</v>
      </c>
      <c r="E411" s="15">
        <f>IF('ENCUESTA CONDUCTORES'!G411="X",1,0)</f>
        <v>1</v>
      </c>
      <c r="F411" s="15">
        <f>IF('ENCUESTA CONDUCTORES'!H411="X",1,0)</f>
        <v>0</v>
      </c>
      <c r="G411" s="15">
        <f>+'ENCUESTA CONDUCTORES'!I411</f>
        <v>40</v>
      </c>
      <c r="H411" s="15" t="str">
        <f>+'ENCUESTA CONDUCTORES'!J411</f>
        <v>M</v>
      </c>
      <c r="I411" s="15" t="str">
        <f>+'ENCUESTA CONDUCTORES'!K411</f>
        <v>PRIMARIA</v>
      </c>
      <c r="J411" s="15" t="str">
        <f>+'ENCUESTA CONDUCTORES'!L411</f>
        <v>IZTAPALAPA, D.F.</v>
      </c>
      <c r="K411" s="15" t="str">
        <f>+'ENCUESTA CONDUCTORES'!M411</f>
        <v>IZTAPALAPA</v>
      </c>
      <c r="L411" s="15" t="str">
        <f>+'ENCUESTA CONDUCTORES'!N411</f>
        <v>D.F.</v>
      </c>
      <c r="M411" s="15">
        <f>+'ENCUESTA CONDUCTORES'!O411</f>
        <v>17</v>
      </c>
      <c r="N411" s="15">
        <f>IF('ENCUESTA CONDUCTORES'!P411="X",1,0)</f>
        <v>0</v>
      </c>
      <c r="O411" s="15">
        <f>IF('ENCUESTA CONDUCTORES'!Q411="X",1,0)</f>
        <v>1</v>
      </c>
      <c r="P411" s="15">
        <f>IF('ENCUESTA CONDUCTORES'!R411="X",1,0)</f>
        <v>0</v>
      </c>
      <c r="Q411" s="15">
        <f>IF('ENCUESTA CONDUCTORES'!S411="X",1,0)</f>
        <v>0</v>
      </c>
      <c r="R411" s="15">
        <f>IF('ENCUESTA CONDUCTORES'!T411="X",1,0)</f>
        <v>0</v>
      </c>
      <c r="S411" s="15">
        <f>IF('ENCUESTA CONDUCTORES'!U411="X",1,0)</f>
        <v>1</v>
      </c>
      <c r="T411" s="15">
        <f>IF('ENCUESTA CONDUCTORES'!V411="X",1,0)</f>
        <v>0</v>
      </c>
      <c r="U411" s="15">
        <f>IF('ENCUESTA CONDUCTORES'!W411="X",1,0)</f>
        <v>0</v>
      </c>
      <c r="V411" s="15">
        <f>IF('ENCUESTA CONDUCTORES'!X411="X",1,0)</f>
        <v>0</v>
      </c>
      <c r="W411" s="15">
        <f>IF('ENCUESTA CONDUCTORES'!Y411="X",1,0)</f>
        <v>0</v>
      </c>
      <c r="X411" s="15">
        <f>IF('ENCUESTA CONDUCTORES'!Z411="X",1,0)</f>
        <v>0</v>
      </c>
      <c r="Y411" s="15">
        <f>+'ENCUESTA CONDUCTORES'!AG411</f>
        <v>0</v>
      </c>
      <c r="Z411" s="15">
        <f>+'ENCUESTA CONDUCTORES'!AH411</f>
        <v>2004</v>
      </c>
      <c r="AA411" s="1">
        <f>+'ENCUESTA CONDUCTORES'!AI411</f>
        <v>811703</v>
      </c>
      <c r="AB411" s="15">
        <f>IF('ENCUESTA CONDUCTORES'!AJ411="X",1,0)</f>
        <v>0</v>
      </c>
      <c r="AC411" s="15">
        <f>IF('ENCUESTA CONDUCTORES'!AK411="X",1,0)</f>
        <v>0</v>
      </c>
      <c r="AD411" s="15">
        <f>IF('ENCUESTA CONDUCTORES'!AL411="X",1,0)</f>
        <v>1</v>
      </c>
      <c r="AE411" s="15">
        <f>IF('ENCUESTA CONDUCTORES'!AM411="X",1,0)</f>
        <v>0</v>
      </c>
      <c r="AF411" s="15">
        <f>IF('ENCUESTA CONDUCTORES'!AN411="X",1,0)</f>
        <v>0</v>
      </c>
      <c r="AG411" s="15">
        <f>IF('ENCUESTA CONDUCTORES'!AO411="X",1,0)</f>
        <v>0</v>
      </c>
      <c r="AH411" s="15">
        <f>IF('ENCUESTA CONDUCTORES'!AP411="X",1,0)</f>
        <v>1</v>
      </c>
      <c r="AI411" s="15">
        <f>IF('ENCUESTA CONDUCTORES'!AQ411="X",1,0)</f>
        <v>0</v>
      </c>
      <c r="AJ411" s="15">
        <f>IF('ENCUESTA CONDUCTORES'!AR411="X",1,0)</f>
        <v>0</v>
      </c>
      <c r="AK411" s="15">
        <f>+'ENCUESTA CONDUCTORES'!AS411</f>
        <v>0</v>
      </c>
      <c r="AL411" s="15" t="str">
        <f>+'ENCUESTA CONDUCTORES'!AT411</f>
        <v>CUMMINS</v>
      </c>
      <c r="AM411" s="1">
        <f>+'ENCUESTA CONDUCTORES'!AU411</f>
        <v>8000</v>
      </c>
      <c r="AN411" s="48">
        <f>+'ENCUESTA CONDUCTORES'!AV411</f>
        <v>0</v>
      </c>
      <c r="AO411" s="15">
        <f>+'ENCUESTA CONDUCTORES'!AW411</f>
        <v>3.4</v>
      </c>
      <c r="AP411" s="15">
        <f>+'ENCUESTA CONDUCTORES'!AX411</f>
        <v>3.1</v>
      </c>
      <c r="AQ411" s="15">
        <f>+'ENCUESTA CONDUCTORES'!AY411</f>
        <v>2</v>
      </c>
      <c r="AR411" s="15">
        <f>+'ENCUESTA CONDUCTORES'!AZ411</f>
        <v>530</v>
      </c>
      <c r="AS411" s="15">
        <f>+'ENCUESTA CONDUCTORES'!BA411</f>
        <v>1700</v>
      </c>
      <c r="AT411" s="15">
        <f>IF('ENCUESTA CONDUCTORES'!BB411="X",1,0)</f>
        <v>1</v>
      </c>
      <c r="AU411" s="15">
        <f>IF('ENCUESTA CONDUCTORES'!BC411="X",1,0)</f>
        <v>0</v>
      </c>
      <c r="AV411" s="15">
        <f>IF('ENCUESTA CONDUCTORES'!BD411="X",1,0)</f>
        <v>0</v>
      </c>
      <c r="AW411" s="1">
        <f>+'ENCUESTA CONDUCTORES'!BE411</f>
        <v>30000</v>
      </c>
      <c r="AX411" s="1" t="str">
        <f>+'ENCUESTA CONDUCTORES'!BF411</f>
        <v>NO SABE</v>
      </c>
      <c r="AY411" s="1">
        <f>+'ENCUESTA CONDUCTORES'!BG411</f>
        <v>60000</v>
      </c>
      <c r="AZ411" s="1" t="str">
        <f>+'ENCUESTA CONDUCTORES'!BH411</f>
        <v>NO SABE</v>
      </c>
      <c r="BA411" s="1" t="str">
        <f>+'ENCUESTA CONDUCTORES'!BI411</f>
        <v>NO SABE</v>
      </c>
      <c r="BB411" s="15">
        <f>IF('ENCUESTA CONDUCTORES'!BJ411="X",1,0)</f>
        <v>0</v>
      </c>
      <c r="BC411" s="15">
        <f>IF('ENCUESTA CONDUCTORES'!BK411="X",1,0)</f>
        <v>0</v>
      </c>
      <c r="BD411" s="15">
        <f>IF('ENCUESTA CONDUCTORES'!BL411="X",1,0)</f>
        <v>1</v>
      </c>
      <c r="BE411" s="15">
        <f>IF('ENCUESTA CONDUCTORES'!BM411="X",1,0)</f>
        <v>0</v>
      </c>
      <c r="BF411" s="15">
        <f>IF('ENCUESTA CONDUCTORES'!BN411="X",1,0)</f>
        <v>0</v>
      </c>
      <c r="BG411" s="15">
        <f>IF('ENCUESTA CONDUCTORES'!BO411="X",1,0)</f>
        <v>0</v>
      </c>
      <c r="BH411" s="15">
        <f>IF('ENCUESTA CONDUCTORES'!BP411="X",1,0)</f>
        <v>0</v>
      </c>
      <c r="BI411" s="15">
        <f>IF('ENCUESTA CONDUCTORES'!BQ411="X",1,0)</f>
        <v>0</v>
      </c>
      <c r="BJ411" s="15">
        <f>IF('ENCUESTA CONDUCTORES'!BR411="X",1,0)</f>
        <v>1</v>
      </c>
      <c r="BK411" s="15">
        <f>+'ENCUESTA CONDUCTORES'!BS411</f>
        <v>0</v>
      </c>
      <c r="BL411" s="15">
        <f>IF('ENCUESTA CONDUCTORES'!BT411="X",1,0)</f>
        <v>0</v>
      </c>
      <c r="BM411" s="15">
        <f>IF('ENCUESTA CONDUCTORES'!BU411="X",1,0)</f>
        <v>1</v>
      </c>
      <c r="BN411" s="15">
        <f>IF('ENCUESTA CONDUCTORES'!BV411="X",1,0)</f>
        <v>0</v>
      </c>
      <c r="BO411" s="15">
        <f>IF('ENCUESTA CONDUCTORES'!BW411="X",1,0)</f>
        <v>0</v>
      </c>
      <c r="BP411" s="15">
        <f>+'ENCUESTA CONDUCTORES'!BX411</f>
        <v>1</v>
      </c>
      <c r="BQ411" s="15">
        <f>+'ENCUESTA CONDUCTORES'!BY411</f>
        <v>3</v>
      </c>
      <c r="BR411" s="15">
        <f>+'ENCUESTA CONDUCTORES'!BZ411</f>
        <v>2</v>
      </c>
      <c r="BS411" s="15">
        <f>+'ENCUESTA CONDUCTORES'!CA411</f>
        <v>0</v>
      </c>
      <c r="BT411" s="15">
        <f>IF('ENCUESTA CONDUCTORES'!CB411="X",1,0)</f>
        <v>1</v>
      </c>
      <c r="BU411" s="15">
        <f>IF('ENCUESTA CONDUCTORES'!CC411="X",1,0)</f>
        <v>0</v>
      </c>
      <c r="BV411" s="15">
        <f>IF('ENCUESTA CONDUCTORES'!CD411="X",1,0)</f>
        <v>0</v>
      </c>
      <c r="BW411" s="15">
        <f>IF('ENCUESTA CONDUCTORES'!CE411="X",1,0)</f>
        <v>0</v>
      </c>
      <c r="BX411" s="15">
        <f>IF('ENCUESTA CONDUCTORES'!CF411="X",1,0)</f>
        <v>0</v>
      </c>
      <c r="BY411" s="15">
        <f>IF('ENCUESTA CONDUCTORES'!CG411="X",1,0)</f>
        <v>0</v>
      </c>
      <c r="BZ411" s="15">
        <f>IF('ENCUESTA CONDUCTORES'!CH411="X",1,0)</f>
        <v>0</v>
      </c>
      <c r="CA411" s="15">
        <f>IF('ENCUESTA CONDUCTORES'!CI411="X",1,0)</f>
        <v>0</v>
      </c>
      <c r="CB411" s="15">
        <f>IF('ENCUESTA CONDUCTORES'!CJ411="X",1,0)</f>
        <v>0</v>
      </c>
      <c r="CC411" s="15">
        <f>IF('ENCUESTA CONDUCTORES'!CK411="X",1,0)</f>
        <v>1</v>
      </c>
      <c r="CD411" s="15">
        <f>IF('ENCUESTA CONDUCTORES'!CL411="X",1,0)</f>
        <v>0</v>
      </c>
      <c r="CE411" s="15">
        <f>IF('ENCUESTA CONDUCTORES'!CM411="X",1,0)</f>
        <v>0</v>
      </c>
      <c r="CF411" s="15">
        <f>+'ENCUESTA CONDUCTORES'!CN411</f>
        <v>0</v>
      </c>
      <c r="CG411" s="15">
        <f>IF('ENCUESTA CONDUCTORES'!CO411="X",1,0)</f>
        <v>0</v>
      </c>
      <c r="CH411" s="15" t="str">
        <f>+'ENCUESTA CONDUCTORES'!CP411</f>
        <v>NO SABE</v>
      </c>
      <c r="CI411" s="15" t="str">
        <f>+'ENCUESTA CONDUCTORES'!CQ411</f>
        <v>NO SABE</v>
      </c>
      <c r="CJ411" s="15">
        <f>IF('ENCUESTA CONDUCTORES'!CR411="X",1,0)</f>
        <v>1</v>
      </c>
      <c r="CK411" s="15">
        <f>IF('ENCUESTA CONDUCTORES'!CS411="X",1,0)</f>
        <v>0</v>
      </c>
      <c r="CL411" s="15">
        <f>IF('ENCUESTA CONDUCTORES'!CT411="X",1,0)</f>
        <v>0</v>
      </c>
      <c r="CM411" s="15">
        <f>+'ENCUESTA CONDUCTORES'!CU411</f>
        <v>0</v>
      </c>
      <c r="CN411" s="15">
        <f>IF('ENCUESTA CONDUCTORES'!CV411="X",1,0)</f>
        <v>0</v>
      </c>
      <c r="CO411" s="15">
        <f>+'ENCUESTA CONDUCTORES'!CW411</f>
        <v>0</v>
      </c>
      <c r="CP411" s="15">
        <f>IF('ENCUESTA CONDUCTORES'!CX411="X",1,0)</f>
        <v>1</v>
      </c>
      <c r="CQ411" s="15">
        <f>IF('ENCUESTA CONDUCTORES'!CY411="X",1,0)</f>
        <v>0</v>
      </c>
      <c r="CR411" s="3">
        <f>+'ENCUESTA CONDUCTORES'!CZ411</f>
        <v>0</v>
      </c>
      <c r="CS411" s="49">
        <f>+'ENCUESTA CONDUCTORES'!DA411</f>
        <v>0</v>
      </c>
    </row>
    <row r="412" spans="1:97" x14ac:dyDescent="0.25">
      <c r="B412" s="14" t="str">
        <f>+'ENCUESTA CONDUCTORES'!D412</f>
        <v>C-423</v>
      </c>
      <c r="C412" s="15">
        <f>IF('ENCUESTA CONDUCTORES'!E412="X",1,0)</f>
        <v>0</v>
      </c>
      <c r="D412" s="15">
        <f>IF('ENCUESTA CONDUCTORES'!F412="X",1,0)</f>
        <v>0</v>
      </c>
      <c r="E412" s="15">
        <f>IF('ENCUESTA CONDUCTORES'!G412="X",1,0)</f>
        <v>0</v>
      </c>
      <c r="F412" s="15">
        <f>IF('ENCUESTA CONDUCTORES'!H412="X",1,0)</f>
        <v>1</v>
      </c>
      <c r="G412" s="15">
        <f>+'ENCUESTA CONDUCTORES'!I412</f>
        <v>38</v>
      </c>
      <c r="H412" s="15" t="str">
        <f>+'ENCUESTA CONDUCTORES'!J412</f>
        <v>M</v>
      </c>
      <c r="I412" s="15" t="str">
        <f>+'ENCUESTA CONDUCTORES'!K412</f>
        <v>SECUNDARIA</v>
      </c>
      <c r="J412" s="15" t="str">
        <f>+'ENCUESTA CONDUCTORES'!L412</f>
        <v>TULTITLÁN, EDO. MEX.</v>
      </c>
      <c r="K412" s="15" t="str">
        <f>+'ENCUESTA CONDUCTORES'!M412</f>
        <v>TULTITLÁN</v>
      </c>
      <c r="L412" s="15" t="str">
        <f>+'ENCUESTA CONDUCTORES'!N412</f>
        <v>EDO. MEX.</v>
      </c>
      <c r="M412" s="15">
        <f>+'ENCUESTA CONDUCTORES'!O412</f>
        <v>10</v>
      </c>
      <c r="N412" s="15">
        <f>IF('ENCUESTA CONDUCTORES'!P412="X",1,0)</f>
        <v>0</v>
      </c>
      <c r="O412" s="15">
        <f>IF('ENCUESTA CONDUCTORES'!Q412="X",1,0)</f>
        <v>0</v>
      </c>
      <c r="P412" s="15">
        <f>IF('ENCUESTA CONDUCTORES'!R412="X",1,0)</f>
        <v>0</v>
      </c>
      <c r="Q412" s="15">
        <f>IF('ENCUESTA CONDUCTORES'!S412="X",1,0)</f>
        <v>1</v>
      </c>
      <c r="R412" s="15">
        <f>IF('ENCUESTA CONDUCTORES'!T412="X",1,0)</f>
        <v>0</v>
      </c>
      <c r="S412" s="15">
        <f>IF('ENCUESTA CONDUCTORES'!U412="X",1,0)</f>
        <v>1</v>
      </c>
      <c r="T412" s="15">
        <f>IF('ENCUESTA CONDUCTORES'!V412="X",1,0)</f>
        <v>0</v>
      </c>
      <c r="U412" s="15">
        <f>IF('ENCUESTA CONDUCTORES'!W412="X",1,0)</f>
        <v>0</v>
      </c>
      <c r="V412" s="15">
        <f>IF('ENCUESTA CONDUCTORES'!X412="X",1,0)</f>
        <v>0</v>
      </c>
      <c r="W412" s="15">
        <f>IF('ENCUESTA CONDUCTORES'!Y412="X",1,0)</f>
        <v>0</v>
      </c>
      <c r="X412" s="15">
        <f>IF('ENCUESTA CONDUCTORES'!Z412="X",1,0)</f>
        <v>0</v>
      </c>
      <c r="Y412" s="15">
        <f>+'ENCUESTA CONDUCTORES'!AG412</f>
        <v>0</v>
      </c>
      <c r="Z412" s="15">
        <f>+'ENCUESTA CONDUCTORES'!AH412</f>
        <v>2008</v>
      </c>
      <c r="AA412" s="1">
        <f>+'ENCUESTA CONDUCTORES'!AI412</f>
        <v>552713</v>
      </c>
      <c r="AB412" s="15">
        <f>IF('ENCUESTA CONDUCTORES'!AJ412="X",1,0)</f>
        <v>0</v>
      </c>
      <c r="AC412" s="15">
        <f>IF('ENCUESTA CONDUCTORES'!AK412="X",1,0)</f>
        <v>0</v>
      </c>
      <c r="AD412" s="15">
        <f>IF('ENCUESTA CONDUCTORES'!AL412="X",1,0)</f>
        <v>1</v>
      </c>
      <c r="AE412" s="15">
        <f>IF('ENCUESTA CONDUCTORES'!AM412="X",1,0)</f>
        <v>0</v>
      </c>
      <c r="AF412" s="15">
        <f>IF('ENCUESTA CONDUCTORES'!AN412="X",1,0)</f>
        <v>0</v>
      </c>
      <c r="AG412" s="15">
        <f>IF('ENCUESTA CONDUCTORES'!AO412="X",1,0)</f>
        <v>0</v>
      </c>
      <c r="AH412" s="15">
        <f>IF('ENCUESTA CONDUCTORES'!AP412="X",1,0)</f>
        <v>1</v>
      </c>
      <c r="AI412" s="15">
        <f>IF('ENCUESTA CONDUCTORES'!AQ412="X",1,0)</f>
        <v>0</v>
      </c>
      <c r="AJ412" s="15">
        <f>IF('ENCUESTA CONDUCTORES'!AR412="X",1,0)</f>
        <v>0</v>
      </c>
      <c r="AK412" s="15">
        <f>+'ENCUESTA CONDUCTORES'!AS412</f>
        <v>0</v>
      </c>
      <c r="AL412" s="15" t="str">
        <f>+'ENCUESTA CONDUCTORES'!AT412</f>
        <v>CUMMINS</v>
      </c>
      <c r="AM412" s="1">
        <f>+'ENCUESTA CONDUCTORES'!AU412</f>
        <v>11000</v>
      </c>
      <c r="AN412" s="48">
        <f>+'ENCUESTA CONDUCTORES'!AV412</f>
        <v>0</v>
      </c>
      <c r="AO412" s="15">
        <f>+'ENCUESTA CONDUCTORES'!AW412</f>
        <v>2.8</v>
      </c>
      <c r="AP412" s="15">
        <f>+'ENCUESTA CONDUCTORES'!AX412</f>
        <v>2.5</v>
      </c>
      <c r="AQ412" s="15">
        <f>+'ENCUESTA CONDUCTORES'!AY412</f>
        <v>2</v>
      </c>
      <c r="AR412" s="15">
        <f>+'ENCUESTA CONDUCTORES'!AZ412</f>
        <v>890</v>
      </c>
      <c r="AS412" s="15">
        <f>+'ENCUESTA CONDUCTORES'!BA412</f>
        <v>2400</v>
      </c>
      <c r="AT412" s="15">
        <f>IF('ENCUESTA CONDUCTORES'!BB412="X",1,0)</f>
        <v>1</v>
      </c>
      <c r="AU412" s="15">
        <f>IF('ENCUESTA CONDUCTORES'!BC412="X",1,0)</f>
        <v>1</v>
      </c>
      <c r="AV412" s="15">
        <f>IF('ENCUESTA CONDUCTORES'!BD412="X",1,0)</f>
        <v>0</v>
      </c>
      <c r="AW412" s="1">
        <f>+'ENCUESTA CONDUCTORES'!BE412</f>
        <v>11000</v>
      </c>
      <c r="AX412" s="1" t="str">
        <f>+'ENCUESTA CONDUCTORES'!BF412</f>
        <v>NO SABE</v>
      </c>
      <c r="AY412" s="1">
        <f>+'ENCUESTA CONDUCTORES'!BG412</f>
        <v>22000</v>
      </c>
      <c r="AZ412" s="1">
        <f>+'ENCUESTA CONDUCTORES'!BH412</f>
        <v>130000</v>
      </c>
      <c r="BA412" s="1" t="str">
        <f>+'ENCUESTA CONDUCTORES'!BI412</f>
        <v>NO SABE</v>
      </c>
      <c r="BB412" s="15">
        <f>IF('ENCUESTA CONDUCTORES'!BJ412="X",1,0)</f>
        <v>0</v>
      </c>
      <c r="BC412" s="15">
        <f>IF('ENCUESTA CONDUCTORES'!BK412="X",1,0)</f>
        <v>0</v>
      </c>
      <c r="BD412" s="15">
        <f>IF('ENCUESTA CONDUCTORES'!BL412="X",1,0)</f>
        <v>0</v>
      </c>
      <c r="BE412" s="15">
        <f>IF('ENCUESTA CONDUCTORES'!BM412="X",1,0)</f>
        <v>0</v>
      </c>
      <c r="BF412" s="15">
        <f>IF('ENCUESTA CONDUCTORES'!BN412="X",1,0)</f>
        <v>1</v>
      </c>
      <c r="BG412" s="15">
        <f>IF('ENCUESTA CONDUCTORES'!BO412="X",1,0)</f>
        <v>0</v>
      </c>
      <c r="BH412" s="15">
        <f>IF('ENCUESTA CONDUCTORES'!BP412="X",1,0)</f>
        <v>1</v>
      </c>
      <c r="BI412" s="15">
        <f>IF('ENCUESTA CONDUCTORES'!BQ412="X",1,0)</f>
        <v>0</v>
      </c>
      <c r="BJ412" s="15">
        <f>IF('ENCUESTA CONDUCTORES'!BR412="X",1,0)</f>
        <v>0</v>
      </c>
      <c r="BK412" s="15" t="str">
        <f>+'ENCUESTA CONDUCTORES'!BS412</f>
        <v>ELECTRONICA, LINEA BLANCA</v>
      </c>
      <c r="BL412" s="15">
        <f>IF('ENCUESTA CONDUCTORES'!BT412="X",1,0)</f>
        <v>0</v>
      </c>
      <c r="BM412" s="15">
        <f>IF('ENCUESTA CONDUCTORES'!BU412="X",1,0)</f>
        <v>1</v>
      </c>
      <c r="BN412" s="15">
        <f>IF('ENCUESTA CONDUCTORES'!BV412="X",1,0)</f>
        <v>0</v>
      </c>
      <c r="BO412" s="15">
        <f>IF('ENCUESTA CONDUCTORES'!BW412="X",1,0)</f>
        <v>0</v>
      </c>
      <c r="BP412" s="15">
        <f>+'ENCUESTA CONDUCTORES'!BX412</f>
        <v>2</v>
      </c>
      <c r="BQ412" s="15">
        <f>+'ENCUESTA CONDUCTORES'!BY412</f>
        <v>1</v>
      </c>
      <c r="BR412" s="15">
        <f>+'ENCUESTA CONDUCTORES'!BZ412</f>
        <v>3</v>
      </c>
      <c r="BS412" s="15">
        <f>+'ENCUESTA CONDUCTORES'!CA412</f>
        <v>0</v>
      </c>
      <c r="BT412" s="15">
        <f>IF('ENCUESTA CONDUCTORES'!CB412="X",1,0)</f>
        <v>0</v>
      </c>
      <c r="BU412" s="15">
        <f>IF('ENCUESTA CONDUCTORES'!CC412="X",1,0)</f>
        <v>1</v>
      </c>
      <c r="BV412" s="15">
        <f>IF('ENCUESTA CONDUCTORES'!CD412="X",1,0)</f>
        <v>0</v>
      </c>
      <c r="BW412" s="15">
        <f>IF('ENCUESTA CONDUCTORES'!CE412="X",1,0)</f>
        <v>0</v>
      </c>
      <c r="BX412" s="15">
        <f>IF('ENCUESTA CONDUCTORES'!CF412="X",1,0)</f>
        <v>0</v>
      </c>
      <c r="BY412" s="15">
        <f>IF('ENCUESTA CONDUCTORES'!CG412="X",1,0)</f>
        <v>0</v>
      </c>
      <c r="BZ412" s="15">
        <f>IF('ENCUESTA CONDUCTORES'!CH412="X",1,0)</f>
        <v>1</v>
      </c>
      <c r="CA412" s="15">
        <f>IF('ENCUESTA CONDUCTORES'!CI412="X",1,0)</f>
        <v>0</v>
      </c>
      <c r="CB412" s="15">
        <f>IF('ENCUESTA CONDUCTORES'!CJ412="X",1,0)</f>
        <v>0</v>
      </c>
      <c r="CC412" s="15">
        <f>IF('ENCUESTA CONDUCTORES'!CK412="X",1,0)</f>
        <v>1</v>
      </c>
      <c r="CD412" s="15">
        <f>IF('ENCUESTA CONDUCTORES'!CL412="X",1,0)</f>
        <v>0</v>
      </c>
      <c r="CE412" s="15">
        <f>IF('ENCUESTA CONDUCTORES'!CM412="X",1,0)</f>
        <v>0</v>
      </c>
      <c r="CF412" s="15">
        <f>+'ENCUESTA CONDUCTORES'!CN412</f>
        <v>0</v>
      </c>
      <c r="CG412" s="15">
        <f>IF('ENCUESTA CONDUCTORES'!CO412="X",1,0)</f>
        <v>0</v>
      </c>
      <c r="CH412" s="15" t="str">
        <f>+'ENCUESTA CONDUCTORES'!CP412</f>
        <v>NO SABE</v>
      </c>
      <c r="CI412" s="15" t="str">
        <f>+'ENCUESTA CONDUCTORES'!CQ412</f>
        <v>NO SABE</v>
      </c>
      <c r="CJ412" s="15">
        <f>IF('ENCUESTA CONDUCTORES'!CR412="X",1,0)</f>
        <v>0</v>
      </c>
      <c r="CK412" s="15">
        <f>IF('ENCUESTA CONDUCTORES'!CS412="X",1,0)</f>
        <v>0</v>
      </c>
      <c r="CL412" s="15">
        <f>IF('ENCUESTA CONDUCTORES'!CT412="X",1,0)</f>
        <v>0</v>
      </c>
      <c r="CM412" s="15" t="str">
        <f>+'ENCUESTA CONDUCTORES'!CU412</f>
        <v>BASC, C-TPAT, ISO 9000</v>
      </c>
      <c r="CN412" s="15">
        <f>IF('ENCUESTA CONDUCTORES'!CV412="X",1,0)</f>
        <v>0</v>
      </c>
      <c r="CO412" s="15">
        <f>+'ENCUESTA CONDUCTORES'!CW412</f>
        <v>0</v>
      </c>
      <c r="CP412" s="15">
        <f>IF('ENCUESTA CONDUCTORES'!CX412="X",1,0)</f>
        <v>1</v>
      </c>
      <c r="CQ412" s="15">
        <f>IF('ENCUESTA CONDUCTORES'!CY412="X",1,0)</f>
        <v>0</v>
      </c>
      <c r="CR412" s="3">
        <f>+'ENCUESTA CONDUCTORES'!CZ412</f>
        <v>0</v>
      </c>
      <c r="CS412" s="49">
        <f>+'ENCUESTA CONDUCTORES'!DA412</f>
        <v>0</v>
      </c>
    </row>
    <row r="413" spans="1:97" x14ac:dyDescent="0.25">
      <c r="B413" s="14" t="str">
        <f>+'ENCUESTA CONDUCTORES'!D413</f>
        <v>C-424</v>
      </c>
      <c r="C413" s="15">
        <f>IF('ENCUESTA CONDUCTORES'!E413="X",1,0)</f>
        <v>0</v>
      </c>
      <c r="D413" s="15">
        <f>IF('ENCUESTA CONDUCTORES'!F413="X",1,0)</f>
        <v>0</v>
      </c>
      <c r="E413" s="15">
        <f>IF('ENCUESTA CONDUCTORES'!G413="X",1,0)</f>
        <v>0</v>
      </c>
      <c r="F413" s="15">
        <f>IF('ENCUESTA CONDUCTORES'!H413="X",1,0)</f>
        <v>1</v>
      </c>
      <c r="G413" s="15">
        <f>+'ENCUESTA CONDUCTORES'!I413</f>
        <v>52</v>
      </c>
      <c r="H413" s="15" t="str">
        <f>+'ENCUESTA CONDUCTORES'!J413</f>
        <v>M</v>
      </c>
      <c r="I413" s="15" t="str">
        <f>+'ENCUESTA CONDUCTORES'!K413</f>
        <v>PRIMARIA</v>
      </c>
      <c r="J413" s="15" t="str">
        <f>+'ENCUESTA CONDUCTORES'!L413</f>
        <v>XOCHIMILCO, D.F.</v>
      </c>
      <c r="K413" s="15" t="str">
        <f>+'ENCUESTA CONDUCTORES'!M413</f>
        <v>XOCHIMILCO</v>
      </c>
      <c r="L413" s="15" t="str">
        <f>+'ENCUESTA CONDUCTORES'!N413</f>
        <v>D.F.</v>
      </c>
      <c r="M413" s="15">
        <f>+'ENCUESTA CONDUCTORES'!O413</f>
        <v>30</v>
      </c>
      <c r="N413" s="15">
        <f>IF('ENCUESTA CONDUCTORES'!P413="X",1,0)</f>
        <v>0</v>
      </c>
      <c r="O413" s="15">
        <f>IF('ENCUESTA CONDUCTORES'!Q413="X",1,0)</f>
        <v>0</v>
      </c>
      <c r="P413" s="15">
        <f>IF('ENCUESTA CONDUCTORES'!R413="X",1,0)</f>
        <v>0</v>
      </c>
      <c r="Q413" s="15">
        <f>IF('ENCUESTA CONDUCTORES'!S413="X",1,0)</f>
        <v>1</v>
      </c>
      <c r="R413" s="15">
        <f>IF('ENCUESTA CONDUCTORES'!T413="X",1,0)</f>
        <v>0</v>
      </c>
      <c r="S413" s="15">
        <f>IF('ENCUESTA CONDUCTORES'!U413="X",1,0)</f>
        <v>1</v>
      </c>
      <c r="T413" s="15">
        <f>IF('ENCUESTA CONDUCTORES'!V413="X",1,0)</f>
        <v>0</v>
      </c>
      <c r="U413" s="15">
        <f>IF('ENCUESTA CONDUCTORES'!W413="X",1,0)</f>
        <v>0</v>
      </c>
      <c r="V413" s="15">
        <f>IF('ENCUESTA CONDUCTORES'!X413="X",1,0)</f>
        <v>0</v>
      </c>
      <c r="W413" s="15">
        <f>IF('ENCUESTA CONDUCTORES'!Y413="X",1,0)</f>
        <v>0</v>
      </c>
      <c r="X413" s="15">
        <f>IF('ENCUESTA CONDUCTORES'!Z413="X",1,0)</f>
        <v>0</v>
      </c>
      <c r="Y413" s="15">
        <f>+'ENCUESTA CONDUCTORES'!AG413</f>
        <v>0</v>
      </c>
      <c r="Z413" s="15">
        <f>+'ENCUESTA CONDUCTORES'!AH413</f>
        <v>2008</v>
      </c>
      <c r="AA413" s="1">
        <f>+'ENCUESTA CONDUCTORES'!AI413</f>
        <v>525612</v>
      </c>
      <c r="AB413" s="15">
        <f>IF('ENCUESTA CONDUCTORES'!AJ413="X",1,0)</f>
        <v>0</v>
      </c>
      <c r="AC413" s="15">
        <f>IF('ENCUESTA CONDUCTORES'!AK413="X",1,0)</f>
        <v>0</v>
      </c>
      <c r="AD413" s="15">
        <f>IF('ENCUESTA CONDUCTORES'!AL413="X",1,0)</f>
        <v>1</v>
      </c>
      <c r="AE413" s="15">
        <f>IF('ENCUESTA CONDUCTORES'!AM413="X",1,0)</f>
        <v>0</v>
      </c>
      <c r="AF413" s="15">
        <f>IF('ENCUESTA CONDUCTORES'!AN413="X",1,0)</f>
        <v>0</v>
      </c>
      <c r="AG413" s="15">
        <f>IF('ENCUESTA CONDUCTORES'!AO413="X",1,0)</f>
        <v>0</v>
      </c>
      <c r="AH413" s="15">
        <f>IF('ENCUESTA CONDUCTORES'!AP413="X",1,0)</f>
        <v>1</v>
      </c>
      <c r="AI413" s="15">
        <f>IF('ENCUESTA CONDUCTORES'!AQ413="X",1,0)</f>
        <v>0</v>
      </c>
      <c r="AJ413" s="15">
        <f>IF('ENCUESTA CONDUCTORES'!AR413="X",1,0)</f>
        <v>0</v>
      </c>
      <c r="AK413" s="15">
        <f>+'ENCUESTA CONDUCTORES'!AS413</f>
        <v>0</v>
      </c>
      <c r="AL413" s="15" t="str">
        <f>+'ENCUESTA CONDUCTORES'!AT413</f>
        <v>CUMMINS</v>
      </c>
      <c r="AM413" s="1">
        <f>+'ENCUESTA CONDUCTORES'!AU413</f>
        <v>11000</v>
      </c>
      <c r="AN413" s="48">
        <f>+'ENCUESTA CONDUCTORES'!AV413</f>
        <v>0</v>
      </c>
      <c r="AO413" s="15">
        <f>+'ENCUESTA CONDUCTORES'!AW413</f>
        <v>2.8</v>
      </c>
      <c r="AP413" s="15">
        <f>+'ENCUESTA CONDUCTORES'!AX413</f>
        <v>2.5</v>
      </c>
      <c r="AQ413" s="15">
        <f>+'ENCUESTA CONDUCTORES'!AY413</f>
        <v>2</v>
      </c>
      <c r="AR413" s="15">
        <f>+'ENCUESTA CONDUCTORES'!AZ413</f>
        <v>960</v>
      </c>
      <c r="AS413" s="15">
        <f>+'ENCUESTA CONDUCTORES'!BA413</f>
        <v>2500</v>
      </c>
      <c r="AT413" s="15">
        <f>IF('ENCUESTA CONDUCTORES'!BB413="X",1,0)</f>
        <v>1</v>
      </c>
      <c r="AU413" s="15">
        <f>IF('ENCUESTA CONDUCTORES'!BC413="X",1,0)</f>
        <v>1</v>
      </c>
      <c r="AV413" s="15">
        <f>IF('ENCUESTA CONDUCTORES'!BD413="X",1,0)</f>
        <v>0</v>
      </c>
      <c r="AW413" s="1">
        <f>+'ENCUESTA CONDUCTORES'!BE413</f>
        <v>22000</v>
      </c>
      <c r="AX413" s="1">
        <f>+'ENCUESTA CONDUCTORES'!BF413</f>
        <v>200000</v>
      </c>
      <c r="AY413" s="1">
        <f>+'ENCUESTA CONDUCTORES'!BG413</f>
        <v>44000</v>
      </c>
      <c r="AZ413" s="1">
        <f>+'ENCUESTA CONDUCTORES'!BH413</f>
        <v>130000</v>
      </c>
      <c r="BA413" s="1" t="str">
        <f>+'ENCUESTA CONDUCTORES'!BI413</f>
        <v>NO SABE</v>
      </c>
      <c r="BB413" s="15">
        <f>IF('ENCUESTA CONDUCTORES'!BJ413="X",1,0)</f>
        <v>0</v>
      </c>
      <c r="BC413" s="15">
        <f>IF('ENCUESTA CONDUCTORES'!BK413="X",1,0)</f>
        <v>1</v>
      </c>
      <c r="BD413" s="15">
        <f>IF('ENCUESTA CONDUCTORES'!BL413="X",1,0)</f>
        <v>0</v>
      </c>
      <c r="BE413" s="15">
        <f>IF('ENCUESTA CONDUCTORES'!BM413="X",1,0)</f>
        <v>1</v>
      </c>
      <c r="BF413" s="15">
        <f>IF('ENCUESTA CONDUCTORES'!BN413="X",1,0)</f>
        <v>1</v>
      </c>
      <c r="BG413" s="15">
        <f>IF('ENCUESTA CONDUCTORES'!BO413="X",1,0)</f>
        <v>0</v>
      </c>
      <c r="BH413" s="15">
        <f>IF('ENCUESTA CONDUCTORES'!BP413="X",1,0)</f>
        <v>1</v>
      </c>
      <c r="BI413" s="15">
        <f>IF('ENCUESTA CONDUCTORES'!BQ413="X",1,0)</f>
        <v>0</v>
      </c>
      <c r="BJ413" s="15">
        <f>IF('ENCUESTA CONDUCTORES'!BR413="X",1,0)</f>
        <v>0</v>
      </c>
      <c r="BK413" s="15">
        <f>+'ENCUESTA CONDUCTORES'!BS413</f>
        <v>0</v>
      </c>
      <c r="BL413" s="15">
        <f>IF('ENCUESTA CONDUCTORES'!BT413="X",1,0)</f>
        <v>0</v>
      </c>
      <c r="BM413" s="15">
        <f>IF('ENCUESTA CONDUCTORES'!BU413="X",1,0)</f>
        <v>1</v>
      </c>
      <c r="BN413" s="15">
        <f>IF('ENCUESTA CONDUCTORES'!BV413="X",1,0)</f>
        <v>0</v>
      </c>
      <c r="BO413" s="15">
        <f>IF('ENCUESTA CONDUCTORES'!BW413="X",1,0)</f>
        <v>0</v>
      </c>
      <c r="BP413" s="15">
        <f>+'ENCUESTA CONDUCTORES'!BX413</f>
        <v>1</v>
      </c>
      <c r="BQ413" s="15">
        <f>+'ENCUESTA CONDUCTORES'!BY413</f>
        <v>3</v>
      </c>
      <c r="BR413" s="15">
        <f>+'ENCUESTA CONDUCTORES'!BZ413</f>
        <v>2</v>
      </c>
      <c r="BS413" s="15">
        <f>+'ENCUESTA CONDUCTORES'!CA413</f>
        <v>0</v>
      </c>
      <c r="BT413" s="15">
        <f>IF('ENCUESTA CONDUCTORES'!CB413="X",1,0)</f>
        <v>0</v>
      </c>
      <c r="BU413" s="15">
        <f>IF('ENCUESTA CONDUCTORES'!CC413="X",1,0)</f>
        <v>1</v>
      </c>
      <c r="BV413" s="15">
        <f>IF('ENCUESTA CONDUCTORES'!CD413="X",1,0)</f>
        <v>0</v>
      </c>
      <c r="BW413" s="15">
        <f>IF('ENCUESTA CONDUCTORES'!CE413="X",1,0)</f>
        <v>0</v>
      </c>
      <c r="BX413" s="15">
        <f>IF('ENCUESTA CONDUCTORES'!CF413="X",1,0)</f>
        <v>0</v>
      </c>
      <c r="BY413" s="15">
        <f>IF('ENCUESTA CONDUCTORES'!CG413="X",1,0)</f>
        <v>0</v>
      </c>
      <c r="BZ413" s="15">
        <f>IF('ENCUESTA CONDUCTORES'!CH413="X",1,0)</f>
        <v>1</v>
      </c>
      <c r="CA413" s="15">
        <f>IF('ENCUESTA CONDUCTORES'!CI413="X",1,0)</f>
        <v>0</v>
      </c>
      <c r="CB413" s="15">
        <f>IF('ENCUESTA CONDUCTORES'!CJ413="X",1,0)</f>
        <v>0</v>
      </c>
      <c r="CC413" s="15">
        <f>IF('ENCUESTA CONDUCTORES'!CK413="X",1,0)</f>
        <v>1</v>
      </c>
      <c r="CD413" s="15">
        <f>IF('ENCUESTA CONDUCTORES'!CL413="X",1,0)</f>
        <v>0</v>
      </c>
      <c r="CE413" s="15">
        <f>IF('ENCUESTA CONDUCTORES'!CM413="X",1,0)</f>
        <v>0</v>
      </c>
      <c r="CF413" s="15">
        <f>+'ENCUESTA CONDUCTORES'!CN413</f>
        <v>0</v>
      </c>
      <c r="CG413" s="15">
        <f>IF('ENCUESTA CONDUCTORES'!CO413="X",1,0)</f>
        <v>0</v>
      </c>
      <c r="CH413" s="15" t="str">
        <f>+'ENCUESTA CONDUCTORES'!CP413</f>
        <v>NO SABE</v>
      </c>
      <c r="CI413" s="15" t="str">
        <f>+'ENCUESTA CONDUCTORES'!CQ413</f>
        <v>NO SABE</v>
      </c>
      <c r="CJ413" s="15">
        <f>IF('ENCUESTA CONDUCTORES'!CR413="X",1,0)</f>
        <v>0</v>
      </c>
      <c r="CK413" s="15">
        <f>IF('ENCUESTA CONDUCTORES'!CS413="X",1,0)</f>
        <v>0</v>
      </c>
      <c r="CL413" s="15">
        <f>IF('ENCUESTA CONDUCTORES'!CT413="X",1,0)</f>
        <v>0</v>
      </c>
      <c r="CM413" s="15" t="str">
        <f>+'ENCUESTA CONDUCTORES'!CU413</f>
        <v>BASC, C-TPAT, ISO 9000</v>
      </c>
      <c r="CN413" s="15">
        <f>IF('ENCUESTA CONDUCTORES'!CV413="X",1,0)</f>
        <v>1</v>
      </c>
      <c r="CO413" s="15" t="str">
        <f>+'ENCUESTA CONDUCTORES'!CW413</f>
        <v>LA EMPRESA NOS CAPACITA</v>
      </c>
      <c r="CP413" s="15">
        <f>IF('ENCUESTA CONDUCTORES'!CX413="X",1,0)</f>
        <v>0</v>
      </c>
      <c r="CQ413" s="15">
        <f>IF('ENCUESTA CONDUCTORES'!CY413="X",1,0)</f>
        <v>0</v>
      </c>
      <c r="CR413" s="3">
        <f>+'ENCUESTA CONDUCTORES'!CZ413</f>
        <v>0</v>
      </c>
      <c r="CS413" s="49">
        <f>+'ENCUESTA CONDUCTORES'!DA413</f>
        <v>0</v>
      </c>
    </row>
    <row r="414" spans="1:97" x14ac:dyDescent="0.25">
      <c r="B414" s="14" t="str">
        <f>+'ENCUESTA CONDUCTORES'!D414</f>
        <v>C-425</v>
      </c>
      <c r="C414" s="15">
        <f>IF('ENCUESTA CONDUCTORES'!E414="X",1,0)</f>
        <v>1</v>
      </c>
      <c r="D414" s="15">
        <f>IF('ENCUESTA CONDUCTORES'!F414="X",1,0)</f>
        <v>0</v>
      </c>
      <c r="E414" s="15">
        <f>IF('ENCUESTA CONDUCTORES'!G414="X",1,0)</f>
        <v>0</v>
      </c>
      <c r="F414" s="15">
        <f>IF('ENCUESTA CONDUCTORES'!H414="X",1,0)</f>
        <v>0</v>
      </c>
      <c r="G414" s="15">
        <f>+'ENCUESTA CONDUCTORES'!I414</f>
        <v>48</v>
      </c>
      <c r="H414" s="15" t="str">
        <f>+'ENCUESTA CONDUCTORES'!J414</f>
        <v>M</v>
      </c>
      <c r="I414" s="15" t="str">
        <f>+'ENCUESTA CONDUCTORES'!K414</f>
        <v>SECUNDARIA</v>
      </c>
      <c r="J414" s="15" t="str">
        <f>+'ENCUESTA CONDUCTORES'!L414</f>
        <v>PUEBLA, PUE</v>
      </c>
      <c r="K414" s="15" t="str">
        <f>+'ENCUESTA CONDUCTORES'!M414</f>
        <v>PUEBLA</v>
      </c>
      <c r="L414" s="15" t="str">
        <f>+'ENCUESTA CONDUCTORES'!N414</f>
        <v>PUEBLA</v>
      </c>
      <c r="M414" s="15">
        <f>+'ENCUESTA CONDUCTORES'!O414</f>
        <v>25</v>
      </c>
      <c r="N414" s="15">
        <f>IF('ENCUESTA CONDUCTORES'!P414="X",1,0)</f>
        <v>0</v>
      </c>
      <c r="O414" s="15">
        <f>IF('ENCUESTA CONDUCTORES'!Q414="X",1,0)</f>
        <v>0</v>
      </c>
      <c r="P414" s="15">
        <f>IF('ENCUESTA CONDUCTORES'!R414="X",1,0)</f>
        <v>0</v>
      </c>
      <c r="Q414" s="15">
        <f>IF('ENCUESTA CONDUCTORES'!S414="X",1,0)</f>
        <v>1</v>
      </c>
      <c r="R414" s="15">
        <f>IF('ENCUESTA CONDUCTORES'!T414="X",1,0)</f>
        <v>0</v>
      </c>
      <c r="S414" s="15">
        <f>IF('ENCUESTA CONDUCTORES'!U414="X",1,0)</f>
        <v>1</v>
      </c>
      <c r="T414" s="15">
        <f>IF('ENCUESTA CONDUCTORES'!V414="X",1,0)</f>
        <v>0</v>
      </c>
      <c r="U414" s="15">
        <f>IF('ENCUESTA CONDUCTORES'!W414="X",1,0)</f>
        <v>0</v>
      </c>
      <c r="V414" s="15">
        <f>IF('ENCUESTA CONDUCTORES'!X414="X",1,0)</f>
        <v>0</v>
      </c>
      <c r="W414" s="15">
        <f>IF('ENCUESTA CONDUCTORES'!Y414="X",1,0)</f>
        <v>0</v>
      </c>
      <c r="X414" s="15">
        <f>IF('ENCUESTA CONDUCTORES'!Z414="X",1,0)</f>
        <v>0</v>
      </c>
      <c r="Y414" s="15">
        <f>+'ENCUESTA CONDUCTORES'!AG414</f>
        <v>0</v>
      </c>
      <c r="Z414" s="15">
        <f>+'ENCUESTA CONDUCTORES'!AH414</f>
        <v>2005</v>
      </c>
      <c r="AA414" s="1">
        <f>+'ENCUESTA CONDUCTORES'!AI414</f>
        <v>731800</v>
      </c>
      <c r="AB414" s="15">
        <f>IF('ENCUESTA CONDUCTORES'!AJ414="X",1,0)</f>
        <v>0</v>
      </c>
      <c r="AC414" s="15">
        <f>IF('ENCUESTA CONDUCTORES'!AK414="X",1,0)</f>
        <v>0</v>
      </c>
      <c r="AD414" s="15">
        <f>IF('ENCUESTA CONDUCTORES'!AL414="X",1,0)</f>
        <v>1</v>
      </c>
      <c r="AE414" s="15">
        <f>IF('ENCUESTA CONDUCTORES'!AM414="X",1,0)</f>
        <v>0</v>
      </c>
      <c r="AF414" s="15">
        <f>IF('ENCUESTA CONDUCTORES'!AN414="X",1,0)</f>
        <v>0</v>
      </c>
      <c r="AG414" s="15">
        <f>IF('ENCUESTA CONDUCTORES'!AO414="X",1,0)</f>
        <v>0</v>
      </c>
      <c r="AH414" s="15">
        <f>IF('ENCUESTA CONDUCTORES'!AP414="X",1,0)</f>
        <v>1</v>
      </c>
      <c r="AI414" s="15">
        <f>IF('ENCUESTA CONDUCTORES'!AQ414="X",1,0)</f>
        <v>0</v>
      </c>
      <c r="AJ414" s="15">
        <f>IF('ENCUESTA CONDUCTORES'!AR414="X",1,0)</f>
        <v>0</v>
      </c>
      <c r="AK414" s="15">
        <f>+'ENCUESTA CONDUCTORES'!AS414</f>
        <v>0</v>
      </c>
      <c r="AL414" s="15" t="str">
        <f>+'ENCUESTA CONDUCTORES'!AT414</f>
        <v>CUMMINS</v>
      </c>
      <c r="AM414" s="1">
        <f>+'ENCUESTA CONDUCTORES'!AU414</f>
        <v>10000</v>
      </c>
      <c r="AN414" s="48">
        <f>+'ENCUESTA CONDUCTORES'!AV414</f>
        <v>0.05</v>
      </c>
      <c r="AO414" s="15">
        <f>+'ENCUESTA CONDUCTORES'!AW414</f>
        <v>2.7</v>
      </c>
      <c r="AP414" s="15">
        <f>+'ENCUESTA CONDUCTORES'!AX414</f>
        <v>2.5</v>
      </c>
      <c r="AQ414" s="15">
        <f>+'ENCUESTA CONDUCTORES'!AY414</f>
        <v>2</v>
      </c>
      <c r="AR414" s="15">
        <f>+'ENCUESTA CONDUCTORES'!AZ414</f>
        <v>850</v>
      </c>
      <c r="AS414" s="15">
        <f>+'ENCUESTA CONDUCTORES'!BA414</f>
        <v>2200</v>
      </c>
      <c r="AT414" s="15">
        <f>IF('ENCUESTA CONDUCTORES'!BB414="X",1,0)</f>
        <v>1</v>
      </c>
      <c r="AU414" s="15">
        <f>IF('ENCUESTA CONDUCTORES'!BC414="X",1,0)</f>
        <v>0</v>
      </c>
      <c r="AV414" s="15">
        <f>IF('ENCUESTA CONDUCTORES'!BD414="X",1,0)</f>
        <v>0</v>
      </c>
      <c r="AW414" s="1">
        <f>+'ENCUESTA CONDUCTORES'!BE414</f>
        <v>20000</v>
      </c>
      <c r="AX414" s="1" t="str">
        <f>+'ENCUESTA CONDUCTORES'!BF414</f>
        <v>NO SABE</v>
      </c>
      <c r="AY414" s="1">
        <f>+'ENCUESTA CONDUCTORES'!BG414</f>
        <v>50000</v>
      </c>
      <c r="AZ414" s="1">
        <f>+'ENCUESTA CONDUCTORES'!BH414</f>
        <v>120000</v>
      </c>
      <c r="BA414" s="1" t="str">
        <f>+'ENCUESTA CONDUCTORES'!BI414</f>
        <v>NO  SABE</v>
      </c>
      <c r="BB414" s="15">
        <f>IF('ENCUESTA CONDUCTORES'!BJ414="X",1,0)</f>
        <v>0</v>
      </c>
      <c r="BC414" s="15">
        <f>IF('ENCUESTA CONDUCTORES'!BK414="X",1,0)</f>
        <v>0</v>
      </c>
      <c r="BD414" s="15">
        <f>IF('ENCUESTA CONDUCTORES'!BL414="X",1,0)</f>
        <v>0</v>
      </c>
      <c r="BE414" s="15">
        <f>IF('ENCUESTA CONDUCTORES'!BM414="X",1,0)</f>
        <v>0</v>
      </c>
      <c r="BF414" s="15">
        <f>IF('ENCUESTA CONDUCTORES'!BN414="X",1,0)</f>
        <v>1</v>
      </c>
      <c r="BG414" s="15">
        <f>IF('ENCUESTA CONDUCTORES'!BO414="X",1,0)</f>
        <v>0</v>
      </c>
      <c r="BH414" s="15">
        <f>IF('ENCUESTA CONDUCTORES'!BP414="X",1,0)</f>
        <v>0</v>
      </c>
      <c r="BI414" s="15">
        <f>IF('ENCUESTA CONDUCTORES'!BQ414="X",1,0)</f>
        <v>0</v>
      </c>
      <c r="BJ414" s="15">
        <f>IF('ENCUESTA CONDUCTORES'!BR414="X",1,0)</f>
        <v>0</v>
      </c>
      <c r="BK414" s="15">
        <f>+'ENCUESTA CONDUCTORES'!BS414</f>
        <v>0</v>
      </c>
      <c r="BL414" s="15">
        <f>IF('ENCUESTA CONDUCTORES'!BT414="X",1,0)</f>
        <v>1</v>
      </c>
      <c r="BM414" s="15">
        <f>IF('ENCUESTA CONDUCTORES'!BU414="X",1,0)</f>
        <v>0</v>
      </c>
      <c r="BN414" s="15">
        <f>IF('ENCUESTA CONDUCTORES'!BV414="X",1,0)</f>
        <v>0</v>
      </c>
      <c r="BO414" s="15">
        <f>IF('ENCUESTA CONDUCTORES'!BW414="X",1,0)</f>
        <v>0</v>
      </c>
      <c r="BP414" s="15">
        <f>+'ENCUESTA CONDUCTORES'!BX414</f>
        <v>3</v>
      </c>
      <c r="BQ414" s="15">
        <f>+'ENCUESTA CONDUCTORES'!BY414</f>
        <v>1</v>
      </c>
      <c r="BR414" s="15">
        <f>+'ENCUESTA CONDUCTORES'!BZ414</f>
        <v>2</v>
      </c>
      <c r="BS414" s="15">
        <f>+'ENCUESTA CONDUCTORES'!CA414</f>
        <v>0</v>
      </c>
      <c r="BT414" s="15">
        <f>IF('ENCUESTA CONDUCTORES'!CB414="X",1,0)</f>
        <v>0</v>
      </c>
      <c r="BU414" s="15">
        <f>IF('ENCUESTA CONDUCTORES'!CC414="X",1,0)</f>
        <v>1</v>
      </c>
      <c r="BV414" s="15">
        <f>IF('ENCUESTA CONDUCTORES'!CD414="X",1,0)</f>
        <v>0</v>
      </c>
      <c r="BW414" s="15">
        <f>IF('ENCUESTA CONDUCTORES'!CE414="X",1,0)</f>
        <v>0</v>
      </c>
      <c r="BX414" s="15">
        <f>IF('ENCUESTA CONDUCTORES'!CF414="X",1,0)</f>
        <v>0</v>
      </c>
      <c r="BY414" s="15">
        <f>IF('ENCUESTA CONDUCTORES'!CG414="X",1,0)</f>
        <v>0</v>
      </c>
      <c r="BZ414" s="15">
        <f>IF('ENCUESTA CONDUCTORES'!CH414="X",1,0)</f>
        <v>1</v>
      </c>
      <c r="CA414" s="15">
        <f>IF('ENCUESTA CONDUCTORES'!CI414="X",1,0)</f>
        <v>0</v>
      </c>
      <c r="CB414" s="15">
        <f>IF('ENCUESTA CONDUCTORES'!CJ414="X",1,0)</f>
        <v>0</v>
      </c>
      <c r="CC414" s="15">
        <f>IF('ENCUESTA CONDUCTORES'!CK414="X",1,0)</f>
        <v>1</v>
      </c>
      <c r="CD414" s="15">
        <f>IF('ENCUESTA CONDUCTORES'!CL414="X",1,0)</f>
        <v>0</v>
      </c>
      <c r="CE414" s="15">
        <f>IF('ENCUESTA CONDUCTORES'!CM414="X",1,0)</f>
        <v>0</v>
      </c>
      <c r="CF414" s="15">
        <f>+'ENCUESTA CONDUCTORES'!CN414</f>
        <v>0</v>
      </c>
      <c r="CG414" s="15">
        <f>IF('ENCUESTA CONDUCTORES'!CO414="X",1,0)</f>
        <v>0</v>
      </c>
      <c r="CH414" s="15" t="str">
        <f>+'ENCUESTA CONDUCTORES'!CP414</f>
        <v>NO SABE</v>
      </c>
      <c r="CI414" s="15" t="str">
        <f>+'ENCUESTA CONDUCTORES'!CQ414</f>
        <v>NO SABE</v>
      </c>
      <c r="CJ414" s="15">
        <f>IF('ENCUESTA CONDUCTORES'!CR414="X",1,0)</f>
        <v>1</v>
      </c>
      <c r="CK414" s="15">
        <f>IF('ENCUESTA CONDUCTORES'!CS414="X",1,0)</f>
        <v>0</v>
      </c>
      <c r="CL414" s="15">
        <f>IF('ENCUESTA CONDUCTORES'!CT414="X",1,0)</f>
        <v>0</v>
      </c>
      <c r="CM414" s="15">
        <f>+'ENCUESTA CONDUCTORES'!CU414</f>
        <v>0</v>
      </c>
      <c r="CN414" s="15">
        <f>IF('ENCUESTA CONDUCTORES'!CV414="X",1,0)</f>
        <v>0</v>
      </c>
      <c r="CO414" s="15">
        <f>+'ENCUESTA CONDUCTORES'!CW414</f>
        <v>0</v>
      </c>
      <c r="CP414" s="15">
        <f>IF('ENCUESTA CONDUCTORES'!CX414="X",1,0)</f>
        <v>1</v>
      </c>
      <c r="CQ414" s="15">
        <f>IF('ENCUESTA CONDUCTORES'!CY414="X",1,0)</f>
        <v>0</v>
      </c>
      <c r="CR414" s="3">
        <f>+'ENCUESTA CONDUCTORES'!CZ414</f>
        <v>0</v>
      </c>
      <c r="CS414" s="49">
        <f>+'ENCUESTA CONDUCTORES'!DA414</f>
        <v>0</v>
      </c>
    </row>
    <row r="415" spans="1:97" x14ac:dyDescent="0.25">
      <c r="B415" s="14" t="str">
        <f>+'ENCUESTA CONDUCTORES'!D415</f>
        <v>C-426</v>
      </c>
      <c r="C415" s="15">
        <f>IF('ENCUESTA CONDUCTORES'!E415="X",1,0)</f>
        <v>0</v>
      </c>
      <c r="D415" s="15">
        <f>IF('ENCUESTA CONDUCTORES'!F415="X",1,0)</f>
        <v>0</v>
      </c>
      <c r="E415" s="15">
        <f>IF('ENCUESTA CONDUCTORES'!G415="X",1,0)</f>
        <v>0</v>
      </c>
      <c r="F415" s="15">
        <f>IF('ENCUESTA CONDUCTORES'!H415="X",1,0)</f>
        <v>1</v>
      </c>
      <c r="G415" s="15">
        <f>+'ENCUESTA CONDUCTORES'!I415</f>
        <v>56</v>
      </c>
      <c r="H415" s="15" t="str">
        <f>+'ENCUESTA CONDUCTORES'!J415</f>
        <v>M</v>
      </c>
      <c r="I415" s="15" t="str">
        <f>+'ENCUESTA CONDUCTORES'!K415</f>
        <v>SECUNDARIA</v>
      </c>
      <c r="J415" s="15" t="str">
        <f>+'ENCUESTA CONDUCTORES'!L415</f>
        <v>ALTAMIRA,TAMPS</v>
      </c>
      <c r="K415" s="15" t="str">
        <f>+'ENCUESTA CONDUCTORES'!M415</f>
        <v>ALTAMIRA</v>
      </c>
      <c r="L415" s="15" t="str">
        <f>+'ENCUESTA CONDUCTORES'!N415</f>
        <v>TAMAULIPAS</v>
      </c>
      <c r="M415" s="15">
        <f>+'ENCUESTA CONDUCTORES'!O415</f>
        <v>27</v>
      </c>
      <c r="N415" s="15">
        <f>IF('ENCUESTA CONDUCTORES'!P415="X",1,0)</f>
        <v>0</v>
      </c>
      <c r="O415" s="15">
        <f>IF('ENCUESTA CONDUCTORES'!Q415="X",1,0)</f>
        <v>0</v>
      </c>
      <c r="P415" s="15">
        <f>IF('ENCUESTA CONDUCTORES'!R415="X",1,0)</f>
        <v>0</v>
      </c>
      <c r="Q415" s="15">
        <f>IF('ENCUESTA CONDUCTORES'!S415="X",1,0)</f>
        <v>1</v>
      </c>
      <c r="R415" s="15">
        <f>IF('ENCUESTA CONDUCTORES'!T415="X",1,0)</f>
        <v>0</v>
      </c>
      <c r="S415" s="15">
        <f>IF('ENCUESTA CONDUCTORES'!U415="X",1,0)</f>
        <v>0</v>
      </c>
      <c r="T415" s="15">
        <f>IF('ENCUESTA CONDUCTORES'!V415="X",1,0)</f>
        <v>0</v>
      </c>
      <c r="U415" s="15">
        <f>IF('ENCUESTA CONDUCTORES'!W415="X",1,0)</f>
        <v>0</v>
      </c>
      <c r="V415" s="15">
        <f>IF('ENCUESTA CONDUCTORES'!X415="X",1,0)</f>
        <v>0</v>
      </c>
      <c r="W415" s="15">
        <f>IF('ENCUESTA CONDUCTORES'!Y415="X",1,0)</f>
        <v>0</v>
      </c>
      <c r="X415" s="15">
        <f>IF('ENCUESTA CONDUCTORES'!Z415="X",1,0)</f>
        <v>0</v>
      </c>
      <c r="Y415" s="15">
        <f>+'ENCUESTA CONDUCTORES'!AG415</f>
        <v>0</v>
      </c>
      <c r="Z415" s="15">
        <f>+'ENCUESTA CONDUCTORES'!AH415</f>
        <v>2005</v>
      </c>
      <c r="AA415" s="1">
        <f>+'ENCUESTA CONDUCTORES'!AI415</f>
        <v>836325</v>
      </c>
      <c r="AB415" s="15">
        <f>IF('ENCUESTA CONDUCTORES'!AJ415="X",1,0)</f>
        <v>0</v>
      </c>
      <c r="AC415" s="15">
        <f>IF('ENCUESTA CONDUCTORES'!AK415="X",1,0)</f>
        <v>0</v>
      </c>
      <c r="AD415" s="15">
        <f>IF('ENCUESTA CONDUCTORES'!AL415="X",1,0)</f>
        <v>1</v>
      </c>
      <c r="AE415" s="15">
        <f>IF('ENCUESTA CONDUCTORES'!AM415="X",1,0)</f>
        <v>0</v>
      </c>
      <c r="AF415" s="15">
        <f>IF('ENCUESTA CONDUCTORES'!AN415="X",1,0)</f>
        <v>0</v>
      </c>
      <c r="AG415" s="15">
        <f>IF('ENCUESTA CONDUCTORES'!AO415="X",1,0)</f>
        <v>0</v>
      </c>
      <c r="AH415" s="15">
        <f>IF('ENCUESTA CONDUCTORES'!AP415="X",1,0)</f>
        <v>1</v>
      </c>
      <c r="AI415" s="15">
        <f>IF('ENCUESTA CONDUCTORES'!AQ415="X",1,0)</f>
        <v>0</v>
      </c>
      <c r="AJ415" s="15">
        <f>IF('ENCUESTA CONDUCTORES'!AR415="X",1,0)</f>
        <v>0</v>
      </c>
      <c r="AK415" s="15">
        <f>+'ENCUESTA CONDUCTORES'!AS415</f>
        <v>0</v>
      </c>
      <c r="AL415" s="15" t="str">
        <f>+'ENCUESTA CONDUCTORES'!AT415</f>
        <v>DETROIT</v>
      </c>
      <c r="AM415" s="1">
        <f>+'ENCUESTA CONDUCTORES'!AU415</f>
        <v>12000</v>
      </c>
      <c r="AN415" s="48">
        <f>+'ENCUESTA CONDUCTORES'!AV415</f>
        <v>0.5</v>
      </c>
      <c r="AO415" s="15">
        <f>+'ENCUESTA CONDUCTORES'!AW415</f>
        <v>1.9</v>
      </c>
      <c r="AP415" s="15">
        <f>+'ENCUESTA CONDUCTORES'!AX415</f>
        <v>1.6</v>
      </c>
      <c r="AQ415" s="15">
        <f>+'ENCUESTA CONDUCTORES'!AY415</f>
        <v>3</v>
      </c>
      <c r="AR415" s="15">
        <f>+'ENCUESTA CONDUCTORES'!AZ415</f>
        <v>1200</v>
      </c>
      <c r="AS415" s="15">
        <f>+'ENCUESTA CONDUCTORES'!BA415</f>
        <v>2000</v>
      </c>
      <c r="AT415" s="15">
        <f>IF('ENCUESTA CONDUCTORES'!BB415="X",1,0)</f>
        <v>1</v>
      </c>
      <c r="AU415" s="15">
        <f>IF('ENCUESTA CONDUCTORES'!BC415="X",1,0)</f>
        <v>0</v>
      </c>
      <c r="AV415" s="15">
        <f>IF('ENCUESTA CONDUCTORES'!BD415="X",1,0)</f>
        <v>0</v>
      </c>
      <c r="AW415" s="1">
        <f>+'ENCUESTA CONDUCTORES'!BE415</f>
        <v>24000</v>
      </c>
      <c r="AX415" s="1">
        <f>+'ENCUESTA CONDUCTORES'!BF415</f>
        <v>200000</v>
      </c>
      <c r="AY415" s="1">
        <f>+'ENCUESTA CONDUCTORES'!BG415</f>
        <v>50000</v>
      </c>
      <c r="AZ415" s="1" t="str">
        <f>+'ENCUESTA CONDUCTORES'!BH415</f>
        <v>NO SABE</v>
      </c>
      <c r="BA415" s="1" t="str">
        <f>+'ENCUESTA CONDUCTORES'!BI415</f>
        <v>NO SABE</v>
      </c>
      <c r="BB415" s="15">
        <f>IF('ENCUESTA CONDUCTORES'!BJ415="X",1,0)</f>
        <v>0</v>
      </c>
      <c r="BC415" s="15">
        <f>IF('ENCUESTA CONDUCTORES'!BK415="X",1,0)</f>
        <v>0</v>
      </c>
      <c r="BD415" s="15">
        <f>IF('ENCUESTA CONDUCTORES'!BL415="X",1,0)</f>
        <v>0</v>
      </c>
      <c r="BE415" s="15">
        <f>IF('ENCUESTA CONDUCTORES'!BM415="X",1,0)</f>
        <v>0</v>
      </c>
      <c r="BF415" s="15">
        <f>IF('ENCUESTA CONDUCTORES'!BN415="X",1,0)</f>
        <v>0</v>
      </c>
      <c r="BG415" s="15">
        <f>IF('ENCUESTA CONDUCTORES'!BO415="X",1,0)</f>
        <v>0</v>
      </c>
      <c r="BH415" s="15">
        <f>IF('ENCUESTA CONDUCTORES'!BP415="X",1,0)</f>
        <v>0</v>
      </c>
      <c r="BI415" s="15">
        <f>IF('ENCUESTA CONDUCTORES'!BQ415="X",1,0)</f>
        <v>0</v>
      </c>
      <c r="BJ415" s="15">
        <f>IF('ENCUESTA CONDUCTORES'!BR415="X",1,0)</f>
        <v>0</v>
      </c>
      <c r="BK415" s="15" t="str">
        <f>+'ENCUESTA CONDUCTORES'!BS415</f>
        <v>CONTENEDORES</v>
      </c>
      <c r="BL415" s="15">
        <f>IF('ENCUESTA CONDUCTORES'!BT415="X",1,0)</f>
        <v>0</v>
      </c>
      <c r="BM415" s="15">
        <f>IF('ENCUESTA CONDUCTORES'!BU415="X",1,0)</f>
        <v>1</v>
      </c>
      <c r="BN415" s="15">
        <f>IF('ENCUESTA CONDUCTORES'!BV415="X",1,0)</f>
        <v>0</v>
      </c>
      <c r="BO415" s="15">
        <f>IF('ENCUESTA CONDUCTORES'!BW415="X",1,0)</f>
        <v>0</v>
      </c>
      <c r="BP415" s="15">
        <f>+'ENCUESTA CONDUCTORES'!BX415</f>
        <v>1</v>
      </c>
      <c r="BQ415" s="15">
        <f>+'ENCUESTA CONDUCTORES'!BY415</f>
        <v>2</v>
      </c>
      <c r="BR415" s="15">
        <f>+'ENCUESTA CONDUCTORES'!BZ415</f>
        <v>3</v>
      </c>
      <c r="BS415" s="15">
        <f>+'ENCUESTA CONDUCTORES'!CA415</f>
        <v>0</v>
      </c>
      <c r="BT415" s="15">
        <f>IF('ENCUESTA CONDUCTORES'!CB415="X",1,0)</f>
        <v>1</v>
      </c>
      <c r="BU415" s="15">
        <f>IF('ENCUESTA CONDUCTORES'!CC415="X",1,0)</f>
        <v>0</v>
      </c>
      <c r="BV415" s="15">
        <f>IF('ENCUESTA CONDUCTORES'!CD415="X",1,0)</f>
        <v>0</v>
      </c>
      <c r="BW415" s="15">
        <f>IF('ENCUESTA CONDUCTORES'!CE415="X",1,0)</f>
        <v>0</v>
      </c>
      <c r="BX415" s="15">
        <f>IF('ENCUESTA CONDUCTORES'!CF415="X",1,0)</f>
        <v>0</v>
      </c>
      <c r="BY415" s="15">
        <f>IF('ENCUESTA CONDUCTORES'!CG415="X",1,0)</f>
        <v>0</v>
      </c>
      <c r="BZ415" s="15">
        <f>IF('ENCUESTA CONDUCTORES'!CH415="X",1,0)</f>
        <v>0</v>
      </c>
      <c r="CA415" s="15">
        <f>IF('ENCUESTA CONDUCTORES'!CI415="X",1,0)</f>
        <v>0</v>
      </c>
      <c r="CB415" s="15">
        <f>IF('ENCUESTA CONDUCTORES'!CJ415="X",1,0)</f>
        <v>0</v>
      </c>
      <c r="CC415" s="15">
        <f>IF('ENCUESTA CONDUCTORES'!CK415="X",1,0)</f>
        <v>1</v>
      </c>
      <c r="CD415" s="15">
        <f>IF('ENCUESTA CONDUCTORES'!CL415="X",1,0)</f>
        <v>0</v>
      </c>
      <c r="CE415" s="15">
        <f>IF('ENCUESTA CONDUCTORES'!CM415="X",1,0)</f>
        <v>0</v>
      </c>
      <c r="CF415" s="15">
        <f>+'ENCUESTA CONDUCTORES'!CN415</f>
        <v>0</v>
      </c>
      <c r="CG415" s="15">
        <f>IF('ENCUESTA CONDUCTORES'!CO415="X",1,0)</f>
        <v>0</v>
      </c>
      <c r="CH415" s="15" t="str">
        <f>+'ENCUESTA CONDUCTORES'!CP415</f>
        <v>NO SABE</v>
      </c>
      <c r="CI415" s="15" t="str">
        <f>+'ENCUESTA CONDUCTORES'!CQ415</f>
        <v>NO SABE</v>
      </c>
      <c r="CJ415" s="15">
        <f>IF('ENCUESTA CONDUCTORES'!CR415="X",1,0)</f>
        <v>0</v>
      </c>
      <c r="CK415" s="15">
        <f>IF('ENCUESTA CONDUCTORES'!CS415="X",1,0)</f>
        <v>0</v>
      </c>
      <c r="CL415" s="15">
        <f>IF('ENCUESTA CONDUCTORES'!CT415="X",1,0)</f>
        <v>0</v>
      </c>
      <c r="CM415" s="15">
        <f>+'ENCUESTA CONDUCTORES'!CU415</f>
        <v>0</v>
      </c>
      <c r="CN415" s="15">
        <f>IF('ENCUESTA CONDUCTORES'!CV415="X",1,0)</f>
        <v>0</v>
      </c>
      <c r="CO415" s="15">
        <f>+'ENCUESTA CONDUCTORES'!CW415</f>
        <v>0</v>
      </c>
      <c r="CP415" s="15">
        <f>IF('ENCUESTA CONDUCTORES'!CX415="X",1,0)</f>
        <v>1</v>
      </c>
      <c r="CQ415" s="15">
        <f>IF('ENCUESTA CONDUCTORES'!CY415="X",1,0)</f>
        <v>0</v>
      </c>
      <c r="CR415" s="3">
        <f>+'ENCUESTA CONDUCTORES'!CZ415</f>
        <v>0</v>
      </c>
      <c r="CS415" s="49">
        <f>+'ENCUESTA CONDUCTORES'!DA415</f>
        <v>0</v>
      </c>
    </row>
    <row r="416" spans="1:97" x14ac:dyDescent="0.25">
      <c r="B416" s="14" t="str">
        <f>+'ENCUESTA CONDUCTORES'!D416</f>
        <v>C-427</v>
      </c>
      <c r="C416" s="15">
        <f>IF('ENCUESTA CONDUCTORES'!E416="X",1,0)</f>
        <v>0</v>
      </c>
      <c r="D416" s="15">
        <f>IF('ENCUESTA CONDUCTORES'!F416="X",1,0)</f>
        <v>0</v>
      </c>
      <c r="E416" s="15">
        <f>IF('ENCUESTA CONDUCTORES'!G416="X",1,0)</f>
        <v>0</v>
      </c>
      <c r="F416" s="15">
        <f>IF('ENCUESTA CONDUCTORES'!H416="X",1,0)</f>
        <v>1</v>
      </c>
      <c r="G416" s="15">
        <f>+'ENCUESTA CONDUCTORES'!I416</f>
        <v>52</v>
      </c>
      <c r="H416" s="15" t="str">
        <f>+'ENCUESTA CONDUCTORES'!J416</f>
        <v>M</v>
      </c>
      <c r="I416" s="15" t="str">
        <f>+'ENCUESTA CONDUCTORES'!K416</f>
        <v>SECUNDARIA</v>
      </c>
      <c r="J416" s="15" t="str">
        <f>+'ENCUESTA CONDUCTORES'!L416</f>
        <v>ALTAMIRA,TAMPS</v>
      </c>
      <c r="K416" s="15" t="str">
        <f>+'ENCUESTA CONDUCTORES'!M416</f>
        <v>ALTAMIRA</v>
      </c>
      <c r="L416" s="15" t="str">
        <f>+'ENCUESTA CONDUCTORES'!N416</f>
        <v>TAMAULIPAS</v>
      </c>
      <c r="M416" s="15">
        <f>+'ENCUESTA CONDUCTORES'!O416</f>
        <v>18</v>
      </c>
      <c r="N416" s="15">
        <f>IF('ENCUESTA CONDUCTORES'!P416="X",1,0)</f>
        <v>0</v>
      </c>
      <c r="O416" s="15">
        <f>IF('ENCUESTA CONDUCTORES'!Q416="X",1,0)</f>
        <v>0</v>
      </c>
      <c r="P416" s="15">
        <f>IF('ENCUESTA CONDUCTORES'!R416="X",1,0)</f>
        <v>0</v>
      </c>
      <c r="Q416" s="15">
        <f>IF('ENCUESTA CONDUCTORES'!S416="X",1,0)</f>
        <v>1</v>
      </c>
      <c r="R416" s="15">
        <f>IF('ENCUESTA CONDUCTORES'!T416="X",1,0)</f>
        <v>0</v>
      </c>
      <c r="S416" s="15">
        <f>IF('ENCUESTA CONDUCTORES'!U416="X",1,0)</f>
        <v>0</v>
      </c>
      <c r="T416" s="15">
        <f>IF('ENCUESTA CONDUCTORES'!V416="X",1,0)</f>
        <v>0</v>
      </c>
      <c r="U416" s="15">
        <f>IF('ENCUESTA CONDUCTORES'!W416="X",1,0)</f>
        <v>0</v>
      </c>
      <c r="V416" s="15">
        <f>IF('ENCUESTA CONDUCTORES'!X416="X",1,0)</f>
        <v>0</v>
      </c>
      <c r="W416" s="15">
        <f>IF('ENCUESTA CONDUCTORES'!Y416="X",1,0)</f>
        <v>0</v>
      </c>
      <c r="X416" s="15">
        <f>IF('ENCUESTA CONDUCTORES'!Z416="X",1,0)</f>
        <v>0</v>
      </c>
      <c r="Y416" s="15">
        <f>+'ENCUESTA CONDUCTORES'!AG416</f>
        <v>0</v>
      </c>
      <c r="Z416" s="15">
        <f>+'ENCUESTA CONDUCTORES'!AH416</f>
        <v>2003</v>
      </c>
      <c r="AA416" s="1" t="str">
        <f>+'ENCUESTA CONDUCTORES'!AI416</f>
        <v>NO SABE</v>
      </c>
      <c r="AB416" s="15">
        <f>IF('ENCUESTA CONDUCTORES'!AJ416="X",1,0)</f>
        <v>0</v>
      </c>
      <c r="AC416" s="15">
        <f>IF('ENCUESTA CONDUCTORES'!AK416="X",1,0)</f>
        <v>0</v>
      </c>
      <c r="AD416" s="15">
        <f>IF('ENCUESTA CONDUCTORES'!AL416="X",1,0)</f>
        <v>1</v>
      </c>
      <c r="AE416" s="15">
        <f>IF('ENCUESTA CONDUCTORES'!AM416="X",1,0)</f>
        <v>0</v>
      </c>
      <c r="AF416" s="15">
        <f>IF('ENCUESTA CONDUCTORES'!AN416="X",1,0)</f>
        <v>0</v>
      </c>
      <c r="AG416" s="15">
        <f>IF('ENCUESTA CONDUCTORES'!AO416="X",1,0)</f>
        <v>0</v>
      </c>
      <c r="AH416" s="15">
        <f>IF('ENCUESTA CONDUCTORES'!AP416="X",1,0)</f>
        <v>1</v>
      </c>
      <c r="AI416" s="15">
        <f>IF('ENCUESTA CONDUCTORES'!AQ416="X",1,0)</f>
        <v>0</v>
      </c>
      <c r="AJ416" s="15">
        <f>IF('ENCUESTA CONDUCTORES'!AR416="X",1,0)</f>
        <v>0</v>
      </c>
      <c r="AK416" s="15">
        <f>+'ENCUESTA CONDUCTORES'!AS416</f>
        <v>0</v>
      </c>
      <c r="AL416" s="15" t="str">
        <f>+'ENCUESTA CONDUCTORES'!AT416</f>
        <v>DETROIT</v>
      </c>
      <c r="AM416" s="1">
        <f>+'ENCUESTA CONDUCTORES'!AU416</f>
        <v>12000</v>
      </c>
      <c r="AN416" s="48">
        <f>+'ENCUESTA CONDUCTORES'!AV416</f>
        <v>0.5</v>
      </c>
      <c r="AO416" s="15">
        <f>+'ENCUESTA CONDUCTORES'!AW416</f>
        <v>1.9</v>
      </c>
      <c r="AP416" s="15">
        <f>+'ENCUESTA CONDUCTORES'!AX416</f>
        <v>1.6</v>
      </c>
      <c r="AQ416" s="15">
        <f>+'ENCUESTA CONDUCTORES'!AY416</f>
        <v>3</v>
      </c>
      <c r="AR416" s="15">
        <f>+'ENCUESTA CONDUCTORES'!AZ416</f>
        <v>1100</v>
      </c>
      <c r="AS416" s="15">
        <f>+'ENCUESTA CONDUCTORES'!BA416</f>
        <v>2000</v>
      </c>
      <c r="AT416" s="15">
        <f>IF('ENCUESTA CONDUCTORES'!BB416="X",1,0)</f>
        <v>1</v>
      </c>
      <c r="AU416" s="15">
        <f>IF('ENCUESTA CONDUCTORES'!BC416="X",1,0)</f>
        <v>1</v>
      </c>
      <c r="AV416" s="15">
        <f>IF('ENCUESTA CONDUCTORES'!BD416="X",1,0)</f>
        <v>0</v>
      </c>
      <c r="AW416" s="1">
        <f>+'ENCUESTA CONDUCTORES'!BE416</f>
        <v>24000</v>
      </c>
      <c r="AX416" s="1" t="str">
        <f>+'ENCUESTA CONDUCTORES'!BF416</f>
        <v>NO SABE</v>
      </c>
      <c r="AY416" s="1">
        <f>+'ENCUESTA CONDUCTORES'!BG416</f>
        <v>50000</v>
      </c>
      <c r="AZ416" s="1" t="str">
        <f>+'ENCUESTA CONDUCTORES'!BH416</f>
        <v>NO SABE</v>
      </c>
      <c r="BA416" s="1" t="str">
        <f>+'ENCUESTA CONDUCTORES'!BI416</f>
        <v>NO SABE</v>
      </c>
      <c r="BB416" s="15">
        <f>IF('ENCUESTA CONDUCTORES'!BJ416="X",1,0)</f>
        <v>0</v>
      </c>
      <c r="BC416" s="15">
        <f>IF('ENCUESTA CONDUCTORES'!BK416="X",1,0)</f>
        <v>0</v>
      </c>
      <c r="BD416" s="15">
        <f>IF('ENCUESTA CONDUCTORES'!BL416="X",1,0)</f>
        <v>0</v>
      </c>
      <c r="BE416" s="15">
        <f>IF('ENCUESTA CONDUCTORES'!BM416="X",1,0)</f>
        <v>0</v>
      </c>
      <c r="BF416" s="15">
        <f>IF('ENCUESTA CONDUCTORES'!BN416="X",1,0)</f>
        <v>0</v>
      </c>
      <c r="BG416" s="15">
        <f>IF('ENCUESTA CONDUCTORES'!BO416="X",1,0)</f>
        <v>0</v>
      </c>
      <c r="BH416" s="15">
        <f>IF('ENCUESTA CONDUCTORES'!BP416="X",1,0)</f>
        <v>0</v>
      </c>
      <c r="BI416" s="15">
        <f>IF('ENCUESTA CONDUCTORES'!BQ416="X",1,0)</f>
        <v>0</v>
      </c>
      <c r="BJ416" s="15">
        <f>IF('ENCUESTA CONDUCTORES'!BR416="X",1,0)</f>
        <v>0</v>
      </c>
      <c r="BK416" s="15" t="str">
        <f>+'ENCUESTA CONDUCTORES'!BS416</f>
        <v>CONTENEDORES</v>
      </c>
      <c r="BL416" s="15">
        <f>IF('ENCUESTA CONDUCTORES'!BT416="X",1,0)</f>
        <v>0</v>
      </c>
      <c r="BM416" s="15">
        <f>IF('ENCUESTA CONDUCTORES'!BU416="X",1,0)</f>
        <v>1</v>
      </c>
      <c r="BN416" s="15">
        <f>IF('ENCUESTA CONDUCTORES'!BV416="X",1,0)</f>
        <v>0</v>
      </c>
      <c r="BO416" s="15">
        <f>IF('ENCUESTA CONDUCTORES'!BW416="X",1,0)</f>
        <v>0</v>
      </c>
      <c r="BP416" s="15">
        <f>+'ENCUESTA CONDUCTORES'!BX416</f>
        <v>1</v>
      </c>
      <c r="BQ416" s="15">
        <f>+'ENCUESTA CONDUCTORES'!BY416</f>
        <v>2</v>
      </c>
      <c r="BR416" s="15">
        <f>+'ENCUESTA CONDUCTORES'!BZ416</f>
        <v>3</v>
      </c>
      <c r="BS416" s="15">
        <f>+'ENCUESTA CONDUCTORES'!CA416</f>
        <v>0</v>
      </c>
      <c r="BT416" s="15">
        <f>IF('ENCUESTA CONDUCTORES'!CB416="X",1,0)</f>
        <v>1</v>
      </c>
      <c r="BU416" s="15">
        <f>IF('ENCUESTA CONDUCTORES'!CC416="X",1,0)</f>
        <v>0</v>
      </c>
      <c r="BV416" s="15">
        <f>IF('ENCUESTA CONDUCTORES'!CD416="X",1,0)</f>
        <v>0</v>
      </c>
      <c r="BW416" s="15">
        <f>IF('ENCUESTA CONDUCTORES'!CE416="X",1,0)</f>
        <v>0</v>
      </c>
      <c r="BX416" s="15">
        <f>IF('ENCUESTA CONDUCTORES'!CF416="X",1,0)</f>
        <v>0</v>
      </c>
      <c r="BY416" s="15">
        <f>IF('ENCUESTA CONDUCTORES'!CG416="X",1,0)</f>
        <v>0</v>
      </c>
      <c r="BZ416" s="15">
        <f>IF('ENCUESTA CONDUCTORES'!CH416="X",1,0)</f>
        <v>0</v>
      </c>
      <c r="CA416" s="15">
        <f>IF('ENCUESTA CONDUCTORES'!CI416="X",1,0)</f>
        <v>0</v>
      </c>
      <c r="CB416" s="15">
        <f>IF('ENCUESTA CONDUCTORES'!CJ416="X",1,0)</f>
        <v>0</v>
      </c>
      <c r="CC416" s="15">
        <f>IF('ENCUESTA CONDUCTORES'!CK416="X",1,0)</f>
        <v>1</v>
      </c>
      <c r="CD416" s="15">
        <f>IF('ENCUESTA CONDUCTORES'!CL416="X",1,0)</f>
        <v>0</v>
      </c>
      <c r="CE416" s="15">
        <f>IF('ENCUESTA CONDUCTORES'!CM416="X",1,0)</f>
        <v>0</v>
      </c>
      <c r="CF416" s="15">
        <f>+'ENCUESTA CONDUCTORES'!CN416</f>
        <v>0</v>
      </c>
      <c r="CG416" s="15">
        <f>IF('ENCUESTA CONDUCTORES'!CO416="X",1,0)</f>
        <v>0</v>
      </c>
      <c r="CH416" s="15" t="str">
        <f>+'ENCUESTA CONDUCTORES'!CP416</f>
        <v>NO SABE</v>
      </c>
      <c r="CI416" s="15" t="str">
        <f>+'ENCUESTA CONDUCTORES'!CQ416</f>
        <v>NO SABE</v>
      </c>
      <c r="CJ416" s="15">
        <f>IF('ENCUESTA CONDUCTORES'!CR416="X",1,0)</f>
        <v>1</v>
      </c>
      <c r="CK416" s="15">
        <f>IF('ENCUESTA CONDUCTORES'!CS416="X",1,0)</f>
        <v>0</v>
      </c>
      <c r="CL416" s="15">
        <f>IF('ENCUESTA CONDUCTORES'!CT416="X",1,0)</f>
        <v>0</v>
      </c>
      <c r="CM416" s="15">
        <f>+'ENCUESTA CONDUCTORES'!CU416</f>
        <v>0</v>
      </c>
      <c r="CN416" s="15">
        <f>IF('ENCUESTA CONDUCTORES'!CV416="X",1,0)</f>
        <v>0</v>
      </c>
      <c r="CO416" s="15">
        <f>+'ENCUESTA CONDUCTORES'!CW416</f>
        <v>0</v>
      </c>
      <c r="CP416" s="15">
        <f>IF('ENCUESTA CONDUCTORES'!CX416="X",1,0)</f>
        <v>0</v>
      </c>
      <c r="CQ416" s="15">
        <f>IF('ENCUESTA CONDUCTORES'!CY416="X",1,0)</f>
        <v>1</v>
      </c>
      <c r="CR416" s="3">
        <f>+'ENCUESTA CONDUCTORES'!CZ416</f>
        <v>0</v>
      </c>
      <c r="CS416" s="49">
        <f>+'ENCUESTA CONDUCTORES'!DA416</f>
        <v>0</v>
      </c>
    </row>
    <row r="417" spans="2:97" x14ac:dyDescent="0.25">
      <c r="B417" s="14" t="str">
        <f>+'ENCUESTA CONDUCTORES'!D417</f>
        <v>C-428</v>
      </c>
      <c r="C417" s="15">
        <f>IF('ENCUESTA CONDUCTORES'!E417="X",1,0)</f>
        <v>0</v>
      </c>
      <c r="D417" s="15">
        <f>IF('ENCUESTA CONDUCTORES'!F417="X",1,0)</f>
        <v>0</v>
      </c>
      <c r="E417" s="15">
        <f>IF('ENCUESTA CONDUCTORES'!G417="X",1,0)</f>
        <v>1</v>
      </c>
      <c r="F417" s="15">
        <f>IF('ENCUESTA CONDUCTORES'!H417="X",1,0)</f>
        <v>0</v>
      </c>
      <c r="G417" s="15">
        <f>+'ENCUESTA CONDUCTORES'!I417</f>
        <v>40</v>
      </c>
      <c r="H417" s="15" t="str">
        <f>+'ENCUESTA CONDUCTORES'!J417</f>
        <v>M</v>
      </c>
      <c r="I417" s="15" t="str">
        <f>+'ENCUESTA CONDUCTORES'!K417</f>
        <v>SECUNDARIA</v>
      </c>
      <c r="J417" s="15" t="str">
        <f>+'ENCUESTA CONDUCTORES'!L417</f>
        <v>LAZARO CARDENAS, MICH</v>
      </c>
      <c r="K417" s="15" t="str">
        <f>+'ENCUESTA CONDUCTORES'!M417</f>
        <v>LAZARO CARDENAS</v>
      </c>
      <c r="L417" s="15" t="str">
        <f>+'ENCUESTA CONDUCTORES'!N417</f>
        <v>MICHOACAN</v>
      </c>
      <c r="M417" s="15">
        <f>+'ENCUESTA CONDUCTORES'!O417</f>
        <v>20</v>
      </c>
      <c r="N417" s="15">
        <f>IF('ENCUESTA CONDUCTORES'!P417="X",1,0)</f>
        <v>0</v>
      </c>
      <c r="O417" s="15">
        <f>IF('ENCUESTA CONDUCTORES'!Q417="X",1,0)</f>
        <v>0</v>
      </c>
      <c r="P417" s="15">
        <f>IF('ENCUESTA CONDUCTORES'!R417="X",1,0)</f>
        <v>0</v>
      </c>
      <c r="Q417" s="15">
        <f>IF('ENCUESTA CONDUCTORES'!S417="X",1,0)</f>
        <v>1</v>
      </c>
      <c r="R417" s="15">
        <f>IF('ENCUESTA CONDUCTORES'!T417="X",1,0)</f>
        <v>0</v>
      </c>
      <c r="S417" s="15">
        <f>IF('ENCUESTA CONDUCTORES'!U417="X",1,0)</f>
        <v>0</v>
      </c>
      <c r="T417" s="15">
        <f>IF('ENCUESTA CONDUCTORES'!V417="X",1,0)</f>
        <v>0</v>
      </c>
      <c r="U417" s="15">
        <f>IF('ENCUESTA CONDUCTORES'!W417="X",1,0)</f>
        <v>0</v>
      </c>
      <c r="V417" s="15">
        <f>IF('ENCUESTA CONDUCTORES'!X417="X",1,0)</f>
        <v>0</v>
      </c>
      <c r="W417" s="15">
        <f>IF('ENCUESTA CONDUCTORES'!Y417="X",1,0)</f>
        <v>0</v>
      </c>
      <c r="X417" s="15">
        <f>IF('ENCUESTA CONDUCTORES'!Z417="X",1,0)</f>
        <v>0</v>
      </c>
      <c r="Y417" s="15">
        <f>+'ENCUESTA CONDUCTORES'!AG417</f>
        <v>0</v>
      </c>
      <c r="Z417" s="15">
        <f>+'ENCUESTA CONDUCTORES'!AH417</f>
        <v>2007</v>
      </c>
      <c r="AA417" s="1">
        <f>+'ENCUESTA CONDUCTORES'!AI417</f>
        <v>590783</v>
      </c>
      <c r="AB417" s="15">
        <f>IF('ENCUESTA CONDUCTORES'!AJ417="X",1,0)</f>
        <v>0</v>
      </c>
      <c r="AC417" s="15">
        <f>IF('ENCUESTA CONDUCTORES'!AK417="X",1,0)</f>
        <v>0</v>
      </c>
      <c r="AD417" s="15">
        <f>IF('ENCUESTA CONDUCTORES'!AL417="X",1,0)</f>
        <v>1</v>
      </c>
      <c r="AE417" s="15">
        <f>IF('ENCUESTA CONDUCTORES'!AM417="X",1,0)</f>
        <v>0</v>
      </c>
      <c r="AF417" s="15">
        <f>IF('ENCUESTA CONDUCTORES'!AN417="X",1,0)</f>
        <v>0</v>
      </c>
      <c r="AG417" s="15">
        <f>IF('ENCUESTA CONDUCTORES'!AO417="X",1,0)</f>
        <v>0</v>
      </c>
      <c r="AH417" s="15">
        <f>IF('ENCUESTA CONDUCTORES'!AP417="X",1,0)</f>
        <v>1</v>
      </c>
      <c r="AI417" s="15">
        <f>IF('ENCUESTA CONDUCTORES'!AQ417="X",1,0)</f>
        <v>0</v>
      </c>
      <c r="AJ417" s="15">
        <f>IF('ENCUESTA CONDUCTORES'!AR417="X",1,0)</f>
        <v>0</v>
      </c>
      <c r="AK417" s="15">
        <f>+'ENCUESTA CONDUCTORES'!AS417</f>
        <v>0</v>
      </c>
      <c r="AL417" s="15" t="str">
        <f>+'ENCUESTA CONDUCTORES'!AT417</f>
        <v>CUMMINS</v>
      </c>
      <c r="AM417" s="1">
        <f>+'ENCUESTA CONDUCTORES'!AU417</f>
        <v>10000</v>
      </c>
      <c r="AN417" s="48">
        <f>+'ENCUESTA CONDUCTORES'!AV417</f>
        <v>0.5</v>
      </c>
      <c r="AO417" s="15">
        <f>+'ENCUESTA CONDUCTORES'!AW417</f>
        <v>1.9</v>
      </c>
      <c r="AP417" s="15">
        <f>+'ENCUESTA CONDUCTORES'!AX417</f>
        <v>1.4</v>
      </c>
      <c r="AQ417" s="15">
        <f>+'ENCUESTA CONDUCTORES'!AY417</f>
        <v>2</v>
      </c>
      <c r="AR417" s="15">
        <f>+'ENCUESTA CONDUCTORES'!AZ417</f>
        <v>830</v>
      </c>
      <c r="AS417" s="15">
        <f>+'ENCUESTA CONDUCTORES'!BA417</f>
        <v>1500</v>
      </c>
      <c r="AT417" s="15">
        <f>IF('ENCUESTA CONDUCTORES'!BB417="X",1,0)</f>
        <v>1</v>
      </c>
      <c r="AU417" s="15">
        <f>IF('ENCUESTA CONDUCTORES'!BC417="X",1,0)</f>
        <v>1</v>
      </c>
      <c r="AV417" s="15">
        <f>IF('ENCUESTA CONDUCTORES'!BD417="X",1,0)</f>
        <v>0</v>
      </c>
      <c r="AW417" s="1">
        <f>+'ENCUESTA CONDUCTORES'!BE417</f>
        <v>20000</v>
      </c>
      <c r="AX417" s="1">
        <f>+'ENCUESTA CONDUCTORES'!BF417</f>
        <v>240000</v>
      </c>
      <c r="AY417" s="1">
        <f>+'ENCUESTA CONDUCTORES'!BG417</f>
        <v>40000</v>
      </c>
      <c r="AZ417" s="1">
        <f>+'ENCUESTA CONDUCTORES'!BH417</f>
        <v>120000</v>
      </c>
      <c r="BA417" s="1" t="str">
        <f>+'ENCUESTA CONDUCTORES'!BI417</f>
        <v>NO SABE</v>
      </c>
      <c r="BB417" s="15">
        <f>IF('ENCUESTA CONDUCTORES'!BJ417="X",1,0)</f>
        <v>0</v>
      </c>
      <c r="BC417" s="15">
        <f>IF('ENCUESTA CONDUCTORES'!BK417="X",1,0)</f>
        <v>0</v>
      </c>
      <c r="BD417" s="15">
        <f>IF('ENCUESTA CONDUCTORES'!BL417="X",1,0)</f>
        <v>0</v>
      </c>
      <c r="BE417" s="15">
        <f>IF('ENCUESTA CONDUCTORES'!BM417="X",1,0)</f>
        <v>1</v>
      </c>
      <c r="BF417" s="15">
        <f>IF('ENCUESTA CONDUCTORES'!BN417="X",1,0)</f>
        <v>0</v>
      </c>
      <c r="BG417" s="15">
        <f>IF('ENCUESTA CONDUCTORES'!BO417="X",1,0)</f>
        <v>0</v>
      </c>
      <c r="BH417" s="15">
        <f>IF('ENCUESTA CONDUCTORES'!BP417="X",1,0)</f>
        <v>0</v>
      </c>
      <c r="BI417" s="15">
        <f>IF('ENCUESTA CONDUCTORES'!BQ417="X",1,0)</f>
        <v>0</v>
      </c>
      <c r="BJ417" s="15">
        <f>IF('ENCUESTA CONDUCTORES'!BR417="X",1,0)</f>
        <v>0</v>
      </c>
      <c r="BK417" s="15">
        <f>+'ENCUESTA CONDUCTORES'!BS417</f>
        <v>0</v>
      </c>
      <c r="BL417" s="15">
        <f>IF('ENCUESTA CONDUCTORES'!BT417="X",1,0)</f>
        <v>0</v>
      </c>
      <c r="BM417" s="15">
        <f>IF('ENCUESTA CONDUCTORES'!BU417="X",1,0)</f>
        <v>1</v>
      </c>
      <c r="BN417" s="15">
        <f>IF('ENCUESTA CONDUCTORES'!BV417="X",1,0)</f>
        <v>0</v>
      </c>
      <c r="BO417" s="15">
        <f>IF('ENCUESTA CONDUCTORES'!BW417="X",1,0)</f>
        <v>0</v>
      </c>
      <c r="BP417" s="15">
        <f>+'ENCUESTA CONDUCTORES'!BX417</f>
        <v>3</v>
      </c>
      <c r="BQ417" s="15">
        <f>+'ENCUESTA CONDUCTORES'!BY417</f>
        <v>1</v>
      </c>
      <c r="BR417" s="15">
        <f>+'ENCUESTA CONDUCTORES'!BZ417</f>
        <v>2</v>
      </c>
      <c r="BS417" s="15">
        <f>+'ENCUESTA CONDUCTORES'!CA417</f>
        <v>0</v>
      </c>
      <c r="BT417" s="15">
        <f>IF('ENCUESTA CONDUCTORES'!CB417="X",1,0)</f>
        <v>1</v>
      </c>
      <c r="BU417" s="15">
        <f>IF('ENCUESTA CONDUCTORES'!CC417="X",1,0)</f>
        <v>0</v>
      </c>
      <c r="BV417" s="15">
        <f>IF('ENCUESTA CONDUCTORES'!CD417="X",1,0)</f>
        <v>0</v>
      </c>
      <c r="BW417" s="15">
        <f>IF('ENCUESTA CONDUCTORES'!CE417="X",1,0)</f>
        <v>0</v>
      </c>
      <c r="BX417" s="15">
        <f>IF('ENCUESTA CONDUCTORES'!CF417="X",1,0)</f>
        <v>0</v>
      </c>
      <c r="BY417" s="15">
        <f>IF('ENCUESTA CONDUCTORES'!CG417="X",1,0)</f>
        <v>0</v>
      </c>
      <c r="BZ417" s="15">
        <f>IF('ENCUESTA CONDUCTORES'!CH417="X",1,0)</f>
        <v>0</v>
      </c>
      <c r="CA417" s="15">
        <f>IF('ENCUESTA CONDUCTORES'!CI417="X",1,0)</f>
        <v>0</v>
      </c>
      <c r="CB417" s="15">
        <f>IF('ENCUESTA CONDUCTORES'!CJ417="X",1,0)</f>
        <v>0</v>
      </c>
      <c r="CC417" s="15">
        <f>IF('ENCUESTA CONDUCTORES'!CK417="X",1,0)</f>
        <v>1</v>
      </c>
      <c r="CD417" s="15">
        <f>IF('ENCUESTA CONDUCTORES'!CL417="X",1,0)</f>
        <v>0</v>
      </c>
      <c r="CE417" s="15">
        <f>IF('ENCUESTA CONDUCTORES'!CM417="X",1,0)</f>
        <v>0</v>
      </c>
      <c r="CF417" s="15">
        <f>+'ENCUESTA CONDUCTORES'!CN417</f>
        <v>0</v>
      </c>
      <c r="CG417" s="15">
        <f>IF('ENCUESTA CONDUCTORES'!CO417="X",1,0)</f>
        <v>0</v>
      </c>
      <c r="CH417" s="15" t="str">
        <f>+'ENCUESTA CONDUCTORES'!CP417</f>
        <v>NO SABE</v>
      </c>
      <c r="CI417" s="15" t="str">
        <f>+'ENCUESTA CONDUCTORES'!CQ417</f>
        <v>NO SABE</v>
      </c>
      <c r="CJ417" s="15">
        <f>IF('ENCUESTA CONDUCTORES'!CR417="X",1,0)</f>
        <v>1</v>
      </c>
      <c r="CK417" s="15">
        <f>IF('ENCUESTA CONDUCTORES'!CS417="X",1,0)</f>
        <v>0</v>
      </c>
      <c r="CL417" s="15">
        <f>IF('ENCUESTA CONDUCTORES'!CT417="X",1,0)</f>
        <v>0</v>
      </c>
      <c r="CM417" s="15">
        <f>+'ENCUESTA CONDUCTORES'!CU417</f>
        <v>0</v>
      </c>
      <c r="CN417" s="15">
        <f>IF('ENCUESTA CONDUCTORES'!CV417="X",1,0)</f>
        <v>0</v>
      </c>
      <c r="CO417" s="15">
        <f>+'ENCUESTA CONDUCTORES'!CW417</f>
        <v>0</v>
      </c>
      <c r="CP417" s="15">
        <f>IF('ENCUESTA CONDUCTORES'!CX417="X",1,0)</f>
        <v>1</v>
      </c>
      <c r="CQ417" s="15">
        <f>IF('ENCUESTA CONDUCTORES'!CY417="X",1,0)</f>
        <v>0</v>
      </c>
      <c r="CR417" s="3">
        <f>+'ENCUESTA CONDUCTORES'!CZ417</f>
        <v>0</v>
      </c>
      <c r="CS417" s="49">
        <f>+'ENCUESTA CONDUCTORES'!DA417</f>
        <v>0</v>
      </c>
    </row>
    <row r="418" spans="2:97" x14ac:dyDescent="0.25">
      <c r="B418" s="14" t="str">
        <f>+'ENCUESTA CONDUCTORES'!D418</f>
        <v>C-429</v>
      </c>
      <c r="C418" s="15">
        <f>IF('ENCUESTA CONDUCTORES'!E418="X",1,0)</f>
        <v>0</v>
      </c>
      <c r="D418" s="15">
        <f>IF('ENCUESTA CONDUCTORES'!F418="X",1,0)</f>
        <v>0</v>
      </c>
      <c r="E418" s="15">
        <f>IF('ENCUESTA CONDUCTORES'!G418="X",1,0)</f>
        <v>1</v>
      </c>
      <c r="F418" s="15">
        <f>IF('ENCUESTA CONDUCTORES'!H418="X",1,0)</f>
        <v>0</v>
      </c>
      <c r="G418" s="15">
        <f>+'ENCUESTA CONDUCTORES'!I418</f>
        <v>27</v>
      </c>
      <c r="H418" s="15" t="str">
        <f>+'ENCUESTA CONDUCTORES'!J418</f>
        <v>M</v>
      </c>
      <c r="I418" s="15" t="str">
        <f>+'ENCUESTA CONDUCTORES'!K418</f>
        <v>SECUNDARIA</v>
      </c>
      <c r="J418" s="15" t="str">
        <f>+'ENCUESTA CONDUCTORES'!L418</f>
        <v>ALTAMIRA,TAMPS</v>
      </c>
      <c r="K418" s="15" t="str">
        <f>+'ENCUESTA CONDUCTORES'!M418</f>
        <v>ALTAMIRA</v>
      </c>
      <c r="L418" s="15" t="str">
        <f>+'ENCUESTA CONDUCTORES'!N418</f>
        <v>TAMAULIPAS</v>
      </c>
      <c r="M418" s="15">
        <f>+'ENCUESTA CONDUCTORES'!O418</f>
        <v>10</v>
      </c>
      <c r="N418" s="15">
        <f>IF('ENCUESTA CONDUCTORES'!P418="X",1,0)</f>
        <v>0</v>
      </c>
      <c r="O418" s="15">
        <f>IF('ENCUESTA CONDUCTORES'!Q418="X",1,0)</f>
        <v>1</v>
      </c>
      <c r="P418" s="15">
        <f>IF('ENCUESTA CONDUCTORES'!R418="X",1,0)</f>
        <v>0</v>
      </c>
      <c r="Q418" s="15">
        <f>IF('ENCUESTA CONDUCTORES'!S418="X",1,0)</f>
        <v>0</v>
      </c>
      <c r="R418" s="15">
        <f>IF('ENCUESTA CONDUCTORES'!T418="X",1,0)</f>
        <v>0</v>
      </c>
      <c r="S418" s="15">
        <f>IF('ENCUESTA CONDUCTORES'!U418="X",1,0)</f>
        <v>0</v>
      </c>
      <c r="T418" s="15">
        <f>IF('ENCUESTA CONDUCTORES'!V418="X",1,0)</f>
        <v>0</v>
      </c>
      <c r="U418" s="15">
        <f>IF('ENCUESTA CONDUCTORES'!W418="X",1,0)</f>
        <v>0</v>
      </c>
      <c r="V418" s="15">
        <f>IF('ENCUESTA CONDUCTORES'!X418="X",1,0)</f>
        <v>0</v>
      </c>
      <c r="W418" s="15">
        <f>IF('ENCUESTA CONDUCTORES'!Y418="X",1,0)</f>
        <v>1</v>
      </c>
      <c r="X418" s="15">
        <f>IF('ENCUESTA CONDUCTORES'!Z418="X",1,0)</f>
        <v>0</v>
      </c>
      <c r="Y418" s="15">
        <f>+'ENCUESTA CONDUCTORES'!AG418</f>
        <v>0</v>
      </c>
      <c r="Z418" s="15">
        <f>+'ENCUESTA CONDUCTORES'!AH418</f>
        <v>2001</v>
      </c>
      <c r="AA418" s="1" t="str">
        <f>+'ENCUESTA CONDUCTORES'!AI418</f>
        <v>NO SABE</v>
      </c>
      <c r="AB418" s="15">
        <f>IF('ENCUESTA CONDUCTORES'!AJ418="X",1,0)</f>
        <v>0</v>
      </c>
      <c r="AC418" s="15">
        <f>IF('ENCUESTA CONDUCTORES'!AK418="X",1,0)</f>
        <v>0</v>
      </c>
      <c r="AD418" s="15">
        <f>IF('ENCUESTA CONDUCTORES'!AL418="X",1,0)</f>
        <v>1</v>
      </c>
      <c r="AE418" s="15">
        <f>IF('ENCUESTA CONDUCTORES'!AM418="X",1,0)</f>
        <v>0</v>
      </c>
      <c r="AF418" s="15">
        <f>IF('ENCUESTA CONDUCTORES'!AN418="X",1,0)</f>
        <v>0</v>
      </c>
      <c r="AG418" s="15">
        <f>IF('ENCUESTA CONDUCTORES'!AO418="X",1,0)</f>
        <v>1</v>
      </c>
      <c r="AH418" s="15">
        <f>IF('ENCUESTA CONDUCTORES'!AP418="X",1,0)</f>
        <v>0</v>
      </c>
      <c r="AI418" s="15">
        <f>IF('ENCUESTA CONDUCTORES'!AQ418="X",1,0)</f>
        <v>0</v>
      </c>
      <c r="AJ418" s="15">
        <f>IF('ENCUESTA CONDUCTORES'!AR418="X",1,0)</f>
        <v>0</v>
      </c>
      <c r="AK418" s="15">
        <f>+'ENCUESTA CONDUCTORES'!AS418</f>
        <v>0</v>
      </c>
      <c r="AL418" s="15" t="str">
        <f>+'ENCUESTA CONDUCTORES'!AT418</f>
        <v>CUMMINS</v>
      </c>
      <c r="AM418" s="1">
        <f>+'ENCUESTA CONDUCTORES'!AU418</f>
        <v>8000</v>
      </c>
      <c r="AN418" s="48">
        <f>+'ENCUESTA CONDUCTORES'!AV418</f>
        <v>0.5</v>
      </c>
      <c r="AO418" s="15">
        <f>+'ENCUESTA CONDUCTORES'!AW418</f>
        <v>3.2</v>
      </c>
      <c r="AP418" s="15">
        <f>+'ENCUESTA CONDUCTORES'!AX418</f>
        <v>2.9</v>
      </c>
      <c r="AQ418" s="15">
        <f>+'ENCUESTA CONDUCTORES'!AY418</f>
        <v>2</v>
      </c>
      <c r="AR418" s="15">
        <f>+'ENCUESTA CONDUCTORES'!AZ418</f>
        <v>870</v>
      </c>
      <c r="AS418" s="15">
        <f>+'ENCUESTA CONDUCTORES'!BA418</f>
        <v>2700</v>
      </c>
      <c r="AT418" s="15">
        <f>IF('ENCUESTA CONDUCTORES'!BB418="X",1,0)</f>
        <v>1</v>
      </c>
      <c r="AU418" s="15">
        <f>IF('ENCUESTA CONDUCTORES'!BC418="X",1,0)</f>
        <v>1</v>
      </c>
      <c r="AV418" s="15">
        <f>IF('ENCUESTA CONDUCTORES'!BD418="X",1,0)</f>
        <v>0</v>
      </c>
      <c r="AW418" s="1">
        <f>+'ENCUESTA CONDUCTORES'!BE418</f>
        <v>20000</v>
      </c>
      <c r="AX418" s="1" t="str">
        <f>+'ENCUESTA CONDUCTORES'!BF418</f>
        <v>NO SABE</v>
      </c>
      <c r="AY418" s="1">
        <f>+'ENCUESTA CONDUCTORES'!BG418</f>
        <v>60000</v>
      </c>
      <c r="AZ418" s="1" t="str">
        <f>+'ENCUESTA CONDUCTORES'!BH418</f>
        <v>NO SABE</v>
      </c>
      <c r="BA418" s="1" t="str">
        <f>+'ENCUESTA CONDUCTORES'!BI418</f>
        <v>NO SABE</v>
      </c>
      <c r="BB418" s="15">
        <f>IF('ENCUESTA CONDUCTORES'!BJ418="X",1,0)</f>
        <v>0</v>
      </c>
      <c r="BC418" s="15">
        <f>IF('ENCUESTA CONDUCTORES'!BK418="X",1,0)</f>
        <v>0</v>
      </c>
      <c r="BD418" s="15">
        <f>IF('ENCUESTA CONDUCTORES'!BL418="X",1,0)</f>
        <v>0</v>
      </c>
      <c r="BE418" s="15">
        <f>IF('ENCUESTA CONDUCTORES'!BM418="X",1,0)</f>
        <v>0</v>
      </c>
      <c r="BF418" s="15">
        <f>IF('ENCUESTA CONDUCTORES'!BN418="X",1,0)</f>
        <v>0</v>
      </c>
      <c r="BG418" s="15">
        <f>IF('ENCUESTA CONDUCTORES'!BO418="X",1,0)</f>
        <v>0</v>
      </c>
      <c r="BH418" s="15">
        <f>IF('ENCUESTA CONDUCTORES'!BP418="X",1,0)</f>
        <v>0</v>
      </c>
      <c r="BI418" s="15">
        <f>IF('ENCUESTA CONDUCTORES'!BQ418="X",1,0)</f>
        <v>0</v>
      </c>
      <c r="BJ418" s="15">
        <f>IF('ENCUESTA CONDUCTORES'!BR418="X",1,0)</f>
        <v>1</v>
      </c>
      <c r="BK418" s="15">
        <f>+'ENCUESTA CONDUCTORES'!BS418</f>
        <v>0</v>
      </c>
      <c r="BL418" s="15">
        <f>IF('ENCUESTA CONDUCTORES'!BT418="X",1,0)</f>
        <v>0</v>
      </c>
      <c r="BM418" s="15">
        <f>IF('ENCUESTA CONDUCTORES'!BU418="X",1,0)</f>
        <v>0</v>
      </c>
      <c r="BN418" s="15">
        <f>IF('ENCUESTA CONDUCTORES'!BV418="X",1,0)</f>
        <v>1</v>
      </c>
      <c r="BO418" s="15">
        <f>IF('ENCUESTA CONDUCTORES'!BW418="X",1,0)</f>
        <v>0</v>
      </c>
      <c r="BP418" s="15">
        <f>+'ENCUESTA CONDUCTORES'!BX418</f>
        <v>1</v>
      </c>
      <c r="BQ418" s="15">
        <f>+'ENCUESTA CONDUCTORES'!BY418</f>
        <v>2</v>
      </c>
      <c r="BR418" s="15">
        <f>+'ENCUESTA CONDUCTORES'!BZ418</f>
        <v>3</v>
      </c>
      <c r="BS418" s="15">
        <f>+'ENCUESTA CONDUCTORES'!CA418</f>
        <v>0</v>
      </c>
      <c r="BT418" s="15">
        <f>IF('ENCUESTA CONDUCTORES'!CB418="X",1,0)</f>
        <v>1</v>
      </c>
      <c r="BU418" s="15">
        <f>IF('ENCUESTA CONDUCTORES'!CC418="X",1,0)</f>
        <v>0</v>
      </c>
      <c r="BV418" s="15">
        <f>IF('ENCUESTA CONDUCTORES'!CD418="X",1,0)</f>
        <v>0</v>
      </c>
      <c r="BW418" s="15">
        <f>IF('ENCUESTA CONDUCTORES'!CE418="X",1,0)</f>
        <v>0</v>
      </c>
      <c r="BX418" s="15">
        <f>IF('ENCUESTA CONDUCTORES'!CF418="X",1,0)</f>
        <v>0</v>
      </c>
      <c r="BY418" s="15">
        <f>IF('ENCUESTA CONDUCTORES'!CG418="X",1,0)</f>
        <v>0</v>
      </c>
      <c r="BZ418" s="15">
        <f>IF('ENCUESTA CONDUCTORES'!CH418="X",1,0)</f>
        <v>0</v>
      </c>
      <c r="CA418" s="15">
        <f>IF('ENCUESTA CONDUCTORES'!CI418="X",1,0)</f>
        <v>0</v>
      </c>
      <c r="CB418" s="15">
        <f>IF('ENCUESTA CONDUCTORES'!CJ418="X",1,0)</f>
        <v>0</v>
      </c>
      <c r="CC418" s="15">
        <f>IF('ENCUESTA CONDUCTORES'!CK418="X",1,0)</f>
        <v>1</v>
      </c>
      <c r="CD418" s="15">
        <f>IF('ENCUESTA CONDUCTORES'!CL418="X",1,0)</f>
        <v>0</v>
      </c>
      <c r="CE418" s="15">
        <f>IF('ENCUESTA CONDUCTORES'!CM418="X",1,0)</f>
        <v>0</v>
      </c>
      <c r="CF418" s="15">
        <f>+'ENCUESTA CONDUCTORES'!CN418</f>
        <v>0</v>
      </c>
      <c r="CG418" s="15">
        <f>IF('ENCUESTA CONDUCTORES'!CO418="X",1,0)</f>
        <v>0</v>
      </c>
      <c r="CH418" s="15" t="str">
        <f>+'ENCUESTA CONDUCTORES'!CP418</f>
        <v>NO SABE</v>
      </c>
      <c r="CI418" s="15" t="str">
        <f>+'ENCUESTA CONDUCTORES'!CQ418</f>
        <v>NO SABE</v>
      </c>
      <c r="CJ418" s="15">
        <f>IF('ENCUESTA CONDUCTORES'!CR418="X",1,0)</f>
        <v>1</v>
      </c>
      <c r="CK418" s="15">
        <f>IF('ENCUESTA CONDUCTORES'!CS418="X",1,0)</f>
        <v>0</v>
      </c>
      <c r="CL418" s="15">
        <f>IF('ENCUESTA CONDUCTORES'!CT418="X",1,0)</f>
        <v>0</v>
      </c>
      <c r="CM418" s="15">
        <f>+'ENCUESTA CONDUCTORES'!CU418</f>
        <v>0</v>
      </c>
      <c r="CN418" s="15">
        <f>IF('ENCUESTA CONDUCTORES'!CV418="X",1,0)</f>
        <v>0</v>
      </c>
      <c r="CO418" s="15">
        <f>+'ENCUESTA CONDUCTORES'!CW418</f>
        <v>0</v>
      </c>
      <c r="CP418" s="15">
        <f>IF('ENCUESTA CONDUCTORES'!CX418="X",1,0)</f>
        <v>0</v>
      </c>
      <c r="CQ418" s="15">
        <f>IF('ENCUESTA CONDUCTORES'!CY418="X",1,0)</f>
        <v>1</v>
      </c>
      <c r="CR418" s="3">
        <f>+'ENCUESTA CONDUCTORES'!CZ418</f>
        <v>0</v>
      </c>
      <c r="CS418" s="49">
        <f>+'ENCUESTA CONDUCTORES'!DA418</f>
        <v>0</v>
      </c>
    </row>
    <row r="419" spans="2:97" x14ac:dyDescent="0.25">
      <c r="B419" s="14" t="str">
        <f>+'ENCUESTA CONDUCTORES'!D419</f>
        <v>C-430</v>
      </c>
      <c r="C419" s="15">
        <f>IF('ENCUESTA CONDUCTORES'!E419="X",1,0)</f>
        <v>0</v>
      </c>
      <c r="D419" s="15">
        <f>IF('ENCUESTA CONDUCTORES'!F419="X",1,0)</f>
        <v>0</v>
      </c>
      <c r="E419" s="15">
        <f>IF('ENCUESTA CONDUCTORES'!G419="X",1,0)</f>
        <v>0</v>
      </c>
      <c r="F419" s="15">
        <f>IF('ENCUESTA CONDUCTORES'!H419="X",1,0)</f>
        <v>1</v>
      </c>
      <c r="G419" s="15">
        <f>+'ENCUESTA CONDUCTORES'!I419</f>
        <v>36</v>
      </c>
      <c r="H419" s="15" t="str">
        <f>+'ENCUESTA CONDUCTORES'!J419</f>
        <v>M</v>
      </c>
      <c r="I419" s="15" t="str">
        <f>+'ENCUESTA CONDUCTORES'!K419</f>
        <v>PRIMARIA</v>
      </c>
      <c r="J419" s="15" t="str">
        <f>+'ENCUESTA CONDUCTORES'!L419</f>
        <v>GUADALUPE, NVO. LEON</v>
      </c>
      <c r="K419" s="15" t="str">
        <f>+'ENCUESTA CONDUCTORES'!M419</f>
        <v>GUADALUPE</v>
      </c>
      <c r="L419" s="15" t="str">
        <f>+'ENCUESTA CONDUCTORES'!N419</f>
        <v>NVO. LEON</v>
      </c>
      <c r="M419" s="15">
        <f>+'ENCUESTA CONDUCTORES'!O419</f>
        <v>15</v>
      </c>
      <c r="N419" s="15">
        <f>IF('ENCUESTA CONDUCTORES'!P419="X",1,0)</f>
        <v>0</v>
      </c>
      <c r="O419" s="15">
        <f>IF('ENCUESTA CONDUCTORES'!Q419="X",1,0)</f>
        <v>0</v>
      </c>
      <c r="P419" s="15">
        <f>IF('ENCUESTA CONDUCTORES'!R419="X",1,0)</f>
        <v>0</v>
      </c>
      <c r="Q419" s="15">
        <f>IF('ENCUESTA CONDUCTORES'!S419="X",1,0)</f>
        <v>1</v>
      </c>
      <c r="R419" s="15">
        <f>IF('ENCUESTA CONDUCTORES'!T419="X",1,0)</f>
        <v>0</v>
      </c>
      <c r="S419" s="15">
        <f>IF('ENCUESTA CONDUCTORES'!U419="X",1,0)</f>
        <v>1</v>
      </c>
      <c r="T419" s="15">
        <f>IF('ENCUESTA CONDUCTORES'!V419="X",1,0)</f>
        <v>0</v>
      </c>
      <c r="U419" s="15">
        <f>IF('ENCUESTA CONDUCTORES'!W419="X",1,0)</f>
        <v>0</v>
      </c>
      <c r="V419" s="15">
        <f>IF('ENCUESTA CONDUCTORES'!X419="X",1,0)</f>
        <v>0</v>
      </c>
      <c r="W419" s="15">
        <f>IF('ENCUESTA CONDUCTORES'!Y419="X",1,0)</f>
        <v>0</v>
      </c>
      <c r="X419" s="15">
        <f>IF('ENCUESTA CONDUCTORES'!Z419="X",1,0)</f>
        <v>0</v>
      </c>
      <c r="Y419" s="15">
        <f>+'ENCUESTA CONDUCTORES'!AG419</f>
        <v>0</v>
      </c>
      <c r="Z419" s="15">
        <f>+'ENCUESTA CONDUCTORES'!AH419</f>
        <v>2002</v>
      </c>
      <c r="AA419" s="1">
        <f>+'ENCUESTA CONDUCTORES'!AI419</f>
        <v>1123601</v>
      </c>
      <c r="AB419" s="15">
        <f>IF('ENCUESTA CONDUCTORES'!AJ419="X",1,0)</f>
        <v>0</v>
      </c>
      <c r="AC419" s="15">
        <f>IF('ENCUESTA CONDUCTORES'!AK419="X",1,0)</f>
        <v>0</v>
      </c>
      <c r="AD419" s="15">
        <f>IF('ENCUESTA CONDUCTORES'!AL419="X",1,0)</f>
        <v>1</v>
      </c>
      <c r="AE419" s="15">
        <f>IF('ENCUESTA CONDUCTORES'!AM419="X",1,0)</f>
        <v>0</v>
      </c>
      <c r="AF419" s="15">
        <f>IF('ENCUESTA CONDUCTORES'!AN419="X",1,0)</f>
        <v>0</v>
      </c>
      <c r="AG419" s="15">
        <f>IF('ENCUESTA CONDUCTORES'!AO419="X",1,0)</f>
        <v>0</v>
      </c>
      <c r="AH419" s="15">
        <f>IF('ENCUESTA CONDUCTORES'!AP419="X",1,0)</f>
        <v>1</v>
      </c>
      <c r="AI419" s="15">
        <f>IF('ENCUESTA CONDUCTORES'!AQ419="X",1,0)</f>
        <v>0</v>
      </c>
      <c r="AJ419" s="15">
        <f>IF('ENCUESTA CONDUCTORES'!AR419="X",1,0)</f>
        <v>0</v>
      </c>
      <c r="AK419" s="15">
        <f>+'ENCUESTA CONDUCTORES'!AS419</f>
        <v>0</v>
      </c>
      <c r="AL419" s="15" t="str">
        <f>+'ENCUESTA CONDUCTORES'!AT419</f>
        <v>CUMMINS</v>
      </c>
      <c r="AM419" s="1">
        <f>+'ENCUESTA CONDUCTORES'!AU419</f>
        <v>12000</v>
      </c>
      <c r="AN419" s="48">
        <f>+'ENCUESTA CONDUCTORES'!AV419</f>
        <v>0.5</v>
      </c>
      <c r="AO419" s="15">
        <f>+'ENCUESTA CONDUCTORES'!AW419</f>
        <v>2.7</v>
      </c>
      <c r="AP419" s="15">
        <f>+'ENCUESTA CONDUCTORES'!AX419</f>
        <v>2.4</v>
      </c>
      <c r="AQ419" s="15">
        <f>+'ENCUESTA CONDUCTORES'!AY419</f>
        <v>2</v>
      </c>
      <c r="AR419" s="15">
        <f>+'ENCUESTA CONDUCTORES'!AZ419</f>
        <v>800</v>
      </c>
      <c r="AS419" s="15">
        <f>+'ENCUESTA CONDUCTORES'!BA419</f>
        <v>2000</v>
      </c>
      <c r="AT419" s="15">
        <f>IF('ENCUESTA CONDUCTORES'!BB419="X",1,0)</f>
        <v>1</v>
      </c>
      <c r="AU419" s="15">
        <f>IF('ENCUESTA CONDUCTORES'!BC419="X",1,0)</f>
        <v>1</v>
      </c>
      <c r="AV419" s="15">
        <f>IF('ENCUESTA CONDUCTORES'!BD419="X",1,0)</f>
        <v>0</v>
      </c>
      <c r="AW419" s="1">
        <f>+'ENCUESTA CONDUCTORES'!BE419</f>
        <v>20000</v>
      </c>
      <c r="AX419" s="1">
        <f>+'ENCUESTA CONDUCTORES'!BF419</f>
        <v>200000</v>
      </c>
      <c r="AY419" s="1">
        <f>+'ENCUESTA CONDUCTORES'!BG419</f>
        <v>40000</v>
      </c>
      <c r="AZ419" s="1">
        <f>+'ENCUESTA CONDUCTORES'!BH419</f>
        <v>150000</v>
      </c>
      <c r="BA419" s="1" t="str">
        <f>+'ENCUESTA CONDUCTORES'!BI419</f>
        <v>NO SABE</v>
      </c>
      <c r="BB419" s="15">
        <f>IF('ENCUESTA CONDUCTORES'!BJ419="X",1,0)</f>
        <v>0</v>
      </c>
      <c r="BC419" s="15">
        <f>IF('ENCUESTA CONDUCTORES'!BK419="X",1,0)</f>
        <v>0</v>
      </c>
      <c r="BD419" s="15">
        <f>IF('ENCUESTA CONDUCTORES'!BL419="X",1,0)</f>
        <v>0</v>
      </c>
      <c r="BE419" s="15">
        <f>IF('ENCUESTA CONDUCTORES'!BM419="X",1,0)</f>
        <v>0</v>
      </c>
      <c r="BF419" s="15">
        <f>IF('ENCUESTA CONDUCTORES'!BN419="X",1,0)</f>
        <v>1</v>
      </c>
      <c r="BG419" s="15">
        <f>IF('ENCUESTA CONDUCTORES'!BO419="X",1,0)</f>
        <v>0</v>
      </c>
      <c r="BH419" s="15">
        <f>IF('ENCUESTA CONDUCTORES'!BP419="X",1,0)</f>
        <v>0</v>
      </c>
      <c r="BI419" s="15">
        <f>IF('ENCUESTA CONDUCTORES'!BQ419="X",1,0)</f>
        <v>0</v>
      </c>
      <c r="BJ419" s="15">
        <f>IF('ENCUESTA CONDUCTORES'!BR419="X",1,0)</f>
        <v>0</v>
      </c>
      <c r="BK419" s="15">
        <f>+'ENCUESTA CONDUCTORES'!BS419</f>
        <v>0</v>
      </c>
      <c r="BL419" s="15">
        <f>IF('ENCUESTA CONDUCTORES'!BT419="X",1,0)</f>
        <v>0</v>
      </c>
      <c r="BM419" s="15">
        <f>IF('ENCUESTA CONDUCTORES'!BU419="X",1,0)</f>
        <v>0</v>
      </c>
      <c r="BN419" s="15">
        <f>IF('ENCUESTA CONDUCTORES'!BV419="X",1,0)</f>
        <v>1</v>
      </c>
      <c r="BO419" s="15">
        <f>IF('ENCUESTA CONDUCTORES'!BW419="X",1,0)</f>
        <v>0</v>
      </c>
      <c r="BP419" s="15">
        <f>+'ENCUESTA CONDUCTORES'!BX419</f>
        <v>1</v>
      </c>
      <c r="BQ419" s="15">
        <f>+'ENCUESTA CONDUCTORES'!BY419</f>
        <v>2</v>
      </c>
      <c r="BR419" s="15">
        <f>+'ENCUESTA CONDUCTORES'!BZ419</f>
        <v>3</v>
      </c>
      <c r="BS419" s="15">
        <f>+'ENCUESTA CONDUCTORES'!CA419</f>
        <v>0</v>
      </c>
      <c r="BT419" s="15">
        <f>IF('ENCUESTA CONDUCTORES'!CB419="X",1,0)</f>
        <v>0</v>
      </c>
      <c r="BU419" s="15">
        <f>IF('ENCUESTA CONDUCTORES'!CC419="X",1,0)</f>
        <v>1</v>
      </c>
      <c r="BV419" s="15">
        <f>IF('ENCUESTA CONDUCTORES'!CD419="X",1,0)</f>
        <v>0</v>
      </c>
      <c r="BW419" s="15">
        <f>IF('ENCUESTA CONDUCTORES'!CE419="X",1,0)</f>
        <v>0</v>
      </c>
      <c r="BX419" s="15">
        <f>IF('ENCUESTA CONDUCTORES'!CF419="X",1,0)</f>
        <v>0</v>
      </c>
      <c r="BY419" s="15">
        <f>IF('ENCUESTA CONDUCTORES'!CG419="X",1,0)</f>
        <v>0</v>
      </c>
      <c r="BZ419" s="15">
        <f>IF('ENCUESTA CONDUCTORES'!CH419="X",1,0)</f>
        <v>1</v>
      </c>
      <c r="CA419" s="15">
        <f>IF('ENCUESTA CONDUCTORES'!CI419="X",1,0)</f>
        <v>0</v>
      </c>
      <c r="CB419" s="15">
        <f>IF('ENCUESTA CONDUCTORES'!CJ419="X",1,0)</f>
        <v>0</v>
      </c>
      <c r="CC419" s="15">
        <f>IF('ENCUESTA CONDUCTORES'!CK419="X",1,0)</f>
        <v>1</v>
      </c>
      <c r="CD419" s="15">
        <f>IF('ENCUESTA CONDUCTORES'!CL419="X",1,0)</f>
        <v>0</v>
      </c>
      <c r="CE419" s="15">
        <f>IF('ENCUESTA CONDUCTORES'!CM419="X",1,0)</f>
        <v>0</v>
      </c>
      <c r="CF419" s="15">
        <f>+'ENCUESTA CONDUCTORES'!CN419</f>
        <v>0</v>
      </c>
      <c r="CG419" s="15">
        <f>IF('ENCUESTA CONDUCTORES'!CO419="X",1,0)</f>
        <v>0</v>
      </c>
      <c r="CH419" s="15" t="str">
        <f>+'ENCUESTA CONDUCTORES'!CP419</f>
        <v>NO SABE</v>
      </c>
      <c r="CI419" s="15" t="str">
        <f>+'ENCUESTA CONDUCTORES'!CQ419</f>
        <v>NO SABE</v>
      </c>
      <c r="CJ419" s="15">
        <f>IF('ENCUESTA CONDUCTORES'!CR419="X",1,0)</f>
        <v>0</v>
      </c>
      <c r="CK419" s="15">
        <f>IF('ENCUESTA CONDUCTORES'!CS419="X",1,0)</f>
        <v>1</v>
      </c>
      <c r="CL419" s="15">
        <f>IF('ENCUESTA CONDUCTORES'!CT419="X",1,0)</f>
        <v>0</v>
      </c>
      <c r="CM419" s="15">
        <f>+'ENCUESTA CONDUCTORES'!CU419</f>
        <v>0</v>
      </c>
      <c r="CN419" s="15">
        <f>IF('ENCUESTA CONDUCTORES'!CV419="X",1,0)</f>
        <v>0</v>
      </c>
      <c r="CO419" s="15">
        <f>+'ENCUESTA CONDUCTORES'!CW419</f>
        <v>0</v>
      </c>
      <c r="CP419" s="15">
        <f>IF('ENCUESTA CONDUCTORES'!CX419="X",1,0)</f>
        <v>0</v>
      </c>
      <c r="CQ419" s="15">
        <f>IF('ENCUESTA CONDUCTORES'!CY419="X",1,0)</f>
        <v>1</v>
      </c>
      <c r="CR419" s="3">
        <f>+'ENCUESTA CONDUCTORES'!CZ419</f>
        <v>0</v>
      </c>
      <c r="CS419" s="49">
        <f>+'ENCUESTA CONDUCTORES'!DA419</f>
        <v>0</v>
      </c>
    </row>
    <row r="420" spans="2:97" x14ac:dyDescent="0.25">
      <c r="B420" s="14" t="str">
        <f>+'ENCUESTA CONDUCTORES'!D420</f>
        <v>C-431</v>
      </c>
      <c r="C420" s="15">
        <f>IF('ENCUESTA CONDUCTORES'!E420="X",1,0)</f>
        <v>0</v>
      </c>
      <c r="D420" s="15">
        <f>IF('ENCUESTA CONDUCTORES'!F420="X",1,0)</f>
        <v>1</v>
      </c>
      <c r="E420" s="15">
        <f>IF('ENCUESTA CONDUCTORES'!G420="X",1,0)</f>
        <v>0</v>
      </c>
      <c r="F420" s="15">
        <f>IF('ENCUESTA CONDUCTORES'!H420="X",1,0)</f>
        <v>0</v>
      </c>
      <c r="G420" s="15">
        <f>+'ENCUESTA CONDUCTORES'!I420</f>
        <v>24</v>
      </c>
      <c r="H420" s="15" t="str">
        <f>+'ENCUESTA CONDUCTORES'!J420</f>
        <v>M</v>
      </c>
      <c r="I420" s="15" t="str">
        <f>+'ENCUESTA CONDUCTORES'!K420</f>
        <v>SECUNDARIA</v>
      </c>
      <c r="J420" s="15" t="str">
        <f>+'ENCUESTA CONDUCTORES'!L420</f>
        <v>ZAPOPAN, JALISCO</v>
      </c>
      <c r="K420" s="15" t="str">
        <f>+'ENCUESTA CONDUCTORES'!M420</f>
        <v>ZAPOPAN</v>
      </c>
      <c r="L420" s="15" t="str">
        <f>+'ENCUESTA CONDUCTORES'!N420</f>
        <v>JALISCO</v>
      </c>
      <c r="M420" s="15">
        <f>+'ENCUESTA CONDUCTORES'!O420</f>
        <v>3</v>
      </c>
      <c r="N420" s="15">
        <f>IF('ENCUESTA CONDUCTORES'!P420="X",1,0)</f>
        <v>0</v>
      </c>
      <c r="O420" s="15">
        <f>IF('ENCUESTA CONDUCTORES'!Q420="X",1,0)</f>
        <v>0</v>
      </c>
      <c r="P420" s="15">
        <f>IF('ENCUESTA CONDUCTORES'!R420="X",1,0)</f>
        <v>0</v>
      </c>
      <c r="Q420" s="15">
        <f>IF('ENCUESTA CONDUCTORES'!S420="X",1,0)</f>
        <v>1</v>
      </c>
      <c r="R420" s="15">
        <f>IF('ENCUESTA CONDUCTORES'!T420="X",1,0)</f>
        <v>0</v>
      </c>
      <c r="S420" s="15">
        <f>IF('ENCUESTA CONDUCTORES'!U420="X",1,0)</f>
        <v>1</v>
      </c>
      <c r="T420" s="15">
        <f>IF('ENCUESTA CONDUCTORES'!V420="X",1,0)</f>
        <v>0</v>
      </c>
      <c r="U420" s="15">
        <f>IF('ENCUESTA CONDUCTORES'!W420="X",1,0)</f>
        <v>0</v>
      </c>
      <c r="V420" s="15">
        <f>IF('ENCUESTA CONDUCTORES'!X420="X",1,0)</f>
        <v>0</v>
      </c>
      <c r="W420" s="15">
        <f>IF('ENCUESTA CONDUCTORES'!Y420="X",1,0)</f>
        <v>0</v>
      </c>
      <c r="X420" s="15">
        <f>IF('ENCUESTA CONDUCTORES'!Z420="X",1,0)</f>
        <v>0</v>
      </c>
      <c r="Y420" s="15">
        <f>+'ENCUESTA CONDUCTORES'!AG420</f>
        <v>0</v>
      </c>
      <c r="Z420" s="15">
        <f>+'ENCUESTA CONDUCTORES'!AH420</f>
        <v>2003</v>
      </c>
      <c r="AA420" s="1">
        <f>+'ENCUESTA CONDUCTORES'!AI420</f>
        <v>863120</v>
      </c>
      <c r="AB420" s="15">
        <f>IF('ENCUESTA CONDUCTORES'!AJ420="X",1,0)</f>
        <v>0</v>
      </c>
      <c r="AC420" s="15">
        <f>IF('ENCUESTA CONDUCTORES'!AK420="X",1,0)</f>
        <v>0</v>
      </c>
      <c r="AD420" s="15">
        <f>IF('ENCUESTA CONDUCTORES'!AL420="X",1,0)</f>
        <v>1</v>
      </c>
      <c r="AE420" s="15">
        <f>IF('ENCUESTA CONDUCTORES'!AM420="X",1,0)</f>
        <v>0</v>
      </c>
      <c r="AF420" s="15">
        <f>IF('ENCUESTA CONDUCTORES'!AN420="X",1,0)</f>
        <v>0</v>
      </c>
      <c r="AG420" s="15">
        <f>IF('ENCUESTA CONDUCTORES'!AO420="X",1,0)</f>
        <v>1</v>
      </c>
      <c r="AH420" s="15">
        <f>IF('ENCUESTA CONDUCTORES'!AP420="X",1,0)</f>
        <v>0</v>
      </c>
      <c r="AI420" s="15">
        <f>IF('ENCUESTA CONDUCTORES'!AQ420="X",1,0)</f>
        <v>0</v>
      </c>
      <c r="AJ420" s="15">
        <f>IF('ENCUESTA CONDUCTORES'!AR420="X",1,0)</f>
        <v>0</v>
      </c>
      <c r="AK420" s="15">
        <f>+'ENCUESTA CONDUCTORES'!AS420</f>
        <v>0</v>
      </c>
      <c r="AL420" s="15" t="str">
        <f>+'ENCUESTA CONDUCTORES'!AT420</f>
        <v>CUMMINS</v>
      </c>
      <c r="AM420" s="1">
        <f>+'ENCUESTA CONDUCTORES'!AU420</f>
        <v>9000</v>
      </c>
      <c r="AN420" s="48">
        <f>+'ENCUESTA CONDUCTORES'!AV420</f>
        <v>0.1</v>
      </c>
      <c r="AO420" s="15">
        <f>+'ENCUESTA CONDUCTORES'!AW420</f>
        <v>2.7</v>
      </c>
      <c r="AP420" s="15">
        <f>+'ENCUESTA CONDUCTORES'!AX420</f>
        <v>2.4</v>
      </c>
      <c r="AQ420" s="15">
        <f>+'ENCUESTA CONDUCTORES'!AY420</f>
        <v>2</v>
      </c>
      <c r="AR420" s="15">
        <f>+'ENCUESTA CONDUCTORES'!AZ420</f>
        <v>850</v>
      </c>
      <c r="AS420" s="15">
        <f>+'ENCUESTA CONDUCTORES'!BA420</f>
        <v>2200</v>
      </c>
      <c r="AT420" s="15">
        <f>IF('ENCUESTA CONDUCTORES'!BB420="X",1,0)</f>
        <v>1</v>
      </c>
      <c r="AU420" s="15">
        <f>IF('ENCUESTA CONDUCTORES'!BC420="X",1,0)</f>
        <v>0</v>
      </c>
      <c r="AV420" s="15">
        <f>IF('ENCUESTA CONDUCTORES'!BD420="X",1,0)</f>
        <v>0</v>
      </c>
      <c r="AW420" s="1">
        <f>+'ENCUESTA CONDUCTORES'!BE420</f>
        <v>20000</v>
      </c>
      <c r="AX420" s="1" t="str">
        <f>+'ENCUESTA CONDUCTORES'!BF420</f>
        <v>NO SABE</v>
      </c>
      <c r="AY420" s="1">
        <f>+'ENCUESTA CONDUCTORES'!BG420</f>
        <v>60000</v>
      </c>
      <c r="AZ420" s="1" t="str">
        <f>+'ENCUESTA CONDUCTORES'!BH420</f>
        <v>NO SABE</v>
      </c>
      <c r="BA420" s="1" t="str">
        <f>+'ENCUESTA CONDUCTORES'!BI420</f>
        <v>NO SABE</v>
      </c>
      <c r="BB420" s="15">
        <f>IF('ENCUESTA CONDUCTORES'!BJ420="X",1,0)</f>
        <v>0</v>
      </c>
      <c r="BC420" s="15">
        <f>IF('ENCUESTA CONDUCTORES'!BK420="X",1,0)</f>
        <v>0</v>
      </c>
      <c r="BD420" s="15">
        <f>IF('ENCUESTA CONDUCTORES'!BL420="X",1,0)</f>
        <v>0</v>
      </c>
      <c r="BE420" s="15">
        <f>IF('ENCUESTA CONDUCTORES'!BM420="X",1,0)</f>
        <v>0</v>
      </c>
      <c r="BF420" s="15">
        <f>IF('ENCUESTA CONDUCTORES'!BN420="X",1,0)</f>
        <v>0</v>
      </c>
      <c r="BG420" s="15">
        <f>IF('ENCUESTA CONDUCTORES'!BO420="X",1,0)</f>
        <v>0</v>
      </c>
      <c r="BH420" s="15">
        <f>IF('ENCUESTA CONDUCTORES'!BP420="X",1,0)</f>
        <v>1</v>
      </c>
      <c r="BI420" s="15">
        <f>IF('ENCUESTA CONDUCTORES'!BQ420="X",1,0)</f>
        <v>0</v>
      </c>
      <c r="BJ420" s="15">
        <f>IF('ENCUESTA CONDUCTORES'!BR420="X",1,0)</f>
        <v>0</v>
      </c>
      <c r="BK420" s="15">
        <f>+'ENCUESTA CONDUCTORES'!BS420</f>
        <v>0</v>
      </c>
      <c r="BL420" s="15">
        <f>IF('ENCUESTA CONDUCTORES'!BT420="X",1,0)</f>
        <v>0</v>
      </c>
      <c r="BM420" s="15">
        <f>IF('ENCUESTA CONDUCTORES'!BU420="X",1,0)</f>
        <v>0</v>
      </c>
      <c r="BN420" s="15">
        <f>IF('ENCUESTA CONDUCTORES'!BV420="X",1,0)</f>
        <v>1</v>
      </c>
      <c r="BO420" s="15">
        <f>IF('ENCUESTA CONDUCTORES'!BW420="X",1,0)</f>
        <v>0</v>
      </c>
      <c r="BP420" s="15">
        <f>+'ENCUESTA CONDUCTORES'!BX420</f>
        <v>1</v>
      </c>
      <c r="BQ420" s="15">
        <f>+'ENCUESTA CONDUCTORES'!BY420</f>
        <v>3</v>
      </c>
      <c r="BR420" s="15">
        <f>+'ENCUESTA CONDUCTORES'!BZ420</f>
        <v>2</v>
      </c>
      <c r="BS420" s="15">
        <f>+'ENCUESTA CONDUCTORES'!CA420</f>
        <v>0</v>
      </c>
      <c r="BT420" s="15">
        <f>IF('ENCUESTA CONDUCTORES'!CB420="X",1,0)</f>
        <v>1</v>
      </c>
      <c r="BU420" s="15">
        <f>IF('ENCUESTA CONDUCTORES'!CC420="X",1,0)</f>
        <v>0</v>
      </c>
      <c r="BV420" s="15">
        <f>IF('ENCUESTA CONDUCTORES'!CD420="X",1,0)</f>
        <v>0</v>
      </c>
      <c r="BW420" s="15">
        <f>IF('ENCUESTA CONDUCTORES'!CE420="X",1,0)</f>
        <v>0</v>
      </c>
      <c r="BX420" s="15">
        <f>IF('ENCUESTA CONDUCTORES'!CF420="X",1,0)</f>
        <v>0</v>
      </c>
      <c r="BY420" s="15">
        <f>IF('ENCUESTA CONDUCTORES'!CG420="X",1,0)</f>
        <v>0</v>
      </c>
      <c r="BZ420" s="15">
        <f>IF('ENCUESTA CONDUCTORES'!CH420="X",1,0)</f>
        <v>0</v>
      </c>
      <c r="CA420" s="15">
        <f>IF('ENCUESTA CONDUCTORES'!CI420="X",1,0)</f>
        <v>0</v>
      </c>
      <c r="CB420" s="15">
        <f>IF('ENCUESTA CONDUCTORES'!CJ420="X",1,0)</f>
        <v>0</v>
      </c>
      <c r="CC420" s="15">
        <f>IF('ENCUESTA CONDUCTORES'!CK420="X",1,0)</f>
        <v>1</v>
      </c>
      <c r="CD420" s="15">
        <f>IF('ENCUESTA CONDUCTORES'!CL420="X",1,0)</f>
        <v>0</v>
      </c>
      <c r="CE420" s="15">
        <f>IF('ENCUESTA CONDUCTORES'!CM420="X",1,0)</f>
        <v>0</v>
      </c>
      <c r="CF420" s="15">
        <f>+'ENCUESTA CONDUCTORES'!CN420</f>
        <v>0</v>
      </c>
      <c r="CG420" s="15">
        <f>IF('ENCUESTA CONDUCTORES'!CO420="X",1,0)</f>
        <v>0</v>
      </c>
      <c r="CH420" s="15" t="str">
        <f>+'ENCUESTA CONDUCTORES'!CP420</f>
        <v>NO SABE</v>
      </c>
      <c r="CI420" s="15" t="str">
        <f>+'ENCUESTA CONDUCTORES'!CQ420</f>
        <v>NO SABE</v>
      </c>
      <c r="CJ420" s="15">
        <f>IF('ENCUESTA CONDUCTORES'!CR420="X",1,0)</f>
        <v>1</v>
      </c>
      <c r="CK420" s="15">
        <f>IF('ENCUESTA CONDUCTORES'!CS420="X",1,0)</f>
        <v>0</v>
      </c>
      <c r="CL420" s="15">
        <f>IF('ENCUESTA CONDUCTORES'!CT420="X",1,0)</f>
        <v>0</v>
      </c>
      <c r="CM420" s="15">
        <f>+'ENCUESTA CONDUCTORES'!CU420</f>
        <v>0</v>
      </c>
      <c r="CN420" s="15">
        <f>IF('ENCUESTA CONDUCTORES'!CV420="X",1,0)</f>
        <v>0</v>
      </c>
      <c r="CO420" s="15">
        <f>+'ENCUESTA CONDUCTORES'!CW420</f>
        <v>0</v>
      </c>
      <c r="CP420" s="15">
        <f>IF('ENCUESTA CONDUCTORES'!CX420="X",1,0)</f>
        <v>0</v>
      </c>
      <c r="CQ420" s="15">
        <f>IF('ENCUESTA CONDUCTORES'!CY420="X",1,0)</f>
        <v>1</v>
      </c>
      <c r="CR420" s="3">
        <f>+'ENCUESTA CONDUCTORES'!CZ420</f>
        <v>0</v>
      </c>
      <c r="CS420" s="49">
        <f>+'ENCUESTA CONDUCTORES'!DA420</f>
        <v>0</v>
      </c>
    </row>
    <row r="421" spans="2:97" x14ac:dyDescent="0.25">
      <c r="B421" s="14" t="str">
        <f>+'ENCUESTA CONDUCTORES'!D421</f>
        <v>C-432</v>
      </c>
      <c r="C421" s="15">
        <f>IF('ENCUESTA CONDUCTORES'!E421="X",1,0)</f>
        <v>0</v>
      </c>
      <c r="D421" s="15">
        <f>IF('ENCUESTA CONDUCTORES'!F421="X",1,0)</f>
        <v>0</v>
      </c>
      <c r="E421" s="15">
        <f>IF('ENCUESTA CONDUCTORES'!G421="X",1,0)</f>
        <v>1</v>
      </c>
      <c r="F421" s="15">
        <f>IF('ENCUESTA CONDUCTORES'!H421="X",1,0)</f>
        <v>0</v>
      </c>
      <c r="G421" s="15">
        <f>+'ENCUESTA CONDUCTORES'!I421</f>
        <v>40</v>
      </c>
      <c r="H421" s="15" t="str">
        <f>+'ENCUESTA CONDUCTORES'!J421</f>
        <v>M</v>
      </c>
      <c r="I421" s="15" t="str">
        <f>+'ENCUESTA CONDUCTORES'!K421</f>
        <v>SECUNDARIA</v>
      </c>
      <c r="J421" s="15" t="str">
        <f>+'ENCUESTA CONDUCTORES'!L421</f>
        <v>MUSQUIZ, COHAUILA</v>
      </c>
      <c r="K421" s="15" t="str">
        <f>+'ENCUESTA CONDUCTORES'!M421</f>
        <v>MUSQUIZ</v>
      </c>
      <c r="L421" s="15" t="str">
        <f>+'ENCUESTA CONDUCTORES'!N421</f>
        <v>COAHUILA</v>
      </c>
      <c r="M421" s="15">
        <f>+'ENCUESTA CONDUCTORES'!O421</f>
        <v>17</v>
      </c>
      <c r="N421" s="15">
        <f>IF('ENCUESTA CONDUCTORES'!P421="X",1,0)</f>
        <v>0</v>
      </c>
      <c r="O421" s="15">
        <f>IF('ENCUESTA CONDUCTORES'!Q421="X",1,0)</f>
        <v>0</v>
      </c>
      <c r="P421" s="15">
        <f>IF('ENCUESTA CONDUCTORES'!R421="X",1,0)</f>
        <v>0</v>
      </c>
      <c r="Q421" s="15">
        <f>IF('ENCUESTA CONDUCTORES'!S421="X",1,0)</f>
        <v>1</v>
      </c>
      <c r="R421" s="15">
        <f>IF('ENCUESTA CONDUCTORES'!T421="X",1,0)</f>
        <v>0</v>
      </c>
      <c r="S421" s="15">
        <f>IF('ENCUESTA CONDUCTORES'!U421="X",1,0)</f>
        <v>1</v>
      </c>
      <c r="T421" s="15">
        <f>IF('ENCUESTA CONDUCTORES'!V421="X",1,0)</f>
        <v>0</v>
      </c>
      <c r="U421" s="15">
        <f>IF('ENCUESTA CONDUCTORES'!W421="X",1,0)</f>
        <v>0</v>
      </c>
      <c r="V421" s="15">
        <f>IF('ENCUESTA CONDUCTORES'!X421="X",1,0)</f>
        <v>0</v>
      </c>
      <c r="W421" s="15">
        <f>IF('ENCUESTA CONDUCTORES'!Y421="X",1,0)</f>
        <v>0</v>
      </c>
      <c r="X421" s="15">
        <f>IF('ENCUESTA CONDUCTORES'!Z421="X",1,0)</f>
        <v>0</v>
      </c>
      <c r="Y421" s="15">
        <f>+'ENCUESTA CONDUCTORES'!AG421</f>
        <v>0</v>
      </c>
      <c r="Z421" s="15">
        <f>+'ENCUESTA CONDUCTORES'!AH421</f>
        <v>1998</v>
      </c>
      <c r="AA421" s="1" t="str">
        <f>+'ENCUESTA CONDUCTORES'!AI421</f>
        <v>NO SABE</v>
      </c>
      <c r="AB421" s="15">
        <f>IF('ENCUESTA CONDUCTORES'!AJ421="X",1,0)</f>
        <v>0</v>
      </c>
      <c r="AC421" s="15">
        <f>IF('ENCUESTA CONDUCTORES'!AK421="X",1,0)</f>
        <v>0</v>
      </c>
      <c r="AD421" s="15">
        <f>IF('ENCUESTA CONDUCTORES'!AL421="X",1,0)</f>
        <v>1</v>
      </c>
      <c r="AE421" s="15">
        <f>IF('ENCUESTA CONDUCTORES'!AM421="X",1,0)</f>
        <v>0</v>
      </c>
      <c r="AF421" s="15">
        <f>IF('ENCUESTA CONDUCTORES'!AN421="X",1,0)</f>
        <v>0</v>
      </c>
      <c r="AG421" s="15">
        <f>IF('ENCUESTA CONDUCTORES'!AO421="X",1,0)</f>
        <v>0</v>
      </c>
      <c r="AH421" s="15">
        <f>IF('ENCUESTA CONDUCTORES'!AP421="X",1,0)</f>
        <v>1</v>
      </c>
      <c r="AI421" s="15">
        <f>IF('ENCUESTA CONDUCTORES'!AQ421="X",1,0)</f>
        <v>0</v>
      </c>
      <c r="AJ421" s="15">
        <f>IF('ENCUESTA CONDUCTORES'!AR421="X",1,0)</f>
        <v>0</v>
      </c>
      <c r="AK421" s="15">
        <f>+'ENCUESTA CONDUCTORES'!AS421</f>
        <v>0</v>
      </c>
      <c r="AL421" s="15" t="str">
        <f>+'ENCUESTA CONDUCTORES'!AT421</f>
        <v>CUMMINS</v>
      </c>
      <c r="AM421" s="1">
        <f>+'ENCUESTA CONDUCTORES'!AU421</f>
        <v>10000</v>
      </c>
      <c r="AN421" s="48">
        <f>+'ENCUESTA CONDUCTORES'!AV421</f>
        <v>0.1</v>
      </c>
      <c r="AO421" s="15">
        <f>+'ENCUESTA CONDUCTORES'!AW421</f>
        <v>2.7</v>
      </c>
      <c r="AP421" s="15">
        <f>+'ENCUESTA CONDUCTORES'!AX421</f>
        <v>2.5</v>
      </c>
      <c r="AQ421" s="15">
        <f>+'ENCUESTA CONDUCTORES'!AY421</f>
        <v>2</v>
      </c>
      <c r="AR421" s="15">
        <f>+'ENCUESTA CONDUCTORES'!AZ421</f>
        <v>920</v>
      </c>
      <c r="AS421" s="15">
        <f>+'ENCUESTA CONDUCTORES'!BA421</f>
        <v>2400</v>
      </c>
      <c r="AT421" s="15">
        <f>IF('ENCUESTA CONDUCTORES'!BB421="X",1,0)</f>
        <v>1</v>
      </c>
      <c r="AU421" s="15">
        <f>IF('ENCUESTA CONDUCTORES'!BC421="X",1,0)</f>
        <v>1</v>
      </c>
      <c r="AV421" s="15">
        <f>IF('ENCUESTA CONDUCTORES'!BD421="X",1,0)</f>
        <v>0</v>
      </c>
      <c r="AW421" s="1">
        <f>+'ENCUESTA CONDUCTORES'!BE421</f>
        <v>18000</v>
      </c>
      <c r="AX421" s="1" t="str">
        <f>+'ENCUESTA CONDUCTORES'!BF421</f>
        <v>NO SABE</v>
      </c>
      <c r="AY421" s="1">
        <f>+'ENCUESTA CONDUCTORES'!BG421</f>
        <v>36000</v>
      </c>
      <c r="AZ421" s="1" t="str">
        <f>+'ENCUESTA CONDUCTORES'!BH421</f>
        <v>NO SABE</v>
      </c>
      <c r="BA421" s="1" t="str">
        <f>+'ENCUESTA CONDUCTORES'!BI421</f>
        <v>NO SABE</v>
      </c>
      <c r="BB421" s="15">
        <f>IF('ENCUESTA CONDUCTORES'!BJ421="X",1,0)</f>
        <v>0</v>
      </c>
      <c r="BC421" s="15">
        <f>IF('ENCUESTA CONDUCTORES'!BK421="X",1,0)</f>
        <v>0</v>
      </c>
      <c r="BD421" s="15">
        <f>IF('ENCUESTA CONDUCTORES'!BL421="X",1,0)</f>
        <v>0</v>
      </c>
      <c r="BE421" s="15">
        <f>IF('ENCUESTA CONDUCTORES'!BM421="X",1,0)</f>
        <v>0</v>
      </c>
      <c r="BF421" s="15">
        <f>IF('ENCUESTA CONDUCTORES'!BN421="X",1,0)</f>
        <v>1</v>
      </c>
      <c r="BG421" s="15">
        <f>IF('ENCUESTA CONDUCTORES'!BO421="X",1,0)</f>
        <v>0</v>
      </c>
      <c r="BH421" s="15">
        <f>IF('ENCUESTA CONDUCTORES'!BP421="X",1,0)</f>
        <v>1</v>
      </c>
      <c r="BI421" s="15">
        <f>IF('ENCUESTA CONDUCTORES'!BQ421="X",1,0)</f>
        <v>0</v>
      </c>
      <c r="BJ421" s="15">
        <f>IF('ENCUESTA CONDUCTORES'!BR421="X",1,0)</f>
        <v>0</v>
      </c>
      <c r="BK421" s="15">
        <f>+'ENCUESTA CONDUCTORES'!BS421</f>
        <v>0</v>
      </c>
      <c r="BL421" s="15">
        <f>IF('ENCUESTA CONDUCTORES'!BT421="X",1,0)</f>
        <v>0</v>
      </c>
      <c r="BM421" s="15">
        <f>IF('ENCUESTA CONDUCTORES'!BU421="X",1,0)</f>
        <v>1</v>
      </c>
      <c r="BN421" s="15">
        <f>IF('ENCUESTA CONDUCTORES'!BV421="X",1,0)</f>
        <v>0</v>
      </c>
      <c r="BO421" s="15">
        <f>IF('ENCUESTA CONDUCTORES'!BW421="X",1,0)</f>
        <v>0</v>
      </c>
      <c r="BP421" s="15">
        <f>+'ENCUESTA CONDUCTORES'!BX421</f>
        <v>1</v>
      </c>
      <c r="BQ421" s="15">
        <f>+'ENCUESTA CONDUCTORES'!BY421</f>
        <v>3</v>
      </c>
      <c r="BR421" s="15">
        <f>+'ENCUESTA CONDUCTORES'!BZ421</f>
        <v>2</v>
      </c>
      <c r="BS421" s="15">
        <f>+'ENCUESTA CONDUCTORES'!CA421</f>
        <v>0</v>
      </c>
      <c r="BT421" s="15">
        <f>IF('ENCUESTA CONDUCTORES'!CB421="X",1,0)</f>
        <v>1</v>
      </c>
      <c r="BU421" s="15">
        <f>IF('ENCUESTA CONDUCTORES'!CC421="X",1,0)</f>
        <v>0</v>
      </c>
      <c r="BV421" s="15">
        <f>IF('ENCUESTA CONDUCTORES'!CD421="X",1,0)</f>
        <v>0</v>
      </c>
      <c r="BW421" s="15">
        <f>IF('ENCUESTA CONDUCTORES'!CE421="X",1,0)</f>
        <v>0</v>
      </c>
      <c r="BX421" s="15">
        <f>IF('ENCUESTA CONDUCTORES'!CF421="X",1,0)</f>
        <v>0</v>
      </c>
      <c r="BY421" s="15">
        <f>IF('ENCUESTA CONDUCTORES'!CG421="X",1,0)</f>
        <v>0</v>
      </c>
      <c r="BZ421" s="15">
        <f>IF('ENCUESTA CONDUCTORES'!CH421="X",1,0)</f>
        <v>0</v>
      </c>
      <c r="CA421" s="15">
        <f>IF('ENCUESTA CONDUCTORES'!CI421="X",1,0)</f>
        <v>0</v>
      </c>
      <c r="CB421" s="15">
        <f>IF('ENCUESTA CONDUCTORES'!CJ421="X",1,0)</f>
        <v>0</v>
      </c>
      <c r="CC421" s="15">
        <f>IF('ENCUESTA CONDUCTORES'!CK421="X",1,0)</f>
        <v>1</v>
      </c>
      <c r="CD421" s="15">
        <f>IF('ENCUESTA CONDUCTORES'!CL421="X",1,0)</f>
        <v>0</v>
      </c>
      <c r="CE421" s="15">
        <f>IF('ENCUESTA CONDUCTORES'!CM421="X",1,0)</f>
        <v>0</v>
      </c>
      <c r="CF421" s="15">
        <f>+'ENCUESTA CONDUCTORES'!CN421</f>
        <v>0</v>
      </c>
      <c r="CG421" s="15">
        <f>IF('ENCUESTA CONDUCTORES'!CO421="X",1,0)</f>
        <v>0</v>
      </c>
      <c r="CH421" s="15" t="str">
        <f>+'ENCUESTA CONDUCTORES'!CP421</f>
        <v>NO SABE</v>
      </c>
      <c r="CI421" s="15" t="str">
        <f>+'ENCUESTA CONDUCTORES'!CQ421</f>
        <v>NO SABE</v>
      </c>
      <c r="CJ421" s="15">
        <f>IF('ENCUESTA CONDUCTORES'!CR421="X",1,0)</f>
        <v>1</v>
      </c>
      <c r="CK421" s="15">
        <f>IF('ENCUESTA CONDUCTORES'!CS421="X",1,0)</f>
        <v>0</v>
      </c>
      <c r="CL421" s="15">
        <f>IF('ENCUESTA CONDUCTORES'!CT421="X",1,0)</f>
        <v>0</v>
      </c>
      <c r="CM421" s="15">
        <f>+'ENCUESTA CONDUCTORES'!CU421</f>
        <v>0</v>
      </c>
      <c r="CN421" s="15">
        <f>IF('ENCUESTA CONDUCTORES'!CV421="X",1,0)</f>
        <v>0</v>
      </c>
      <c r="CO421" s="15">
        <f>+'ENCUESTA CONDUCTORES'!CW421</f>
        <v>0</v>
      </c>
      <c r="CP421" s="15">
        <f>IF('ENCUESTA CONDUCTORES'!CX421="X",1,0)</f>
        <v>0</v>
      </c>
      <c r="CQ421" s="15">
        <f>IF('ENCUESTA CONDUCTORES'!CY421="X",1,0)</f>
        <v>1</v>
      </c>
      <c r="CR421" s="3">
        <f>+'ENCUESTA CONDUCTORES'!CZ421</f>
        <v>0</v>
      </c>
      <c r="CS421" s="49">
        <f>+'ENCUESTA CONDUCTORES'!DA421</f>
        <v>0</v>
      </c>
    </row>
    <row r="422" spans="2:97" x14ac:dyDescent="0.25">
      <c r="B422" s="14" t="str">
        <f>+'ENCUESTA CONDUCTORES'!D422</f>
        <v>C-433</v>
      </c>
      <c r="C422" s="15">
        <f>IF('ENCUESTA CONDUCTORES'!E422="X",1,0)</f>
        <v>0</v>
      </c>
      <c r="D422" s="15">
        <f>IF('ENCUESTA CONDUCTORES'!F422="X",1,0)</f>
        <v>0</v>
      </c>
      <c r="E422" s="15">
        <f>IF('ENCUESTA CONDUCTORES'!G422="X",1,0)</f>
        <v>1</v>
      </c>
      <c r="F422" s="15">
        <f>IF('ENCUESTA CONDUCTORES'!H422="X",1,0)</f>
        <v>0</v>
      </c>
      <c r="G422" s="15">
        <f>+'ENCUESTA CONDUCTORES'!I422</f>
        <v>37</v>
      </c>
      <c r="H422" s="15" t="str">
        <f>+'ENCUESTA CONDUCTORES'!J422</f>
        <v>M</v>
      </c>
      <c r="I422" s="15" t="str">
        <f>+'ENCUESTA CONDUCTORES'!K422</f>
        <v>PRIMARIA</v>
      </c>
      <c r="J422" s="15" t="str">
        <f>+'ENCUESTA CONDUCTORES'!L422</f>
        <v>SAN LUIS POTOSI, SLP</v>
      </c>
      <c r="K422" s="15" t="str">
        <f>+'ENCUESTA CONDUCTORES'!M422</f>
        <v>SAN LUIS POTOSI</v>
      </c>
      <c r="L422" s="15" t="str">
        <f>+'ENCUESTA CONDUCTORES'!N422</f>
        <v>SAN LUIS POTOSI</v>
      </c>
      <c r="M422" s="15">
        <f>+'ENCUESTA CONDUCTORES'!O422</f>
        <v>15</v>
      </c>
      <c r="N422" s="15">
        <f>IF('ENCUESTA CONDUCTORES'!P422="X",1,0)</f>
        <v>0</v>
      </c>
      <c r="O422" s="15">
        <f>IF('ENCUESTA CONDUCTORES'!Q422="X",1,0)</f>
        <v>0</v>
      </c>
      <c r="P422" s="15">
        <f>IF('ENCUESTA CONDUCTORES'!R422="X",1,0)</f>
        <v>0</v>
      </c>
      <c r="Q422" s="15">
        <f>IF('ENCUESTA CONDUCTORES'!S422="X",1,0)</f>
        <v>1</v>
      </c>
      <c r="R422" s="15">
        <f>IF('ENCUESTA CONDUCTORES'!T422="X",1,0)</f>
        <v>0</v>
      </c>
      <c r="S422" s="15">
        <f>IF('ENCUESTA CONDUCTORES'!U422="X",1,0)</f>
        <v>1</v>
      </c>
      <c r="T422" s="15">
        <f>IF('ENCUESTA CONDUCTORES'!V422="X",1,0)</f>
        <v>0</v>
      </c>
      <c r="U422" s="15">
        <f>IF('ENCUESTA CONDUCTORES'!W422="X",1,0)</f>
        <v>0</v>
      </c>
      <c r="V422" s="15">
        <f>IF('ENCUESTA CONDUCTORES'!X422="X",1,0)</f>
        <v>0</v>
      </c>
      <c r="W422" s="15">
        <f>IF('ENCUESTA CONDUCTORES'!Y422="X",1,0)</f>
        <v>0</v>
      </c>
      <c r="X422" s="15">
        <f>IF('ENCUESTA CONDUCTORES'!Z422="X",1,0)</f>
        <v>0</v>
      </c>
      <c r="Y422" s="15">
        <f>+'ENCUESTA CONDUCTORES'!AG422</f>
        <v>0</v>
      </c>
      <c r="Z422" s="15">
        <f>+'ENCUESTA CONDUCTORES'!AH422</f>
        <v>2006</v>
      </c>
      <c r="AA422" s="1">
        <f>+'ENCUESTA CONDUCTORES'!AI422</f>
        <v>782315</v>
      </c>
      <c r="AB422" s="15">
        <f>IF('ENCUESTA CONDUCTORES'!AJ422="X",1,0)</f>
        <v>0</v>
      </c>
      <c r="AC422" s="15">
        <f>IF('ENCUESTA CONDUCTORES'!AK422="X",1,0)</f>
        <v>0</v>
      </c>
      <c r="AD422" s="15">
        <f>IF('ENCUESTA CONDUCTORES'!AL422="X",1,0)</f>
        <v>1</v>
      </c>
      <c r="AE422" s="15">
        <f>IF('ENCUESTA CONDUCTORES'!AM422="X",1,0)</f>
        <v>0</v>
      </c>
      <c r="AF422" s="15">
        <f>IF('ENCUESTA CONDUCTORES'!AN422="X",1,0)</f>
        <v>0</v>
      </c>
      <c r="AG422" s="15">
        <f>IF('ENCUESTA CONDUCTORES'!AO422="X",1,0)</f>
        <v>0</v>
      </c>
      <c r="AH422" s="15">
        <f>IF('ENCUESTA CONDUCTORES'!AP422="X",1,0)</f>
        <v>1</v>
      </c>
      <c r="AI422" s="15">
        <f>IF('ENCUESTA CONDUCTORES'!AQ422="X",1,0)</f>
        <v>0</v>
      </c>
      <c r="AJ422" s="15">
        <f>IF('ENCUESTA CONDUCTORES'!AR422="X",1,0)</f>
        <v>0</v>
      </c>
      <c r="AK422" s="15">
        <f>+'ENCUESTA CONDUCTORES'!AS422</f>
        <v>0</v>
      </c>
      <c r="AL422" s="15" t="str">
        <f>+'ENCUESTA CONDUCTORES'!AT422</f>
        <v>DETROIT</v>
      </c>
      <c r="AM422" s="1">
        <f>+'ENCUESTA CONDUCTORES'!AU422</f>
        <v>8000</v>
      </c>
      <c r="AN422" s="48">
        <f>+'ENCUESTA CONDUCTORES'!AV422</f>
        <v>0.5</v>
      </c>
      <c r="AO422" s="15">
        <f>+'ENCUESTA CONDUCTORES'!AW422</f>
        <v>2.7</v>
      </c>
      <c r="AP422" s="15">
        <f>+'ENCUESTA CONDUCTORES'!AX422</f>
        <v>2.4</v>
      </c>
      <c r="AQ422" s="15">
        <f>+'ENCUESTA CONDUCTORES'!AY422</f>
        <v>2</v>
      </c>
      <c r="AR422" s="15">
        <f>+'ENCUESTA CONDUCTORES'!AZ422</f>
        <v>830</v>
      </c>
      <c r="AS422" s="15">
        <f>+'ENCUESTA CONDUCTORES'!BA422</f>
        <v>2150</v>
      </c>
      <c r="AT422" s="15">
        <f>IF('ENCUESTA CONDUCTORES'!BB422="X",1,0)</f>
        <v>1</v>
      </c>
      <c r="AU422" s="15">
        <f>IF('ENCUESTA CONDUCTORES'!BC422="X",1,0)</f>
        <v>0</v>
      </c>
      <c r="AV422" s="15">
        <f>IF('ENCUESTA CONDUCTORES'!BD422="X",1,0)</f>
        <v>0</v>
      </c>
      <c r="AW422" s="1">
        <f>+'ENCUESTA CONDUCTORES'!BE422</f>
        <v>20000</v>
      </c>
      <c r="AX422" s="1">
        <f>+'ENCUESTA CONDUCTORES'!BF422</f>
        <v>12000</v>
      </c>
      <c r="AY422" s="1">
        <f>+'ENCUESTA CONDUCTORES'!BG422</f>
        <v>40000</v>
      </c>
      <c r="AZ422" s="1">
        <f>+'ENCUESTA CONDUCTORES'!BH422</f>
        <v>130000</v>
      </c>
      <c r="BA422" s="1">
        <f>+'ENCUESTA CONDUCTORES'!BI422</f>
        <v>40000</v>
      </c>
      <c r="BB422" s="15">
        <f>IF('ENCUESTA CONDUCTORES'!BJ422="X",1,0)</f>
        <v>0</v>
      </c>
      <c r="BC422" s="15">
        <f>IF('ENCUESTA CONDUCTORES'!BK422="X",1,0)</f>
        <v>0</v>
      </c>
      <c r="BD422" s="15">
        <f>IF('ENCUESTA CONDUCTORES'!BL422="X",1,0)</f>
        <v>0</v>
      </c>
      <c r="BE422" s="15">
        <f>IF('ENCUESTA CONDUCTORES'!BM422="X",1,0)</f>
        <v>0</v>
      </c>
      <c r="BF422" s="15">
        <f>IF('ENCUESTA CONDUCTORES'!BN422="X",1,0)</f>
        <v>1</v>
      </c>
      <c r="BG422" s="15">
        <f>IF('ENCUESTA CONDUCTORES'!BO422="X",1,0)</f>
        <v>0</v>
      </c>
      <c r="BH422" s="15">
        <f>IF('ENCUESTA CONDUCTORES'!BP422="X",1,0)</f>
        <v>0</v>
      </c>
      <c r="BI422" s="15">
        <f>IF('ENCUESTA CONDUCTORES'!BQ422="X",1,0)</f>
        <v>0</v>
      </c>
      <c r="BJ422" s="15">
        <f>IF('ENCUESTA CONDUCTORES'!BR422="X",1,0)</f>
        <v>0</v>
      </c>
      <c r="BK422" s="15">
        <f>+'ENCUESTA CONDUCTORES'!BS422</f>
        <v>0</v>
      </c>
      <c r="BL422" s="15">
        <f>IF('ENCUESTA CONDUCTORES'!BT422="X",1,0)</f>
        <v>0</v>
      </c>
      <c r="BM422" s="15">
        <f>IF('ENCUESTA CONDUCTORES'!BU422="X",1,0)</f>
        <v>0</v>
      </c>
      <c r="BN422" s="15">
        <f>IF('ENCUESTA CONDUCTORES'!BV422="X",1,0)</f>
        <v>1</v>
      </c>
      <c r="BO422" s="15">
        <f>IF('ENCUESTA CONDUCTORES'!BW422="X",1,0)</f>
        <v>0</v>
      </c>
      <c r="BP422" s="15">
        <f>+'ENCUESTA CONDUCTORES'!BX422</f>
        <v>1</v>
      </c>
      <c r="BQ422" s="15">
        <f>+'ENCUESTA CONDUCTORES'!BY422</f>
        <v>2</v>
      </c>
      <c r="BR422" s="15">
        <f>+'ENCUESTA CONDUCTORES'!BZ422</f>
        <v>3</v>
      </c>
      <c r="BS422" s="15">
        <f>+'ENCUESTA CONDUCTORES'!CA422</f>
        <v>0</v>
      </c>
      <c r="BT422" s="15">
        <f>IF('ENCUESTA CONDUCTORES'!CB422="X",1,0)</f>
        <v>1</v>
      </c>
      <c r="BU422" s="15">
        <f>IF('ENCUESTA CONDUCTORES'!CC422="X",1,0)</f>
        <v>0</v>
      </c>
      <c r="BV422" s="15">
        <f>IF('ENCUESTA CONDUCTORES'!CD422="X",1,0)</f>
        <v>0</v>
      </c>
      <c r="BW422" s="15">
        <f>IF('ENCUESTA CONDUCTORES'!CE422="X",1,0)</f>
        <v>0</v>
      </c>
      <c r="BX422" s="15">
        <f>IF('ENCUESTA CONDUCTORES'!CF422="X",1,0)</f>
        <v>0</v>
      </c>
      <c r="BY422" s="15">
        <f>IF('ENCUESTA CONDUCTORES'!CG422="X",1,0)</f>
        <v>0</v>
      </c>
      <c r="BZ422" s="15">
        <f>IF('ENCUESTA CONDUCTORES'!CH422="X",1,0)</f>
        <v>0</v>
      </c>
      <c r="CA422" s="15">
        <f>IF('ENCUESTA CONDUCTORES'!CI422="X",1,0)</f>
        <v>0</v>
      </c>
      <c r="CB422" s="15">
        <f>IF('ENCUESTA CONDUCTORES'!CJ422="X",1,0)</f>
        <v>0</v>
      </c>
      <c r="CC422" s="15">
        <f>IF('ENCUESTA CONDUCTORES'!CK422="X",1,0)</f>
        <v>1</v>
      </c>
      <c r="CD422" s="15">
        <f>IF('ENCUESTA CONDUCTORES'!CL422="X",1,0)</f>
        <v>0</v>
      </c>
      <c r="CE422" s="15">
        <f>IF('ENCUESTA CONDUCTORES'!CM422="X",1,0)</f>
        <v>0</v>
      </c>
      <c r="CF422" s="15">
        <f>+'ENCUESTA CONDUCTORES'!CN422</f>
        <v>0</v>
      </c>
      <c r="CG422" s="15">
        <f>IF('ENCUESTA CONDUCTORES'!CO422="X",1,0)</f>
        <v>0</v>
      </c>
      <c r="CH422" s="15" t="str">
        <f>+'ENCUESTA CONDUCTORES'!CP422</f>
        <v>NO SABE</v>
      </c>
      <c r="CI422" s="15" t="str">
        <f>+'ENCUESTA CONDUCTORES'!CQ422</f>
        <v>NO SABE</v>
      </c>
      <c r="CJ422" s="15">
        <f>IF('ENCUESTA CONDUCTORES'!CR422="X",1,0)</f>
        <v>0</v>
      </c>
      <c r="CK422" s="15">
        <f>IF('ENCUESTA CONDUCTORES'!CS422="X",1,0)</f>
        <v>0</v>
      </c>
      <c r="CL422" s="15">
        <f>IF('ENCUESTA CONDUCTORES'!CT422="X",1,0)</f>
        <v>1</v>
      </c>
      <c r="CM422" s="15">
        <f>+'ENCUESTA CONDUCTORES'!CU422</f>
        <v>0</v>
      </c>
      <c r="CN422" s="15">
        <f>IF('ENCUESTA CONDUCTORES'!CV422="X",1,0)</f>
        <v>0</v>
      </c>
      <c r="CO422" s="15">
        <f>+'ENCUESTA CONDUCTORES'!CW422</f>
        <v>0</v>
      </c>
      <c r="CP422" s="15">
        <f>IF('ENCUESTA CONDUCTORES'!CX422="X",1,0)</f>
        <v>1</v>
      </c>
      <c r="CQ422" s="15">
        <f>IF('ENCUESTA CONDUCTORES'!CY422="X",1,0)</f>
        <v>0</v>
      </c>
      <c r="CR422" s="3">
        <f>+'ENCUESTA CONDUCTORES'!CZ422</f>
        <v>0</v>
      </c>
      <c r="CS422" s="49">
        <f>+'ENCUESTA CONDUCTORES'!DA422</f>
        <v>0</v>
      </c>
    </row>
    <row r="423" spans="2:97" x14ac:dyDescent="0.25">
      <c r="B423" s="14" t="str">
        <f>+'ENCUESTA CONDUCTORES'!D423</f>
        <v>C-434</v>
      </c>
      <c r="C423" s="15">
        <f>IF('ENCUESTA CONDUCTORES'!E423="X",1,0)</f>
        <v>0</v>
      </c>
      <c r="D423" s="15">
        <f>IF('ENCUESTA CONDUCTORES'!F423="X",1,0)</f>
        <v>0</v>
      </c>
      <c r="E423" s="15">
        <f>IF('ENCUESTA CONDUCTORES'!G423="X",1,0)</f>
        <v>1</v>
      </c>
      <c r="F423" s="15">
        <f>IF('ENCUESTA CONDUCTORES'!H423="X",1,0)</f>
        <v>0</v>
      </c>
      <c r="G423" s="15">
        <f>+'ENCUESTA CONDUCTORES'!I423</f>
        <v>40</v>
      </c>
      <c r="H423" s="15" t="str">
        <f>+'ENCUESTA CONDUCTORES'!J423</f>
        <v>M</v>
      </c>
      <c r="I423" s="15" t="str">
        <f>+'ENCUESTA CONDUCTORES'!K423</f>
        <v>SECUNDARIA</v>
      </c>
      <c r="J423" s="15" t="str">
        <f>+'ENCUESTA CONDUCTORES'!L423</f>
        <v>CD. DELICIAS, CHIHUAHUA</v>
      </c>
      <c r="K423" s="15" t="str">
        <f>+'ENCUESTA CONDUCTORES'!M423</f>
        <v>CD. DELICIAS</v>
      </c>
      <c r="L423" s="15" t="str">
        <f>+'ENCUESTA CONDUCTORES'!N423</f>
        <v>CHIHUAHUA</v>
      </c>
      <c r="M423" s="15">
        <f>+'ENCUESTA CONDUCTORES'!O423</f>
        <v>18</v>
      </c>
      <c r="N423" s="15">
        <f>IF('ENCUESTA CONDUCTORES'!P423="X",1,0)</f>
        <v>0</v>
      </c>
      <c r="O423" s="15">
        <f>IF('ENCUESTA CONDUCTORES'!Q423="X",1,0)</f>
        <v>0</v>
      </c>
      <c r="P423" s="15">
        <f>IF('ENCUESTA CONDUCTORES'!R423="X",1,0)</f>
        <v>0</v>
      </c>
      <c r="Q423" s="15">
        <f>IF('ENCUESTA CONDUCTORES'!S423="X",1,0)</f>
        <v>1</v>
      </c>
      <c r="R423" s="15">
        <f>IF('ENCUESTA CONDUCTORES'!T423="X",1,0)</f>
        <v>0</v>
      </c>
      <c r="S423" s="15">
        <f>IF('ENCUESTA CONDUCTORES'!U423="X",1,0)</f>
        <v>1</v>
      </c>
      <c r="T423" s="15">
        <f>IF('ENCUESTA CONDUCTORES'!V423="X",1,0)</f>
        <v>0</v>
      </c>
      <c r="U423" s="15">
        <f>IF('ENCUESTA CONDUCTORES'!W423="X",1,0)</f>
        <v>0</v>
      </c>
      <c r="V423" s="15">
        <f>IF('ENCUESTA CONDUCTORES'!X423="X",1,0)</f>
        <v>0</v>
      </c>
      <c r="W423" s="15">
        <f>IF('ENCUESTA CONDUCTORES'!Y423="X",1,0)</f>
        <v>0</v>
      </c>
      <c r="X423" s="15">
        <f>IF('ENCUESTA CONDUCTORES'!Z423="X",1,0)</f>
        <v>0</v>
      </c>
      <c r="Y423" s="15">
        <f>+'ENCUESTA CONDUCTORES'!AG423</f>
        <v>0</v>
      </c>
      <c r="Z423" s="15">
        <f>+'ENCUESTA CONDUCTORES'!AH423</f>
        <v>2003</v>
      </c>
      <c r="AA423" s="1">
        <f>+'ENCUESTA CONDUCTORES'!AI423</f>
        <v>953763</v>
      </c>
      <c r="AB423" s="15">
        <f>IF('ENCUESTA CONDUCTORES'!AJ423="X",1,0)</f>
        <v>0</v>
      </c>
      <c r="AC423" s="15">
        <f>IF('ENCUESTA CONDUCTORES'!AK423="X",1,0)</f>
        <v>0</v>
      </c>
      <c r="AD423" s="15">
        <f>IF('ENCUESTA CONDUCTORES'!AL423="X",1,0)</f>
        <v>1</v>
      </c>
      <c r="AE423" s="15">
        <f>IF('ENCUESTA CONDUCTORES'!AM423="X",1,0)</f>
        <v>0</v>
      </c>
      <c r="AF423" s="15">
        <f>IF('ENCUESTA CONDUCTORES'!AN423="X",1,0)</f>
        <v>0</v>
      </c>
      <c r="AG423" s="15">
        <f>IF('ENCUESTA CONDUCTORES'!AO423="X",1,0)</f>
        <v>0</v>
      </c>
      <c r="AH423" s="15">
        <f>IF('ENCUESTA CONDUCTORES'!AP423="X",1,0)</f>
        <v>1</v>
      </c>
      <c r="AI423" s="15">
        <f>IF('ENCUESTA CONDUCTORES'!AQ423="X",1,0)</f>
        <v>0</v>
      </c>
      <c r="AJ423" s="15">
        <f>IF('ENCUESTA CONDUCTORES'!AR423="X",1,0)</f>
        <v>0</v>
      </c>
      <c r="AK423" s="15">
        <f>+'ENCUESTA CONDUCTORES'!AS423</f>
        <v>0</v>
      </c>
      <c r="AL423" s="15" t="str">
        <f>+'ENCUESTA CONDUCTORES'!AT423</f>
        <v>CUMMINS</v>
      </c>
      <c r="AM423" s="1">
        <f>+'ENCUESTA CONDUCTORES'!AU423</f>
        <v>8000</v>
      </c>
      <c r="AN423" s="48">
        <f>+'ENCUESTA CONDUCTORES'!AV423</f>
        <v>0.5</v>
      </c>
      <c r="AO423" s="15">
        <f>+'ENCUESTA CONDUCTORES'!AW423</f>
        <v>2.7</v>
      </c>
      <c r="AP423" s="15">
        <f>+'ENCUESTA CONDUCTORES'!AX423</f>
        <v>2.4</v>
      </c>
      <c r="AQ423" s="15">
        <f>+'ENCUESTA CONDUCTORES'!AY423</f>
        <v>2</v>
      </c>
      <c r="AR423" s="15">
        <f>+'ENCUESTA CONDUCTORES'!AZ423</f>
        <v>860</v>
      </c>
      <c r="AS423" s="15">
        <f>+'ENCUESTA CONDUCTORES'!BA423</f>
        <v>2150</v>
      </c>
      <c r="AT423" s="15">
        <f>IF('ENCUESTA CONDUCTORES'!BB423="X",1,0)</f>
        <v>1</v>
      </c>
      <c r="AU423" s="15">
        <f>IF('ENCUESTA CONDUCTORES'!BC423="X",1,0)</f>
        <v>0</v>
      </c>
      <c r="AV423" s="15">
        <f>IF('ENCUESTA CONDUCTORES'!BD423="X",1,0)</f>
        <v>0</v>
      </c>
      <c r="AW423" s="1">
        <f>+'ENCUESTA CONDUCTORES'!BE423</f>
        <v>19000</v>
      </c>
      <c r="AX423" s="1" t="str">
        <f>+'ENCUESTA CONDUCTORES'!BF423</f>
        <v>NO SABE</v>
      </c>
      <c r="AY423" s="1">
        <f>+'ENCUESTA CONDUCTORES'!BG423</f>
        <v>40000</v>
      </c>
      <c r="AZ423" s="1">
        <f>+'ENCUESTA CONDUCTORES'!BH423</f>
        <v>120000</v>
      </c>
      <c r="BA423" s="1" t="str">
        <f>+'ENCUESTA CONDUCTORES'!BI423</f>
        <v>NO SABE</v>
      </c>
      <c r="BB423" s="15">
        <f>IF('ENCUESTA CONDUCTORES'!BJ423="X",1,0)</f>
        <v>0</v>
      </c>
      <c r="BC423" s="15">
        <f>IF('ENCUESTA CONDUCTORES'!BK423="X",1,0)</f>
        <v>0</v>
      </c>
      <c r="BD423" s="15">
        <f>IF('ENCUESTA CONDUCTORES'!BL423="X",1,0)</f>
        <v>0</v>
      </c>
      <c r="BE423" s="15">
        <f>IF('ENCUESTA CONDUCTORES'!BM423="X",1,0)</f>
        <v>0</v>
      </c>
      <c r="BF423" s="15">
        <f>IF('ENCUESTA CONDUCTORES'!BN423="X",1,0)</f>
        <v>1</v>
      </c>
      <c r="BG423" s="15">
        <f>IF('ENCUESTA CONDUCTORES'!BO423="X",1,0)</f>
        <v>0</v>
      </c>
      <c r="BH423" s="15">
        <f>IF('ENCUESTA CONDUCTORES'!BP423="X",1,0)</f>
        <v>1</v>
      </c>
      <c r="BI423" s="15">
        <f>IF('ENCUESTA CONDUCTORES'!BQ423="X",1,0)</f>
        <v>0</v>
      </c>
      <c r="BJ423" s="15">
        <f>IF('ENCUESTA CONDUCTORES'!BR423="X",1,0)</f>
        <v>0</v>
      </c>
      <c r="BK423" s="15">
        <f>+'ENCUESTA CONDUCTORES'!BS423</f>
        <v>0</v>
      </c>
      <c r="BL423" s="15">
        <f>IF('ENCUESTA CONDUCTORES'!BT423="X",1,0)</f>
        <v>0</v>
      </c>
      <c r="BM423" s="15">
        <f>IF('ENCUESTA CONDUCTORES'!BU423="X",1,0)</f>
        <v>0</v>
      </c>
      <c r="BN423" s="15">
        <f>IF('ENCUESTA CONDUCTORES'!BV423="X",1,0)</f>
        <v>1</v>
      </c>
      <c r="BO423" s="15">
        <f>IF('ENCUESTA CONDUCTORES'!BW423="X",1,0)</f>
        <v>0</v>
      </c>
      <c r="BP423" s="15">
        <f>+'ENCUESTA CONDUCTORES'!BX423</f>
        <v>1</v>
      </c>
      <c r="BQ423" s="15">
        <f>+'ENCUESTA CONDUCTORES'!BY423</f>
        <v>3</v>
      </c>
      <c r="BR423" s="15">
        <f>+'ENCUESTA CONDUCTORES'!BZ423</f>
        <v>2</v>
      </c>
      <c r="BS423" s="15">
        <f>+'ENCUESTA CONDUCTORES'!CA423</f>
        <v>0</v>
      </c>
      <c r="BT423" s="15">
        <f>IF('ENCUESTA CONDUCTORES'!CB423="X",1,0)</f>
        <v>1</v>
      </c>
      <c r="BU423" s="15">
        <f>IF('ENCUESTA CONDUCTORES'!CC423="X",1,0)</f>
        <v>0</v>
      </c>
      <c r="BV423" s="15">
        <f>IF('ENCUESTA CONDUCTORES'!CD423="X",1,0)</f>
        <v>0</v>
      </c>
      <c r="BW423" s="15">
        <f>IF('ENCUESTA CONDUCTORES'!CE423="X",1,0)</f>
        <v>0</v>
      </c>
      <c r="BX423" s="15">
        <f>IF('ENCUESTA CONDUCTORES'!CF423="X",1,0)</f>
        <v>0</v>
      </c>
      <c r="BY423" s="15">
        <f>IF('ENCUESTA CONDUCTORES'!CG423="X",1,0)</f>
        <v>0</v>
      </c>
      <c r="BZ423" s="15">
        <f>IF('ENCUESTA CONDUCTORES'!CH423="X",1,0)</f>
        <v>0</v>
      </c>
      <c r="CA423" s="15">
        <f>IF('ENCUESTA CONDUCTORES'!CI423="X",1,0)</f>
        <v>0</v>
      </c>
      <c r="CB423" s="15">
        <f>IF('ENCUESTA CONDUCTORES'!CJ423="X",1,0)</f>
        <v>0</v>
      </c>
      <c r="CC423" s="15">
        <f>IF('ENCUESTA CONDUCTORES'!CK423="X",1,0)</f>
        <v>1</v>
      </c>
      <c r="CD423" s="15">
        <f>IF('ENCUESTA CONDUCTORES'!CL423="X",1,0)</f>
        <v>0</v>
      </c>
      <c r="CE423" s="15">
        <f>IF('ENCUESTA CONDUCTORES'!CM423="X",1,0)</f>
        <v>0</v>
      </c>
      <c r="CF423" s="15">
        <f>+'ENCUESTA CONDUCTORES'!CN423</f>
        <v>0</v>
      </c>
      <c r="CG423" s="15">
        <f>IF('ENCUESTA CONDUCTORES'!CO423="X",1,0)</f>
        <v>0</v>
      </c>
      <c r="CH423" s="15" t="str">
        <f>+'ENCUESTA CONDUCTORES'!CP423</f>
        <v>NO SABE</v>
      </c>
      <c r="CI423" s="15" t="str">
        <f>+'ENCUESTA CONDUCTORES'!CQ423</f>
        <v>NO SABE</v>
      </c>
      <c r="CJ423" s="15">
        <f>IF('ENCUESTA CONDUCTORES'!CR423="X",1,0)</f>
        <v>1</v>
      </c>
      <c r="CK423" s="15">
        <f>IF('ENCUESTA CONDUCTORES'!CS423="X",1,0)</f>
        <v>0</v>
      </c>
      <c r="CL423" s="15">
        <f>IF('ENCUESTA CONDUCTORES'!CT423="X",1,0)</f>
        <v>0</v>
      </c>
      <c r="CM423" s="15">
        <f>+'ENCUESTA CONDUCTORES'!CU423</f>
        <v>0</v>
      </c>
      <c r="CN423" s="15">
        <f>IF('ENCUESTA CONDUCTORES'!CV423="X",1,0)</f>
        <v>0</v>
      </c>
      <c r="CO423" s="15">
        <f>+'ENCUESTA CONDUCTORES'!CW423</f>
        <v>0</v>
      </c>
      <c r="CP423" s="15">
        <f>IF('ENCUESTA CONDUCTORES'!CX423="X",1,0)</f>
        <v>1</v>
      </c>
      <c r="CQ423" s="15">
        <f>IF('ENCUESTA CONDUCTORES'!CY423="X",1,0)</f>
        <v>1</v>
      </c>
      <c r="CR423" s="3">
        <f>+'ENCUESTA CONDUCTORES'!CZ423</f>
        <v>0</v>
      </c>
      <c r="CS423" s="49">
        <f>+'ENCUESTA CONDUCTORES'!DA423</f>
        <v>0</v>
      </c>
    </row>
    <row r="424" spans="2:97" x14ac:dyDescent="0.25">
      <c r="B424" s="14" t="str">
        <f>+'ENCUESTA CONDUCTORES'!D424</f>
        <v>C-435</v>
      </c>
      <c r="C424" s="15">
        <f>IF('ENCUESTA CONDUCTORES'!E424="X",1,0)</f>
        <v>0</v>
      </c>
      <c r="D424" s="15">
        <f>IF('ENCUESTA CONDUCTORES'!F424="X",1,0)</f>
        <v>0</v>
      </c>
      <c r="E424" s="15">
        <f>IF('ENCUESTA CONDUCTORES'!G424="X",1,0)</f>
        <v>0</v>
      </c>
      <c r="F424" s="15">
        <f>IF('ENCUESTA CONDUCTORES'!H424="X",1,0)</f>
        <v>1</v>
      </c>
      <c r="G424" s="15">
        <f>+'ENCUESTA CONDUCTORES'!I424</f>
        <v>30</v>
      </c>
      <c r="H424" s="15" t="str">
        <f>+'ENCUESTA CONDUCTORES'!J424</f>
        <v>M</v>
      </c>
      <c r="I424" s="15" t="str">
        <f>+'ENCUESTA CONDUCTORES'!K424</f>
        <v>PREPARATORIA</v>
      </c>
      <c r="J424" s="15" t="str">
        <f>+'ENCUESTA CONDUCTORES'!L424</f>
        <v>TLAQUEPAQUE, JAL</v>
      </c>
      <c r="K424" s="15" t="str">
        <f>+'ENCUESTA CONDUCTORES'!M424</f>
        <v>TLAQUEPAQUE</v>
      </c>
      <c r="L424" s="15" t="str">
        <f>+'ENCUESTA CONDUCTORES'!N424</f>
        <v>JALISCO</v>
      </c>
      <c r="M424" s="15">
        <f>+'ENCUESTA CONDUCTORES'!O424</f>
        <v>12</v>
      </c>
      <c r="N424" s="15">
        <f>IF('ENCUESTA CONDUCTORES'!P424="X",1,0)</f>
        <v>0</v>
      </c>
      <c r="O424" s="15">
        <f>IF('ENCUESTA CONDUCTORES'!Q424="X",1,0)</f>
        <v>0</v>
      </c>
      <c r="P424" s="15">
        <f>IF('ENCUESTA CONDUCTORES'!R424="X",1,0)</f>
        <v>0</v>
      </c>
      <c r="Q424" s="15">
        <f>IF('ENCUESTA CONDUCTORES'!S424="X",1,0)</f>
        <v>1</v>
      </c>
      <c r="R424" s="15">
        <f>IF('ENCUESTA CONDUCTORES'!T424="X",1,0)</f>
        <v>0</v>
      </c>
      <c r="S424" s="15">
        <f>IF('ENCUESTA CONDUCTORES'!U424="X",1,0)</f>
        <v>1</v>
      </c>
      <c r="T424" s="15">
        <f>IF('ENCUESTA CONDUCTORES'!V424="X",1,0)</f>
        <v>0</v>
      </c>
      <c r="U424" s="15">
        <f>IF('ENCUESTA CONDUCTORES'!W424="X",1,0)</f>
        <v>0</v>
      </c>
      <c r="V424" s="15">
        <f>IF('ENCUESTA CONDUCTORES'!X424="X",1,0)</f>
        <v>0</v>
      </c>
      <c r="W424" s="15">
        <f>IF('ENCUESTA CONDUCTORES'!Y424="X",1,0)</f>
        <v>0</v>
      </c>
      <c r="X424" s="15">
        <f>IF('ENCUESTA CONDUCTORES'!Z424="X",1,0)</f>
        <v>0</v>
      </c>
      <c r="Y424" s="15">
        <f>+'ENCUESTA CONDUCTORES'!AG424</f>
        <v>0</v>
      </c>
      <c r="Z424" s="15">
        <f>+'ENCUESTA CONDUCTORES'!AH424</f>
        <v>2004</v>
      </c>
      <c r="AA424" s="1">
        <f>+'ENCUESTA CONDUCTORES'!AI424</f>
        <v>829615</v>
      </c>
      <c r="AB424" s="15">
        <f>IF('ENCUESTA CONDUCTORES'!AJ424="X",1,0)</f>
        <v>0</v>
      </c>
      <c r="AC424" s="15">
        <f>IF('ENCUESTA CONDUCTORES'!AK424="X",1,0)</f>
        <v>0</v>
      </c>
      <c r="AD424" s="15">
        <f>IF('ENCUESTA CONDUCTORES'!AL424="X",1,0)</f>
        <v>1</v>
      </c>
      <c r="AE424" s="15">
        <f>IF('ENCUESTA CONDUCTORES'!AM424="X",1,0)</f>
        <v>0</v>
      </c>
      <c r="AF424" s="15">
        <f>IF('ENCUESTA CONDUCTORES'!AN424="X",1,0)</f>
        <v>0</v>
      </c>
      <c r="AG424" s="15">
        <f>IF('ENCUESTA CONDUCTORES'!AO424="X",1,0)</f>
        <v>0</v>
      </c>
      <c r="AH424" s="15">
        <f>IF('ENCUESTA CONDUCTORES'!AP424="X",1,0)</f>
        <v>1</v>
      </c>
      <c r="AI424" s="15">
        <f>IF('ENCUESTA CONDUCTORES'!AQ424="X",1,0)</f>
        <v>0</v>
      </c>
      <c r="AJ424" s="15">
        <f>IF('ENCUESTA CONDUCTORES'!AR424="X",1,0)</f>
        <v>0</v>
      </c>
      <c r="AK424" s="15">
        <f>+'ENCUESTA CONDUCTORES'!AS424</f>
        <v>0</v>
      </c>
      <c r="AL424" s="15" t="str">
        <f>+'ENCUESTA CONDUCTORES'!AT424</f>
        <v>CUMMINS</v>
      </c>
      <c r="AM424" s="1">
        <f>+'ENCUESTA CONDUCTORES'!AU424</f>
        <v>8333</v>
      </c>
      <c r="AN424" s="48">
        <f>+'ENCUESTA CONDUCTORES'!AV424</f>
        <v>0.1</v>
      </c>
      <c r="AO424" s="15">
        <f>+'ENCUESTA CONDUCTORES'!AW424</f>
        <v>2.8</v>
      </c>
      <c r="AP424" s="15">
        <f>+'ENCUESTA CONDUCTORES'!AX424</f>
        <v>2.5</v>
      </c>
      <c r="AQ424" s="15">
        <f>+'ENCUESTA CONDUCTORES'!AY424</f>
        <v>2</v>
      </c>
      <c r="AR424" s="15">
        <f>+'ENCUESTA CONDUCTORES'!AZ424</f>
        <v>850</v>
      </c>
      <c r="AS424" s="15">
        <f>+'ENCUESTA CONDUCTORES'!BA424</f>
        <v>2200</v>
      </c>
      <c r="AT424" s="15">
        <f>IF('ENCUESTA CONDUCTORES'!BB424="X",1,0)</f>
        <v>1</v>
      </c>
      <c r="AU424" s="15">
        <f>IF('ENCUESTA CONDUCTORES'!BC424="X",1,0)</f>
        <v>1</v>
      </c>
      <c r="AV424" s="15">
        <f>IF('ENCUESTA CONDUCTORES'!BD424="X",1,0)</f>
        <v>0</v>
      </c>
      <c r="AW424" s="1">
        <f>+'ENCUESTA CONDUCTORES'!BE424</f>
        <v>20000</v>
      </c>
      <c r="AX424" s="1">
        <f>+'ENCUESTA CONDUCTORES'!BF424</f>
        <v>200000</v>
      </c>
      <c r="AY424" s="1">
        <f>+'ENCUESTA CONDUCTORES'!BG424</f>
        <v>40000</v>
      </c>
      <c r="AZ424" s="1">
        <f>+'ENCUESTA CONDUCTORES'!BH424</f>
        <v>100000</v>
      </c>
      <c r="BA424" s="1" t="str">
        <f>+'ENCUESTA CONDUCTORES'!BI424</f>
        <v>NO SABE</v>
      </c>
      <c r="BB424" s="15">
        <f>IF('ENCUESTA CONDUCTORES'!BJ424="X",1,0)</f>
        <v>0</v>
      </c>
      <c r="BC424" s="15">
        <f>IF('ENCUESTA CONDUCTORES'!BK424="X",1,0)</f>
        <v>0</v>
      </c>
      <c r="BD424" s="15">
        <f>IF('ENCUESTA CONDUCTORES'!BL424="X",1,0)</f>
        <v>0</v>
      </c>
      <c r="BE424" s="15">
        <f>IF('ENCUESTA CONDUCTORES'!BM424="X",1,0)</f>
        <v>0</v>
      </c>
      <c r="BF424" s="15">
        <f>IF('ENCUESTA CONDUCTORES'!BN424="X",1,0)</f>
        <v>1</v>
      </c>
      <c r="BG424" s="15">
        <f>IF('ENCUESTA CONDUCTORES'!BO424="X",1,0)</f>
        <v>0</v>
      </c>
      <c r="BH424" s="15">
        <f>IF('ENCUESTA CONDUCTORES'!BP424="X",1,0)</f>
        <v>0</v>
      </c>
      <c r="BI424" s="15">
        <f>IF('ENCUESTA CONDUCTORES'!BQ424="X",1,0)</f>
        <v>0</v>
      </c>
      <c r="BJ424" s="15">
        <f>IF('ENCUESTA CONDUCTORES'!BR424="X",1,0)</f>
        <v>0</v>
      </c>
      <c r="BK424" s="15">
        <f>+'ENCUESTA CONDUCTORES'!BS424</f>
        <v>0</v>
      </c>
      <c r="BL424" s="15">
        <f>IF('ENCUESTA CONDUCTORES'!BT424="X",1,0)</f>
        <v>0</v>
      </c>
      <c r="BM424" s="15">
        <f>IF('ENCUESTA CONDUCTORES'!BU424="X",1,0)</f>
        <v>0</v>
      </c>
      <c r="BN424" s="15">
        <f>IF('ENCUESTA CONDUCTORES'!BV424="X",1,0)</f>
        <v>1</v>
      </c>
      <c r="BO424" s="15">
        <f>IF('ENCUESTA CONDUCTORES'!BW424="X",1,0)</f>
        <v>0</v>
      </c>
      <c r="BP424" s="15">
        <f>+'ENCUESTA CONDUCTORES'!BX424</f>
        <v>1</v>
      </c>
      <c r="BQ424" s="15">
        <f>+'ENCUESTA CONDUCTORES'!BY424</f>
        <v>3</v>
      </c>
      <c r="BR424" s="15">
        <f>+'ENCUESTA CONDUCTORES'!BZ424</f>
        <v>2</v>
      </c>
      <c r="BS424" s="15">
        <f>+'ENCUESTA CONDUCTORES'!CA424</f>
        <v>0</v>
      </c>
      <c r="BT424" s="15">
        <f>IF('ENCUESTA CONDUCTORES'!CB424="X",1,0)</f>
        <v>1</v>
      </c>
      <c r="BU424" s="15">
        <f>IF('ENCUESTA CONDUCTORES'!CC424="X",1,0)</f>
        <v>0</v>
      </c>
      <c r="BV424" s="15">
        <f>IF('ENCUESTA CONDUCTORES'!CD424="X",1,0)</f>
        <v>0</v>
      </c>
      <c r="BW424" s="15">
        <f>IF('ENCUESTA CONDUCTORES'!CE424="X",1,0)</f>
        <v>0</v>
      </c>
      <c r="BX424" s="15">
        <f>IF('ENCUESTA CONDUCTORES'!CF424="X",1,0)</f>
        <v>0</v>
      </c>
      <c r="BY424" s="15">
        <f>IF('ENCUESTA CONDUCTORES'!CG424="X",1,0)</f>
        <v>0</v>
      </c>
      <c r="BZ424" s="15">
        <f>IF('ENCUESTA CONDUCTORES'!CH424="X",1,0)</f>
        <v>0</v>
      </c>
      <c r="CA424" s="15">
        <f>IF('ENCUESTA CONDUCTORES'!CI424="X",1,0)</f>
        <v>0</v>
      </c>
      <c r="CB424" s="15">
        <f>IF('ENCUESTA CONDUCTORES'!CJ424="X",1,0)</f>
        <v>0</v>
      </c>
      <c r="CC424" s="15">
        <f>IF('ENCUESTA CONDUCTORES'!CK424="X",1,0)</f>
        <v>1</v>
      </c>
      <c r="CD424" s="15">
        <f>IF('ENCUESTA CONDUCTORES'!CL424="X",1,0)</f>
        <v>0</v>
      </c>
      <c r="CE424" s="15">
        <f>IF('ENCUESTA CONDUCTORES'!CM424="X",1,0)</f>
        <v>0</v>
      </c>
      <c r="CF424" s="15">
        <f>+'ENCUESTA CONDUCTORES'!CN424</f>
        <v>0</v>
      </c>
      <c r="CG424" s="15">
        <f>IF('ENCUESTA CONDUCTORES'!CO424="X",1,0)</f>
        <v>0</v>
      </c>
      <c r="CH424" s="15" t="str">
        <f>+'ENCUESTA CONDUCTORES'!CP424</f>
        <v>NO SABE</v>
      </c>
      <c r="CI424" s="15" t="str">
        <f>+'ENCUESTA CONDUCTORES'!CQ424</f>
        <v>NO SABE</v>
      </c>
      <c r="CJ424" s="15">
        <f>IF('ENCUESTA CONDUCTORES'!CR424="X",1,0)</f>
        <v>1</v>
      </c>
      <c r="CK424" s="15">
        <f>IF('ENCUESTA CONDUCTORES'!CS424="X",1,0)</f>
        <v>0</v>
      </c>
      <c r="CL424" s="15">
        <f>IF('ENCUESTA CONDUCTORES'!CT424="X",1,0)</f>
        <v>0</v>
      </c>
      <c r="CM424" s="15">
        <f>+'ENCUESTA CONDUCTORES'!CU424</f>
        <v>0</v>
      </c>
      <c r="CN424" s="15">
        <f>IF('ENCUESTA CONDUCTORES'!CV424="X",1,0)</f>
        <v>1</v>
      </c>
      <c r="CO424" s="15" t="str">
        <f>+'ENCUESTA CONDUCTORES'!CW424</f>
        <v>NO LO NECESITO</v>
      </c>
      <c r="CP424" s="15">
        <f>IF('ENCUESTA CONDUCTORES'!CX424="X",1,0)</f>
        <v>0</v>
      </c>
      <c r="CQ424" s="15">
        <f>IF('ENCUESTA CONDUCTORES'!CY424="X",1,0)</f>
        <v>0</v>
      </c>
      <c r="CR424" s="3">
        <f>+'ENCUESTA CONDUCTORES'!CZ424</f>
        <v>0</v>
      </c>
      <c r="CS424" s="49">
        <f>+'ENCUESTA CONDUCTORES'!DA424</f>
        <v>0</v>
      </c>
    </row>
    <row r="425" spans="2:97" x14ac:dyDescent="0.25">
      <c r="B425" s="14" t="str">
        <f>+'ENCUESTA CONDUCTORES'!D425</f>
        <v>C-436</v>
      </c>
      <c r="C425" s="15">
        <f>IF('ENCUESTA CONDUCTORES'!E425="X",1,0)</f>
        <v>1</v>
      </c>
      <c r="D425" s="15">
        <f>IF('ENCUESTA CONDUCTORES'!F425="X",1,0)</f>
        <v>0</v>
      </c>
      <c r="E425" s="15">
        <f>IF('ENCUESTA CONDUCTORES'!G425="X",1,0)</f>
        <v>0</v>
      </c>
      <c r="F425" s="15">
        <f>IF('ENCUESTA CONDUCTORES'!H425="X",1,0)</f>
        <v>0</v>
      </c>
      <c r="G425" s="15">
        <f>+'ENCUESTA CONDUCTORES'!I425</f>
        <v>29</v>
      </c>
      <c r="H425" s="15" t="str">
        <f>+'ENCUESTA CONDUCTORES'!J425</f>
        <v>M</v>
      </c>
      <c r="I425" s="15" t="str">
        <f>+'ENCUESTA CONDUCTORES'!K425</f>
        <v>SECUNDARIA</v>
      </c>
      <c r="J425" s="15" t="str">
        <f>+'ENCUESTA CONDUCTORES'!L425</f>
        <v>SAN METIN TEXMELUCAN, PUE</v>
      </c>
      <c r="K425" s="15" t="str">
        <f>+'ENCUESTA CONDUCTORES'!M425</f>
        <v>SAN MARTIN TEXMELUCAN</v>
      </c>
      <c r="L425" s="15" t="str">
        <f>+'ENCUESTA CONDUCTORES'!N425</f>
        <v>PUEBLA</v>
      </c>
      <c r="M425" s="15">
        <f>+'ENCUESTA CONDUCTORES'!O425</f>
        <v>8</v>
      </c>
      <c r="N425" s="15">
        <f>IF('ENCUESTA CONDUCTORES'!P425="X",1,0)</f>
        <v>0</v>
      </c>
      <c r="O425" s="15">
        <f>IF('ENCUESTA CONDUCTORES'!Q425="X",1,0)</f>
        <v>0</v>
      </c>
      <c r="P425" s="15">
        <f>IF('ENCUESTA CONDUCTORES'!R425="X",1,0)</f>
        <v>0</v>
      </c>
      <c r="Q425" s="15">
        <f>IF('ENCUESTA CONDUCTORES'!S425="X",1,0)</f>
        <v>1</v>
      </c>
      <c r="R425" s="15">
        <f>IF('ENCUESTA CONDUCTORES'!T425="X",1,0)</f>
        <v>0</v>
      </c>
      <c r="S425" s="15">
        <f>IF('ENCUESTA CONDUCTORES'!U425="X",1,0)</f>
        <v>1</v>
      </c>
      <c r="T425" s="15">
        <f>IF('ENCUESTA CONDUCTORES'!V425="X",1,0)</f>
        <v>0</v>
      </c>
      <c r="U425" s="15">
        <f>IF('ENCUESTA CONDUCTORES'!W425="X",1,0)</f>
        <v>0</v>
      </c>
      <c r="V425" s="15">
        <f>IF('ENCUESTA CONDUCTORES'!X425="X",1,0)</f>
        <v>0</v>
      </c>
      <c r="W425" s="15">
        <f>IF('ENCUESTA CONDUCTORES'!Y425="X",1,0)</f>
        <v>0</v>
      </c>
      <c r="X425" s="15">
        <f>IF('ENCUESTA CONDUCTORES'!Z425="X",1,0)</f>
        <v>0</v>
      </c>
      <c r="Y425" s="15">
        <f>+'ENCUESTA CONDUCTORES'!AG425</f>
        <v>0</v>
      </c>
      <c r="Z425" s="15">
        <f>+'ENCUESTA CONDUCTORES'!AH425</f>
        <v>2001</v>
      </c>
      <c r="AA425" s="1" t="str">
        <f>+'ENCUESTA CONDUCTORES'!AI425</f>
        <v>NO SABE</v>
      </c>
      <c r="AB425" s="15">
        <f>IF('ENCUESTA CONDUCTORES'!AJ425="X",1,0)</f>
        <v>0</v>
      </c>
      <c r="AC425" s="15">
        <f>IF('ENCUESTA CONDUCTORES'!AK425="X",1,0)</f>
        <v>0</v>
      </c>
      <c r="AD425" s="15">
        <f>IF('ENCUESTA CONDUCTORES'!AL425="X",1,0)</f>
        <v>1</v>
      </c>
      <c r="AE425" s="15">
        <f>IF('ENCUESTA CONDUCTORES'!AM425="X",1,0)</f>
        <v>0</v>
      </c>
      <c r="AF425" s="15">
        <f>IF('ENCUESTA CONDUCTORES'!AN425="X",1,0)</f>
        <v>0</v>
      </c>
      <c r="AG425" s="15">
        <f>IF('ENCUESTA CONDUCTORES'!AO425="X",1,0)</f>
        <v>0</v>
      </c>
      <c r="AH425" s="15">
        <f>IF('ENCUESTA CONDUCTORES'!AP425="X",1,0)</f>
        <v>1</v>
      </c>
      <c r="AI425" s="15">
        <f>IF('ENCUESTA CONDUCTORES'!AQ425="X",1,0)</f>
        <v>0</v>
      </c>
      <c r="AJ425" s="15">
        <f>IF('ENCUESTA CONDUCTORES'!AR425="X",1,0)</f>
        <v>0</v>
      </c>
      <c r="AK425" s="15">
        <f>+'ENCUESTA CONDUCTORES'!AS425</f>
        <v>0</v>
      </c>
      <c r="AL425" s="15" t="str">
        <f>+'ENCUESTA CONDUCTORES'!AT425</f>
        <v>CUMMINS</v>
      </c>
      <c r="AM425" s="1">
        <f>+'ENCUESTA CONDUCTORES'!AU425</f>
        <v>10000</v>
      </c>
      <c r="AN425" s="48">
        <f>+'ENCUESTA CONDUCTORES'!AV425</f>
        <v>0.1</v>
      </c>
      <c r="AO425" s="15">
        <f>+'ENCUESTA CONDUCTORES'!AW425</f>
        <v>2.7</v>
      </c>
      <c r="AP425" s="15">
        <f>+'ENCUESTA CONDUCTORES'!AX425</f>
        <v>2.4</v>
      </c>
      <c r="AQ425" s="15">
        <f>+'ENCUESTA CONDUCTORES'!AY425</f>
        <v>2</v>
      </c>
      <c r="AR425" s="15">
        <f>+'ENCUESTA CONDUCTORES'!AZ425</f>
        <v>880</v>
      </c>
      <c r="AS425" s="15">
        <f>+'ENCUESTA CONDUCTORES'!BA425</f>
        <v>2300</v>
      </c>
      <c r="AT425" s="15">
        <f>IF('ENCUESTA CONDUCTORES'!BB425="X",1,0)</f>
        <v>1</v>
      </c>
      <c r="AU425" s="15">
        <f>IF('ENCUESTA CONDUCTORES'!BC425="X",1,0)</f>
        <v>0</v>
      </c>
      <c r="AV425" s="15">
        <f>IF('ENCUESTA CONDUCTORES'!BD425="X",1,0)</f>
        <v>0</v>
      </c>
      <c r="AW425" s="1">
        <f>+'ENCUESTA CONDUCTORES'!BE425</f>
        <v>35000</v>
      </c>
      <c r="AX425" s="1" t="str">
        <f>+'ENCUESTA CONDUCTORES'!BF425</f>
        <v>NO SABE</v>
      </c>
      <c r="AY425" s="1">
        <f>+'ENCUESTA CONDUCTORES'!BG425</f>
        <v>70000</v>
      </c>
      <c r="AZ425" s="1" t="str">
        <f>+'ENCUESTA CONDUCTORES'!BH425</f>
        <v>NO SABE</v>
      </c>
      <c r="BA425" s="1" t="str">
        <f>+'ENCUESTA CONDUCTORES'!BI425</f>
        <v>NO SABE</v>
      </c>
      <c r="BB425" s="15">
        <f>IF('ENCUESTA CONDUCTORES'!BJ425="X",1,0)</f>
        <v>0</v>
      </c>
      <c r="BC425" s="15">
        <f>IF('ENCUESTA CONDUCTORES'!BK425="X",1,0)</f>
        <v>0</v>
      </c>
      <c r="BD425" s="15">
        <f>IF('ENCUESTA CONDUCTORES'!BL425="X",1,0)</f>
        <v>0</v>
      </c>
      <c r="BE425" s="15">
        <f>IF('ENCUESTA CONDUCTORES'!BM425="X",1,0)</f>
        <v>0</v>
      </c>
      <c r="BF425" s="15">
        <f>IF('ENCUESTA CONDUCTORES'!BN425="X",1,0)</f>
        <v>1</v>
      </c>
      <c r="BG425" s="15">
        <f>IF('ENCUESTA CONDUCTORES'!BO425="X",1,0)</f>
        <v>0</v>
      </c>
      <c r="BH425" s="15">
        <f>IF('ENCUESTA CONDUCTORES'!BP425="X",1,0)</f>
        <v>0</v>
      </c>
      <c r="BI425" s="15">
        <f>IF('ENCUESTA CONDUCTORES'!BQ425="X",1,0)</f>
        <v>0</v>
      </c>
      <c r="BJ425" s="15">
        <f>IF('ENCUESTA CONDUCTORES'!BR425="X",1,0)</f>
        <v>0</v>
      </c>
      <c r="BK425" s="15">
        <f>+'ENCUESTA CONDUCTORES'!BS425</f>
        <v>0</v>
      </c>
      <c r="BL425" s="15">
        <f>IF('ENCUESTA CONDUCTORES'!BT425="X",1,0)</f>
        <v>0</v>
      </c>
      <c r="BM425" s="15">
        <f>IF('ENCUESTA CONDUCTORES'!BU425="X",1,0)</f>
        <v>1</v>
      </c>
      <c r="BN425" s="15">
        <f>IF('ENCUESTA CONDUCTORES'!BV425="X",1,0)</f>
        <v>0</v>
      </c>
      <c r="BO425" s="15">
        <f>IF('ENCUESTA CONDUCTORES'!BW425="X",1,0)</f>
        <v>0</v>
      </c>
      <c r="BP425" s="15">
        <f>+'ENCUESTA CONDUCTORES'!BX425</f>
        <v>1</v>
      </c>
      <c r="BQ425" s="15">
        <f>+'ENCUESTA CONDUCTORES'!BY425</f>
        <v>2</v>
      </c>
      <c r="BR425" s="15">
        <f>+'ENCUESTA CONDUCTORES'!BZ425</f>
        <v>3</v>
      </c>
      <c r="BS425" s="15">
        <f>+'ENCUESTA CONDUCTORES'!CA425</f>
        <v>0</v>
      </c>
      <c r="BT425" s="15">
        <f>IF('ENCUESTA CONDUCTORES'!CB425="X",1,0)</f>
        <v>1</v>
      </c>
      <c r="BU425" s="15">
        <f>IF('ENCUESTA CONDUCTORES'!CC425="X",1,0)</f>
        <v>0</v>
      </c>
      <c r="BV425" s="15">
        <f>IF('ENCUESTA CONDUCTORES'!CD425="X",1,0)</f>
        <v>0</v>
      </c>
      <c r="BW425" s="15">
        <f>IF('ENCUESTA CONDUCTORES'!CE425="X",1,0)</f>
        <v>0</v>
      </c>
      <c r="BX425" s="15">
        <f>IF('ENCUESTA CONDUCTORES'!CF425="X",1,0)</f>
        <v>0</v>
      </c>
      <c r="BY425" s="15">
        <f>IF('ENCUESTA CONDUCTORES'!CG425="X",1,0)</f>
        <v>0</v>
      </c>
      <c r="BZ425" s="15">
        <f>IF('ENCUESTA CONDUCTORES'!CH425="X",1,0)</f>
        <v>0</v>
      </c>
      <c r="CA425" s="15">
        <f>IF('ENCUESTA CONDUCTORES'!CI425="X",1,0)</f>
        <v>0</v>
      </c>
      <c r="CB425" s="15">
        <f>IF('ENCUESTA CONDUCTORES'!CJ425="X",1,0)</f>
        <v>0</v>
      </c>
      <c r="CC425" s="15">
        <f>IF('ENCUESTA CONDUCTORES'!CK425="X",1,0)</f>
        <v>1</v>
      </c>
      <c r="CD425" s="15">
        <f>IF('ENCUESTA CONDUCTORES'!CL425="X",1,0)</f>
        <v>0</v>
      </c>
      <c r="CE425" s="15">
        <f>IF('ENCUESTA CONDUCTORES'!CM425="X",1,0)</f>
        <v>0</v>
      </c>
      <c r="CF425" s="15">
        <f>+'ENCUESTA CONDUCTORES'!CN425</f>
        <v>0</v>
      </c>
      <c r="CG425" s="15">
        <f>IF('ENCUESTA CONDUCTORES'!CO425="X",1,0)</f>
        <v>0</v>
      </c>
      <c r="CH425" s="15" t="str">
        <f>+'ENCUESTA CONDUCTORES'!CP425</f>
        <v>NO SABE</v>
      </c>
      <c r="CI425" s="15" t="str">
        <f>+'ENCUESTA CONDUCTORES'!CQ425</f>
        <v>NO SABE</v>
      </c>
      <c r="CJ425" s="15">
        <f>IF('ENCUESTA CONDUCTORES'!CR425="X",1,0)</f>
        <v>1</v>
      </c>
      <c r="CK425" s="15">
        <f>IF('ENCUESTA CONDUCTORES'!CS425="X",1,0)</f>
        <v>0</v>
      </c>
      <c r="CL425" s="15">
        <f>IF('ENCUESTA CONDUCTORES'!CT425="X",1,0)</f>
        <v>0</v>
      </c>
      <c r="CM425" s="15">
        <f>+'ENCUESTA CONDUCTORES'!CU425</f>
        <v>0</v>
      </c>
      <c r="CN425" s="15">
        <f>IF('ENCUESTA CONDUCTORES'!CV425="X",1,0)</f>
        <v>0</v>
      </c>
      <c r="CO425" s="15">
        <f>+'ENCUESTA CONDUCTORES'!CW425</f>
        <v>0</v>
      </c>
      <c r="CP425" s="15">
        <f>IF('ENCUESTA CONDUCTORES'!CX425="X",1,0)</f>
        <v>0</v>
      </c>
      <c r="CQ425" s="15">
        <f>IF('ENCUESTA CONDUCTORES'!CY425="X",1,0)</f>
        <v>1</v>
      </c>
      <c r="CR425" s="3">
        <f>+'ENCUESTA CONDUCTORES'!CZ425</f>
        <v>0</v>
      </c>
      <c r="CS425" s="49">
        <f>+'ENCUESTA CONDUCTORES'!DA425</f>
        <v>0</v>
      </c>
    </row>
    <row r="426" spans="2:97" x14ac:dyDescent="0.25">
      <c r="B426" s="14" t="str">
        <f>+'ENCUESTA CONDUCTORES'!D426</f>
        <v>C-437</v>
      </c>
      <c r="C426" s="15">
        <f>IF('ENCUESTA CONDUCTORES'!E426="X",1,0)</f>
        <v>0</v>
      </c>
      <c r="D426" s="15">
        <f>IF('ENCUESTA CONDUCTORES'!F426="X",1,0)</f>
        <v>0</v>
      </c>
      <c r="E426" s="15">
        <f>IF('ENCUESTA CONDUCTORES'!G426="X",1,0)</f>
        <v>1</v>
      </c>
      <c r="F426" s="15">
        <f>IF('ENCUESTA CONDUCTORES'!H426="X",1,0)</f>
        <v>0</v>
      </c>
      <c r="G426" s="15">
        <f>+'ENCUESTA CONDUCTORES'!I426</f>
        <v>38</v>
      </c>
      <c r="H426" s="15" t="str">
        <f>+'ENCUESTA CONDUCTORES'!J426</f>
        <v>M</v>
      </c>
      <c r="I426" s="15" t="str">
        <f>+'ENCUESTA CONDUCTORES'!K426</f>
        <v>SECUNDARIA</v>
      </c>
      <c r="J426" s="15" t="str">
        <f>+'ENCUESTA CONDUCTORES'!L426</f>
        <v>NVO. LAREDO, TAMAULIPAS</v>
      </c>
      <c r="K426" s="15" t="str">
        <f>+'ENCUESTA CONDUCTORES'!M426</f>
        <v>NVO. LAREDO</v>
      </c>
      <c r="L426" s="15" t="str">
        <f>+'ENCUESTA CONDUCTORES'!N426</f>
        <v>TAMAULIPAS</v>
      </c>
      <c r="M426" s="15">
        <f>+'ENCUESTA CONDUCTORES'!O426</f>
        <v>20</v>
      </c>
      <c r="N426" s="15">
        <f>IF('ENCUESTA CONDUCTORES'!P426="X",1,0)</f>
        <v>0</v>
      </c>
      <c r="O426" s="15">
        <f>IF('ENCUESTA CONDUCTORES'!Q426="X",1,0)</f>
        <v>0</v>
      </c>
      <c r="P426" s="15">
        <f>IF('ENCUESTA CONDUCTORES'!R426="X",1,0)</f>
        <v>0</v>
      </c>
      <c r="Q426" s="15">
        <f>IF('ENCUESTA CONDUCTORES'!S426="X",1,0)</f>
        <v>1</v>
      </c>
      <c r="R426" s="15">
        <f>IF('ENCUESTA CONDUCTORES'!T426="X",1,0)</f>
        <v>0</v>
      </c>
      <c r="S426" s="15">
        <f>IF('ENCUESTA CONDUCTORES'!U426="X",1,0)</f>
        <v>1</v>
      </c>
      <c r="T426" s="15">
        <f>IF('ENCUESTA CONDUCTORES'!V426="X",1,0)</f>
        <v>0</v>
      </c>
      <c r="U426" s="15">
        <f>IF('ENCUESTA CONDUCTORES'!W426="X",1,0)</f>
        <v>0</v>
      </c>
      <c r="V426" s="15">
        <f>IF('ENCUESTA CONDUCTORES'!X426="X",1,0)</f>
        <v>0</v>
      </c>
      <c r="W426" s="15">
        <f>IF('ENCUESTA CONDUCTORES'!Y426="X",1,0)</f>
        <v>0</v>
      </c>
      <c r="X426" s="15">
        <f>IF('ENCUESTA CONDUCTORES'!Z426="X",1,0)</f>
        <v>0</v>
      </c>
      <c r="Y426" s="15">
        <f>+'ENCUESTA CONDUCTORES'!AG426</f>
        <v>0</v>
      </c>
      <c r="Z426" s="15">
        <f>+'ENCUESTA CONDUCTORES'!AH426</f>
        <v>2005</v>
      </c>
      <c r="AA426" s="1">
        <f>+'ENCUESTA CONDUCTORES'!AI426</f>
        <v>793119</v>
      </c>
      <c r="AB426" s="15">
        <f>IF('ENCUESTA CONDUCTORES'!AJ426="X",1,0)</f>
        <v>0</v>
      </c>
      <c r="AC426" s="15">
        <f>IF('ENCUESTA CONDUCTORES'!AK426="X",1,0)</f>
        <v>0</v>
      </c>
      <c r="AD426" s="15">
        <f>IF('ENCUESTA CONDUCTORES'!AL426="X",1,0)</f>
        <v>1</v>
      </c>
      <c r="AE426" s="15">
        <f>IF('ENCUESTA CONDUCTORES'!AM426="X",1,0)</f>
        <v>0</v>
      </c>
      <c r="AF426" s="15">
        <f>IF('ENCUESTA CONDUCTORES'!AN426="X",1,0)</f>
        <v>0</v>
      </c>
      <c r="AG426" s="15">
        <f>IF('ENCUESTA CONDUCTORES'!AO426="X",1,0)</f>
        <v>0</v>
      </c>
      <c r="AH426" s="15">
        <f>IF('ENCUESTA CONDUCTORES'!AP426="X",1,0)</f>
        <v>1</v>
      </c>
      <c r="AI426" s="15">
        <f>IF('ENCUESTA CONDUCTORES'!AQ426="X",1,0)</f>
        <v>0</v>
      </c>
      <c r="AJ426" s="15">
        <f>IF('ENCUESTA CONDUCTORES'!AR426="X",1,0)</f>
        <v>0</v>
      </c>
      <c r="AK426" s="15">
        <f>+'ENCUESTA CONDUCTORES'!AS426</f>
        <v>0</v>
      </c>
      <c r="AL426" s="15" t="str">
        <f>+'ENCUESTA CONDUCTORES'!AT426</f>
        <v>CUMMINS</v>
      </c>
      <c r="AM426" s="1">
        <f>+'ENCUESTA CONDUCTORES'!AU426</f>
        <v>10000</v>
      </c>
      <c r="AN426" s="48">
        <f>+'ENCUESTA CONDUCTORES'!AV426</f>
        <v>0.5</v>
      </c>
      <c r="AO426" s="15">
        <f>+'ENCUESTA CONDUCTORES'!AW426</f>
        <v>2.7</v>
      </c>
      <c r="AP426" s="15">
        <f>+'ENCUESTA CONDUCTORES'!AX426</f>
        <v>2.5</v>
      </c>
      <c r="AQ426" s="15">
        <f>+'ENCUESTA CONDUCTORES'!AY426</f>
        <v>2</v>
      </c>
      <c r="AR426" s="15">
        <f>+'ENCUESTA CONDUCTORES'!AZ426</f>
        <v>960</v>
      </c>
      <c r="AS426" s="15">
        <f>+'ENCUESTA CONDUCTORES'!BA426</f>
        <v>2500</v>
      </c>
      <c r="AT426" s="15">
        <f>IF('ENCUESTA CONDUCTORES'!BB426="X",1,0)</f>
        <v>1</v>
      </c>
      <c r="AU426" s="15">
        <f>IF('ENCUESTA CONDUCTORES'!BC426="X",1,0)</f>
        <v>0</v>
      </c>
      <c r="AV426" s="15">
        <f>IF('ENCUESTA CONDUCTORES'!BD426="X",1,0)</f>
        <v>0</v>
      </c>
      <c r="AW426" s="1">
        <f>+'ENCUESTA CONDUCTORES'!BE426</f>
        <v>25000</v>
      </c>
      <c r="AX426" s="1">
        <f>+'ENCUESTA CONDUCTORES'!BF426</f>
        <v>200000</v>
      </c>
      <c r="AY426" s="1">
        <f>+'ENCUESTA CONDUCTORES'!BG426</f>
        <v>75000</v>
      </c>
      <c r="AZ426" s="1">
        <f>+'ENCUESTA CONDUCTORES'!BH426</f>
        <v>150000</v>
      </c>
      <c r="BA426" s="1" t="str">
        <f>+'ENCUESTA CONDUCTORES'!BI426</f>
        <v>NO SABE</v>
      </c>
      <c r="BB426" s="15">
        <f>IF('ENCUESTA CONDUCTORES'!BJ426="X",1,0)</f>
        <v>0</v>
      </c>
      <c r="BC426" s="15">
        <f>IF('ENCUESTA CONDUCTORES'!BK426="X",1,0)</f>
        <v>0</v>
      </c>
      <c r="BD426" s="15">
        <f>IF('ENCUESTA CONDUCTORES'!BL426="X",1,0)</f>
        <v>0</v>
      </c>
      <c r="BE426" s="15">
        <f>IF('ENCUESTA CONDUCTORES'!BM426="X",1,0)</f>
        <v>0</v>
      </c>
      <c r="BF426" s="15">
        <f>IF('ENCUESTA CONDUCTORES'!BN426="X",1,0)</f>
        <v>1</v>
      </c>
      <c r="BG426" s="15">
        <f>IF('ENCUESTA CONDUCTORES'!BO426="X",1,0)</f>
        <v>0</v>
      </c>
      <c r="BH426" s="15">
        <f>IF('ENCUESTA CONDUCTORES'!BP426="X",1,0)</f>
        <v>1</v>
      </c>
      <c r="BI426" s="15">
        <f>IF('ENCUESTA CONDUCTORES'!BQ426="X",1,0)</f>
        <v>0</v>
      </c>
      <c r="BJ426" s="15">
        <f>IF('ENCUESTA CONDUCTORES'!BR426="X",1,0)</f>
        <v>0</v>
      </c>
      <c r="BK426" s="15">
        <f>+'ENCUESTA CONDUCTORES'!BS426</f>
        <v>0</v>
      </c>
      <c r="BL426" s="15">
        <f>IF('ENCUESTA CONDUCTORES'!BT426="X",1,0)</f>
        <v>0</v>
      </c>
      <c r="BM426" s="15">
        <f>IF('ENCUESTA CONDUCTORES'!BU426="X",1,0)</f>
        <v>1</v>
      </c>
      <c r="BN426" s="15">
        <f>IF('ENCUESTA CONDUCTORES'!BV426="X",1,0)</f>
        <v>0</v>
      </c>
      <c r="BO426" s="15">
        <f>IF('ENCUESTA CONDUCTORES'!BW426="X",1,0)</f>
        <v>0</v>
      </c>
      <c r="BP426" s="15">
        <f>+'ENCUESTA CONDUCTORES'!BX426</f>
        <v>1</v>
      </c>
      <c r="BQ426" s="15">
        <f>+'ENCUESTA CONDUCTORES'!BY426</f>
        <v>3</v>
      </c>
      <c r="BR426" s="15">
        <f>+'ENCUESTA CONDUCTORES'!BZ426</f>
        <v>2</v>
      </c>
      <c r="BS426" s="15">
        <f>+'ENCUESTA CONDUCTORES'!CA426</f>
        <v>0</v>
      </c>
      <c r="BT426" s="15">
        <f>IF('ENCUESTA CONDUCTORES'!CB426="X",1,0)</f>
        <v>1</v>
      </c>
      <c r="BU426" s="15">
        <f>IF('ENCUESTA CONDUCTORES'!CC426="X",1,0)</f>
        <v>0</v>
      </c>
      <c r="BV426" s="15">
        <f>IF('ENCUESTA CONDUCTORES'!CD426="X",1,0)</f>
        <v>0</v>
      </c>
      <c r="BW426" s="15">
        <f>IF('ENCUESTA CONDUCTORES'!CE426="X",1,0)</f>
        <v>0</v>
      </c>
      <c r="BX426" s="15">
        <f>IF('ENCUESTA CONDUCTORES'!CF426="X",1,0)</f>
        <v>0</v>
      </c>
      <c r="BY426" s="15">
        <f>IF('ENCUESTA CONDUCTORES'!CG426="X",1,0)</f>
        <v>0</v>
      </c>
      <c r="BZ426" s="15">
        <f>IF('ENCUESTA CONDUCTORES'!CH426="X",1,0)</f>
        <v>0</v>
      </c>
      <c r="CA426" s="15">
        <f>IF('ENCUESTA CONDUCTORES'!CI426="X",1,0)</f>
        <v>0</v>
      </c>
      <c r="CB426" s="15">
        <f>IF('ENCUESTA CONDUCTORES'!CJ426="X",1,0)</f>
        <v>0</v>
      </c>
      <c r="CC426" s="15">
        <f>IF('ENCUESTA CONDUCTORES'!CK426="X",1,0)</f>
        <v>1</v>
      </c>
      <c r="CD426" s="15">
        <f>IF('ENCUESTA CONDUCTORES'!CL426="X",1,0)</f>
        <v>0</v>
      </c>
      <c r="CE426" s="15">
        <f>IF('ENCUESTA CONDUCTORES'!CM426="X",1,0)</f>
        <v>0</v>
      </c>
      <c r="CF426" s="15">
        <f>+'ENCUESTA CONDUCTORES'!CN426</f>
        <v>0</v>
      </c>
      <c r="CG426" s="15">
        <f>IF('ENCUESTA CONDUCTORES'!CO426="X",1,0)</f>
        <v>0</v>
      </c>
      <c r="CH426" s="15" t="str">
        <f>+'ENCUESTA CONDUCTORES'!CP426</f>
        <v>NO SABE</v>
      </c>
      <c r="CI426" s="15" t="str">
        <f>+'ENCUESTA CONDUCTORES'!CQ426</f>
        <v>NO SABE</v>
      </c>
      <c r="CJ426" s="15">
        <f>IF('ENCUESTA CONDUCTORES'!CR426="X",1,0)</f>
        <v>1</v>
      </c>
      <c r="CK426" s="15">
        <f>IF('ENCUESTA CONDUCTORES'!CS426="X",1,0)</f>
        <v>0</v>
      </c>
      <c r="CL426" s="15">
        <f>IF('ENCUESTA CONDUCTORES'!CT426="X",1,0)</f>
        <v>0</v>
      </c>
      <c r="CM426" s="15">
        <f>+'ENCUESTA CONDUCTORES'!CU426</f>
        <v>0</v>
      </c>
      <c r="CN426" s="15">
        <f>IF('ENCUESTA CONDUCTORES'!CV426="X",1,0)</f>
        <v>0</v>
      </c>
      <c r="CO426" s="15">
        <f>+'ENCUESTA CONDUCTORES'!CW426</f>
        <v>0</v>
      </c>
      <c r="CP426" s="15">
        <f>IF('ENCUESTA CONDUCTORES'!CX426="X",1,0)</f>
        <v>1</v>
      </c>
      <c r="CQ426" s="15">
        <f>IF('ENCUESTA CONDUCTORES'!CY426="X",1,0)</f>
        <v>0</v>
      </c>
      <c r="CR426" s="3">
        <f>+'ENCUESTA CONDUCTORES'!CZ426</f>
        <v>0</v>
      </c>
      <c r="CS426" s="49">
        <f>+'ENCUESTA CONDUCTORES'!DA426</f>
        <v>0</v>
      </c>
    </row>
    <row r="427" spans="2:97" x14ac:dyDescent="0.25">
      <c r="B427" s="14" t="str">
        <f>+'ENCUESTA CONDUCTORES'!D427</f>
        <v>C-438</v>
      </c>
      <c r="C427" s="15">
        <f>IF('ENCUESTA CONDUCTORES'!E427="X",1,0)</f>
        <v>0</v>
      </c>
      <c r="D427" s="15">
        <f>IF('ENCUESTA CONDUCTORES'!F427="X",1,0)</f>
        <v>0</v>
      </c>
      <c r="E427" s="15">
        <f>IF('ENCUESTA CONDUCTORES'!G427="X",1,0)</f>
        <v>1</v>
      </c>
      <c r="F427" s="15">
        <f>IF('ENCUESTA CONDUCTORES'!H427="X",1,0)</f>
        <v>0</v>
      </c>
      <c r="G427" s="15">
        <f>+'ENCUESTA CONDUCTORES'!I427</f>
        <v>37</v>
      </c>
      <c r="H427" s="15" t="str">
        <f>+'ENCUESTA CONDUCTORES'!J427</f>
        <v>M</v>
      </c>
      <c r="I427" s="15" t="str">
        <f>+'ENCUESTA CONDUCTORES'!K427</f>
        <v>SECUNDARIA</v>
      </c>
      <c r="J427" s="15" t="str">
        <f>+'ENCUESTA CONDUCTORES'!L427</f>
        <v>STA. CATARINA, NVO LEON</v>
      </c>
      <c r="K427" s="15" t="str">
        <f>+'ENCUESTA CONDUCTORES'!M427</f>
        <v>STA. CATARINA</v>
      </c>
      <c r="L427" s="15" t="str">
        <f>+'ENCUESTA CONDUCTORES'!N427</f>
        <v>NVO. LEON</v>
      </c>
      <c r="M427" s="15">
        <f>+'ENCUESTA CONDUCTORES'!O427</f>
        <v>19</v>
      </c>
      <c r="N427" s="15">
        <f>IF('ENCUESTA CONDUCTORES'!P427="X",1,0)</f>
        <v>0</v>
      </c>
      <c r="O427" s="15">
        <f>IF('ENCUESTA CONDUCTORES'!Q427="X",1,0)</f>
        <v>0</v>
      </c>
      <c r="P427" s="15">
        <f>IF('ENCUESTA CONDUCTORES'!R427="X",1,0)</f>
        <v>0</v>
      </c>
      <c r="Q427" s="15">
        <f>IF('ENCUESTA CONDUCTORES'!S427="X",1,0)</f>
        <v>1</v>
      </c>
      <c r="R427" s="15">
        <f>IF('ENCUESTA CONDUCTORES'!T427="X",1,0)</f>
        <v>0</v>
      </c>
      <c r="S427" s="15">
        <f>IF('ENCUESTA CONDUCTORES'!U427="X",1,0)</f>
        <v>1</v>
      </c>
      <c r="T427" s="15">
        <f>IF('ENCUESTA CONDUCTORES'!V427="X",1,0)</f>
        <v>0</v>
      </c>
      <c r="U427" s="15">
        <f>IF('ENCUESTA CONDUCTORES'!W427="X",1,0)</f>
        <v>0</v>
      </c>
      <c r="V427" s="15">
        <f>IF('ENCUESTA CONDUCTORES'!X427="X",1,0)</f>
        <v>0</v>
      </c>
      <c r="W427" s="15">
        <f>IF('ENCUESTA CONDUCTORES'!Y427="X",1,0)</f>
        <v>0</v>
      </c>
      <c r="X427" s="15">
        <f>IF('ENCUESTA CONDUCTORES'!Z427="X",1,0)</f>
        <v>0</v>
      </c>
      <c r="Y427" s="15">
        <f>+'ENCUESTA CONDUCTORES'!AG427</f>
        <v>0</v>
      </c>
      <c r="Z427" s="15">
        <f>+'ENCUESTA CONDUCTORES'!AH427</f>
        <v>2000</v>
      </c>
      <c r="AA427" s="1">
        <f>+'ENCUESTA CONDUCTORES'!AI427</f>
        <v>913625</v>
      </c>
      <c r="AB427" s="15">
        <f>IF('ENCUESTA CONDUCTORES'!AJ427="X",1,0)</f>
        <v>0</v>
      </c>
      <c r="AC427" s="15">
        <f>IF('ENCUESTA CONDUCTORES'!AK427="X",1,0)</f>
        <v>0</v>
      </c>
      <c r="AD427" s="15">
        <f>IF('ENCUESTA CONDUCTORES'!AL427="X",1,0)</f>
        <v>1</v>
      </c>
      <c r="AE427" s="15">
        <f>IF('ENCUESTA CONDUCTORES'!AM427="X",1,0)</f>
        <v>0</v>
      </c>
      <c r="AF427" s="15">
        <f>IF('ENCUESTA CONDUCTORES'!AN427="X",1,0)</f>
        <v>0</v>
      </c>
      <c r="AG427" s="15">
        <f>IF('ENCUESTA CONDUCTORES'!AO427="X",1,0)</f>
        <v>1</v>
      </c>
      <c r="AH427" s="15">
        <f>IF('ENCUESTA CONDUCTORES'!AP427="X",1,0)</f>
        <v>0</v>
      </c>
      <c r="AI427" s="15">
        <f>IF('ENCUESTA CONDUCTORES'!AQ427="X",1,0)</f>
        <v>0</v>
      </c>
      <c r="AJ427" s="15">
        <f>IF('ENCUESTA CONDUCTORES'!AR427="X",1,0)</f>
        <v>0</v>
      </c>
      <c r="AK427" s="15">
        <f>+'ENCUESTA CONDUCTORES'!AS427</f>
        <v>0</v>
      </c>
      <c r="AL427" s="15" t="str">
        <f>+'ENCUESTA CONDUCTORES'!AT427</f>
        <v>DETROIT</v>
      </c>
      <c r="AM427" s="1">
        <f>+'ENCUESTA CONDUCTORES'!AU427</f>
        <v>9000</v>
      </c>
      <c r="AN427" s="48">
        <f>+'ENCUESTA CONDUCTORES'!AV427</f>
        <v>0.05</v>
      </c>
      <c r="AO427" s="15">
        <f>+'ENCUESTA CONDUCTORES'!AW427</f>
        <v>2.7</v>
      </c>
      <c r="AP427" s="15">
        <f>+'ENCUESTA CONDUCTORES'!AX427</f>
        <v>2.4</v>
      </c>
      <c r="AQ427" s="15">
        <f>+'ENCUESTA CONDUCTORES'!AY427</f>
        <v>2</v>
      </c>
      <c r="AR427" s="15">
        <f>+'ENCUESTA CONDUCTORES'!AZ427</f>
        <v>800</v>
      </c>
      <c r="AS427" s="15">
        <f>+'ENCUESTA CONDUCTORES'!BA427</f>
        <v>2100</v>
      </c>
      <c r="AT427" s="15">
        <f>IF('ENCUESTA CONDUCTORES'!BB427="X",1,0)</f>
        <v>1</v>
      </c>
      <c r="AU427" s="15">
        <f>IF('ENCUESTA CONDUCTORES'!BC427="X",1,0)</f>
        <v>0</v>
      </c>
      <c r="AV427" s="15">
        <f>IF('ENCUESTA CONDUCTORES'!BD427="X",1,0)</f>
        <v>0</v>
      </c>
      <c r="AW427" s="1">
        <f>+'ENCUESTA CONDUCTORES'!BE427</f>
        <v>30000</v>
      </c>
      <c r="AX427" s="1" t="str">
        <f>+'ENCUESTA CONDUCTORES'!BF427</f>
        <v>NO SABE</v>
      </c>
      <c r="AY427" s="1" t="str">
        <f>+'ENCUESTA CONDUCTORES'!BG427</f>
        <v>NO SABE</v>
      </c>
      <c r="AZ427" s="1" t="str">
        <f>+'ENCUESTA CONDUCTORES'!BH427</f>
        <v>NO SABE</v>
      </c>
      <c r="BA427" s="1" t="str">
        <f>+'ENCUESTA CONDUCTORES'!BI427</f>
        <v>NO SABE</v>
      </c>
      <c r="BB427" s="15">
        <f>IF('ENCUESTA CONDUCTORES'!BJ427="X",1,0)</f>
        <v>0</v>
      </c>
      <c r="BC427" s="15">
        <f>IF('ENCUESTA CONDUCTORES'!BK427="X",1,0)</f>
        <v>0</v>
      </c>
      <c r="BD427" s="15">
        <f>IF('ENCUESTA CONDUCTORES'!BL427="X",1,0)</f>
        <v>0</v>
      </c>
      <c r="BE427" s="15">
        <f>IF('ENCUESTA CONDUCTORES'!BM427="X",1,0)</f>
        <v>0</v>
      </c>
      <c r="BF427" s="15">
        <f>IF('ENCUESTA CONDUCTORES'!BN427="X",1,0)</f>
        <v>1</v>
      </c>
      <c r="BG427" s="15">
        <f>IF('ENCUESTA CONDUCTORES'!BO427="X",1,0)</f>
        <v>0</v>
      </c>
      <c r="BH427" s="15">
        <f>IF('ENCUESTA CONDUCTORES'!BP427="X",1,0)</f>
        <v>0</v>
      </c>
      <c r="BI427" s="15">
        <f>IF('ENCUESTA CONDUCTORES'!BQ427="X",1,0)</f>
        <v>0</v>
      </c>
      <c r="BJ427" s="15">
        <f>IF('ENCUESTA CONDUCTORES'!BR427="X",1,0)</f>
        <v>0</v>
      </c>
      <c r="BK427" s="15">
        <f>+'ENCUESTA CONDUCTORES'!BS427</f>
        <v>0</v>
      </c>
      <c r="BL427" s="15">
        <f>IF('ENCUESTA CONDUCTORES'!BT427="X",1,0)</f>
        <v>0</v>
      </c>
      <c r="BM427" s="15">
        <f>IF('ENCUESTA CONDUCTORES'!BU427="X",1,0)</f>
        <v>0</v>
      </c>
      <c r="BN427" s="15">
        <f>IF('ENCUESTA CONDUCTORES'!BV427="X",1,0)</f>
        <v>1</v>
      </c>
      <c r="BO427" s="15">
        <f>IF('ENCUESTA CONDUCTORES'!BW427="X",1,0)</f>
        <v>0</v>
      </c>
      <c r="BP427" s="15">
        <f>+'ENCUESTA CONDUCTORES'!BX427</f>
        <v>1</v>
      </c>
      <c r="BQ427" s="15">
        <f>+'ENCUESTA CONDUCTORES'!BY427</f>
        <v>2</v>
      </c>
      <c r="BR427" s="15">
        <f>+'ENCUESTA CONDUCTORES'!BZ427</f>
        <v>3</v>
      </c>
      <c r="BS427" s="15">
        <f>+'ENCUESTA CONDUCTORES'!CA427</f>
        <v>0</v>
      </c>
      <c r="BT427" s="15">
        <f>IF('ENCUESTA CONDUCTORES'!CB427="X",1,0)</f>
        <v>1</v>
      </c>
      <c r="BU427" s="15">
        <f>IF('ENCUESTA CONDUCTORES'!CC427="X",1,0)</f>
        <v>0</v>
      </c>
      <c r="BV427" s="15">
        <f>IF('ENCUESTA CONDUCTORES'!CD427="X",1,0)</f>
        <v>0</v>
      </c>
      <c r="BW427" s="15">
        <f>IF('ENCUESTA CONDUCTORES'!CE427="X",1,0)</f>
        <v>0</v>
      </c>
      <c r="BX427" s="15">
        <f>IF('ENCUESTA CONDUCTORES'!CF427="X",1,0)</f>
        <v>0</v>
      </c>
      <c r="BY427" s="15">
        <f>IF('ENCUESTA CONDUCTORES'!CG427="X",1,0)</f>
        <v>0</v>
      </c>
      <c r="BZ427" s="15">
        <f>IF('ENCUESTA CONDUCTORES'!CH427="X",1,0)</f>
        <v>0</v>
      </c>
      <c r="CA427" s="15">
        <f>IF('ENCUESTA CONDUCTORES'!CI427="X",1,0)</f>
        <v>0</v>
      </c>
      <c r="CB427" s="15">
        <f>IF('ENCUESTA CONDUCTORES'!CJ427="X",1,0)</f>
        <v>0</v>
      </c>
      <c r="CC427" s="15">
        <f>IF('ENCUESTA CONDUCTORES'!CK427="X",1,0)</f>
        <v>1</v>
      </c>
      <c r="CD427" s="15">
        <f>IF('ENCUESTA CONDUCTORES'!CL427="X",1,0)</f>
        <v>0</v>
      </c>
      <c r="CE427" s="15">
        <f>IF('ENCUESTA CONDUCTORES'!CM427="X",1,0)</f>
        <v>0</v>
      </c>
      <c r="CF427" s="15">
        <f>+'ENCUESTA CONDUCTORES'!CN427</f>
        <v>0</v>
      </c>
      <c r="CG427" s="15">
        <f>IF('ENCUESTA CONDUCTORES'!CO427="X",1,0)</f>
        <v>0</v>
      </c>
      <c r="CH427" s="15" t="str">
        <f>+'ENCUESTA CONDUCTORES'!CP427</f>
        <v>NO SABE</v>
      </c>
      <c r="CI427" s="15" t="str">
        <f>+'ENCUESTA CONDUCTORES'!CQ427</f>
        <v>NO SABE</v>
      </c>
      <c r="CJ427" s="15">
        <f>IF('ENCUESTA CONDUCTORES'!CR427="X",1,0)</f>
        <v>1</v>
      </c>
      <c r="CK427" s="15">
        <f>IF('ENCUESTA CONDUCTORES'!CS427="X",1,0)</f>
        <v>0</v>
      </c>
      <c r="CL427" s="15">
        <f>IF('ENCUESTA CONDUCTORES'!CT427="X",1,0)</f>
        <v>0</v>
      </c>
      <c r="CM427" s="15">
        <f>+'ENCUESTA CONDUCTORES'!CU427</f>
        <v>0</v>
      </c>
      <c r="CN427" s="15">
        <f>IF('ENCUESTA CONDUCTORES'!CV427="X",1,0)</f>
        <v>0</v>
      </c>
      <c r="CO427" s="15">
        <f>+'ENCUESTA CONDUCTORES'!CW427</f>
        <v>0</v>
      </c>
      <c r="CP427" s="15">
        <f>IF('ENCUESTA CONDUCTORES'!CX427="X",1,0)</f>
        <v>1</v>
      </c>
      <c r="CQ427" s="15">
        <f>IF('ENCUESTA CONDUCTORES'!CY427="X",1,0)</f>
        <v>0</v>
      </c>
      <c r="CR427" s="3">
        <f>+'ENCUESTA CONDUCTORES'!CZ427</f>
        <v>0</v>
      </c>
      <c r="CS427" s="49">
        <f>+'ENCUESTA CONDUCTORES'!DA427</f>
        <v>0</v>
      </c>
    </row>
    <row r="428" spans="2:97" x14ac:dyDescent="0.25">
      <c r="B428" s="14" t="str">
        <f>+'ENCUESTA CONDUCTORES'!D428</f>
        <v>C-439</v>
      </c>
      <c r="C428" s="15">
        <f>IF('ENCUESTA CONDUCTORES'!E428="X",1,0)</f>
        <v>0</v>
      </c>
      <c r="D428" s="15">
        <f>IF('ENCUESTA CONDUCTORES'!F428="X",1,0)</f>
        <v>0</v>
      </c>
      <c r="E428" s="15">
        <f>IF('ENCUESTA CONDUCTORES'!G428="X",1,0)</f>
        <v>1</v>
      </c>
      <c r="F428" s="15">
        <f>IF('ENCUESTA CONDUCTORES'!H428="X",1,0)</f>
        <v>0</v>
      </c>
      <c r="G428" s="15">
        <f>+'ENCUESTA CONDUCTORES'!I428</f>
        <v>46</v>
      </c>
      <c r="H428" s="15" t="str">
        <f>+'ENCUESTA CONDUCTORES'!J428</f>
        <v>M</v>
      </c>
      <c r="I428" s="15" t="str">
        <f>+'ENCUESTA CONDUCTORES'!K428</f>
        <v>SECUNDARIA</v>
      </c>
      <c r="J428" s="15" t="str">
        <f>+'ENCUESTA CONDUCTORES'!L428</f>
        <v>SABINAS, COHAUILA</v>
      </c>
      <c r="K428" s="15" t="str">
        <f>+'ENCUESTA CONDUCTORES'!M428</f>
        <v>SABINAS</v>
      </c>
      <c r="L428" s="15" t="str">
        <f>+'ENCUESTA CONDUCTORES'!N428</f>
        <v>COAHUILA</v>
      </c>
      <c r="M428" s="15">
        <f>+'ENCUESTA CONDUCTORES'!O428</f>
        <v>25</v>
      </c>
      <c r="N428" s="15">
        <f>IF('ENCUESTA CONDUCTORES'!P428="X",1,0)</f>
        <v>0</v>
      </c>
      <c r="O428" s="15">
        <f>IF('ENCUESTA CONDUCTORES'!Q428="X",1,0)</f>
        <v>0</v>
      </c>
      <c r="P428" s="15">
        <f>IF('ENCUESTA CONDUCTORES'!R428="X",1,0)</f>
        <v>0</v>
      </c>
      <c r="Q428" s="15">
        <f>IF('ENCUESTA CONDUCTORES'!S428="X",1,0)</f>
        <v>1</v>
      </c>
      <c r="R428" s="15">
        <f>IF('ENCUESTA CONDUCTORES'!T428="X",1,0)</f>
        <v>0</v>
      </c>
      <c r="S428" s="15">
        <f>IF('ENCUESTA CONDUCTORES'!U428="X",1,0)</f>
        <v>1</v>
      </c>
      <c r="T428" s="15">
        <f>IF('ENCUESTA CONDUCTORES'!V428="X",1,0)</f>
        <v>0</v>
      </c>
      <c r="U428" s="15">
        <f>IF('ENCUESTA CONDUCTORES'!W428="X",1,0)</f>
        <v>0</v>
      </c>
      <c r="V428" s="15">
        <f>IF('ENCUESTA CONDUCTORES'!X428="X",1,0)</f>
        <v>0</v>
      </c>
      <c r="W428" s="15">
        <f>IF('ENCUESTA CONDUCTORES'!Y428="X",1,0)</f>
        <v>0</v>
      </c>
      <c r="X428" s="15">
        <f>IF('ENCUESTA CONDUCTORES'!Z428="X",1,0)</f>
        <v>0</v>
      </c>
      <c r="Y428" s="15">
        <f>+'ENCUESTA CONDUCTORES'!AG428</f>
        <v>0</v>
      </c>
      <c r="Z428" s="15">
        <f>+'ENCUESTA CONDUCTORES'!AH428</f>
        <v>2004</v>
      </c>
      <c r="AA428" s="1">
        <f>+'ENCUESTA CONDUCTORES'!AI428</f>
        <v>861753</v>
      </c>
      <c r="AB428" s="15">
        <f>IF('ENCUESTA CONDUCTORES'!AJ428="X",1,0)</f>
        <v>0</v>
      </c>
      <c r="AC428" s="15">
        <f>IF('ENCUESTA CONDUCTORES'!AK428="X",1,0)</f>
        <v>0</v>
      </c>
      <c r="AD428" s="15">
        <f>IF('ENCUESTA CONDUCTORES'!AL428="X",1,0)</f>
        <v>1</v>
      </c>
      <c r="AE428" s="15">
        <f>IF('ENCUESTA CONDUCTORES'!AM428="X",1,0)</f>
        <v>0</v>
      </c>
      <c r="AF428" s="15">
        <f>IF('ENCUESTA CONDUCTORES'!AN428="X",1,0)</f>
        <v>0</v>
      </c>
      <c r="AG428" s="15">
        <f>IF('ENCUESTA CONDUCTORES'!AO428="X",1,0)</f>
        <v>0</v>
      </c>
      <c r="AH428" s="15">
        <f>IF('ENCUESTA CONDUCTORES'!AP428="X",1,0)</f>
        <v>1</v>
      </c>
      <c r="AI428" s="15">
        <f>IF('ENCUESTA CONDUCTORES'!AQ428="X",1,0)</f>
        <v>0</v>
      </c>
      <c r="AJ428" s="15">
        <f>IF('ENCUESTA CONDUCTORES'!AR428="X",1,0)</f>
        <v>0</v>
      </c>
      <c r="AK428" s="15">
        <f>+'ENCUESTA CONDUCTORES'!AS428</f>
        <v>0</v>
      </c>
      <c r="AL428" s="15" t="str">
        <f>+'ENCUESTA CONDUCTORES'!AT428</f>
        <v>CUMMINS</v>
      </c>
      <c r="AM428" s="1">
        <f>+'ENCUESTA CONDUCTORES'!AU428</f>
        <v>10000</v>
      </c>
      <c r="AN428" s="48">
        <f>+'ENCUESTA CONDUCTORES'!AV428</f>
        <v>0.5</v>
      </c>
      <c r="AO428" s="15">
        <f>+'ENCUESTA CONDUCTORES'!AW428</f>
        <v>2.7</v>
      </c>
      <c r="AP428" s="15">
        <f>+'ENCUESTA CONDUCTORES'!AX428</f>
        <v>2.4</v>
      </c>
      <c r="AQ428" s="15">
        <f>+'ENCUESTA CONDUCTORES'!AY428</f>
        <v>2</v>
      </c>
      <c r="AR428" s="15">
        <f>+'ENCUESTA CONDUCTORES'!AZ428</f>
        <v>830</v>
      </c>
      <c r="AS428" s="15">
        <f>+'ENCUESTA CONDUCTORES'!BA428</f>
        <v>2150</v>
      </c>
      <c r="AT428" s="15">
        <f>IF('ENCUESTA CONDUCTORES'!BB428="X",1,0)</f>
        <v>1</v>
      </c>
      <c r="AU428" s="15">
        <f>IF('ENCUESTA CONDUCTORES'!BC428="X",1,0)</f>
        <v>0</v>
      </c>
      <c r="AV428" s="15">
        <f>IF('ENCUESTA CONDUCTORES'!BD428="X",1,0)</f>
        <v>0</v>
      </c>
      <c r="AW428" s="1">
        <f>+'ENCUESTA CONDUCTORES'!BE428</f>
        <v>22000</v>
      </c>
      <c r="AX428" s="1" t="str">
        <f>+'ENCUESTA CONDUCTORES'!BF428</f>
        <v>NO SABE</v>
      </c>
      <c r="AY428" s="1">
        <f>+'ENCUESTA CONDUCTORES'!BG428</f>
        <v>45000</v>
      </c>
      <c r="AZ428" s="1" t="str">
        <f>+'ENCUESTA CONDUCTORES'!BH428</f>
        <v>NO SABE</v>
      </c>
      <c r="BA428" s="1" t="str">
        <f>+'ENCUESTA CONDUCTORES'!BI428</f>
        <v>NO SABE</v>
      </c>
      <c r="BB428" s="15">
        <f>IF('ENCUESTA CONDUCTORES'!BJ428="X",1,0)</f>
        <v>0</v>
      </c>
      <c r="BC428" s="15">
        <f>IF('ENCUESTA CONDUCTORES'!BK428="X",1,0)</f>
        <v>0</v>
      </c>
      <c r="BD428" s="15">
        <f>IF('ENCUESTA CONDUCTORES'!BL428="X",1,0)</f>
        <v>0</v>
      </c>
      <c r="BE428" s="15">
        <f>IF('ENCUESTA CONDUCTORES'!BM428="X",1,0)</f>
        <v>0</v>
      </c>
      <c r="BF428" s="15">
        <f>IF('ENCUESTA CONDUCTORES'!BN428="X",1,0)</f>
        <v>1</v>
      </c>
      <c r="BG428" s="15">
        <f>IF('ENCUESTA CONDUCTORES'!BO428="X",1,0)</f>
        <v>0</v>
      </c>
      <c r="BH428" s="15">
        <f>IF('ENCUESTA CONDUCTORES'!BP428="X",1,0)</f>
        <v>1</v>
      </c>
      <c r="BI428" s="15">
        <f>IF('ENCUESTA CONDUCTORES'!BQ428="X",1,0)</f>
        <v>0</v>
      </c>
      <c r="BJ428" s="15">
        <f>IF('ENCUESTA CONDUCTORES'!BR428="X",1,0)</f>
        <v>0</v>
      </c>
      <c r="BK428" s="15">
        <f>+'ENCUESTA CONDUCTORES'!BS428</f>
        <v>0</v>
      </c>
      <c r="BL428" s="15">
        <f>IF('ENCUESTA CONDUCTORES'!BT428="X",1,0)</f>
        <v>0</v>
      </c>
      <c r="BM428" s="15">
        <f>IF('ENCUESTA CONDUCTORES'!BU428="X",1,0)</f>
        <v>1</v>
      </c>
      <c r="BN428" s="15">
        <f>IF('ENCUESTA CONDUCTORES'!BV428="X",1,0)</f>
        <v>0</v>
      </c>
      <c r="BO428" s="15">
        <f>IF('ENCUESTA CONDUCTORES'!BW428="X",1,0)</f>
        <v>0</v>
      </c>
      <c r="BP428" s="15">
        <f>+'ENCUESTA CONDUCTORES'!BX428</f>
        <v>1</v>
      </c>
      <c r="BQ428" s="15">
        <f>+'ENCUESTA CONDUCTORES'!BY428</f>
        <v>3</v>
      </c>
      <c r="BR428" s="15">
        <f>+'ENCUESTA CONDUCTORES'!BZ428</f>
        <v>2</v>
      </c>
      <c r="BS428" s="15">
        <f>+'ENCUESTA CONDUCTORES'!CA428</f>
        <v>0</v>
      </c>
      <c r="BT428" s="15">
        <f>IF('ENCUESTA CONDUCTORES'!CB428="X",1,0)</f>
        <v>1</v>
      </c>
      <c r="BU428" s="15">
        <f>IF('ENCUESTA CONDUCTORES'!CC428="X",1,0)</f>
        <v>0</v>
      </c>
      <c r="BV428" s="15">
        <f>IF('ENCUESTA CONDUCTORES'!CD428="X",1,0)</f>
        <v>0</v>
      </c>
      <c r="BW428" s="15">
        <f>IF('ENCUESTA CONDUCTORES'!CE428="X",1,0)</f>
        <v>0</v>
      </c>
      <c r="BX428" s="15">
        <f>IF('ENCUESTA CONDUCTORES'!CF428="X",1,0)</f>
        <v>0</v>
      </c>
      <c r="BY428" s="15">
        <f>IF('ENCUESTA CONDUCTORES'!CG428="X",1,0)</f>
        <v>0</v>
      </c>
      <c r="BZ428" s="15">
        <f>IF('ENCUESTA CONDUCTORES'!CH428="X",1,0)</f>
        <v>0</v>
      </c>
      <c r="CA428" s="15">
        <f>IF('ENCUESTA CONDUCTORES'!CI428="X",1,0)</f>
        <v>0</v>
      </c>
      <c r="CB428" s="15">
        <f>IF('ENCUESTA CONDUCTORES'!CJ428="X",1,0)</f>
        <v>0</v>
      </c>
      <c r="CC428" s="15">
        <f>IF('ENCUESTA CONDUCTORES'!CK428="X",1,0)</f>
        <v>1</v>
      </c>
      <c r="CD428" s="15">
        <f>IF('ENCUESTA CONDUCTORES'!CL428="X",1,0)</f>
        <v>0</v>
      </c>
      <c r="CE428" s="15">
        <f>IF('ENCUESTA CONDUCTORES'!CM428="X",1,0)</f>
        <v>0</v>
      </c>
      <c r="CF428" s="15">
        <f>+'ENCUESTA CONDUCTORES'!CN428</f>
        <v>0</v>
      </c>
      <c r="CG428" s="15">
        <f>IF('ENCUESTA CONDUCTORES'!CO428="X",1,0)</f>
        <v>0</v>
      </c>
      <c r="CH428" s="15" t="str">
        <f>+'ENCUESTA CONDUCTORES'!CP428</f>
        <v>NO SABE</v>
      </c>
      <c r="CI428" s="15" t="str">
        <f>+'ENCUESTA CONDUCTORES'!CQ428</f>
        <v>NO SABE</v>
      </c>
      <c r="CJ428" s="15">
        <f>IF('ENCUESTA CONDUCTORES'!CR428="X",1,0)</f>
        <v>1</v>
      </c>
      <c r="CK428" s="15">
        <f>IF('ENCUESTA CONDUCTORES'!CS428="X",1,0)</f>
        <v>0</v>
      </c>
      <c r="CL428" s="15">
        <f>IF('ENCUESTA CONDUCTORES'!CT428="X",1,0)</f>
        <v>0</v>
      </c>
      <c r="CM428" s="15">
        <f>+'ENCUESTA CONDUCTORES'!CU428</f>
        <v>0</v>
      </c>
      <c r="CN428" s="15">
        <f>IF('ENCUESTA CONDUCTORES'!CV428="X",1,0)</f>
        <v>0</v>
      </c>
      <c r="CO428" s="15">
        <f>+'ENCUESTA CONDUCTORES'!CW428</f>
        <v>0</v>
      </c>
      <c r="CP428" s="15">
        <f>IF('ENCUESTA CONDUCTORES'!CX428="X",1,0)</f>
        <v>0</v>
      </c>
      <c r="CQ428" s="15">
        <f>IF('ENCUESTA CONDUCTORES'!CY428="X",1,0)</f>
        <v>1</v>
      </c>
      <c r="CR428" s="3">
        <f>+'ENCUESTA CONDUCTORES'!CZ428</f>
        <v>0</v>
      </c>
      <c r="CS428" s="49">
        <f>+'ENCUESTA CONDUCTORES'!DA428</f>
        <v>0</v>
      </c>
    </row>
    <row r="429" spans="2:97" x14ac:dyDescent="0.25">
      <c r="B429" s="14" t="str">
        <f>+'ENCUESTA CONDUCTORES'!D429</f>
        <v>C-440</v>
      </c>
      <c r="C429" s="15">
        <f>IF('ENCUESTA CONDUCTORES'!E429="X",1,0)</f>
        <v>0</v>
      </c>
      <c r="D429" s="15">
        <f>IF('ENCUESTA CONDUCTORES'!F429="X",1,0)</f>
        <v>0</v>
      </c>
      <c r="E429" s="15">
        <f>IF('ENCUESTA CONDUCTORES'!G429="X",1,0)</f>
        <v>1</v>
      </c>
      <c r="F429" s="15">
        <f>IF('ENCUESTA CONDUCTORES'!H429="X",1,0)</f>
        <v>0</v>
      </c>
      <c r="G429" s="15">
        <f>+'ENCUESTA CONDUCTORES'!I429</f>
        <v>38</v>
      </c>
      <c r="H429" s="15" t="str">
        <f>+'ENCUESTA CONDUCTORES'!J429</f>
        <v>M</v>
      </c>
      <c r="I429" s="15" t="str">
        <f>+'ENCUESTA CONDUCTORES'!K429</f>
        <v>PREPARATORIA</v>
      </c>
      <c r="J429" s="15" t="str">
        <f>+'ENCUESTA CONDUCTORES'!L429</f>
        <v>APODACA, NVO. LEON</v>
      </c>
      <c r="K429" s="15" t="str">
        <f>+'ENCUESTA CONDUCTORES'!M429</f>
        <v>APODACA</v>
      </c>
      <c r="L429" s="15" t="str">
        <f>+'ENCUESTA CONDUCTORES'!N429</f>
        <v>NVO. LEON</v>
      </c>
      <c r="M429" s="15">
        <f>+'ENCUESTA CONDUCTORES'!O429</f>
        <v>15</v>
      </c>
      <c r="N429" s="15">
        <f>IF('ENCUESTA CONDUCTORES'!P429="X",1,0)</f>
        <v>0</v>
      </c>
      <c r="O429" s="15">
        <f>IF('ENCUESTA CONDUCTORES'!Q429="X",1,0)</f>
        <v>0</v>
      </c>
      <c r="P429" s="15">
        <f>IF('ENCUESTA CONDUCTORES'!R429="X",1,0)</f>
        <v>0</v>
      </c>
      <c r="Q429" s="15">
        <f>IF('ENCUESTA CONDUCTORES'!S429="X",1,0)</f>
        <v>1</v>
      </c>
      <c r="R429" s="15">
        <f>IF('ENCUESTA CONDUCTORES'!T429="X",1,0)</f>
        <v>0</v>
      </c>
      <c r="S429" s="15">
        <f>IF('ENCUESTA CONDUCTORES'!U429="X",1,0)</f>
        <v>1</v>
      </c>
      <c r="T429" s="15">
        <f>IF('ENCUESTA CONDUCTORES'!V429="X",1,0)</f>
        <v>0</v>
      </c>
      <c r="U429" s="15">
        <f>IF('ENCUESTA CONDUCTORES'!W429="X",1,0)</f>
        <v>0</v>
      </c>
      <c r="V429" s="15">
        <f>IF('ENCUESTA CONDUCTORES'!X429="X",1,0)</f>
        <v>0</v>
      </c>
      <c r="W429" s="15">
        <f>IF('ENCUESTA CONDUCTORES'!Y429="X",1,0)</f>
        <v>0</v>
      </c>
      <c r="X429" s="15">
        <f>IF('ENCUESTA CONDUCTORES'!Z429="X",1,0)</f>
        <v>0</v>
      </c>
      <c r="Y429" s="15">
        <f>+'ENCUESTA CONDUCTORES'!AG429</f>
        <v>0</v>
      </c>
      <c r="Z429" s="15">
        <f>+'ENCUESTA CONDUCTORES'!AH429</f>
        <v>2004</v>
      </c>
      <c r="AA429" s="1">
        <f>+'ENCUESTA CONDUCTORES'!AI429</f>
        <v>767982</v>
      </c>
      <c r="AB429" s="15">
        <f>IF('ENCUESTA CONDUCTORES'!AJ429="X",1,0)</f>
        <v>0</v>
      </c>
      <c r="AC429" s="15">
        <f>IF('ENCUESTA CONDUCTORES'!AK429="X",1,0)</f>
        <v>0</v>
      </c>
      <c r="AD429" s="15">
        <f>IF('ENCUESTA CONDUCTORES'!AL429="X",1,0)</f>
        <v>1</v>
      </c>
      <c r="AE429" s="15">
        <f>IF('ENCUESTA CONDUCTORES'!AM429="X",1,0)</f>
        <v>0</v>
      </c>
      <c r="AF429" s="15">
        <f>IF('ENCUESTA CONDUCTORES'!AN429="X",1,0)</f>
        <v>0</v>
      </c>
      <c r="AG429" s="15">
        <f>IF('ENCUESTA CONDUCTORES'!AO429="X",1,0)</f>
        <v>0</v>
      </c>
      <c r="AH429" s="15">
        <f>IF('ENCUESTA CONDUCTORES'!AP429="X",1,0)</f>
        <v>1</v>
      </c>
      <c r="AI429" s="15">
        <f>IF('ENCUESTA CONDUCTORES'!AQ429="X",1,0)</f>
        <v>0</v>
      </c>
      <c r="AJ429" s="15">
        <f>IF('ENCUESTA CONDUCTORES'!AR429="X",1,0)</f>
        <v>0</v>
      </c>
      <c r="AK429" s="15">
        <f>+'ENCUESTA CONDUCTORES'!AS429</f>
        <v>0</v>
      </c>
      <c r="AL429" s="15" t="str">
        <f>+'ENCUESTA CONDUCTORES'!AT429</f>
        <v>CUMMINS</v>
      </c>
      <c r="AM429" s="1">
        <f>+'ENCUESTA CONDUCTORES'!AU429</f>
        <v>8000</v>
      </c>
      <c r="AN429" s="48">
        <f>+'ENCUESTA CONDUCTORES'!AV429</f>
        <v>0.5</v>
      </c>
      <c r="AO429" s="15">
        <f>+'ENCUESTA CONDUCTORES'!AW429</f>
        <v>2.7</v>
      </c>
      <c r="AP429" s="15">
        <f>+'ENCUESTA CONDUCTORES'!AX429</f>
        <v>2.4</v>
      </c>
      <c r="AQ429" s="15">
        <f>+'ENCUESTA CONDUCTORES'!AY429</f>
        <v>2</v>
      </c>
      <c r="AR429" s="15">
        <f>+'ENCUESTA CONDUCTORES'!AZ429</f>
        <v>920</v>
      </c>
      <c r="AS429" s="15">
        <f>+'ENCUESTA CONDUCTORES'!BA429</f>
        <v>2400</v>
      </c>
      <c r="AT429" s="15">
        <f>IF('ENCUESTA CONDUCTORES'!BB429="X",1,0)</f>
        <v>1</v>
      </c>
      <c r="AU429" s="15">
        <f>IF('ENCUESTA CONDUCTORES'!BC429="X",1,0)</f>
        <v>0</v>
      </c>
      <c r="AV429" s="15">
        <f>IF('ENCUESTA CONDUCTORES'!BD429="X",1,0)</f>
        <v>0</v>
      </c>
      <c r="AW429" s="1">
        <f>+'ENCUESTA CONDUCTORES'!BE429</f>
        <v>18000</v>
      </c>
      <c r="AX429" s="1">
        <f>+'ENCUESTA CONDUCTORES'!BF429</f>
        <v>200000</v>
      </c>
      <c r="AY429" s="1">
        <f>+'ENCUESTA CONDUCTORES'!BG429</f>
        <v>36000</v>
      </c>
      <c r="AZ429" s="1">
        <f>+'ENCUESTA CONDUCTORES'!BH429</f>
        <v>100000</v>
      </c>
      <c r="BA429" s="1" t="str">
        <f>+'ENCUESTA CONDUCTORES'!BI429</f>
        <v>NO SABE</v>
      </c>
      <c r="BB429" s="15">
        <f>IF('ENCUESTA CONDUCTORES'!BJ429="X",1,0)</f>
        <v>0</v>
      </c>
      <c r="BC429" s="15">
        <f>IF('ENCUESTA CONDUCTORES'!BK429="X",1,0)</f>
        <v>0</v>
      </c>
      <c r="BD429" s="15">
        <f>IF('ENCUESTA CONDUCTORES'!BL429="X",1,0)</f>
        <v>0</v>
      </c>
      <c r="BE429" s="15">
        <f>IF('ENCUESTA CONDUCTORES'!BM429="X",1,0)</f>
        <v>0</v>
      </c>
      <c r="BF429" s="15">
        <f>IF('ENCUESTA CONDUCTORES'!BN429="X",1,0)</f>
        <v>1</v>
      </c>
      <c r="BG429" s="15">
        <f>IF('ENCUESTA CONDUCTORES'!BO429="X",1,0)</f>
        <v>0</v>
      </c>
      <c r="BH429" s="15">
        <f>IF('ENCUESTA CONDUCTORES'!BP429="X",1,0)</f>
        <v>1</v>
      </c>
      <c r="BI429" s="15">
        <f>IF('ENCUESTA CONDUCTORES'!BQ429="X",1,0)</f>
        <v>0</v>
      </c>
      <c r="BJ429" s="15">
        <f>IF('ENCUESTA CONDUCTORES'!BR429="X",1,0)</f>
        <v>0</v>
      </c>
      <c r="BK429" s="15">
        <f>+'ENCUESTA CONDUCTORES'!BS429</f>
        <v>0</v>
      </c>
      <c r="BL429" s="15">
        <f>IF('ENCUESTA CONDUCTORES'!BT429="X",1,0)</f>
        <v>0</v>
      </c>
      <c r="BM429" s="15">
        <f>IF('ENCUESTA CONDUCTORES'!BU429="X",1,0)</f>
        <v>1</v>
      </c>
      <c r="BN429" s="15">
        <f>IF('ENCUESTA CONDUCTORES'!BV429="X",1,0)</f>
        <v>0</v>
      </c>
      <c r="BO429" s="15">
        <f>IF('ENCUESTA CONDUCTORES'!BW429="X",1,0)</f>
        <v>0</v>
      </c>
      <c r="BP429" s="15">
        <f>+'ENCUESTA CONDUCTORES'!BX429</f>
        <v>1</v>
      </c>
      <c r="BQ429" s="15">
        <f>+'ENCUESTA CONDUCTORES'!BY429</f>
        <v>2</v>
      </c>
      <c r="BR429" s="15">
        <f>+'ENCUESTA CONDUCTORES'!BZ429</f>
        <v>3</v>
      </c>
      <c r="BS429" s="15">
        <f>+'ENCUESTA CONDUCTORES'!CA429</f>
        <v>0</v>
      </c>
      <c r="BT429" s="15">
        <f>IF('ENCUESTA CONDUCTORES'!CB429="X",1,0)</f>
        <v>0</v>
      </c>
      <c r="BU429" s="15">
        <f>IF('ENCUESTA CONDUCTORES'!CC429="X",1,0)</f>
        <v>1</v>
      </c>
      <c r="BV429" s="15">
        <f>IF('ENCUESTA CONDUCTORES'!CD429="X",1,0)</f>
        <v>0</v>
      </c>
      <c r="BW429" s="15">
        <f>IF('ENCUESTA CONDUCTORES'!CE429="X",1,0)</f>
        <v>0</v>
      </c>
      <c r="BX429" s="15">
        <f>IF('ENCUESTA CONDUCTORES'!CF429="X",1,0)</f>
        <v>0</v>
      </c>
      <c r="BY429" s="15">
        <f>IF('ENCUESTA CONDUCTORES'!CG429="X",1,0)</f>
        <v>0</v>
      </c>
      <c r="BZ429" s="15">
        <f>IF('ENCUESTA CONDUCTORES'!CH429="X",1,0)</f>
        <v>1</v>
      </c>
      <c r="CA429" s="15">
        <f>IF('ENCUESTA CONDUCTORES'!CI429="X",1,0)</f>
        <v>0</v>
      </c>
      <c r="CB429" s="15">
        <f>IF('ENCUESTA CONDUCTORES'!CJ429="X",1,0)</f>
        <v>0</v>
      </c>
      <c r="CC429" s="15">
        <f>IF('ENCUESTA CONDUCTORES'!CK429="X",1,0)</f>
        <v>1</v>
      </c>
      <c r="CD429" s="15">
        <f>IF('ENCUESTA CONDUCTORES'!CL429="X",1,0)</f>
        <v>0</v>
      </c>
      <c r="CE429" s="15">
        <f>IF('ENCUESTA CONDUCTORES'!CM429="X",1,0)</f>
        <v>0</v>
      </c>
      <c r="CF429" s="15">
        <f>+'ENCUESTA CONDUCTORES'!CN429</f>
        <v>0</v>
      </c>
      <c r="CG429" s="15">
        <f>IF('ENCUESTA CONDUCTORES'!CO429="X",1,0)</f>
        <v>0</v>
      </c>
      <c r="CH429" s="15" t="str">
        <f>+'ENCUESTA CONDUCTORES'!CP429</f>
        <v>NO SABE</v>
      </c>
      <c r="CI429" s="15" t="str">
        <f>+'ENCUESTA CONDUCTORES'!CQ429</f>
        <v>NO SABE</v>
      </c>
      <c r="CJ429" s="15">
        <f>IF('ENCUESTA CONDUCTORES'!CR429="X",1,0)</f>
        <v>1</v>
      </c>
      <c r="CK429" s="15">
        <f>IF('ENCUESTA CONDUCTORES'!CS429="X",1,0)</f>
        <v>0</v>
      </c>
      <c r="CL429" s="15">
        <f>IF('ENCUESTA CONDUCTORES'!CT429="X",1,0)</f>
        <v>0</v>
      </c>
      <c r="CM429" s="15">
        <f>+'ENCUESTA CONDUCTORES'!CU429</f>
        <v>0</v>
      </c>
      <c r="CN429" s="15">
        <f>IF('ENCUESTA CONDUCTORES'!CV429="X",1,0)</f>
        <v>1</v>
      </c>
      <c r="CO429" s="15" t="str">
        <f>+'ENCUESTA CONDUCTORES'!CW429</f>
        <v>LA EMPRESA NOS CAPACITA</v>
      </c>
      <c r="CP429" s="15">
        <f>IF('ENCUESTA CONDUCTORES'!CX429="X",1,0)</f>
        <v>0</v>
      </c>
      <c r="CQ429" s="15">
        <f>IF('ENCUESTA CONDUCTORES'!CY429="X",1,0)</f>
        <v>0</v>
      </c>
      <c r="CR429" s="3">
        <f>+'ENCUESTA CONDUCTORES'!CZ429</f>
        <v>0</v>
      </c>
      <c r="CS429" s="49">
        <f>+'ENCUESTA CONDUCTORES'!DA429</f>
        <v>0</v>
      </c>
    </row>
    <row r="430" spans="2:97" x14ac:dyDescent="0.25">
      <c r="B430" s="14" t="str">
        <f>+'ENCUESTA CONDUCTORES'!D430</f>
        <v>C-441</v>
      </c>
      <c r="C430" s="15">
        <f>IF('ENCUESTA CONDUCTORES'!E430="X",1,0)</f>
        <v>0</v>
      </c>
      <c r="D430" s="15">
        <f>IF('ENCUESTA CONDUCTORES'!F430="X",1,0)</f>
        <v>0</v>
      </c>
      <c r="E430" s="15">
        <f>IF('ENCUESTA CONDUCTORES'!G430="X",1,0)</f>
        <v>1</v>
      </c>
      <c r="F430" s="15">
        <f>IF('ENCUESTA CONDUCTORES'!H430="X",1,0)</f>
        <v>0</v>
      </c>
      <c r="G430" s="15">
        <f>+'ENCUESTA CONDUCTORES'!I430</f>
        <v>53</v>
      </c>
      <c r="H430" s="15" t="str">
        <f>+'ENCUESTA CONDUCTORES'!J430</f>
        <v>M</v>
      </c>
      <c r="I430" s="15" t="str">
        <f>+'ENCUESTA CONDUCTORES'!K430</f>
        <v>SECUNDARIA</v>
      </c>
      <c r="J430" s="15" t="str">
        <f>+'ENCUESTA CONDUCTORES'!L430</f>
        <v>TULA, HGO</v>
      </c>
      <c r="K430" s="15" t="str">
        <f>+'ENCUESTA CONDUCTORES'!M430</f>
        <v>TULA</v>
      </c>
      <c r="L430" s="15" t="str">
        <f>+'ENCUESTA CONDUCTORES'!N430</f>
        <v>HIDALGO</v>
      </c>
      <c r="M430" s="15">
        <f>+'ENCUESTA CONDUCTORES'!O430</f>
        <v>30</v>
      </c>
      <c r="N430" s="15">
        <f>IF('ENCUESTA CONDUCTORES'!P430="X",1,0)</f>
        <v>0</v>
      </c>
      <c r="O430" s="15">
        <f>IF('ENCUESTA CONDUCTORES'!Q430="X",1,0)</f>
        <v>0</v>
      </c>
      <c r="P430" s="15">
        <f>IF('ENCUESTA CONDUCTORES'!R430="X",1,0)</f>
        <v>0</v>
      </c>
      <c r="Q430" s="15">
        <f>IF('ENCUESTA CONDUCTORES'!S430="X",1,0)</f>
        <v>1</v>
      </c>
      <c r="R430" s="15">
        <f>IF('ENCUESTA CONDUCTORES'!T430="X",1,0)</f>
        <v>0</v>
      </c>
      <c r="S430" s="15">
        <f>IF('ENCUESTA CONDUCTORES'!U430="X",1,0)</f>
        <v>0</v>
      </c>
      <c r="T430" s="15">
        <f>IF('ENCUESTA CONDUCTORES'!V430="X",1,0)</f>
        <v>0</v>
      </c>
      <c r="U430" s="15">
        <f>IF('ENCUESTA CONDUCTORES'!W430="X",1,0)</f>
        <v>0</v>
      </c>
      <c r="V430" s="15">
        <f>IF('ENCUESTA CONDUCTORES'!X430="X",1,0)</f>
        <v>0</v>
      </c>
      <c r="W430" s="15">
        <f>IF('ENCUESTA CONDUCTORES'!Y430="X",1,0)</f>
        <v>1</v>
      </c>
      <c r="X430" s="15">
        <f>IF('ENCUESTA CONDUCTORES'!Z430="X",1,0)</f>
        <v>0</v>
      </c>
      <c r="Y430" s="15">
        <f>+'ENCUESTA CONDUCTORES'!AG430</f>
        <v>0</v>
      </c>
      <c r="Z430" s="15">
        <f>+'ENCUESTA CONDUCTORES'!AH430</f>
        <v>2005</v>
      </c>
      <c r="AA430" s="1">
        <f>+'ENCUESTA CONDUCTORES'!AI430</f>
        <v>759836</v>
      </c>
      <c r="AB430" s="15">
        <f>IF('ENCUESTA CONDUCTORES'!AJ430="X",1,0)</f>
        <v>0</v>
      </c>
      <c r="AC430" s="15">
        <f>IF('ENCUESTA CONDUCTORES'!AK430="X",1,0)</f>
        <v>0</v>
      </c>
      <c r="AD430" s="15">
        <f>IF('ENCUESTA CONDUCTORES'!AL430="X",1,0)</f>
        <v>1</v>
      </c>
      <c r="AE430" s="15">
        <f>IF('ENCUESTA CONDUCTORES'!AM430="X",1,0)</f>
        <v>0</v>
      </c>
      <c r="AF430" s="15">
        <f>IF('ENCUESTA CONDUCTORES'!AN430="X",1,0)</f>
        <v>0</v>
      </c>
      <c r="AG430" s="15">
        <f>IF('ENCUESTA CONDUCTORES'!AO430="X",1,0)</f>
        <v>0</v>
      </c>
      <c r="AH430" s="15">
        <f>IF('ENCUESTA CONDUCTORES'!AP430="X",1,0)</f>
        <v>1</v>
      </c>
      <c r="AI430" s="15">
        <f>IF('ENCUESTA CONDUCTORES'!AQ430="X",1,0)</f>
        <v>0</v>
      </c>
      <c r="AJ430" s="15">
        <f>IF('ENCUESTA CONDUCTORES'!AR430="X",1,0)</f>
        <v>0</v>
      </c>
      <c r="AK430" s="15">
        <f>+'ENCUESTA CONDUCTORES'!AS430</f>
        <v>0</v>
      </c>
      <c r="AL430" s="15" t="str">
        <f>+'ENCUESTA CONDUCTORES'!AT430</f>
        <v>CUMMINS</v>
      </c>
      <c r="AM430" s="1">
        <f>+'ENCUESTA CONDUCTORES'!AU430</f>
        <v>10000</v>
      </c>
      <c r="AN430" s="48">
        <f>+'ENCUESTA CONDUCTORES'!AV430</f>
        <v>0.5</v>
      </c>
      <c r="AO430" s="15">
        <f>+'ENCUESTA CONDUCTORES'!AW430</f>
        <v>2.6</v>
      </c>
      <c r="AP430" s="15">
        <f>+'ENCUESTA CONDUCTORES'!AX430</f>
        <v>2.4</v>
      </c>
      <c r="AQ430" s="15">
        <f>+'ENCUESTA CONDUCTORES'!AY430</f>
        <v>2</v>
      </c>
      <c r="AR430" s="15">
        <f>+'ENCUESTA CONDUCTORES'!AZ430</f>
        <v>920</v>
      </c>
      <c r="AS430" s="15">
        <f>+'ENCUESTA CONDUCTORES'!BA430</f>
        <v>2300</v>
      </c>
      <c r="AT430" s="15">
        <f>IF('ENCUESTA CONDUCTORES'!BB430="X",1,0)</f>
        <v>1</v>
      </c>
      <c r="AU430" s="15">
        <f>IF('ENCUESTA CONDUCTORES'!BC430="X",1,0)</f>
        <v>1</v>
      </c>
      <c r="AV430" s="15">
        <f>IF('ENCUESTA CONDUCTORES'!BD430="X",1,0)</f>
        <v>0</v>
      </c>
      <c r="AW430" s="1">
        <f>+'ENCUESTA CONDUCTORES'!BE430</f>
        <v>20000</v>
      </c>
      <c r="AX430" s="1">
        <f>+'ENCUESTA CONDUCTORES'!BF430</f>
        <v>180000</v>
      </c>
      <c r="AY430" s="1">
        <f>+'ENCUESTA CONDUCTORES'!BG430</f>
        <v>40000</v>
      </c>
      <c r="AZ430" s="1">
        <f>+'ENCUESTA CONDUCTORES'!BH430</f>
        <v>120000</v>
      </c>
      <c r="BA430" s="1" t="str">
        <f>+'ENCUESTA CONDUCTORES'!BI430</f>
        <v>NO SABE</v>
      </c>
      <c r="BB430" s="15">
        <f>IF('ENCUESTA CONDUCTORES'!BJ430="X",1,0)</f>
        <v>0</v>
      </c>
      <c r="BC430" s="15">
        <f>IF('ENCUESTA CONDUCTORES'!BK430="X",1,0)</f>
        <v>0</v>
      </c>
      <c r="BD430" s="15">
        <f>IF('ENCUESTA CONDUCTORES'!BL430="X",1,0)</f>
        <v>1</v>
      </c>
      <c r="BE430" s="15">
        <f>IF('ENCUESTA CONDUCTORES'!BM430="X",1,0)</f>
        <v>0</v>
      </c>
      <c r="BF430" s="15">
        <f>IF('ENCUESTA CONDUCTORES'!BN430="X",1,0)</f>
        <v>0</v>
      </c>
      <c r="BG430" s="15">
        <f>IF('ENCUESTA CONDUCTORES'!BO430="X",1,0)</f>
        <v>0</v>
      </c>
      <c r="BH430" s="15">
        <f>IF('ENCUESTA CONDUCTORES'!BP430="X",1,0)</f>
        <v>0</v>
      </c>
      <c r="BI430" s="15">
        <f>IF('ENCUESTA CONDUCTORES'!BQ430="X",1,0)</f>
        <v>0</v>
      </c>
      <c r="BJ430" s="15">
        <f>IF('ENCUESTA CONDUCTORES'!BR430="X",1,0)</f>
        <v>1</v>
      </c>
      <c r="BK430" s="15">
        <f>+'ENCUESTA CONDUCTORES'!BS430</f>
        <v>0</v>
      </c>
      <c r="BL430" s="15">
        <f>IF('ENCUESTA CONDUCTORES'!BT430="X",1,0)</f>
        <v>0</v>
      </c>
      <c r="BM430" s="15">
        <f>IF('ENCUESTA CONDUCTORES'!BU430="X",1,0)</f>
        <v>1</v>
      </c>
      <c r="BN430" s="15">
        <f>IF('ENCUESTA CONDUCTORES'!BV430="X",1,0)</f>
        <v>0</v>
      </c>
      <c r="BO430" s="15">
        <f>IF('ENCUESTA CONDUCTORES'!BW430="X",1,0)</f>
        <v>0</v>
      </c>
      <c r="BP430" s="15">
        <f>+'ENCUESTA CONDUCTORES'!BX430</f>
        <v>1</v>
      </c>
      <c r="BQ430" s="15">
        <f>+'ENCUESTA CONDUCTORES'!BY430</f>
        <v>2</v>
      </c>
      <c r="BR430" s="15">
        <f>+'ENCUESTA CONDUCTORES'!BZ430</f>
        <v>3</v>
      </c>
      <c r="BS430" s="15">
        <f>+'ENCUESTA CONDUCTORES'!CA430</f>
        <v>0</v>
      </c>
      <c r="BT430" s="15">
        <f>IF('ENCUESTA CONDUCTORES'!CB430="X",1,0)</f>
        <v>1</v>
      </c>
      <c r="BU430" s="15">
        <f>IF('ENCUESTA CONDUCTORES'!CC430="X",1,0)</f>
        <v>0</v>
      </c>
      <c r="BV430" s="15">
        <f>IF('ENCUESTA CONDUCTORES'!CD430="X",1,0)</f>
        <v>0</v>
      </c>
      <c r="BW430" s="15">
        <f>IF('ENCUESTA CONDUCTORES'!CE430="X",1,0)</f>
        <v>0</v>
      </c>
      <c r="BX430" s="15">
        <f>IF('ENCUESTA CONDUCTORES'!CF430="X",1,0)</f>
        <v>0</v>
      </c>
      <c r="BY430" s="15">
        <f>IF('ENCUESTA CONDUCTORES'!CG430="X",1,0)</f>
        <v>0</v>
      </c>
      <c r="BZ430" s="15">
        <f>IF('ENCUESTA CONDUCTORES'!CH430="X",1,0)</f>
        <v>0</v>
      </c>
      <c r="CA430" s="15">
        <f>IF('ENCUESTA CONDUCTORES'!CI430="X",1,0)</f>
        <v>0</v>
      </c>
      <c r="CB430" s="15">
        <f>IF('ENCUESTA CONDUCTORES'!CJ430="X",1,0)</f>
        <v>0</v>
      </c>
      <c r="CC430" s="15">
        <f>IF('ENCUESTA CONDUCTORES'!CK430="X",1,0)</f>
        <v>1</v>
      </c>
      <c r="CD430" s="15">
        <f>IF('ENCUESTA CONDUCTORES'!CL430="X",1,0)</f>
        <v>0</v>
      </c>
      <c r="CE430" s="15">
        <f>IF('ENCUESTA CONDUCTORES'!CM430="X",1,0)</f>
        <v>0</v>
      </c>
      <c r="CF430" s="15">
        <f>+'ENCUESTA CONDUCTORES'!CN430</f>
        <v>0</v>
      </c>
      <c r="CG430" s="15">
        <f>IF('ENCUESTA CONDUCTORES'!CO430="X",1,0)</f>
        <v>0</v>
      </c>
      <c r="CH430" s="15" t="str">
        <f>+'ENCUESTA CONDUCTORES'!CP430</f>
        <v>NO SABE</v>
      </c>
      <c r="CI430" s="15" t="str">
        <f>+'ENCUESTA CONDUCTORES'!CQ430</f>
        <v>NO SABE</v>
      </c>
      <c r="CJ430" s="15">
        <f>IF('ENCUESTA CONDUCTORES'!CR430="X",1,0)</f>
        <v>0</v>
      </c>
      <c r="CK430" s="15">
        <f>IF('ENCUESTA CONDUCTORES'!CS430="X",1,0)</f>
        <v>0</v>
      </c>
      <c r="CL430" s="15">
        <f>IF('ENCUESTA CONDUCTORES'!CT430="X",1,0)</f>
        <v>0</v>
      </c>
      <c r="CM430" s="15" t="str">
        <f>+'ENCUESTA CONDUCTORES'!CU430</f>
        <v>EMERGENCIA QUIMICA</v>
      </c>
      <c r="CN430" s="15">
        <f>IF('ENCUESTA CONDUCTORES'!CV430="X",1,0)</f>
        <v>0</v>
      </c>
      <c r="CO430" s="15">
        <f>+'ENCUESTA CONDUCTORES'!CW430</f>
        <v>0</v>
      </c>
      <c r="CP430" s="15">
        <f>IF('ENCUESTA CONDUCTORES'!CX430="X",1,0)</f>
        <v>1</v>
      </c>
      <c r="CQ430" s="15">
        <f>IF('ENCUESTA CONDUCTORES'!CY430="X",1,0)</f>
        <v>0</v>
      </c>
      <c r="CR430" s="3">
        <f>+'ENCUESTA CONDUCTORES'!CZ430</f>
        <v>0</v>
      </c>
      <c r="CS430" s="49">
        <f>+'ENCUESTA CONDUCTORES'!DA430</f>
        <v>0</v>
      </c>
    </row>
    <row r="431" spans="2:97" x14ac:dyDescent="0.25">
      <c r="B431" s="14" t="str">
        <f>+'ENCUESTA CONDUCTORES'!D431</f>
        <v>C-442</v>
      </c>
      <c r="C431" s="15">
        <f>IF('ENCUESTA CONDUCTORES'!E431="X",1,0)</f>
        <v>0</v>
      </c>
      <c r="D431" s="15">
        <f>IF('ENCUESTA CONDUCTORES'!F431="X",1,0)</f>
        <v>0</v>
      </c>
      <c r="E431" s="15">
        <f>IF('ENCUESTA CONDUCTORES'!G431="X",1,0)</f>
        <v>0</v>
      </c>
      <c r="F431" s="15">
        <f>IF('ENCUESTA CONDUCTORES'!H431="X",1,0)</f>
        <v>1</v>
      </c>
      <c r="G431" s="15">
        <f>+'ENCUESTA CONDUCTORES'!I431</f>
        <v>42</v>
      </c>
      <c r="H431" s="15" t="str">
        <f>+'ENCUESTA CONDUCTORES'!J431</f>
        <v>M</v>
      </c>
      <c r="I431" s="15" t="str">
        <f>+'ENCUESTA CONDUCTORES'!K431</f>
        <v>SECUNDARIA</v>
      </c>
      <c r="J431" s="15" t="str">
        <f>+'ENCUESTA CONDUCTORES'!L431</f>
        <v>STA. CATARINA, NVO LEON</v>
      </c>
      <c r="K431" s="15" t="str">
        <f>+'ENCUESTA CONDUCTORES'!M431</f>
        <v>STA. CATARINA</v>
      </c>
      <c r="L431" s="15" t="str">
        <f>+'ENCUESTA CONDUCTORES'!N431</f>
        <v>NVO. LEON</v>
      </c>
      <c r="M431" s="15">
        <f>+'ENCUESTA CONDUCTORES'!O431</f>
        <v>20</v>
      </c>
      <c r="N431" s="15">
        <f>IF('ENCUESTA CONDUCTORES'!P431="X",1,0)</f>
        <v>0</v>
      </c>
      <c r="O431" s="15">
        <f>IF('ENCUESTA CONDUCTORES'!Q431="X",1,0)</f>
        <v>1</v>
      </c>
      <c r="P431" s="15">
        <f>IF('ENCUESTA CONDUCTORES'!R431="X",1,0)</f>
        <v>0</v>
      </c>
      <c r="Q431" s="15">
        <f>IF('ENCUESTA CONDUCTORES'!S431="X",1,0)</f>
        <v>0</v>
      </c>
      <c r="R431" s="15">
        <f>IF('ENCUESTA CONDUCTORES'!T431="X",1,0)</f>
        <v>0</v>
      </c>
      <c r="S431" s="15">
        <f>IF('ENCUESTA CONDUCTORES'!U431="X",1,0)</f>
        <v>0</v>
      </c>
      <c r="T431" s="15">
        <f>IF('ENCUESTA CONDUCTORES'!V431="X",1,0)</f>
        <v>0</v>
      </c>
      <c r="U431" s="15">
        <f>IF('ENCUESTA CONDUCTORES'!W431="X",1,0)</f>
        <v>0</v>
      </c>
      <c r="V431" s="15">
        <f>IF('ENCUESTA CONDUCTORES'!X431="X",1,0)</f>
        <v>0</v>
      </c>
      <c r="W431" s="15">
        <f>IF('ENCUESTA CONDUCTORES'!Y431="X",1,0)</f>
        <v>1</v>
      </c>
      <c r="X431" s="15">
        <f>IF('ENCUESTA CONDUCTORES'!Z431="X",1,0)</f>
        <v>0</v>
      </c>
      <c r="Y431" s="15">
        <f>+'ENCUESTA CONDUCTORES'!AG431</f>
        <v>0</v>
      </c>
      <c r="Z431" s="15">
        <f>+'ENCUESTA CONDUCTORES'!AH431</f>
        <v>2006</v>
      </c>
      <c r="AA431" s="1">
        <f>+'ENCUESTA CONDUCTORES'!AI431</f>
        <v>573903</v>
      </c>
      <c r="AB431" s="15">
        <f>IF('ENCUESTA CONDUCTORES'!AJ431="X",1,0)</f>
        <v>0</v>
      </c>
      <c r="AC431" s="15">
        <f>IF('ENCUESTA CONDUCTORES'!AK431="X",1,0)</f>
        <v>0</v>
      </c>
      <c r="AD431" s="15">
        <f>IF('ENCUESTA CONDUCTORES'!AL431="X",1,0)</f>
        <v>1</v>
      </c>
      <c r="AE431" s="15">
        <f>IF('ENCUESTA CONDUCTORES'!AM431="X",1,0)</f>
        <v>0</v>
      </c>
      <c r="AF431" s="15">
        <f>IF('ENCUESTA CONDUCTORES'!AN431="X",1,0)</f>
        <v>0</v>
      </c>
      <c r="AG431" s="15">
        <f>IF('ENCUESTA CONDUCTORES'!AO431="X",1,0)</f>
        <v>0</v>
      </c>
      <c r="AH431" s="15">
        <f>IF('ENCUESTA CONDUCTORES'!AP431="X",1,0)</f>
        <v>1</v>
      </c>
      <c r="AI431" s="15">
        <f>IF('ENCUESTA CONDUCTORES'!AQ431="X",1,0)</f>
        <v>0</v>
      </c>
      <c r="AJ431" s="15">
        <f>IF('ENCUESTA CONDUCTORES'!AR431="X",1,0)</f>
        <v>0</v>
      </c>
      <c r="AK431" s="15">
        <f>+'ENCUESTA CONDUCTORES'!AS431</f>
        <v>0</v>
      </c>
      <c r="AL431" s="15" t="str">
        <f>+'ENCUESTA CONDUCTORES'!AT431</f>
        <v>CUMMINS</v>
      </c>
      <c r="AM431" s="1">
        <f>+'ENCUESTA CONDUCTORES'!AU431</f>
        <v>10000</v>
      </c>
      <c r="AN431" s="48">
        <f>+'ENCUESTA CONDUCTORES'!AV431</f>
        <v>0.5</v>
      </c>
      <c r="AO431" s="15">
        <f>+'ENCUESTA CONDUCTORES'!AW431</f>
        <v>3.8</v>
      </c>
      <c r="AP431" s="15">
        <f>+'ENCUESTA CONDUCTORES'!AX431</f>
        <v>3.2</v>
      </c>
      <c r="AQ431" s="15">
        <f>+'ENCUESTA CONDUCTORES'!AY431</f>
        <v>2</v>
      </c>
      <c r="AR431" s="15">
        <f>+'ENCUESTA CONDUCTORES'!AZ431</f>
        <v>690</v>
      </c>
      <c r="AS431" s="15">
        <f>+'ENCUESTA CONDUCTORES'!BA431</f>
        <v>2400</v>
      </c>
      <c r="AT431" s="15">
        <f>IF('ENCUESTA CONDUCTORES'!BB431="X",1,0)</f>
        <v>1</v>
      </c>
      <c r="AU431" s="15">
        <f>IF('ENCUESTA CONDUCTORES'!BC431="X",1,0)</f>
        <v>1</v>
      </c>
      <c r="AV431" s="15">
        <f>IF('ENCUESTA CONDUCTORES'!BD431="X",1,0)</f>
        <v>0</v>
      </c>
      <c r="AW431" s="1">
        <f>+'ENCUESTA CONDUCTORES'!BE431</f>
        <v>22000</v>
      </c>
      <c r="AX431" s="1">
        <f>+'ENCUESTA CONDUCTORES'!BF431</f>
        <v>240000</v>
      </c>
      <c r="AY431" s="1">
        <f>+'ENCUESTA CONDUCTORES'!BG431</f>
        <v>44000</v>
      </c>
      <c r="AZ431" s="1">
        <f>+'ENCUESTA CONDUCTORES'!BH431</f>
        <v>120000</v>
      </c>
      <c r="BA431" s="1" t="str">
        <f>+'ENCUESTA CONDUCTORES'!BI431</f>
        <v>NO SABE</v>
      </c>
      <c r="BB431" s="15">
        <f>IF('ENCUESTA CONDUCTORES'!BJ431="X",1,0)</f>
        <v>0</v>
      </c>
      <c r="BC431" s="15">
        <f>IF('ENCUESTA CONDUCTORES'!BK431="X",1,0)</f>
        <v>0</v>
      </c>
      <c r="BD431" s="15">
        <f>IF('ENCUESTA CONDUCTORES'!BL431="X",1,0)</f>
        <v>1</v>
      </c>
      <c r="BE431" s="15">
        <f>IF('ENCUESTA CONDUCTORES'!BM431="X",1,0)</f>
        <v>0</v>
      </c>
      <c r="BF431" s="15">
        <f>IF('ENCUESTA CONDUCTORES'!BN431="X",1,0)</f>
        <v>0</v>
      </c>
      <c r="BG431" s="15">
        <f>IF('ENCUESTA CONDUCTORES'!BO431="X",1,0)</f>
        <v>0</v>
      </c>
      <c r="BH431" s="15">
        <f>IF('ENCUESTA CONDUCTORES'!BP431="X",1,0)</f>
        <v>0</v>
      </c>
      <c r="BI431" s="15">
        <f>IF('ENCUESTA CONDUCTORES'!BQ431="X",1,0)</f>
        <v>0</v>
      </c>
      <c r="BJ431" s="15">
        <f>IF('ENCUESTA CONDUCTORES'!BR431="X",1,0)</f>
        <v>1</v>
      </c>
      <c r="BK431" s="15">
        <f>+'ENCUESTA CONDUCTORES'!BS431</f>
        <v>0</v>
      </c>
      <c r="BL431" s="15">
        <f>IF('ENCUESTA CONDUCTORES'!BT431="X",1,0)</f>
        <v>0</v>
      </c>
      <c r="BM431" s="15">
        <f>IF('ENCUESTA CONDUCTORES'!BU431="X",1,0)</f>
        <v>1</v>
      </c>
      <c r="BN431" s="15">
        <f>IF('ENCUESTA CONDUCTORES'!BV431="X",1,0)</f>
        <v>0</v>
      </c>
      <c r="BO431" s="15">
        <f>IF('ENCUESTA CONDUCTORES'!BW431="X",1,0)</f>
        <v>0</v>
      </c>
      <c r="BP431" s="15">
        <f>+'ENCUESTA CONDUCTORES'!BX431</f>
        <v>1</v>
      </c>
      <c r="BQ431" s="15">
        <f>+'ENCUESTA CONDUCTORES'!BY431</f>
        <v>2</v>
      </c>
      <c r="BR431" s="15">
        <f>+'ENCUESTA CONDUCTORES'!BZ431</f>
        <v>3</v>
      </c>
      <c r="BS431" s="15">
        <f>+'ENCUESTA CONDUCTORES'!CA431</f>
        <v>0</v>
      </c>
      <c r="BT431" s="15">
        <f>IF('ENCUESTA CONDUCTORES'!CB431="X",1,0)</f>
        <v>1</v>
      </c>
      <c r="BU431" s="15">
        <f>IF('ENCUESTA CONDUCTORES'!CC431="X",1,0)</f>
        <v>0</v>
      </c>
      <c r="BV431" s="15">
        <f>IF('ENCUESTA CONDUCTORES'!CD431="X",1,0)</f>
        <v>0</v>
      </c>
      <c r="BW431" s="15">
        <f>IF('ENCUESTA CONDUCTORES'!CE431="X",1,0)</f>
        <v>0</v>
      </c>
      <c r="BX431" s="15">
        <f>IF('ENCUESTA CONDUCTORES'!CF431="X",1,0)</f>
        <v>0</v>
      </c>
      <c r="BY431" s="15">
        <f>IF('ENCUESTA CONDUCTORES'!CG431="X",1,0)</f>
        <v>0</v>
      </c>
      <c r="BZ431" s="15">
        <f>IF('ENCUESTA CONDUCTORES'!CH431="X",1,0)</f>
        <v>0</v>
      </c>
      <c r="CA431" s="15">
        <f>IF('ENCUESTA CONDUCTORES'!CI431="X",1,0)</f>
        <v>0</v>
      </c>
      <c r="CB431" s="15">
        <f>IF('ENCUESTA CONDUCTORES'!CJ431="X",1,0)</f>
        <v>0</v>
      </c>
      <c r="CC431" s="15">
        <f>IF('ENCUESTA CONDUCTORES'!CK431="X",1,0)</f>
        <v>1</v>
      </c>
      <c r="CD431" s="15">
        <f>IF('ENCUESTA CONDUCTORES'!CL431="X",1,0)</f>
        <v>0</v>
      </c>
      <c r="CE431" s="15">
        <f>IF('ENCUESTA CONDUCTORES'!CM431="X",1,0)</f>
        <v>0</v>
      </c>
      <c r="CF431" s="15">
        <f>+'ENCUESTA CONDUCTORES'!CN431</f>
        <v>0</v>
      </c>
      <c r="CG431" s="15">
        <f>IF('ENCUESTA CONDUCTORES'!CO431="X",1,0)</f>
        <v>0</v>
      </c>
      <c r="CH431" s="15" t="str">
        <f>+'ENCUESTA CONDUCTORES'!CP431</f>
        <v>NO SABE</v>
      </c>
      <c r="CI431" s="15" t="str">
        <f>+'ENCUESTA CONDUCTORES'!CQ431</f>
        <v>NO SABE</v>
      </c>
      <c r="CJ431" s="15">
        <f>IF('ENCUESTA CONDUCTORES'!CR431="X",1,0)</f>
        <v>0</v>
      </c>
      <c r="CK431" s="15">
        <f>IF('ENCUESTA CONDUCTORES'!CS431="X",1,0)</f>
        <v>0</v>
      </c>
      <c r="CL431" s="15">
        <f>IF('ENCUESTA CONDUCTORES'!CT431="X",1,0)</f>
        <v>0</v>
      </c>
      <c r="CM431" s="15" t="str">
        <f>+'ENCUESTA CONDUCTORES'!CU431</f>
        <v>ACCIDENTE QUIMICO</v>
      </c>
      <c r="CN431" s="15">
        <f>IF('ENCUESTA CONDUCTORES'!CV431="X",1,0)</f>
        <v>0</v>
      </c>
      <c r="CO431" s="15">
        <f>+'ENCUESTA CONDUCTORES'!CW431</f>
        <v>0</v>
      </c>
      <c r="CP431" s="15">
        <f>IF('ENCUESTA CONDUCTORES'!CX431="X",1,0)</f>
        <v>1</v>
      </c>
      <c r="CQ431" s="15">
        <f>IF('ENCUESTA CONDUCTORES'!CY431="X",1,0)</f>
        <v>0</v>
      </c>
      <c r="CR431" s="3">
        <f>+'ENCUESTA CONDUCTORES'!CZ431</f>
        <v>0</v>
      </c>
      <c r="CS431" s="49">
        <f>+'ENCUESTA CONDUCTORES'!DA431</f>
        <v>0</v>
      </c>
    </row>
    <row r="432" spans="2:97" x14ac:dyDescent="0.25">
      <c r="B432" s="14" t="str">
        <f>+'ENCUESTA CONDUCTORES'!D432</f>
        <v>C-443</v>
      </c>
      <c r="C432" s="15">
        <f>IF('ENCUESTA CONDUCTORES'!E432="X",1,0)</f>
        <v>0</v>
      </c>
      <c r="D432" s="15">
        <f>IF('ENCUESTA CONDUCTORES'!F432="X",1,0)</f>
        <v>1</v>
      </c>
      <c r="E432" s="15">
        <f>IF('ENCUESTA CONDUCTORES'!G432="X",1,0)</f>
        <v>0</v>
      </c>
      <c r="F432" s="15">
        <f>IF('ENCUESTA CONDUCTORES'!H432="X",1,0)</f>
        <v>0</v>
      </c>
      <c r="G432" s="15">
        <f>+'ENCUESTA CONDUCTORES'!I432</f>
        <v>26</v>
      </c>
      <c r="H432" s="15" t="str">
        <f>+'ENCUESTA CONDUCTORES'!J432</f>
        <v>M</v>
      </c>
      <c r="I432" s="15" t="str">
        <f>+'ENCUESTA CONDUCTORES'!K432</f>
        <v>SECUNDARIA</v>
      </c>
      <c r="J432" s="15" t="str">
        <f>+'ENCUESTA CONDUCTORES'!L432</f>
        <v>CORTAZAR, GTO.</v>
      </c>
      <c r="K432" s="15" t="str">
        <f>+'ENCUESTA CONDUCTORES'!M432</f>
        <v>CORTAZAR</v>
      </c>
      <c r="L432" s="15" t="str">
        <f>+'ENCUESTA CONDUCTORES'!N432</f>
        <v>GUANAJUATO</v>
      </c>
      <c r="M432" s="15">
        <f>+'ENCUESTA CONDUCTORES'!O432</f>
        <v>7</v>
      </c>
      <c r="N432" s="15">
        <f>IF('ENCUESTA CONDUCTORES'!P432="X",1,0)</f>
        <v>0</v>
      </c>
      <c r="O432" s="15">
        <f>IF('ENCUESTA CONDUCTORES'!Q432="X",1,0)</f>
        <v>1</v>
      </c>
      <c r="P432" s="15">
        <f>IF('ENCUESTA CONDUCTORES'!R432="X",1,0)</f>
        <v>0</v>
      </c>
      <c r="Q432" s="15">
        <f>IF('ENCUESTA CONDUCTORES'!S432="X",1,0)</f>
        <v>0</v>
      </c>
      <c r="R432" s="15">
        <f>IF('ENCUESTA CONDUCTORES'!T432="X",1,0)</f>
        <v>0</v>
      </c>
      <c r="S432" s="15">
        <f>IF('ENCUESTA CONDUCTORES'!U432="X",1,0)</f>
        <v>0</v>
      </c>
      <c r="T432" s="15">
        <f>IF('ENCUESTA CONDUCTORES'!V432="X",1,0)</f>
        <v>0</v>
      </c>
      <c r="U432" s="15">
        <f>IF('ENCUESTA CONDUCTORES'!W432="X",1,0)</f>
        <v>0</v>
      </c>
      <c r="V432" s="15">
        <f>IF('ENCUESTA CONDUCTORES'!X432="X",1,0)</f>
        <v>0</v>
      </c>
      <c r="W432" s="15">
        <f>IF('ENCUESTA CONDUCTORES'!Y432="X",1,0)</f>
        <v>0</v>
      </c>
      <c r="X432" s="15">
        <f>IF('ENCUESTA CONDUCTORES'!Z432="X",1,0)</f>
        <v>0</v>
      </c>
      <c r="Y432" s="15">
        <f>+'ENCUESTA CONDUCTORES'!AG432</f>
        <v>0</v>
      </c>
      <c r="Z432" s="15">
        <f>+'ENCUESTA CONDUCTORES'!AH432</f>
        <v>1997</v>
      </c>
      <c r="AA432" s="1" t="str">
        <f>+'ENCUESTA CONDUCTORES'!AI432</f>
        <v>NO SABE</v>
      </c>
      <c r="AB432" s="15">
        <f>IF('ENCUESTA CONDUCTORES'!AJ432="X",1,0)</f>
        <v>0</v>
      </c>
      <c r="AC432" s="15">
        <f>IF('ENCUESTA CONDUCTORES'!AK432="X",1,0)</f>
        <v>0</v>
      </c>
      <c r="AD432" s="15">
        <f>IF('ENCUESTA CONDUCTORES'!AL432="X",1,0)</f>
        <v>1</v>
      </c>
      <c r="AE432" s="15">
        <f>IF('ENCUESTA CONDUCTORES'!AM432="X",1,0)</f>
        <v>0</v>
      </c>
      <c r="AF432" s="15">
        <f>IF('ENCUESTA CONDUCTORES'!AN432="X",1,0)</f>
        <v>0</v>
      </c>
      <c r="AG432" s="15">
        <f>IF('ENCUESTA CONDUCTORES'!AO432="X",1,0)</f>
        <v>1</v>
      </c>
      <c r="AH432" s="15">
        <f>IF('ENCUESTA CONDUCTORES'!AP432="X",1,0)</f>
        <v>0</v>
      </c>
      <c r="AI432" s="15">
        <f>IF('ENCUESTA CONDUCTORES'!AQ432="X",1,0)</f>
        <v>0</v>
      </c>
      <c r="AJ432" s="15">
        <f>IF('ENCUESTA CONDUCTORES'!AR432="X",1,0)</f>
        <v>0</v>
      </c>
      <c r="AK432" s="15">
        <f>+'ENCUESTA CONDUCTORES'!AS432</f>
        <v>0</v>
      </c>
      <c r="AL432" s="15" t="str">
        <f>+'ENCUESTA CONDUCTORES'!AT432</f>
        <v>CUMMINS</v>
      </c>
      <c r="AM432" s="1">
        <f>+'ENCUESTA CONDUCTORES'!AU432</f>
        <v>9000</v>
      </c>
      <c r="AN432" s="48">
        <f>+'ENCUESTA CONDUCTORES'!AV432</f>
        <v>0.1</v>
      </c>
      <c r="AO432" s="15">
        <f>+'ENCUESTA CONDUCTORES'!AW432</f>
        <v>3.4</v>
      </c>
      <c r="AP432" s="15">
        <f>+'ENCUESTA CONDUCTORES'!AX432</f>
        <v>3.1</v>
      </c>
      <c r="AQ432" s="15">
        <f>+'ENCUESTA CONDUCTORES'!AY432</f>
        <v>2</v>
      </c>
      <c r="AR432" s="15">
        <f>+'ENCUESTA CONDUCTORES'!AZ432</f>
        <v>750</v>
      </c>
      <c r="AS432" s="15">
        <f>+'ENCUESTA CONDUCTORES'!BA432</f>
        <v>2400</v>
      </c>
      <c r="AT432" s="15">
        <f>IF('ENCUESTA CONDUCTORES'!BB432="X",1,0)</f>
        <v>1</v>
      </c>
      <c r="AU432" s="15">
        <f>IF('ENCUESTA CONDUCTORES'!BC432="X",1,0)</f>
        <v>0</v>
      </c>
      <c r="AV432" s="15">
        <f>IF('ENCUESTA CONDUCTORES'!BD432="X",1,0)</f>
        <v>0</v>
      </c>
      <c r="AW432" s="1">
        <f>+'ENCUESTA CONDUCTORES'!BE432</f>
        <v>30000</v>
      </c>
      <c r="AX432" s="1" t="str">
        <f>+'ENCUESTA CONDUCTORES'!BF432</f>
        <v>NO SABE</v>
      </c>
      <c r="AY432" s="1">
        <f>+'ENCUESTA CONDUCTORES'!BG432</f>
        <v>60000</v>
      </c>
      <c r="AZ432" s="1" t="str">
        <f>+'ENCUESTA CONDUCTORES'!BH432</f>
        <v>NO SABE</v>
      </c>
      <c r="BA432" s="1" t="str">
        <f>+'ENCUESTA CONDUCTORES'!BI432</f>
        <v>NO SABE</v>
      </c>
      <c r="BB432" s="15">
        <f>IF('ENCUESTA CONDUCTORES'!BJ432="X",1,0)</f>
        <v>0</v>
      </c>
      <c r="BC432" s="15">
        <f>IF('ENCUESTA CONDUCTORES'!BK432="X",1,0)</f>
        <v>0</v>
      </c>
      <c r="BD432" s="15">
        <f>IF('ENCUESTA CONDUCTORES'!BL432="X",1,0)</f>
        <v>0</v>
      </c>
      <c r="BE432" s="15">
        <f>IF('ENCUESTA CONDUCTORES'!BM432="X",1,0)</f>
        <v>0</v>
      </c>
      <c r="BF432" s="15">
        <f>IF('ENCUESTA CONDUCTORES'!BN432="X",1,0)</f>
        <v>0</v>
      </c>
      <c r="BG432" s="15">
        <f>IF('ENCUESTA CONDUCTORES'!BO432="X",1,0)</f>
        <v>1</v>
      </c>
      <c r="BH432" s="15">
        <f>IF('ENCUESTA CONDUCTORES'!BP432="X",1,0)</f>
        <v>0</v>
      </c>
      <c r="BI432" s="15">
        <f>IF('ENCUESTA CONDUCTORES'!BQ432="X",1,0)</f>
        <v>0</v>
      </c>
      <c r="BJ432" s="15">
        <f>IF('ENCUESTA CONDUCTORES'!BR432="X",1,0)</f>
        <v>0</v>
      </c>
      <c r="BK432" s="15">
        <f>+'ENCUESTA CONDUCTORES'!BS432</f>
        <v>0</v>
      </c>
      <c r="BL432" s="15">
        <f>IF('ENCUESTA CONDUCTORES'!BT432="X",1,0)</f>
        <v>0</v>
      </c>
      <c r="BM432" s="15">
        <f>IF('ENCUESTA CONDUCTORES'!BU432="X",1,0)</f>
        <v>1</v>
      </c>
      <c r="BN432" s="15">
        <f>IF('ENCUESTA CONDUCTORES'!BV432="X",1,0)</f>
        <v>0</v>
      </c>
      <c r="BO432" s="15">
        <f>IF('ENCUESTA CONDUCTORES'!BW432="X",1,0)</f>
        <v>0</v>
      </c>
      <c r="BP432" s="15">
        <f>+'ENCUESTA CONDUCTORES'!BX432</f>
        <v>3</v>
      </c>
      <c r="BQ432" s="15">
        <f>+'ENCUESTA CONDUCTORES'!BY432</f>
        <v>2</v>
      </c>
      <c r="BR432" s="15">
        <f>+'ENCUESTA CONDUCTORES'!BZ432</f>
        <v>1</v>
      </c>
      <c r="BS432" s="15">
        <f>+'ENCUESTA CONDUCTORES'!CA432</f>
        <v>0</v>
      </c>
      <c r="BT432" s="15">
        <f>IF('ENCUESTA CONDUCTORES'!CB432="X",1,0)</f>
        <v>1</v>
      </c>
      <c r="BU432" s="15">
        <f>IF('ENCUESTA CONDUCTORES'!CC432="X",1,0)</f>
        <v>0</v>
      </c>
      <c r="BV432" s="15">
        <f>IF('ENCUESTA CONDUCTORES'!CD432="X",1,0)</f>
        <v>0</v>
      </c>
      <c r="BW432" s="15">
        <f>IF('ENCUESTA CONDUCTORES'!CE432="X",1,0)</f>
        <v>0</v>
      </c>
      <c r="BX432" s="15">
        <f>IF('ENCUESTA CONDUCTORES'!CF432="X",1,0)</f>
        <v>0</v>
      </c>
      <c r="BY432" s="15">
        <f>IF('ENCUESTA CONDUCTORES'!CG432="X",1,0)</f>
        <v>0</v>
      </c>
      <c r="BZ432" s="15">
        <f>IF('ENCUESTA CONDUCTORES'!CH432="X",1,0)</f>
        <v>0</v>
      </c>
      <c r="CA432" s="15">
        <f>IF('ENCUESTA CONDUCTORES'!CI432="X",1,0)</f>
        <v>0</v>
      </c>
      <c r="CB432" s="15">
        <f>IF('ENCUESTA CONDUCTORES'!CJ432="X",1,0)</f>
        <v>0</v>
      </c>
      <c r="CC432" s="15">
        <f>IF('ENCUESTA CONDUCTORES'!CK432="X",1,0)</f>
        <v>1</v>
      </c>
      <c r="CD432" s="15">
        <f>IF('ENCUESTA CONDUCTORES'!CL432="X",1,0)</f>
        <v>0</v>
      </c>
      <c r="CE432" s="15">
        <f>IF('ENCUESTA CONDUCTORES'!CM432="X",1,0)</f>
        <v>0</v>
      </c>
      <c r="CF432" s="15">
        <f>+'ENCUESTA CONDUCTORES'!CN432</f>
        <v>0</v>
      </c>
      <c r="CG432" s="15">
        <f>IF('ENCUESTA CONDUCTORES'!CO432="X",1,0)</f>
        <v>0</v>
      </c>
      <c r="CH432" s="15" t="str">
        <f>+'ENCUESTA CONDUCTORES'!CP432</f>
        <v>NO SABE</v>
      </c>
      <c r="CI432" s="15" t="str">
        <f>+'ENCUESTA CONDUCTORES'!CQ432</f>
        <v>NO SABE</v>
      </c>
      <c r="CJ432" s="15">
        <f>IF('ENCUESTA CONDUCTORES'!CR432="X",1,0)</f>
        <v>1</v>
      </c>
      <c r="CK432" s="15">
        <f>IF('ENCUESTA CONDUCTORES'!CS432="X",1,0)</f>
        <v>0</v>
      </c>
      <c r="CL432" s="15">
        <f>IF('ENCUESTA CONDUCTORES'!CT432="X",1,0)</f>
        <v>0</v>
      </c>
      <c r="CM432" s="15">
        <f>+'ENCUESTA CONDUCTORES'!CU432</f>
        <v>0</v>
      </c>
      <c r="CN432" s="15">
        <f>IF('ENCUESTA CONDUCTORES'!CV432="X",1,0)</f>
        <v>0</v>
      </c>
      <c r="CO432" s="15">
        <f>+'ENCUESTA CONDUCTORES'!CW432</f>
        <v>0</v>
      </c>
      <c r="CP432" s="15">
        <f>IF('ENCUESTA CONDUCTORES'!CX432="X",1,0)</f>
        <v>1</v>
      </c>
      <c r="CQ432" s="15">
        <f>IF('ENCUESTA CONDUCTORES'!CY432="X",1,0)</f>
        <v>0</v>
      </c>
      <c r="CR432" s="3">
        <f>+'ENCUESTA CONDUCTORES'!CZ432</f>
        <v>0</v>
      </c>
      <c r="CS432" s="49">
        <f>+'ENCUESTA CONDUCTORES'!DA432</f>
        <v>0</v>
      </c>
    </row>
    <row r="433" spans="2:97" x14ac:dyDescent="0.25">
      <c r="B433" s="14" t="str">
        <f>+'ENCUESTA CONDUCTORES'!D433</f>
        <v>C-444</v>
      </c>
      <c r="C433" s="15">
        <f>IF('ENCUESTA CONDUCTORES'!E433="X",1,0)</f>
        <v>0</v>
      </c>
      <c r="D433" s="15">
        <f>IF('ENCUESTA CONDUCTORES'!F433="X",1,0)</f>
        <v>0</v>
      </c>
      <c r="E433" s="15">
        <f>IF('ENCUESTA CONDUCTORES'!G433="X",1,0)</f>
        <v>1</v>
      </c>
      <c r="F433" s="15">
        <f>IF('ENCUESTA CONDUCTORES'!H433="X",1,0)</f>
        <v>0</v>
      </c>
      <c r="G433" s="15">
        <f>+'ENCUESTA CONDUCTORES'!I433</f>
        <v>35</v>
      </c>
      <c r="H433" s="15" t="str">
        <f>+'ENCUESTA CONDUCTORES'!J433</f>
        <v>M</v>
      </c>
      <c r="I433" s="15" t="str">
        <f>+'ENCUESTA CONDUCTORES'!K433</f>
        <v>PRIMARIA</v>
      </c>
      <c r="J433" s="15" t="str">
        <f>+'ENCUESTA CONDUCTORES'!L433</f>
        <v>SALVATIERRA, GTO</v>
      </c>
      <c r="K433" s="15" t="str">
        <f>+'ENCUESTA CONDUCTORES'!M433</f>
        <v>SALVATIERRA</v>
      </c>
      <c r="L433" s="15" t="str">
        <f>+'ENCUESTA CONDUCTORES'!N433</f>
        <v>GUANAJUATO</v>
      </c>
      <c r="M433" s="15">
        <f>+'ENCUESTA CONDUCTORES'!O433</f>
        <v>8</v>
      </c>
      <c r="N433" s="15">
        <f>IF('ENCUESTA CONDUCTORES'!P433="X",1,0)</f>
        <v>0</v>
      </c>
      <c r="O433" s="15">
        <f>IF('ENCUESTA CONDUCTORES'!Q433="X",1,0)</f>
        <v>0</v>
      </c>
      <c r="P433" s="15">
        <f>IF('ENCUESTA CONDUCTORES'!R433="X",1,0)</f>
        <v>0</v>
      </c>
      <c r="Q433" s="15">
        <f>IF('ENCUESTA CONDUCTORES'!S433="X",1,0)</f>
        <v>1</v>
      </c>
      <c r="R433" s="15">
        <f>IF('ENCUESTA CONDUCTORES'!T433="X",1,0)</f>
        <v>0</v>
      </c>
      <c r="S433" s="15">
        <f>IF('ENCUESTA CONDUCTORES'!U433="X",1,0)</f>
        <v>0</v>
      </c>
      <c r="T433" s="15">
        <f>IF('ENCUESTA CONDUCTORES'!V433="X",1,0)</f>
        <v>0</v>
      </c>
      <c r="U433" s="15">
        <f>IF('ENCUESTA CONDUCTORES'!W433="X",1,0)</f>
        <v>0</v>
      </c>
      <c r="V433" s="15">
        <f>IF('ENCUESTA CONDUCTORES'!X433="X",1,0)</f>
        <v>0</v>
      </c>
      <c r="W433" s="15">
        <f>IF('ENCUESTA CONDUCTORES'!Y433="X",1,0)</f>
        <v>0</v>
      </c>
      <c r="X433" s="15">
        <f>IF('ENCUESTA CONDUCTORES'!Z433="X",1,0)</f>
        <v>0</v>
      </c>
      <c r="Y433" s="15">
        <f>+'ENCUESTA CONDUCTORES'!AG433</f>
        <v>0</v>
      </c>
      <c r="Z433" s="15">
        <f>+'ENCUESTA CONDUCTORES'!AH433</f>
        <v>1998</v>
      </c>
      <c r="AA433" s="1" t="str">
        <f>+'ENCUESTA CONDUCTORES'!AI433</f>
        <v>NO SABE</v>
      </c>
      <c r="AB433" s="15">
        <f>IF('ENCUESTA CONDUCTORES'!AJ433="X",1,0)</f>
        <v>0</v>
      </c>
      <c r="AC433" s="15">
        <f>IF('ENCUESTA CONDUCTORES'!AK433="X",1,0)</f>
        <v>0</v>
      </c>
      <c r="AD433" s="15">
        <f>IF('ENCUESTA CONDUCTORES'!AL433="X",1,0)</f>
        <v>1</v>
      </c>
      <c r="AE433" s="15">
        <f>IF('ENCUESTA CONDUCTORES'!AM433="X",1,0)</f>
        <v>0</v>
      </c>
      <c r="AF433" s="15">
        <f>IF('ENCUESTA CONDUCTORES'!AN433="X",1,0)</f>
        <v>0</v>
      </c>
      <c r="AG433" s="15">
        <f>IF('ENCUESTA CONDUCTORES'!AO433="X",1,0)</f>
        <v>1</v>
      </c>
      <c r="AH433" s="15">
        <f>IF('ENCUESTA CONDUCTORES'!AP433="X",1,0)</f>
        <v>0</v>
      </c>
      <c r="AI433" s="15">
        <f>IF('ENCUESTA CONDUCTORES'!AQ433="X",1,0)</f>
        <v>0</v>
      </c>
      <c r="AJ433" s="15">
        <f>IF('ENCUESTA CONDUCTORES'!AR433="X",1,0)</f>
        <v>0</v>
      </c>
      <c r="AK433" s="15">
        <f>+'ENCUESTA CONDUCTORES'!AS433</f>
        <v>0</v>
      </c>
      <c r="AL433" s="15" t="str">
        <f>+'ENCUESTA CONDUCTORES'!AT433</f>
        <v>CUMMINS</v>
      </c>
      <c r="AM433" s="1">
        <f>+'ENCUESTA CONDUCTORES'!AU433</f>
        <v>9000</v>
      </c>
      <c r="AN433" s="48">
        <f>+'ENCUESTA CONDUCTORES'!AV433</f>
        <v>0.2</v>
      </c>
      <c r="AO433" s="15">
        <f>+'ENCUESTA CONDUCTORES'!AW433</f>
        <v>2.6</v>
      </c>
      <c r="AP433" s="15">
        <f>+'ENCUESTA CONDUCTORES'!AX433</f>
        <v>2.2000000000000002</v>
      </c>
      <c r="AQ433" s="15">
        <f>+'ENCUESTA CONDUCTORES'!AY433</f>
        <v>2</v>
      </c>
      <c r="AR433" s="15">
        <f>+'ENCUESTA CONDUCTORES'!AZ433</f>
        <v>800</v>
      </c>
      <c r="AS433" s="15">
        <f>+'ENCUESTA CONDUCTORES'!BA433</f>
        <v>2000</v>
      </c>
      <c r="AT433" s="15">
        <f>IF('ENCUESTA CONDUCTORES'!BB433="X",1,0)</f>
        <v>0</v>
      </c>
      <c r="AU433" s="15">
        <f>IF('ENCUESTA CONDUCTORES'!BC433="X",1,0)</f>
        <v>0</v>
      </c>
      <c r="AV433" s="15">
        <f>IF('ENCUESTA CONDUCTORES'!BD433="X",1,0)</f>
        <v>0</v>
      </c>
      <c r="AW433" s="1">
        <f>+'ENCUESTA CONDUCTORES'!BE433</f>
        <v>35000</v>
      </c>
      <c r="AX433" s="1">
        <f>+'ENCUESTA CONDUCTORES'!BF433</f>
        <v>24000</v>
      </c>
      <c r="AY433" s="1">
        <f>+'ENCUESTA CONDUCTORES'!BG433</f>
        <v>70000</v>
      </c>
      <c r="AZ433" s="1">
        <f>+'ENCUESTA CONDUCTORES'!BH433</f>
        <v>120000</v>
      </c>
      <c r="BA433" s="1" t="str">
        <f>+'ENCUESTA CONDUCTORES'!BI433</f>
        <v>NO SABE</v>
      </c>
      <c r="BB433" s="15">
        <f>IF('ENCUESTA CONDUCTORES'!BJ433="X",1,0)</f>
        <v>0</v>
      </c>
      <c r="BC433" s="15">
        <f>IF('ENCUESTA CONDUCTORES'!BK433="X",1,0)</f>
        <v>0</v>
      </c>
      <c r="BD433" s="15">
        <f>IF('ENCUESTA CONDUCTORES'!BL433="X",1,0)</f>
        <v>0</v>
      </c>
      <c r="BE433" s="15">
        <f>IF('ENCUESTA CONDUCTORES'!BM433="X",1,0)</f>
        <v>0</v>
      </c>
      <c r="BF433" s="15">
        <f>IF('ENCUESTA CONDUCTORES'!BN433="X",1,0)</f>
        <v>0</v>
      </c>
      <c r="BG433" s="15">
        <f>IF('ENCUESTA CONDUCTORES'!BO433="X",1,0)</f>
        <v>1</v>
      </c>
      <c r="BH433" s="15">
        <f>IF('ENCUESTA CONDUCTORES'!BP433="X",1,0)</f>
        <v>0</v>
      </c>
      <c r="BI433" s="15">
        <f>IF('ENCUESTA CONDUCTORES'!BQ433="X",1,0)</f>
        <v>0</v>
      </c>
      <c r="BJ433" s="15">
        <f>IF('ENCUESTA CONDUCTORES'!BR433="X",1,0)</f>
        <v>0</v>
      </c>
      <c r="BK433" s="15">
        <f>+'ENCUESTA CONDUCTORES'!BS433</f>
        <v>0</v>
      </c>
      <c r="BL433" s="15">
        <f>IF('ENCUESTA CONDUCTORES'!BT433="X",1,0)</f>
        <v>0</v>
      </c>
      <c r="BM433" s="15">
        <f>IF('ENCUESTA CONDUCTORES'!BU433="X",1,0)</f>
        <v>1</v>
      </c>
      <c r="BN433" s="15">
        <f>IF('ENCUESTA CONDUCTORES'!BV433="X",1,0)</f>
        <v>0</v>
      </c>
      <c r="BO433" s="15">
        <f>IF('ENCUESTA CONDUCTORES'!BW433="X",1,0)</f>
        <v>0</v>
      </c>
      <c r="BP433" s="15">
        <f>+'ENCUESTA CONDUCTORES'!BX433</f>
        <v>2</v>
      </c>
      <c r="BQ433" s="15">
        <f>+'ENCUESTA CONDUCTORES'!BY433</f>
        <v>1</v>
      </c>
      <c r="BR433" s="15">
        <f>+'ENCUESTA CONDUCTORES'!BZ433</f>
        <v>3</v>
      </c>
      <c r="BS433" s="15">
        <f>+'ENCUESTA CONDUCTORES'!CA433</f>
        <v>0</v>
      </c>
      <c r="BT433" s="15">
        <f>IF('ENCUESTA CONDUCTORES'!CB433="X",1,0)</f>
        <v>1</v>
      </c>
      <c r="BU433" s="15">
        <f>IF('ENCUESTA CONDUCTORES'!CC433="X",1,0)</f>
        <v>0</v>
      </c>
      <c r="BV433" s="15">
        <f>IF('ENCUESTA CONDUCTORES'!CD433="X",1,0)</f>
        <v>0</v>
      </c>
      <c r="BW433" s="15">
        <f>IF('ENCUESTA CONDUCTORES'!CE433="X",1,0)</f>
        <v>0</v>
      </c>
      <c r="BX433" s="15">
        <f>IF('ENCUESTA CONDUCTORES'!CF433="X",1,0)</f>
        <v>0</v>
      </c>
      <c r="BY433" s="15">
        <f>IF('ENCUESTA CONDUCTORES'!CG433="X",1,0)</f>
        <v>0</v>
      </c>
      <c r="BZ433" s="15">
        <f>IF('ENCUESTA CONDUCTORES'!CH433="X",1,0)</f>
        <v>0</v>
      </c>
      <c r="CA433" s="15">
        <f>IF('ENCUESTA CONDUCTORES'!CI433="X",1,0)</f>
        <v>0</v>
      </c>
      <c r="CB433" s="15">
        <f>IF('ENCUESTA CONDUCTORES'!CJ433="X",1,0)</f>
        <v>0</v>
      </c>
      <c r="CC433" s="15">
        <f>IF('ENCUESTA CONDUCTORES'!CK433="X",1,0)</f>
        <v>1</v>
      </c>
      <c r="CD433" s="15">
        <f>IF('ENCUESTA CONDUCTORES'!CL433="X",1,0)</f>
        <v>0</v>
      </c>
      <c r="CE433" s="15">
        <f>IF('ENCUESTA CONDUCTORES'!CM433="X",1,0)</f>
        <v>0</v>
      </c>
      <c r="CF433" s="15">
        <f>+'ENCUESTA CONDUCTORES'!CN433</f>
        <v>0</v>
      </c>
      <c r="CG433" s="15">
        <f>IF('ENCUESTA CONDUCTORES'!CO433="X",1,0)</f>
        <v>0</v>
      </c>
      <c r="CH433" s="15" t="str">
        <f>+'ENCUESTA CONDUCTORES'!CP433</f>
        <v>NO SABE</v>
      </c>
      <c r="CI433" s="15" t="str">
        <f>+'ENCUESTA CONDUCTORES'!CQ433</f>
        <v>NO SABE</v>
      </c>
      <c r="CJ433" s="15">
        <f>IF('ENCUESTA CONDUCTORES'!CR433="X",1,0)</f>
        <v>1</v>
      </c>
      <c r="CK433" s="15">
        <f>IF('ENCUESTA CONDUCTORES'!CS433="X",1,0)</f>
        <v>0</v>
      </c>
      <c r="CL433" s="15">
        <f>IF('ENCUESTA CONDUCTORES'!CT433="X",1,0)</f>
        <v>0</v>
      </c>
      <c r="CM433" s="15">
        <f>+'ENCUESTA CONDUCTORES'!CU433</f>
        <v>0</v>
      </c>
      <c r="CN433" s="15">
        <f>IF('ENCUESTA CONDUCTORES'!CV433="X",1,0)</f>
        <v>0</v>
      </c>
      <c r="CO433" s="15">
        <f>+'ENCUESTA CONDUCTORES'!CW433</f>
        <v>0</v>
      </c>
      <c r="CP433" s="15">
        <f>IF('ENCUESTA CONDUCTORES'!CX433="X",1,0)</f>
        <v>1</v>
      </c>
      <c r="CQ433" s="15">
        <f>IF('ENCUESTA CONDUCTORES'!CY433="X",1,0)</f>
        <v>0</v>
      </c>
      <c r="CR433" s="3">
        <f>+'ENCUESTA CONDUCTORES'!CZ433</f>
        <v>0</v>
      </c>
      <c r="CS433" s="49">
        <f>+'ENCUESTA CONDUCTORES'!DA433</f>
        <v>0</v>
      </c>
    </row>
    <row r="434" spans="2:97" x14ac:dyDescent="0.25">
      <c r="B434" s="14" t="str">
        <f>+'ENCUESTA CONDUCTORES'!D434</f>
        <v>C-445</v>
      </c>
      <c r="C434" s="15">
        <f>IF('ENCUESTA CONDUCTORES'!E434="X",1,0)</f>
        <v>0</v>
      </c>
      <c r="D434" s="15">
        <f>IF('ENCUESTA CONDUCTORES'!F434="X",1,0)</f>
        <v>1</v>
      </c>
      <c r="E434" s="15">
        <f>IF('ENCUESTA CONDUCTORES'!G434="X",1,0)</f>
        <v>0</v>
      </c>
      <c r="F434" s="15">
        <f>IF('ENCUESTA CONDUCTORES'!H434="X",1,0)</f>
        <v>0</v>
      </c>
      <c r="G434" s="15">
        <f>+'ENCUESTA CONDUCTORES'!I434</f>
        <v>31</v>
      </c>
      <c r="H434" s="15" t="str">
        <f>+'ENCUESTA CONDUCTORES'!J434</f>
        <v>M</v>
      </c>
      <c r="I434" s="15" t="str">
        <f>+'ENCUESTA CONDUCTORES'!K434</f>
        <v>PRIMARIA</v>
      </c>
      <c r="J434" s="15" t="str">
        <f>+'ENCUESTA CONDUCTORES'!L434</f>
        <v>APODACA, NVO. LEON</v>
      </c>
      <c r="K434" s="15" t="str">
        <f>+'ENCUESTA CONDUCTORES'!M434</f>
        <v>APODACA</v>
      </c>
      <c r="L434" s="15" t="str">
        <f>+'ENCUESTA CONDUCTORES'!N434</f>
        <v>NVO. LEON</v>
      </c>
      <c r="M434" s="15">
        <f>+'ENCUESTA CONDUCTORES'!O434</f>
        <v>10</v>
      </c>
      <c r="N434" s="15">
        <f>IF('ENCUESTA CONDUCTORES'!P434="X",1,0)</f>
        <v>1</v>
      </c>
      <c r="O434" s="15">
        <f>IF('ENCUESTA CONDUCTORES'!Q434="X",1,0)</f>
        <v>0</v>
      </c>
      <c r="P434" s="15">
        <f>IF('ENCUESTA CONDUCTORES'!R434="X",1,0)</f>
        <v>0</v>
      </c>
      <c r="Q434" s="15">
        <f>IF('ENCUESTA CONDUCTORES'!S434="X",1,0)</f>
        <v>0</v>
      </c>
      <c r="R434" s="15">
        <f>IF('ENCUESTA CONDUCTORES'!T434="X",1,0)</f>
        <v>0</v>
      </c>
      <c r="S434" s="15">
        <f>IF('ENCUESTA CONDUCTORES'!U434="X",1,0)</f>
        <v>1</v>
      </c>
      <c r="T434" s="15">
        <f>IF('ENCUESTA CONDUCTORES'!V434="X",1,0)</f>
        <v>0</v>
      </c>
      <c r="U434" s="15">
        <f>IF('ENCUESTA CONDUCTORES'!W434="X",1,0)</f>
        <v>0</v>
      </c>
      <c r="V434" s="15">
        <f>IF('ENCUESTA CONDUCTORES'!X434="X",1,0)</f>
        <v>0</v>
      </c>
      <c r="W434" s="15">
        <f>IF('ENCUESTA CONDUCTORES'!Y434="X",1,0)</f>
        <v>0</v>
      </c>
      <c r="X434" s="15">
        <f>IF('ENCUESTA CONDUCTORES'!Z434="X",1,0)</f>
        <v>0</v>
      </c>
      <c r="Y434" s="15">
        <f>+'ENCUESTA CONDUCTORES'!AG434</f>
        <v>0</v>
      </c>
      <c r="Z434" s="15">
        <f>+'ENCUESTA CONDUCTORES'!AH434</f>
        <v>1980</v>
      </c>
      <c r="AA434" s="1" t="str">
        <f>+'ENCUESTA CONDUCTORES'!AI434</f>
        <v>NO SABE</v>
      </c>
      <c r="AB434" s="15">
        <f>IF('ENCUESTA CONDUCTORES'!AJ434="X",1,0)</f>
        <v>1</v>
      </c>
      <c r="AC434" s="15">
        <f>IF('ENCUESTA CONDUCTORES'!AK434="X",1,0)</f>
        <v>0</v>
      </c>
      <c r="AD434" s="15">
        <f>IF('ENCUESTA CONDUCTORES'!AL434="X",1,0)</f>
        <v>0</v>
      </c>
      <c r="AE434" s="15">
        <f>IF('ENCUESTA CONDUCTORES'!AM434="X",1,0)</f>
        <v>0</v>
      </c>
      <c r="AF434" s="15">
        <f>IF('ENCUESTA CONDUCTORES'!AN434="X",1,0)</f>
        <v>0</v>
      </c>
      <c r="AG434" s="15">
        <f>IF('ENCUESTA CONDUCTORES'!AO434="X",1,0)</f>
        <v>1</v>
      </c>
      <c r="AH434" s="15">
        <f>IF('ENCUESTA CONDUCTORES'!AP434="X",1,0)</f>
        <v>0</v>
      </c>
      <c r="AI434" s="15">
        <f>IF('ENCUESTA CONDUCTORES'!AQ434="X",1,0)</f>
        <v>0</v>
      </c>
      <c r="AJ434" s="15">
        <f>IF('ENCUESTA CONDUCTORES'!AR434="X",1,0)</f>
        <v>0</v>
      </c>
      <c r="AK434" s="15">
        <f>+'ENCUESTA CONDUCTORES'!AS434</f>
        <v>0</v>
      </c>
      <c r="AL434" s="15" t="str">
        <f>+'ENCUESTA CONDUCTORES'!AT434</f>
        <v>KODIAK</v>
      </c>
      <c r="AM434" s="1">
        <f>+'ENCUESTA CONDUCTORES'!AU434</f>
        <v>6000</v>
      </c>
      <c r="AN434" s="48">
        <f>+'ENCUESTA CONDUCTORES'!AV434</f>
        <v>0.2</v>
      </c>
      <c r="AO434" s="15">
        <f>+'ENCUESTA CONDUCTORES'!AW434</f>
        <v>4.9000000000000004</v>
      </c>
      <c r="AP434" s="15">
        <f>+'ENCUESTA CONDUCTORES'!AX434</f>
        <v>4.5999999999999996</v>
      </c>
      <c r="AQ434" s="15">
        <f>+'ENCUESTA CONDUCTORES'!AY434</f>
        <v>2</v>
      </c>
      <c r="AR434" s="15">
        <f>+'ENCUESTA CONDUCTORES'!AZ434</f>
        <v>340</v>
      </c>
      <c r="AS434" s="15">
        <f>+'ENCUESTA CONDUCTORES'!BA434</f>
        <v>1600</v>
      </c>
      <c r="AT434" s="15">
        <f>IF('ENCUESTA CONDUCTORES'!BB434="X",1,0)</f>
        <v>0</v>
      </c>
      <c r="AU434" s="15">
        <f>IF('ENCUESTA CONDUCTORES'!BC434="X",1,0)</f>
        <v>0</v>
      </c>
      <c r="AV434" s="15">
        <f>IF('ENCUESTA CONDUCTORES'!BD434="X",1,0)</f>
        <v>0</v>
      </c>
      <c r="AW434" s="1">
        <f>+'ENCUESTA CONDUCTORES'!BE434</f>
        <v>30000</v>
      </c>
      <c r="AX434" s="1" t="str">
        <f>+'ENCUESTA CONDUCTORES'!BF434</f>
        <v>NO SABE</v>
      </c>
      <c r="AY434" s="1">
        <f>+'ENCUESTA CONDUCTORES'!BG434</f>
        <v>30000</v>
      </c>
      <c r="AZ434" s="1" t="str">
        <f>+'ENCUESTA CONDUCTORES'!BH434</f>
        <v>NO SABE</v>
      </c>
      <c r="BA434" s="1" t="str">
        <f>+'ENCUESTA CONDUCTORES'!BI434</f>
        <v>NO SABE</v>
      </c>
      <c r="BB434" s="15">
        <f>IF('ENCUESTA CONDUCTORES'!BJ434="X",1,0)</f>
        <v>0</v>
      </c>
      <c r="BC434" s="15">
        <f>IF('ENCUESTA CONDUCTORES'!BK434="X",1,0)</f>
        <v>0</v>
      </c>
      <c r="BD434" s="15">
        <f>IF('ENCUESTA CONDUCTORES'!BL434="X",1,0)</f>
        <v>0</v>
      </c>
      <c r="BE434" s="15">
        <f>IF('ENCUESTA CONDUCTORES'!BM434="X",1,0)</f>
        <v>0</v>
      </c>
      <c r="BF434" s="15">
        <f>IF('ENCUESTA CONDUCTORES'!BN434="X",1,0)</f>
        <v>1</v>
      </c>
      <c r="BG434" s="15">
        <f>IF('ENCUESTA CONDUCTORES'!BO434="X",1,0)</f>
        <v>0</v>
      </c>
      <c r="BH434" s="15">
        <f>IF('ENCUESTA CONDUCTORES'!BP434="X",1,0)</f>
        <v>1</v>
      </c>
      <c r="BI434" s="15">
        <f>IF('ENCUESTA CONDUCTORES'!BQ434="X",1,0)</f>
        <v>0</v>
      </c>
      <c r="BJ434" s="15">
        <f>IF('ENCUESTA CONDUCTORES'!BR434="X",1,0)</f>
        <v>0</v>
      </c>
      <c r="BK434" s="15">
        <f>+'ENCUESTA CONDUCTORES'!BS434</f>
        <v>0</v>
      </c>
      <c r="BL434" s="15">
        <f>IF('ENCUESTA CONDUCTORES'!BT434="X",1,0)</f>
        <v>0</v>
      </c>
      <c r="BM434" s="15">
        <f>IF('ENCUESTA CONDUCTORES'!BU434="X",1,0)</f>
        <v>1</v>
      </c>
      <c r="BN434" s="15">
        <f>IF('ENCUESTA CONDUCTORES'!BV434="X",1,0)</f>
        <v>0</v>
      </c>
      <c r="BO434" s="15">
        <f>IF('ENCUESTA CONDUCTORES'!BW434="X",1,0)</f>
        <v>0</v>
      </c>
      <c r="BP434" s="15">
        <f>+'ENCUESTA CONDUCTORES'!BX434</f>
        <v>1</v>
      </c>
      <c r="BQ434" s="15">
        <f>+'ENCUESTA CONDUCTORES'!BY434</f>
        <v>3</v>
      </c>
      <c r="BR434" s="15">
        <f>+'ENCUESTA CONDUCTORES'!BZ434</f>
        <v>2</v>
      </c>
      <c r="BS434" s="15">
        <f>+'ENCUESTA CONDUCTORES'!CA434</f>
        <v>0</v>
      </c>
      <c r="BT434" s="15">
        <f>IF('ENCUESTA CONDUCTORES'!CB434="X",1,0)</f>
        <v>1</v>
      </c>
      <c r="BU434" s="15">
        <f>IF('ENCUESTA CONDUCTORES'!CC434="X",1,0)</f>
        <v>0</v>
      </c>
      <c r="BV434" s="15">
        <f>IF('ENCUESTA CONDUCTORES'!CD434="X",1,0)</f>
        <v>0</v>
      </c>
      <c r="BW434" s="15">
        <f>IF('ENCUESTA CONDUCTORES'!CE434="X",1,0)</f>
        <v>0</v>
      </c>
      <c r="BX434" s="15">
        <f>IF('ENCUESTA CONDUCTORES'!CF434="X",1,0)</f>
        <v>0</v>
      </c>
      <c r="BY434" s="15">
        <f>IF('ENCUESTA CONDUCTORES'!CG434="X",1,0)</f>
        <v>0</v>
      </c>
      <c r="BZ434" s="15">
        <f>IF('ENCUESTA CONDUCTORES'!CH434="X",1,0)</f>
        <v>0</v>
      </c>
      <c r="CA434" s="15">
        <f>IF('ENCUESTA CONDUCTORES'!CI434="X",1,0)</f>
        <v>0</v>
      </c>
      <c r="CB434" s="15">
        <f>IF('ENCUESTA CONDUCTORES'!CJ434="X",1,0)</f>
        <v>0</v>
      </c>
      <c r="CC434" s="15">
        <f>IF('ENCUESTA CONDUCTORES'!CK434="X",1,0)</f>
        <v>1</v>
      </c>
      <c r="CD434" s="15">
        <f>IF('ENCUESTA CONDUCTORES'!CL434="X",1,0)</f>
        <v>0</v>
      </c>
      <c r="CE434" s="15">
        <f>IF('ENCUESTA CONDUCTORES'!CM434="X",1,0)</f>
        <v>0</v>
      </c>
      <c r="CF434" s="15">
        <f>+'ENCUESTA CONDUCTORES'!CN434</f>
        <v>0</v>
      </c>
      <c r="CG434" s="15">
        <f>IF('ENCUESTA CONDUCTORES'!CO434="X",1,0)</f>
        <v>0</v>
      </c>
      <c r="CH434" s="15" t="str">
        <f>+'ENCUESTA CONDUCTORES'!CP434</f>
        <v>NO SABE</v>
      </c>
      <c r="CI434" s="15" t="str">
        <f>+'ENCUESTA CONDUCTORES'!CQ434</f>
        <v>NO SABE</v>
      </c>
      <c r="CJ434" s="15">
        <f>IF('ENCUESTA CONDUCTORES'!CR434="X",1,0)</f>
        <v>1</v>
      </c>
      <c r="CK434" s="15">
        <f>IF('ENCUESTA CONDUCTORES'!CS434="X",1,0)</f>
        <v>0</v>
      </c>
      <c r="CL434" s="15">
        <f>IF('ENCUESTA CONDUCTORES'!CT434="X",1,0)</f>
        <v>0</v>
      </c>
      <c r="CM434" s="15">
        <f>+'ENCUESTA CONDUCTORES'!CU434</f>
        <v>0</v>
      </c>
      <c r="CN434" s="15">
        <f>IF('ENCUESTA CONDUCTORES'!CV434="X",1,0)</f>
        <v>0</v>
      </c>
      <c r="CO434" s="15">
        <f>+'ENCUESTA CONDUCTORES'!CW434</f>
        <v>0</v>
      </c>
      <c r="CP434" s="15">
        <f>IF('ENCUESTA CONDUCTORES'!CX434="X",1,0)</f>
        <v>1</v>
      </c>
      <c r="CQ434" s="15">
        <f>IF('ENCUESTA CONDUCTORES'!CY434="X",1,0)</f>
        <v>0</v>
      </c>
      <c r="CR434" s="3">
        <f>+'ENCUESTA CONDUCTORES'!CZ434</f>
        <v>0</v>
      </c>
      <c r="CS434" s="49">
        <f>+'ENCUESTA CONDUCTORES'!DA434</f>
        <v>0</v>
      </c>
    </row>
    <row r="435" spans="2:97" x14ac:dyDescent="0.25">
      <c r="B435" s="14" t="str">
        <f>+'ENCUESTA CONDUCTORES'!D435</f>
        <v>C-446</v>
      </c>
      <c r="C435" s="15">
        <f>IF('ENCUESTA CONDUCTORES'!E435="X",1,0)</f>
        <v>0</v>
      </c>
      <c r="D435" s="15">
        <f>IF('ENCUESTA CONDUCTORES'!F435="X",1,0)</f>
        <v>0</v>
      </c>
      <c r="E435" s="15">
        <f>IF('ENCUESTA CONDUCTORES'!G435="X",1,0)</f>
        <v>1</v>
      </c>
      <c r="F435" s="15">
        <f>IF('ENCUESTA CONDUCTORES'!H435="X",1,0)</f>
        <v>0</v>
      </c>
      <c r="G435" s="15">
        <f>+'ENCUESTA CONDUCTORES'!I435</f>
        <v>44</v>
      </c>
      <c r="H435" s="15" t="str">
        <f>+'ENCUESTA CONDUCTORES'!J435</f>
        <v>M</v>
      </c>
      <c r="I435" s="15" t="str">
        <f>+'ENCUESTA CONDUCTORES'!K435</f>
        <v>SECUNDARIA</v>
      </c>
      <c r="J435" s="15" t="str">
        <f>+'ENCUESTA CONDUCTORES'!L435</f>
        <v>NVO. LAREDO, TAMAULIPAS</v>
      </c>
      <c r="K435" s="15" t="str">
        <f>+'ENCUESTA CONDUCTORES'!M435</f>
        <v>NVO. LAREDO</v>
      </c>
      <c r="L435" s="15" t="str">
        <f>+'ENCUESTA CONDUCTORES'!N435</f>
        <v>TAMAULIPAS</v>
      </c>
      <c r="M435" s="15">
        <f>+'ENCUESTA CONDUCTORES'!O435</f>
        <v>22</v>
      </c>
      <c r="N435" s="15">
        <f>IF('ENCUESTA CONDUCTORES'!P435="X",1,0)</f>
        <v>0</v>
      </c>
      <c r="O435" s="15">
        <f>IF('ENCUESTA CONDUCTORES'!Q435="X",1,0)</f>
        <v>0</v>
      </c>
      <c r="P435" s="15">
        <f>IF('ENCUESTA CONDUCTORES'!R435="X",1,0)</f>
        <v>0</v>
      </c>
      <c r="Q435" s="15">
        <f>IF('ENCUESTA CONDUCTORES'!S435="X",1,0)</f>
        <v>1</v>
      </c>
      <c r="R435" s="15">
        <f>IF('ENCUESTA CONDUCTORES'!T435="X",1,0)</f>
        <v>0</v>
      </c>
      <c r="S435" s="15">
        <f>IF('ENCUESTA CONDUCTORES'!U435="X",1,0)</f>
        <v>1</v>
      </c>
      <c r="T435" s="15">
        <f>IF('ENCUESTA CONDUCTORES'!V435="X",1,0)</f>
        <v>0</v>
      </c>
      <c r="U435" s="15">
        <f>IF('ENCUESTA CONDUCTORES'!W435="X",1,0)</f>
        <v>0</v>
      </c>
      <c r="V435" s="15">
        <f>IF('ENCUESTA CONDUCTORES'!X435="X",1,0)</f>
        <v>0</v>
      </c>
      <c r="W435" s="15">
        <f>IF('ENCUESTA CONDUCTORES'!Y435="X",1,0)</f>
        <v>0</v>
      </c>
      <c r="X435" s="15">
        <f>IF('ENCUESTA CONDUCTORES'!Z435="X",1,0)</f>
        <v>0</v>
      </c>
      <c r="Y435" s="15">
        <f>+'ENCUESTA CONDUCTORES'!AG435</f>
        <v>0</v>
      </c>
      <c r="Z435" s="15">
        <f>+'ENCUESTA CONDUCTORES'!AH435</f>
        <v>2004</v>
      </c>
      <c r="AA435" s="1">
        <f>+'ENCUESTA CONDUCTORES'!AI435</f>
        <v>750969</v>
      </c>
      <c r="AB435" s="15">
        <f>IF('ENCUESTA CONDUCTORES'!AJ435="X",1,0)</f>
        <v>0</v>
      </c>
      <c r="AC435" s="15">
        <f>IF('ENCUESTA CONDUCTORES'!AK435="X",1,0)</f>
        <v>0</v>
      </c>
      <c r="AD435" s="15">
        <f>IF('ENCUESTA CONDUCTORES'!AL435="X",1,0)</f>
        <v>1</v>
      </c>
      <c r="AE435" s="15">
        <f>IF('ENCUESTA CONDUCTORES'!AM435="X",1,0)</f>
        <v>0</v>
      </c>
      <c r="AF435" s="15">
        <f>IF('ENCUESTA CONDUCTORES'!AN435="X",1,0)</f>
        <v>0</v>
      </c>
      <c r="AG435" s="15">
        <f>IF('ENCUESTA CONDUCTORES'!AO435="X",1,0)</f>
        <v>0</v>
      </c>
      <c r="AH435" s="15">
        <f>IF('ENCUESTA CONDUCTORES'!AP435="X",1,0)</f>
        <v>1</v>
      </c>
      <c r="AI435" s="15">
        <f>IF('ENCUESTA CONDUCTORES'!AQ435="X",1,0)</f>
        <v>0</v>
      </c>
      <c r="AJ435" s="15">
        <f>IF('ENCUESTA CONDUCTORES'!AR435="X",1,0)</f>
        <v>0</v>
      </c>
      <c r="AK435" s="15">
        <f>+'ENCUESTA CONDUCTORES'!AS435</f>
        <v>0</v>
      </c>
      <c r="AL435" s="15" t="str">
        <f>+'ENCUESTA CONDUCTORES'!AT435</f>
        <v>CUMMINS</v>
      </c>
      <c r="AM435" s="1">
        <f>+'ENCUESTA CONDUCTORES'!AU435</f>
        <v>7000</v>
      </c>
      <c r="AN435" s="48">
        <f>+'ENCUESTA CONDUCTORES'!AV435</f>
        <v>0.5</v>
      </c>
      <c r="AO435" s="15">
        <f>+'ENCUESTA CONDUCTORES'!AW435</f>
        <v>2.7</v>
      </c>
      <c r="AP435" s="15">
        <f>+'ENCUESTA CONDUCTORES'!AX435</f>
        <v>2.5</v>
      </c>
      <c r="AQ435" s="15">
        <f>+'ENCUESTA CONDUCTORES'!AY435</f>
        <v>2</v>
      </c>
      <c r="AR435" s="15">
        <f>+'ENCUESTA CONDUCTORES'!AZ435</f>
        <v>890</v>
      </c>
      <c r="AS435" s="15">
        <f>+'ENCUESTA CONDUCTORES'!BA435</f>
        <v>2300</v>
      </c>
      <c r="AT435" s="15">
        <f>IF('ENCUESTA CONDUCTORES'!BB435="X",1,0)</f>
        <v>1</v>
      </c>
      <c r="AU435" s="15">
        <f>IF('ENCUESTA CONDUCTORES'!BC435="X",1,0)</f>
        <v>0</v>
      </c>
      <c r="AV435" s="15">
        <f>IF('ENCUESTA CONDUCTORES'!BD435="X",1,0)</f>
        <v>0</v>
      </c>
      <c r="AW435" s="1">
        <f>+'ENCUESTA CONDUCTORES'!BE435</f>
        <v>20000</v>
      </c>
      <c r="AX435" s="1" t="str">
        <f>+'ENCUESTA CONDUCTORES'!BF435</f>
        <v>NO SABE</v>
      </c>
      <c r="AY435" s="1">
        <f>+'ENCUESTA CONDUCTORES'!BG435</f>
        <v>40000</v>
      </c>
      <c r="AZ435" s="1" t="str">
        <f>+'ENCUESTA CONDUCTORES'!BH435</f>
        <v>NO SABE</v>
      </c>
      <c r="BA435" s="1" t="str">
        <f>+'ENCUESTA CONDUCTORES'!BI435</f>
        <v>NO SABE</v>
      </c>
      <c r="BB435" s="15">
        <f>IF('ENCUESTA CONDUCTORES'!BJ435="X",1,0)</f>
        <v>0</v>
      </c>
      <c r="BC435" s="15">
        <f>IF('ENCUESTA CONDUCTORES'!BK435="X",1,0)</f>
        <v>0</v>
      </c>
      <c r="BD435" s="15">
        <f>IF('ENCUESTA CONDUCTORES'!BL435="X",1,0)</f>
        <v>0</v>
      </c>
      <c r="BE435" s="15">
        <f>IF('ENCUESTA CONDUCTORES'!BM435="X",1,0)</f>
        <v>0</v>
      </c>
      <c r="BF435" s="15">
        <f>IF('ENCUESTA CONDUCTORES'!BN435="X",1,0)</f>
        <v>0</v>
      </c>
      <c r="BG435" s="15">
        <f>IF('ENCUESTA CONDUCTORES'!BO435="X",1,0)</f>
        <v>0</v>
      </c>
      <c r="BH435" s="15">
        <f>IF('ENCUESTA CONDUCTORES'!BP435="X",1,0)</f>
        <v>1</v>
      </c>
      <c r="BI435" s="15">
        <f>IF('ENCUESTA CONDUCTORES'!BQ435="X",1,0)</f>
        <v>0</v>
      </c>
      <c r="BJ435" s="15">
        <f>IF('ENCUESTA CONDUCTORES'!BR435="X",1,0)</f>
        <v>0</v>
      </c>
      <c r="BK435" s="15">
        <f>+'ENCUESTA CONDUCTORES'!BS435</f>
        <v>0</v>
      </c>
      <c r="BL435" s="15">
        <f>IF('ENCUESTA CONDUCTORES'!BT435="X",1,0)</f>
        <v>0</v>
      </c>
      <c r="BM435" s="15">
        <f>IF('ENCUESTA CONDUCTORES'!BU435="X",1,0)</f>
        <v>0</v>
      </c>
      <c r="BN435" s="15">
        <f>IF('ENCUESTA CONDUCTORES'!BV435="X",1,0)</f>
        <v>1</v>
      </c>
      <c r="BO435" s="15">
        <f>IF('ENCUESTA CONDUCTORES'!BW435="X",1,0)</f>
        <v>0</v>
      </c>
      <c r="BP435" s="15">
        <f>+'ENCUESTA CONDUCTORES'!BX435</f>
        <v>1</v>
      </c>
      <c r="BQ435" s="15">
        <f>+'ENCUESTA CONDUCTORES'!BY435</f>
        <v>2</v>
      </c>
      <c r="BR435" s="15">
        <f>+'ENCUESTA CONDUCTORES'!BZ435</f>
        <v>3</v>
      </c>
      <c r="BS435" s="15">
        <f>+'ENCUESTA CONDUCTORES'!CA435</f>
        <v>0</v>
      </c>
      <c r="BT435" s="15">
        <f>IF('ENCUESTA CONDUCTORES'!CB435="X",1,0)</f>
        <v>1</v>
      </c>
      <c r="BU435" s="15">
        <f>IF('ENCUESTA CONDUCTORES'!CC435="X",1,0)</f>
        <v>0</v>
      </c>
      <c r="BV435" s="15">
        <f>IF('ENCUESTA CONDUCTORES'!CD435="X",1,0)</f>
        <v>0</v>
      </c>
      <c r="BW435" s="15">
        <f>IF('ENCUESTA CONDUCTORES'!CE435="X",1,0)</f>
        <v>0</v>
      </c>
      <c r="BX435" s="15">
        <f>IF('ENCUESTA CONDUCTORES'!CF435="X",1,0)</f>
        <v>0</v>
      </c>
      <c r="BY435" s="15">
        <f>IF('ENCUESTA CONDUCTORES'!CG435="X",1,0)</f>
        <v>0</v>
      </c>
      <c r="BZ435" s="15">
        <f>IF('ENCUESTA CONDUCTORES'!CH435="X",1,0)</f>
        <v>0</v>
      </c>
      <c r="CA435" s="15">
        <f>IF('ENCUESTA CONDUCTORES'!CI435="X",1,0)</f>
        <v>0</v>
      </c>
      <c r="CB435" s="15">
        <f>IF('ENCUESTA CONDUCTORES'!CJ435="X",1,0)</f>
        <v>0</v>
      </c>
      <c r="CC435" s="15">
        <f>IF('ENCUESTA CONDUCTORES'!CK435="X",1,0)</f>
        <v>1</v>
      </c>
      <c r="CD435" s="15">
        <f>IF('ENCUESTA CONDUCTORES'!CL435="X",1,0)</f>
        <v>0</v>
      </c>
      <c r="CE435" s="15">
        <f>IF('ENCUESTA CONDUCTORES'!CM435="X",1,0)</f>
        <v>0</v>
      </c>
      <c r="CF435" s="15">
        <f>+'ENCUESTA CONDUCTORES'!CN435</f>
        <v>0</v>
      </c>
      <c r="CG435" s="15">
        <f>IF('ENCUESTA CONDUCTORES'!CO435="X",1,0)</f>
        <v>0</v>
      </c>
      <c r="CH435" s="15" t="str">
        <f>+'ENCUESTA CONDUCTORES'!CP435</f>
        <v>NO SABE</v>
      </c>
      <c r="CI435" s="15" t="str">
        <f>+'ENCUESTA CONDUCTORES'!CQ435</f>
        <v>NO SABE</v>
      </c>
      <c r="CJ435" s="15">
        <f>IF('ENCUESTA CONDUCTORES'!CR435="X",1,0)</f>
        <v>1</v>
      </c>
      <c r="CK435" s="15">
        <f>IF('ENCUESTA CONDUCTORES'!CS435="X",1,0)</f>
        <v>0</v>
      </c>
      <c r="CL435" s="15">
        <f>IF('ENCUESTA CONDUCTORES'!CT435="X",1,0)</f>
        <v>0</v>
      </c>
      <c r="CM435" s="15">
        <f>+'ENCUESTA CONDUCTORES'!CU435</f>
        <v>0</v>
      </c>
      <c r="CN435" s="15">
        <f>IF('ENCUESTA CONDUCTORES'!CV435="X",1,0)</f>
        <v>0</v>
      </c>
      <c r="CO435" s="15">
        <f>+'ENCUESTA CONDUCTORES'!CW435</f>
        <v>0</v>
      </c>
      <c r="CP435" s="15">
        <f>IF('ENCUESTA CONDUCTORES'!CX435="X",1,0)</f>
        <v>0</v>
      </c>
      <c r="CQ435" s="15">
        <f>IF('ENCUESTA CONDUCTORES'!CY435="X",1,0)</f>
        <v>1</v>
      </c>
      <c r="CR435" s="3">
        <f>+'ENCUESTA CONDUCTORES'!CZ435</f>
        <v>0</v>
      </c>
      <c r="CS435" s="49">
        <f>+'ENCUESTA CONDUCTORES'!DA435</f>
        <v>0</v>
      </c>
    </row>
    <row r="436" spans="2:97" x14ac:dyDescent="0.25">
      <c r="B436" s="14" t="str">
        <f>+'ENCUESTA CONDUCTORES'!D436</f>
        <v>C-447</v>
      </c>
      <c r="C436" s="15">
        <f>IF('ENCUESTA CONDUCTORES'!E436="X",1,0)</f>
        <v>0</v>
      </c>
      <c r="D436" s="15">
        <f>IF('ENCUESTA CONDUCTORES'!F436="X",1,0)</f>
        <v>1</v>
      </c>
      <c r="E436" s="15">
        <f>IF('ENCUESTA CONDUCTORES'!G436="X",1,0)</f>
        <v>0</v>
      </c>
      <c r="F436" s="15">
        <f>IF('ENCUESTA CONDUCTORES'!H436="X",1,0)</f>
        <v>0</v>
      </c>
      <c r="G436" s="15">
        <f>+'ENCUESTA CONDUCTORES'!I436</f>
        <v>24</v>
      </c>
      <c r="H436" s="15" t="str">
        <f>+'ENCUESTA CONDUCTORES'!J436</f>
        <v>M</v>
      </c>
      <c r="I436" s="15" t="str">
        <f>+'ENCUESTA CONDUCTORES'!K436</f>
        <v>PRIMARIA</v>
      </c>
      <c r="J436" s="15" t="str">
        <f>+'ENCUESTA CONDUCTORES'!L436</f>
        <v>SAN FERNANDO, TAMPS</v>
      </c>
      <c r="K436" s="15" t="str">
        <f>+'ENCUESTA CONDUCTORES'!M436</f>
        <v>SAN FERNANDO</v>
      </c>
      <c r="L436" s="15" t="str">
        <f>+'ENCUESTA CONDUCTORES'!N436</f>
        <v>TAMAULIPAS</v>
      </c>
      <c r="M436" s="15">
        <f>+'ENCUESTA CONDUCTORES'!O436</f>
        <v>5</v>
      </c>
      <c r="N436" s="15">
        <f>IF('ENCUESTA CONDUCTORES'!P436="X",1,0)</f>
        <v>0</v>
      </c>
      <c r="O436" s="15">
        <f>IF('ENCUESTA CONDUCTORES'!Q436="X",1,0)</f>
        <v>1</v>
      </c>
      <c r="P436" s="15">
        <f>IF('ENCUESTA CONDUCTORES'!R436="X",1,0)</f>
        <v>0</v>
      </c>
      <c r="Q436" s="15">
        <f>IF('ENCUESTA CONDUCTORES'!S436="X",1,0)</f>
        <v>0</v>
      </c>
      <c r="R436" s="15">
        <f>IF('ENCUESTA CONDUCTORES'!T436="X",1,0)</f>
        <v>0</v>
      </c>
      <c r="S436" s="15">
        <f>IF('ENCUESTA CONDUCTORES'!U436="X",1,0)</f>
        <v>0</v>
      </c>
      <c r="T436" s="15">
        <f>IF('ENCUESTA CONDUCTORES'!V436="X",1,0)</f>
        <v>0</v>
      </c>
      <c r="U436" s="15">
        <f>IF('ENCUESTA CONDUCTORES'!W436="X",1,0)</f>
        <v>0</v>
      </c>
      <c r="V436" s="15">
        <f>IF('ENCUESTA CONDUCTORES'!X436="X",1,0)</f>
        <v>0</v>
      </c>
      <c r="W436" s="15">
        <f>IF('ENCUESTA CONDUCTORES'!Y436="X",1,0)</f>
        <v>0</v>
      </c>
      <c r="X436" s="15">
        <f>IF('ENCUESTA CONDUCTORES'!Z436="X",1,0)</f>
        <v>0</v>
      </c>
      <c r="Y436" s="15">
        <f>+'ENCUESTA CONDUCTORES'!AG436</f>
        <v>0</v>
      </c>
      <c r="Z436" s="15">
        <f>+'ENCUESTA CONDUCTORES'!AH436</f>
        <v>1980</v>
      </c>
      <c r="AA436" s="1" t="str">
        <f>+'ENCUESTA CONDUCTORES'!AI436</f>
        <v>NO SABE</v>
      </c>
      <c r="AB436" s="15">
        <f>IF('ENCUESTA CONDUCTORES'!AJ436="X",1,0)</f>
        <v>0</v>
      </c>
      <c r="AC436" s="15">
        <f>IF('ENCUESTA CONDUCTORES'!AK436="X",1,0)</f>
        <v>0</v>
      </c>
      <c r="AD436" s="15">
        <f>IF('ENCUESTA CONDUCTORES'!AL436="X",1,0)</f>
        <v>1</v>
      </c>
      <c r="AE436" s="15">
        <f>IF('ENCUESTA CONDUCTORES'!AM436="X",1,0)</f>
        <v>0</v>
      </c>
      <c r="AF436" s="15">
        <f>IF('ENCUESTA CONDUCTORES'!AN436="X",1,0)</f>
        <v>0</v>
      </c>
      <c r="AG436" s="15">
        <f>IF('ENCUESTA CONDUCTORES'!AO436="X",1,0)</f>
        <v>1</v>
      </c>
      <c r="AH436" s="15">
        <f>IF('ENCUESTA CONDUCTORES'!AP436="X",1,0)</f>
        <v>0</v>
      </c>
      <c r="AI436" s="15">
        <f>IF('ENCUESTA CONDUCTORES'!AQ436="X",1,0)</f>
        <v>0</v>
      </c>
      <c r="AJ436" s="15">
        <f>IF('ENCUESTA CONDUCTORES'!AR436="X",1,0)</f>
        <v>0</v>
      </c>
      <c r="AK436" s="15">
        <f>+'ENCUESTA CONDUCTORES'!AS436</f>
        <v>0</v>
      </c>
      <c r="AL436" s="15" t="str">
        <f>+'ENCUESTA CONDUCTORES'!AT436</f>
        <v>MERCEDES BENZ</v>
      </c>
      <c r="AM436" s="1">
        <f>+'ENCUESTA CONDUCTORES'!AU436</f>
        <v>6000</v>
      </c>
      <c r="AN436" s="48">
        <f>+'ENCUESTA CONDUCTORES'!AV436</f>
        <v>0.5</v>
      </c>
      <c r="AO436" s="15">
        <f>+'ENCUESTA CONDUCTORES'!AW436</f>
        <v>3.6</v>
      </c>
      <c r="AP436" s="15">
        <f>+'ENCUESTA CONDUCTORES'!AX436</f>
        <v>3</v>
      </c>
      <c r="AQ436" s="15">
        <f>+'ENCUESTA CONDUCTORES'!AY436</f>
        <v>2</v>
      </c>
      <c r="AR436" s="15">
        <f>+'ENCUESTA CONDUCTORES'!AZ436</f>
        <v>500</v>
      </c>
      <c r="AS436" s="15">
        <f>+'ENCUESTA CONDUCTORES'!BA436</f>
        <v>1500</v>
      </c>
      <c r="AT436" s="15">
        <f>IF('ENCUESTA CONDUCTORES'!BB436="X",1,0)</f>
        <v>0</v>
      </c>
      <c r="AU436" s="15">
        <f>IF('ENCUESTA CONDUCTORES'!BC436="X",1,0)</f>
        <v>0</v>
      </c>
      <c r="AV436" s="15">
        <f>IF('ENCUESTA CONDUCTORES'!BD436="X",1,0)</f>
        <v>0</v>
      </c>
      <c r="AW436" s="1">
        <f>+'ENCUESTA CONDUCTORES'!BE436</f>
        <v>35000</v>
      </c>
      <c r="AX436" s="1" t="str">
        <f>+'ENCUESTA CONDUCTORES'!BF436</f>
        <v>NO SABE</v>
      </c>
      <c r="AY436" s="1">
        <f>+'ENCUESTA CONDUCTORES'!BG436</f>
        <v>70000</v>
      </c>
      <c r="AZ436" s="1" t="str">
        <f>+'ENCUESTA CONDUCTORES'!BH436</f>
        <v>NO SABE</v>
      </c>
      <c r="BA436" s="1" t="str">
        <f>+'ENCUESTA CONDUCTORES'!BI436</f>
        <v>NO SABE</v>
      </c>
      <c r="BB436" s="15">
        <f>IF('ENCUESTA CONDUCTORES'!BJ436="X",1,0)</f>
        <v>0</v>
      </c>
      <c r="BC436" s="15">
        <f>IF('ENCUESTA CONDUCTORES'!BK436="X",1,0)</f>
        <v>0</v>
      </c>
      <c r="BD436" s="15">
        <f>IF('ENCUESTA CONDUCTORES'!BL436="X",1,0)</f>
        <v>0</v>
      </c>
      <c r="BE436" s="15">
        <f>IF('ENCUESTA CONDUCTORES'!BM436="X",1,0)</f>
        <v>0</v>
      </c>
      <c r="BF436" s="15">
        <f>IF('ENCUESTA CONDUCTORES'!BN436="X",1,0)</f>
        <v>0</v>
      </c>
      <c r="BG436" s="15">
        <f>IF('ENCUESTA CONDUCTORES'!BO436="X",1,0)</f>
        <v>1</v>
      </c>
      <c r="BH436" s="15">
        <f>IF('ENCUESTA CONDUCTORES'!BP436="X",1,0)</f>
        <v>0</v>
      </c>
      <c r="BI436" s="15">
        <f>IF('ENCUESTA CONDUCTORES'!BQ436="X",1,0)</f>
        <v>0</v>
      </c>
      <c r="BJ436" s="15">
        <f>IF('ENCUESTA CONDUCTORES'!BR436="X",1,0)</f>
        <v>0</v>
      </c>
      <c r="BK436" s="15">
        <f>+'ENCUESTA CONDUCTORES'!BS436</f>
        <v>0</v>
      </c>
      <c r="BL436" s="15">
        <f>IF('ENCUESTA CONDUCTORES'!BT436="X",1,0)</f>
        <v>0</v>
      </c>
      <c r="BM436" s="15">
        <f>IF('ENCUESTA CONDUCTORES'!BU436="X",1,0)</f>
        <v>1</v>
      </c>
      <c r="BN436" s="15">
        <f>IF('ENCUESTA CONDUCTORES'!BV436="X",1,0)</f>
        <v>0</v>
      </c>
      <c r="BO436" s="15">
        <f>IF('ENCUESTA CONDUCTORES'!BW436="X",1,0)</f>
        <v>0</v>
      </c>
      <c r="BP436" s="15">
        <f>+'ENCUESTA CONDUCTORES'!BX436</f>
        <v>1</v>
      </c>
      <c r="BQ436" s="15">
        <f>+'ENCUESTA CONDUCTORES'!BY436</f>
        <v>3</v>
      </c>
      <c r="BR436" s="15">
        <f>+'ENCUESTA CONDUCTORES'!BZ436</f>
        <v>2</v>
      </c>
      <c r="BS436" s="15">
        <f>+'ENCUESTA CONDUCTORES'!CA436</f>
        <v>0</v>
      </c>
      <c r="BT436" s="15">
        <f>IF('ENCUESTA CONDUCTORES'!CB436="X",1,0)</f>
        <v>1</v>
      </c>
      <c r="BU436" s="15">
        <f>IF('ENCUESTA CONDUCTORES'!CC436="X",1,0)</f>
        <v>0</v>
      </c>
      <c r="BV436" s="15">
        <f>IF('ENCUESTA CONDUCTORES'!CD436="X",1,0)</f>
        <v>0</v>
      </c>
      <c r="BW436" s="15">
        <f>IF('ENCUESTA CONDUCTORES'!CE436="X",1,0)</f>
        <v>0</v>
      </c>
      <c r="BX436" s="15">
        <f>IF('ENCUESTA CONDUCTORES'!CF436="X",1,0)</f>
        <v>0</v>
      </c>
      <c r="BY436" s="15">
        <f>IF('ENCUESTA CONDUCTORES'!CG436="X",1,0)</f>
        <v>0</v>
      </c>
      <c r="BZ436" s="15">
        <f>IF('ENCUESTA CONDUCTORES'!CH436="X",1,0)</f>
        <v>0</v>
      </c>
      <c r="CA436" s="15">
        <f>IF('ENCUESTA CONDUCTORES'!CI436="X",1,0)</f>
        <v>0</v>
      </c>
      <c r="CB436" s="15">
        <f>IF('ENCUESTA CONDUCTORES'!CJ436="X",1,0)</f>
        <v>0</v>
      </c>
      <c r="CC436" s="15">
        <f>IF('ENCUESTA CONDUCTORES'!CK436="X",1,0)</f>
        <v>1</v>
      </c>
      <c r="CD436" s="15">
        <f>IF('ENCUESTA CONDUCTORES'!CL436="X",1,0)</f>
        <v>0</v>
      </c>
      <c r="CE436" s="15">
        <f>IF('ENCUESTA CONDUCTORES'!CM436="X",1,0)</f>
        <v>0</v>
      </c>
      <c r="CF436" s="15">
        <f>+'ENCUESTA CONDUCTORES'!CN436</f>
        <v>0</v>
      </c>
      <c r="CG436" s="15">
        <f>IF('ENCUESTA CONDUCTORES'!CO436="X",1,0)</f>
        <v>0</v>
      </c>
      <c r="CH436" s="15" t="str">
        <f>+'ENCUESTA CONDUCTORES'!CP436</f>
        <v>NO SABE</v>
      </c>
      <c r="CI436" s="15" t="str">
        <f>+'ENCUESTA CONDUCTORES'!CQ436</f>
        <v>NO SABE</v>
      </c>
      <c r="CJ436" s="15">
        <f>IF('ENCUESTA CONDUCTORES'!CR436="X",1,0)</f>
        <v>1</v>
      </c>
      <c r="CK436" s="15">
        <f>IF('ENCUESTA CONDUCTORES'!CS436="X",1,0)</f>
        <v>0</v>
      </c>
      <c r="CL436" s="15">
        <f>IF('ENCUESTA CONDUCTORES'!CT436="X",1,0)</f>
        <v>0</v>
      </c>
      <c r="CM436" s="15">
        <f>+'ENCUESTA CONDUCTORES'!CU436</f>
        <v>0</v>
      </c>
      <c r="CN436" s="15">
        <f>IF('ENCUESTA CONDUCTORES'!CV436="X",1,0)</f>
        <v>0</v>
      </c>
      <c r="CO436" s="15">
        <f>+'ENCUESTA CONDUCTORES'!CW436</f>
        <v>0</v>
      </c>
      <c r="CP436" s="15">
        <f>IF('ENCUESTA CONDUCTORES'!CX436="X",1,0)</f>
        <v>0</v>
      </c>
      <c r="CQ436" s="15">
        <f>IF('ENCUESTA CONDUCTORES'!CY436="X",1,0)</f>
        <v>1</v>
      </c>
      <c r="CR436" s="3">
        <f>+'ENCUESTA CONDUCTORES'!CZ436</f>
        <v>0</v>
      </c>
      <c r="CS436" s="49">
        <f>+'ENCUESTA CONDUCTORES'!DA436</f>
        <v>0</v>
      </c>
    </row>
    <row r="437" spans="2:97" x14ac:dyDescent="0.25">
      <c r="B437" s="14" t="str">
        <f>+'ENCUESTA CONDUCTORES'!D437</f>
        <v>C-448</v>
      </c>
      <c r="C437" s="15">
        <f>IF('ENCUESTA CONDUCTORES'!E437="X",1,0)</f>
        <v>0</v>
      </c>
      <c r="D437" s="15">
        <f>IF('ENCUESTA CONDUCTORES'!F437="X",1,0)</f>
        <v>0</v>
      </c>
      <c r="E437" s="15">
        <f>IF('ENCUESTA CONDUCTORES'!G437="X",1,0)</f>
        <v>1</v>
      </c>
      <c r="F437" s="15">
        <f>IF('ENCUESTA CONDUCTORES'!H437="X",1,0)</f>
        <v>0</v>
      </c>
      <c r="G437" s="15">
        <f>+'ENCUESTA CONDUCTORES'!I437</f>
        <v>51</v>
      </c>
      <c r="H437" s="15" t="str">
        <f>+'ENCUESTA CONDUCTORES'!J437</f>
        <v>M</v>
      </c>
      <c r="I437" s="15" t="str">
        <f>+'ENCUESTA CONDUCTORES'!K437</f>
        <v>SECUNDARIA</v>
      </c>
      <c r="J437" s="15" t="str">
        <f>+'ENCUESTA CONDUCTORES'!L437</f>
        <v>CHIHUAHUA, CHIHUAHUA</v>
      </c>
      <c r="K437" s="15" t="str">
        <f>+'ENCUESTA CONDUCTORES'!M437</f>
        <v>CHIHUAHUA</v>
      </c>
      <c r="L437" s="15" t="str">
        <f>+'ENCUESTA CONDUCTORES'!N437</f>
        <v>CHIHUAHUA</v>
      </c>
      <c r="M437" s="15">
        <f>+'ENCUESTA CONDUCTORES'!O437</f>
        <v>30</v>
      </c>
      <c r="N437" s="15">
        <f>IF('ENCUESTA CONDUCTORES'!P437="X",1,0)</f>
        <v>0</v>
      </c>
      <c r="O437" s="15">
        <f>IF('ENCUESTA CONDUCTORES'!Q437="X",1,0)</f>
        <v>0</v>
      </c>
      <c r="P437" s="15">
        <f>IF('ENCUESTA CONDUCTORES'!R437="X",1,0)</f>
        <v>0</v>
      </c>
      <c r="Q437" s="15">
        <f>IF('ENCUESTA CONDUCTORES'!S437="X",1,0)</f>
        <v>1</v>
      </c>
      <c r="R437" s="15">
        <f>IF('ENCUESTA CONDUCTORES'!T437="X",1,0)</f>
        <v>0</v>
      </c>
      <c r="S437" s="15">
        <f>IF('ENCUESTA CONDUCTORES'!U437="X",1,0)</f>
        <v>1</v>
      </c>
      <c r="T437" s="15">
        <f>IF('ENCUESTA CONDUCTORES'!V437="X",1,0)</f>
        <v>0</v>
      </c>
      <c r="U437" s="15">
        <f>IF('ENCUESTA CONDUCTORES'!W437="X",1,0)</f>
        <v>0</v>
      </c>
      <c r="V437" s="15">
        <f>IF('ENCUESTA CONDUCTORES'!X437="X",1,0)</f>
        <v>0</v>
      </c>
      <c r="W437" s="15">
        <f>IF('ENCUESTA CONDUCTORES'!Y437="X",1,0)</f>
        <v>0</v>
      </c>
      <c r="X437" s="15">
        <f>IF('ENCUESTA CONDUCTORES'!Z437="X",1,0)</f>
        <v>0</v>
      </c>
      <c r="Y437" s="15">
        <f>+'ENCUESTA CONDUCTORES'!AG437</f>
        <v>0</v>
      </c>
      <c r="Z437" s="15">
        <f>+'ENCUESTA CONDUCTORES'!AH437</f>
        <v>2004</v>
      </c>
      <c r="AA437" s="1">
        <f>+'ENCUESTA CONDUCTORES'!AI437</f>
        <v>758911</v>
      </c>
      <c r="AB437" s="15">
        <f>IF('ENCUESTA CONDUCTORES'!AJ437="X",1,0)</f>
        <v>0</v>
      </c>
      <c r="AC437" s="15">
        <f>IF('ENCUESTA CONDUCTORES'!AK437="X",1,0)</f>
        <v>0</v>
      </c>
      <c r="AD437" s="15">
        <f>IF('ENCUESTA CONDUCTORES'!AL437="X",1,0)</f>
        <v>1</v>
      </c>
      <c r="AE437" s="15">
        <f>IF('ENCUESTA CONDUCTORES'!AM437="X",1,0)</f>
        <v>0</v>
      </c>
      <c r="AF437" s="15">
        <f>IF('ENCUESTA CONDUCTORES'!AN437="X",1,0)</f>
        <v>0</v>
      </c>
      <c r="AG437" s="15">
        <f>IF('ENCUESTA CONDUCTORES'!AO437="X",1,0)</f>
        <v>0</v>
      </c>
      <c r="AH437" s="15">
        <f>IF('ENCUESTA CONDUCTORES'!AP437="X",1,0)</f>
        <v>1</v>
      </c>
      <c r="AI437" s="15">
        <f>IF('ENCUESTA CONDUCTORES'!AQ437="X",1,0)</f>
        <v>0</v>
      </c>
      <c r="AJ437" s="15">
        <f>IF('ENCUESTA CONDUCTORES'!AR437="X",1,0)</f>
        <v>0</v>
      </c>
      <c r="AK437" s="15">
        <f>+'ENCUESTA CONDUCTORES'!AS437</f>
        <v>0</v>
      </c>
      <c r="AL437" s="15" t="str">
        <f>+'ENCUESTA CONDUCTORES'!AT437</f>
        <v>CUMMINS</v>
      </c>
      <c r="AM437" s="1">
        <f>+'ENCUESTA CONDUCTORES'!AU437</f>
        <v>10000</v>
      </c>
      <c r="AN437" s="48">
        <f>+'ENCUESTA CONDUCTORES'!AV437</f>
        <v>0.5</v>
      </c>
      <c r="AO437" s="15">
        <f>+'ENCUESTA CONDUCTORES'!AW437</f>
        <v>2.7</v>
      </c>
      <c r="AP437" s="15">
        <f>+'ENCUESTA CONDUCTORES'!AX437</f>
        <v>2.4</v>
      </c>
      <c r="AQ437" s="15">
        <f>+'ENCUESTA CONDUCTORES'!AY437</f>
        <v>2</v>
      </c>
      <c r="AR437" s="15">
        <f>+'ENCUESTA CONDUCTORES'!AZ437</f>
        <v>920</v>
      </c>
      <c r="AS437" s="15">
        <f>+'ENCUESTA CONDUCTORES'!BA437</f>
        <v>2300</v>
      </c>
      <c r="AT437" s="15">
        <f>IF('ENCUESTA CONDUCTORES'!BB437="X",1,0)</f>
        <v>1</v>
      </c>
      <c r="AU437" s="15">
        <f>IF('ENCUESTA CONDUCTORES'!BC437="X",1,0)</f>
        <v>0</v>
      </c>
      <c r="AV437" s="15">
        <f>IF('ENCUESTA CONDUCTORES'!BD437="X",1,0)</f>
        <v>0</v>
      </c>
      <c r="AW437" s="1">
        <f>+'ENCUESTA CONDUCTORES'!BE437</f>
        <v>20000</v>
      </c>
      <c r="AX437" s="1" t="str">
        <f>+'ENCUESTA CONDUCTORES'!BF437</f>
        <v>NO SABE</v>
      </c>
      <c r="AY437" s="1" t="str">
        <f>+'ENCUESTA CONDUCTORES'!BG437</f>
        <v>NO SABE</v>
      </c>
      <c r="AZ437" s="1" t="str">
        <f>+'ENCUESTA CONDUCTORES'!BH437</f>
        <v>NO SABE</v>
      </c>
      <c r="BA437" s="1" t="str">
        <f>+'ENCUESTA CONDUCTORES'!BI437</f>
        <v>NO SABE</v>
      </c>
      <c r="BB437" s="15">
        <f>IF('ENCUESTA CONDUCTORES'!BJ437="X",1,0)</f>
        <v>0</v>
      </c>
      <c r="BC437" s="15">
        <f>IF('ENCUESTA CONDUCTORES'!BK437="X",1,0)</f>
        <v>0</v>
      </c>
      <c r="BD437" s="15">
        <f>IF('ENCUESTA CONDUCTORES'!BL437="X",1,0)</f>
        <v>0</v>
      </c>
      <c r="BE437" s="15">
        <f>IF('ENCUESTA CONDUCTORES'!BM437="X",1,0)</f>
        <v>0</v>
      </c>
      <c r="BF437" s="15">
        <f>IF('ENCUESTA CONDUCTORES'!BN437="X",1,0)</f>
        <v>1</v>
      </c>
      <c r="BG437" s="15">
        <f>IF('ENCUESTA CONDUCTORES'!BO437="X",1,0)</f>
        <v>0</v>
      </c>
      <c r="BH437" s="15">
        <f>IF('ENCUESTA CONDUCTORES'!BP437="X",1,0)</f>
        <v>1</v>
      </c>
      <c r="BI437" s="15">
        <f>IF('ENCUESTA CONDUCTORES'!BQ437="X",1,0)</f>
        <v>0</v>
      </c>
      <c r="BJ437" s="15">
        <f>IF('ENCUESTA CONDUCTORES'!BR437="X",1,0)</f>
        <v>0</v>
      </c>
      <c r="BK437" s="15">
        <f>+'ENCUESTA CONDUCTORES'!BS437</f>
        <v>0</v>
      </c>
      <c r="BL437" s="15">
        <f>IF('ENCUESTA CONDUCTORES'!BT437="X",1,0)</f>
        <v>0</v>
      </c>
      <c r="BM437" s="15">
        <f>IF('ENCUESTA CONDUCTORES'!BU437="X",1,0)</f>
        <v>1</v>
      </c>
      <c r="BN437" s="15">
        <f>IF('ENCUESTA CONDUCTORES'!BV437="X",1,0)</f>
        <v>0</v>
      </c>
      <c r="BO437" s="15">
        <f>IF('ENCUESTA CONDUCTORES'!BW437="X",1,0)</f>
        <v>0</v>
      </c>
      <c r="BP437" s="15">
        <f>+'ENCUESTA CONDUCTORES'!BX437</f>
        <v>1</v>
      </c>
      <c r="BQ437" s="15">
        <f>+'ENCUESTA CONDUCTORES'!BY437</f>
        <v>2</v>
      </c>
      <c r="BR437" s="15">
        <f>+'ENCUESTA CONDUCTORES'!BZ437</f>
        <v>3</v>
      </c>
      <c r="BS437" s="15">
        <f>+'ENCUESTA CONDUCTORES'!CA437</f>
        <v>0</v>
      </c>
      <c r="BT437" s="15">
        <f>IF('ENCUESTA CONDUCTORES'!CB437="X",1,0)</f>
        <v>1</v>
      </c>
      <c r="BU437" s="15">
        <f>IF('ENCUESTA CONDUCTORES'!CC437="X",1,0)</f>
        <v>0</v>
      </c>
      <c r="BV437" s="15">
        <f>IF('ENCUESTA CONDUCTORES'!CD437="X",1,0)</f>
        <v>0</v>
      </c>
      <c r="BW437" s="15">
        <f>IF('ENCUESTA CONDUCTORES'!CE437="X",1,0)</f>
        <v>0</v>
      </c>
      <c r="BX437" s="15">
        <f>IF('ENCUESTA CONDUCTORES'!CF437="X",1,0)</f>
        <v>0</v>
      </c>
      <c r="BY437" s="15">
        <f>IF('ENCUESTA CONDUCTORES'!CG437="X",1,0)</f>
        <v>0</v>
      </c>
      <c r="BZ437" s="15">
        <f>IF('ENCUESTA CONDUCTORES'!CH437="X",1,0)</f>
        <v>0</v>
      </c>
      <c r="CA437" s="15">
        <f>IF('ENCUESTA CONDUCTORES'!CI437="X",1,0)</f>
        <v>0</v>
      </c>
      <c r="CB437" s="15">
        <f>IF('ENCUESTA CONDUCTORES'!CJ437="X",1,0)</f>
        <v>0</v>
      </c>
      <c r="CC437" s="15">
        <f>IF('ENCUESTA CONDUCTORES'!CK437="X",1,0)</f>
        <v>1</v>
      </c>
      <c r="CD437" s="15">
        <f>IF('ENCUESTA CONDUCTORES'!CL437="X",1,0)</f>
        <v>0</v>
      </c>
      <c r="CE437" s="15">
        <f>IF('ENCUESTA CONDUCTORES'!CM437="X",1,0)</f>
        <v>0</v>
      </c>
      <c r="CF437" s="15">
        <f>+'ENCUESTA CONDUCTORES'!CN437</f>
        <v>0</v>
      </c>
      <c r="CG437" s="15">
        <f>IF('ENCUESTA CONDUCTORES'!CO437="X",1,0)</f>
        <v>0</v>
      </c>
      <c r="CH437" s="15" t="str">
        <f>+'ENCUESTA CONDUCTORES'!CP437</f>
        <v>NO SABE</v>
      </c>
      <c r="CI437" s="15" t="str">
        <f>+'ENCUESTA CONDUCTORES'!CQ437</f>
        <v>NO SABE</v>
      </c>
      <c r="CJ437" s="15">
        <f>IF('ENCUESTA CONDUCTORES'!CR437="X",1,0)</f>
        <v>1</v>
      </c>
      <c r="CK437" s="15">
        <f>IF('ENCUESTA CONDUCTORES'!CS437="X",1,0)</f>
        <v>0</v>
      </c>
      <c r="CL437" s="15">
        <f>IF('ENCUESTA CONDUCTORES'!CT437="X",1,0)</f>
        <v>0</v>
      </c>
      <c r="CM437" s="15">
        <f>+'ENCUESTA CONDUCTORES'!CU437</f>
        <v>0</v>
      </c>
      <c r="CN437" s="15">
        <f>IF('ENCUESTA CONDUCTORES'!CV437="X",1,0)</f>
        <v>0</v>
      </c>
      <c r="CO437" s="15">
        <f>+'ENCUESTA CONDUCTORES'!CW437</f>
        <v>0</v>
      </c>
      <c r="CP437" s="15">
        <f>IF('ENCUESTA CONDUCTORES'!CX437="X",1,0)</f>
        <v>0</v>
      </c>
      <c r="CQ437" s="15">
        <f>IF('ENCUESTA CONDUCTORES'!CY437="X",1,0)</f>
        <v>0</v>
      </c>
      <c r="CR437" s="3" t="str">
        <f>+'ENCUESTA CONDUCTORES'!CZ437</f>
        <v>INGLES</v>
      </c>
      <c r="CS437" s="49">
        <f>+'ENCUESTA CONDUCTORES'!DA437</f>
        <v>0</v>
      </c>
    </row>
    <row r="438" spans="2:97" x14ac:dyDescent="0.25">
      <c r="B438" s="14" t="str">
        <f>+'ENCUESTA CONDUCTORES'!D438</f>
        <v>C-449</v>
      </c>
      <c r="C438" s="15">
        <f>IF('ENCUESTA CONDUCTORES'!E438="X",1,0)</f>
        <v>0</v>
      </c>
      <c r="D438" s="15">
        <f>IF('ENCUESTA CONDUCTORES'!F438="X",1,0)</f>
        <v>1</v>
      </c>
      <c r="E438" s="15">
        <f>IF('ENCUESTA CONDUCTORES'!G438="X",1,0)</f>
        <v>0</v>
      </c>
      <c r="F438" s="15">
        <f>IF('ENCUESTA CONDUCTORES'!H438="X",1,0)</f>
        <v>0</v>
      </c>
      <c r="G438" s="15">
        <f>+'ENCUESTA CONDUCTORES'!I438</f>
        <v>53</v>
      </c>
      <c r="H438" s="15" t="str">
        <f>+'ENCUESTA CONDUCTORES'!J438</f>
        <v>M</v>
      </c>
      <c r="I438" s="15" t="str">
        <f>+'ENCUESTA CONDUCTORES'!K438</f>
        <v>SECUNDARIA</v>
      </c>
      <c r="J438" s="15" t="str">
        <f>+'ENCUESTA CONDUCTORES'!L438</f>
        <v>TORREON, COAHUILA</v>
      </c>
      <c r="K438" s="15" t="str">
        <f>+'ENCUESTA CONDUCTORES'!M438</f>
        <v>TORREON</v>
      </c>
      <c r="L438" s="15" t="str">
        <f>+'ENCUESTA CONDUCTORES'!N438</f>
        <v>COAHUILA</v>
      </c>
      <c r="M438" s="15">
        <f>+'ENCUESTA CONDUCTORES'!O438</f>
        <v>37</v>
      </c>
      <c r="N438" s="15">
        <f>IF('ENCUESTA CONDUCTORES'!P438="X",1,0)</f>
        <v>0</v>
      </c>
      <c r="O438" s="15">
        <f>IF('ENCUESTA CONDUCTORES'!Q438="X",1,0)</f>
        <v>1</v>
      </c>
      <c r="P438" s="15">
        <f>IF('ENCUESTA CONDUCTORES'!R438="X",1,0)</f>
        <v>0</v>
      </c>
      <c r="Q438" s="15">
        <f>IF('ENCUESTA CONDUCTORES'!S438="X",1,0)</f>
        <v>0</v>
      </c>
      <c r="R438" s="15">
        <f>IF('ENCUESTA CONDUCTORES'!T438="X",1,0)</f>
        <v>0</v>
      </c>
      <c r="S438" s="15">
        <f>IF('ENCUESTA CONDUCTORES'!U438="X",1,0)</f>
        <v>0</v>
      </c>
      <c r="T438" s="15">
        <f>IF('ENCUESTA CONDUCTORES'!V438="X",1,0)</f>
        <v>0</v>
      </c>
      <c r="U438" s="15">
        <f>IF('ENCUESTA CONDUCTORES'!W438="X",1,0)</f>
        <v>0</v>
      </c>
      <c r="V438" s="15">
        <f>IF('ENCUESTA CONDUCTORES'!X438="X",1,0)</f>
        <v>0</v>
      </c>
      <c r="W438" s="15">
        <f>IF('ENCUESTA CONDUCTORES'!Y438="X",1,0)</f>
        <v>0</v>
      </c>
      <c r="X438" s="15">
        <f>IF('ENCUESTA CONDUCTORES'!Z438="X",1,0)</f>
        <v>0</v>
      </c>
      <c r="Y438" s="15">
        <f>+'ENCUESTA CONDUCTORES'!AG438</f>
        <v>0</v>
      </c>
      <c r="Z438" s="15">
        <f>+'ENCUESTA CONDUCTORES'!AH438</f>
        <v>2001</v>
      </c>
      <c r="AA438" s="1" t="str">
        <f>+'ENCUESTA CONDUCTORES'!AI438</f>
        <v>NO SABE</v>
      </c>
      <c r="AB438" s="15">
        <f>IF('ENCUESTA CONDUCTORES'!AJ438="X",1,0)</f>
        <v>0</v>
      </c>
      <c r="AC438" s="15">
        <f>IF('ENCUESTA CONDUCTORES'!AK438="X",1,0)</f>
        <v>0</v>
      </c>
      <c r="AD438" s="15">
        <f>IF('ENCUESTA CONDUCTORES'!AL438="X",1,0)</f>
        <v>1</v>
      </c>
      <c r="AE438" s="15">
        <f>IF('ENCUESTA CONDUCTORES'!AM438="X",1,0)</f>
        <v>0</v>
      </c>
      <c r="AF438" s="15">
        <f>IF('ENCUESTA CONDUCTORES'!AN438="X",1,0)</f>
        <v>0</v>
      </c>
      <c r="AG438" s="15">
        <f>IF('ENCUESTA CONDUCTORES'!AO438="X",1,0)</f>
        <v>0</v>
      </c>
      <c r="AH438" s="15">
        <f>IF('ENCUESTA CONDUCTORES'!AP438="X",1,0)</f>
        <v>1</v>
      </c>
      <c r="AI438" s="15">
        <f>IF('ENCUESTA CONDUCTORES'!AQ438="X",1,0)</f>
        <v>0</v>
      </c>
      <c r="AJ438" s="15">
        <f>IF('ENCUESTA CONDUCTORES'!AR438="X",1,0)</f>
        <v>0</v>
      </c>
      <c r="AK438" s="15">
        <f>+'ENCUESTA CONDUCTORES'!AS438</f>
        <v>0</v>
      </c>
      <c r="AL438" s="15" t="str">
        <f>+'ENCUESTA CONDUCTORES'!AT438</f>
        <v>NAVISTAR</v>
      </c>
      <c r="AM438" s="1">
        <f>+'ENCUESTA CONDUCTORES'!AU438</f>
        <v>8000</v>
      </c>
      <c r="AN438" s="48">
        <f>+'ENCUESTA CONDUCTORES'!AV438</f>
        <v>0.5</v>
      </c>
      <c r="AO438" s="15">
        <f>+'ENCUESTA CONDUCTORES'!AW438</f>
        <v>2.7</v>
      </c>
      <c r="AP438" s="15">
        <f>+'ENCUESTA CONDUCTORES'!AX438</f>
        <v>2.2000000000000002</v>
      </c>
      <c r="AQ438" s="15">
        <f>+'ENCUESTA CONDUCTORES'!AY438</f>
        <v>2</v>
      </c>
      <c r="AR438" s="15">
        <f>+'ENCUESTA CONDUCTORES'!AZ438</f>
        <v>500</v>
      </c>
      <c r="AS438" s="15">
        <f>+'ENCUESTA CONDUCTORES'!BA438</f>
        <v>1100</v>
      </c>
      <c r="AT438" s="15">
        <f>IF('ENCUESTA CONDUCTORES'!BB438="X",1,0)</f>
        <v>1</v>
      </c>
      <c r="AU438" s="15">
        <f>IF('ENCUESTA CONDUCTORES'!BC438="X",1,0)</f>
        <v>0</v>
      </c>
      <c r="AV438" s="15">
        <f>IF('ENCUESTA CONDUCTORES'!BD438="X",1,0)</f>
        <v>0</v>
      </c>
      <c r="AW438" s="1">
        <f>+'ENCUESTA CONDUCTORES'!BE438</f>
        <v>15000</v>
      </c>
      <c r="AX438" s="1">
        <f>+'ENCUESTA CONDUCTORES'!BF438</f>
        <v>200000</v>
      </c>
      <c r="AY438" s="1">
        <f>+'ENCUESTA CONDUCTORES'!BG438</f>
        <v>60000</v>
      </c>
      <c r="AZ438" s="1">
        <f>+'ENCUESTA CONDUCTORES'!BH438</f>
        <v>180000</v>
      </c>
      <c r="BA438" s="1" t="str">
        <f>+'ENCUESTA CONDUCTORES'!BI438</f>
        <v>NO SABE</v>
      </c>
      <c r="BB438" s="15">
        <f>IF('ENCUESTA CONDUCTORES'!BJ438="X",1,0)</f>
        <v>1</v>
      </c>
      <c r="BC438" s="15">
        <f>IF('ENCUESTA CONDUCTORES'!BK438="X",1,0)</f>
        <v>0</v>
      </c>
      <c r="BD438" s="15">
        <f>IF('ENCUESTA CONDUCTORES'!BL438="X",1,0)</f>
        <v>0</v>
      </c>
      <c r="BE438" s="15">
        <f>IF('ENCUESTA CONDUCTORES'!BM438="X",1,0)</f>
        <v>0</v>
      </c>
      <c r="BF438" s="15">
        <f>IF('ENCUESTA CONDUCTORES'!BN438="X",1,0)</f>
        <v>0</v>
      </c>
      <c r="BG438" s="15">
        <f>IF('ENCUESTA CONDUCTORES'!BO438="X",1,0)</f>
        <v>0</v>
      </c>
      <c r="BH438" s="15">
        <f>IF('ENCUESTA CONDUCTORES'!BP438="X",1,0)</f>
        <v>0</v>
      </c>
      <c r="BI438" s="15">
        <f>IF('ENCUESTA CONDUCTORES'!BQ438="X",1,0)</f>
        <v>0</v>
      </c>
      <c r="BJ438" s="15">
        <f>IF('ENCUESTA CONDUCTORES'!BR438="X",1,0)</f>
        <v>0</v>
      </c>
      <c r="BK438" s="15">
        <f>+'ENCUESTA CONDUCTORES'!BS438</f>
        <v>0</v>
      </c>
      <c r="BL438" s="15">
        <f>IF('ENCUESTA CONDUCTORES'!BT438="X",1,0)</f>
        <v>0</v>
      </c>
      <c r="BM438" s="15">
        <f>IF('ENCUESTA CONDUCTORES'!BU438="X",1,0)</f>
        <v>1</v>
      </c>
      <c r="BN438" s="15">
        <f>IF('ENCUESTA CONDUCTORES'!BV438="X",1,0)</f>
        <v>0</v>
      </c>
      <c r="BO438" s="15">
        <f>IF('ENCUESTA CONDUCTORES'!BW438="X",1,0)</f>
        <v>0</v>
      </c>
      <c r="BP438" s="15">
        <f>+'ENCUESTA CONDUCTORES'!BX438</f>
        <v>1</v>
      </c>
      <c r="BQ438" s="15">
        <f>+'ENCUESTA CONDUCTORES'!BY438</f>
        <v>2</v>
      </c>
      <c r="BR438" s="15">
        <f>+'ENCUESTA CONDUCTORES'!BZ438</f>
        <v>3</v>
      </c>
      <c r="BS438" s="15">
        <f>+'ENCUESTA CONDUCTORES'!CA438</f>
        <v>0</v>
      </c>
      <c r="BT438" s="15">
        <f>IF('ENCUESTA CONDUCTORES'!CB438="X",1,0)</f>
        <v>1</v>
      </c>
      <c r="BU438" s="15">
        <f>IF('ENCUESTA CONDUCTORES'!CC438="X",1,0)</f>
        <v>0</v>
      </c>
      <c r="BV438" s="15">
        <f>IF('ENCUESTA CONDUCTORES'!CD438="X",1,0)</f>
        <v>0</v>
      </c>
      <c r="BW438" s="15">
        <f>IF('ENCUESTA CONDUCTORES'!CE438="X",1,0)</f>
        <v>0</v>
      </c>
      <c r="BX438" s="15">
        <f>IF('ENCUESTA CONDUCTORES'!CF438="X",1,0)</f>
        <v>0</v>
      </c>
      <c r="BY438" s="15">
        <f>IF('ENCUESTA CONDUCTORES'!CG438="X",1,0)</f>
        <v>0</v>
      </c>
      <c r="BZ438" s="15">
        <f>IF('ENCUESTA CONDUCTORES'!CH438="X",1,0)</f>
        <v>0</v>
      </c>
      <c r="CA438" s="15">
        <f>IF('ENCUESTA CONDUCTORES'!CI438="X",1,0)</f>
        <v>0</v>
      </c>
      <c r="CB438" s="15">
        <f>IF('ENCUESTA CONDUCTORES'!CJ438="X",1,0)</f>
        <v>0</v>
      </c>
      <c r="CC438" s="15">
        <f>IF('ENCUESTA CONDUCTORES'!CK438="X",1,0)</f>
        <v>0</v>
      </c>
      <c r="CD438" s="15">
        <f>IF('ENCUESTA CONDUCTORES'!CL438="X",1,0)</f>
        <v>1</v>
      </c>
      <c r="CE438" s="15">
        <f>IF('ENCUESTA CONDUCTORES'!CM438="X",1,0)</f>
        <v>0</v>
      </c>
      <c r="CF438" s="15">
        <f>+'ENCUESTA CONDUCTORES'!CN438</f>
        <v>0</v>
      </c>
      <c r="CG438" s="15">
        <f>IF('ENCUESTA CONDUCTORES'!CO438="X",1,0)</f>
        <v>0</v>
      </c>
      <c r="CH438" s="15" t="str">
        <f>+'ENCUESTA CONDUCTORES'!CP438</f>
        <v>NO ESTA COMPLETO Y NO SE APLICA</v>
      </c>
      <c r="CI438" s="15">
        <f>+'ENCUESTA CONDUCTORES'!CQ438</f>
        <v>0</v>
      </c>
      <c r="CJ438" s="15">
        <f>IF('ENCUESTA CONDUCTORES'!CR438="X",1,0)</f>
        <v>1</v>
      </c>
      <c r="CK438" s="15">
        <f>IF('ENCUESTA CONDUCTORES'!CS438="X",1,0)</f>
        <v>0</v>
      </c>
      <c r="CL438" s="15">
        <f>IF('ENCUESTA CONDUCTORES'!CT438="X",1,0)</f>
        <v>0</v>
      </c>
      <c r="CM438" s="15">
        <f>+'ENCUESTA CONDUCTORES'!CU438</f>
        <v>0</v>
      </c>
      <c r="CN438" s="15">
        <f>IF('ENCUESTA CONDUCTORES'!CV438="X",1,0)</f>
        <v>0</v>
      </c>
      <c r="CO438" s="15">
        <f>+'ENCUESTA CONDUCTORES'!CW438</f>
        <v>0</v>
      </c>
      <c r="CP438" s="15">
        <f>IF('ENCUESTA CONDUCTORES'!CX438="X",1,0)</f>
        <v>1</v>
      </c>
      <c r="CQ438" s="15">
        <f>IF('ENCUESTA CONDUCTORES'!CY438="X",1,0)</f>
        <v>1</v>
      </c>
      <c r="CR438" s="3">
        <f>+'ENCUESTA CONDUCTORES'!CZ438</f>
        <v>0</v>
      </c>
      <c r="CS438" s="49">
        <f>+'ENCUESTA CONDUCTORES'!DA438</f>
        <v>0</v>
      </c>
    </row>
    <row r="439" spans="2:97" x14ac:dyDescent="0.25">
      <c r="B439" s="14" t="str">
        <f>+'ENCUESTA CONDUCTORES'!D439</f>
        <v>C-450</v>
      </c>
      <c r="C439" s="15">
        <f>IF('ENCUESTA CONDUCTORES'!E439="X",1,0)</f>
        <v>0</v>
      </c>
      <c r="D439" s="15">
        <f>IF('ENCUESTA CONDUCTORES'!F439="X",1,0)</f>
        <v>1</v>
      </c>
      <c r="E439" s="15">
        <f>IF('ENCUESTA CONDUCTORES'!G439="X",1,0)</f>
        <v>0</v>
      </c>
      <c r="F439" s="15">
        <f>IF('ENCUESTA CONDUCTORES'!H439="X",1,0)</f>
        <v>0</v>
      </c>
      <c r="G439" s="15">
        <f>+'ENCUESTA CONDUCTORES'!I439</f>
        <v>50</v>
      </c>
      <c r="H439" s="15" t="str">
        <f>+'ENCUESTA CONDUCTORES'!J439</f>
        <v>M</v>
      </c>
      <c r="I439" s="15" t="str">
        <f>+'ENCUESTA CONDUCTORES'!K439</f>
        <v>SECUNDARIA</v>
      </c>
      <c r="J439" s="15" t="str">
        <f>+'ENCUESTA CONDUCTORES'!L439</f>
        <v>ACAMBARO, MICH</v>
      </c>
      <c r="K439" s="15" t="str">
        <f>+'ENCUESTA CONDUCTORES'!M439</f>
        <v>ACAMBARO</v>
      </c>
      <c r="L439" s="15" t="str">
        <f>+'ENCUESTA CONDUCTORES'!N439</f>
        <v>MICHOACAN</v>
      </c>
      <c r="M439" s="15">
        <f>+'ENCUESTA CONDUCTORES'!O439</f>
        <v>20</v>
      </c>
      <c r="N439" s="15">
        <f>IF('ENCUESTA CONDUCTORES'!P439="X",1,0)</f>
        <v>1</v>
      </c>
      <c r="O439" s="15">
        <f>IF('ENCUESTA CONDUCTORES'!Q439="X",1,0)</f>
        <v>0</v>
      </c>
      <c r="P439" s="15">
        <f>IF('ENCUESTA CONDUCTORES'!R439="X",1,0)</f>
        <v>0</v>
      </c>
      <c r="Q439" s="15">
        <f>IF('ENCUESTA CONDUCTORES'!S439="X",1,0)</f>
        <v>0</v>
      </c>
      <c r="R439" s="15">
        <f>IF('ENCUESTA CONDUCTORES'!T439="X",1,0)</f>
        <v>0</v>
      </c>
      <c r="S439" s="15">
        <f>IF('ENCUESTA CONDUCTORES'!U439="X",1,0)</f>
        <v>0</v>
      </c>
      <c r="T439" s="15">
        <f>IF('ENCUESTA CONDUCTORES'!V439="X",1,0)</f>
        <v>0</v>
      </c>
      <c r="U439" s="15">
        <f>IF('ENCUESTA CONDUCTORES'!W439="X",1,0)</f>
        <v>0</v>
      </c>
      <c r="V439" s="15">
        <f>IF('ENCUESTA CONDUCTORES'!X439="X",1,0)</f>
        <v>0</v>
      </c>
      <c r="W439" s="15">
        <f>IF('ENCUESTA CONDUCTORES'!Y439="X",1,0)</f>
        <v>0</v>
      </c>
      <c r="X439" s="15">
        <f>IF('ENCUESTA CONDUCTORES'!Z439="X",1,0)</f>
        <v>0</v>
      </c>
      <c r="Y439" s="15">
        <f>+'ENCUESTA CONDUCTORES'!AG439</f>
        <v>0</v>
      </c>
      <c r="Z439" s="15">
        <f>+'ENCUESTA CONDUCTORES'!AH439</f>
        <v>1973</v>
      </c>
      <c r="AA439" s="1" t="str">
        <f>+'ENCUESTA CONDUCTORES'!AI439</f>
        <v>NO SABE</v>
      </c>
      <c r="AB439" s="15">
        <f>IF('ENCUESTA CONDUCTORES'!AJ439="X",1,0)</f>
        <v>0</v>
      </c>
      <c r="AC439" s="15">
        <f>IF('ENCUESTA CONDUCTORES'!AK439="X",1,0)</f>
        <v>0</v>
      </c>
      <c r="AD439" s="15">
        <f>IF('ENCUESTA CONDUCTORES'!AL439="X",1,0)</f>
        <v>1</v>
      </c>
      <c r="AE439" s="15">
        <f>IF('ENCUESTA CONDUCTORES'!AM439="X",1,0)</f>
        <v>0</v>
      </c>
      <c r="AF439" s="15">
        <f>IF('ENCUESTA CONDUCTORES'!AN439="X",1,0)</f>
        <v>0</v>
      </c>
      <c r="AG439" s="15">
        <f>IF('ENCUESTA CONDUCTORES'!AO439="X",1,0)</f>
        <v>0</v>
      </c>
      <c r="AH439" s="15">
        <f>IF('ENCUESTA CONDUCTORES'!AP439="X",1,0)</f>
        <v>1</v>
      </c>
      <c r="AI439" s="15">
        <f>IF('ENCUESTA CONDUCTORES'!AQ439="X",1,0)</f>
        <v>0</v>
      </c>
      <c r="AJ439" s="15">
        <f>IF('ENCUESTA CONDUCTORES'!AR439="X",1,0)</f>
        <v>0</v>
      </c>
      <c r="AK439" s="15">
        <f>+'ENCUESTA CONDUCTORES'!AS439</f>
        <v>0</v>
      </c>
      <c r="AL439" s="15" t="str">
        <f>+'ENCUESTA CONDUCTORES'!AT439</f>
        <v>BICAM</v>
      </c>
      <c r="AM439" s="1">
        <f>+'ENCUESTA CONDUCTORES'!AU439</f>
        <v>5000</v>
      </c>
      <c r="AN439" s="48">
        <f>+'ENCUESTA CONDUCTORES'!AV439</f>
        <v>0.5</v>
      </c>
      <c r="AO439" s="15">
        <f>+'ENCUESTA CONDUCTORES'!AW439</f>
        <v>2.7</v>
      </c>
      <c r="AP439" s="15">
        <f>+'ENCUESTA CONDUCTORES'!AX439</f>
        <v>2.4</v>
      </c>
      <c r="AQ439" s="15">
        <f>+'ENCUESTA CONDUCTORES'!AY439</f>
        <v>2</v>
      </c>
      <c r="AR439" s="15">
        <f>+'ENCUESTA CONDUCTORES'!AZ439</f>
        <v>500</v>
      </c>
      <c r="AS439" s="15">
        <f>+'ENCUESTA CONDUCTORES'!BA439</f>
        <v>1200</v>
      </c>
      <c r="AT439" s="15">
        <f>IF('ENCUESTA CONDUCTORES'!BB439="X",1,0)</f>
        <v>0</v>
      </c>
      <c r="AU439" s="15">
        <f>IF('ENCUESTA CONDUCTORES'!BC439="X",1,0)</f>
        <v>0</v>
      </c>
      <c r="AV439" s="15">
        <f>IF('ENCUESTA CONDUCTORES'!BD439="X",1,0)</f>
        <v>0</v>
      </c>
      <c r="AW439" s="1">
        <f>+'ENCUESTA CONDUCTORES'!BE439</f>
        <v>60000</v>
      </c>
      <c r="AX439" s="1" t="str">
        <f>+'ENCUESTA CONDUCTORES'!BF439</f>
        <v>NO SABE</v>
      </c>
      <c r="AY439" s="1">
        <f>+'ENCUESTA CONDUCTORES'!BG439</f>
        <v>60000</v>
      </c>
      <c r="AZ439" s="1" t="str">
        <f>+'ENCUESTA CONDUCTORES'!BH439</f>
        <v>NO SABE</v>
      </c>
      <c r="BA439" s="1" t="str">
        <f>+'ENCUESTA CONDUCTORES'!BI439</f>
        <v>NO SABE</v>
      </c>
      <c r="BB439" s="15">
        <f>IF('ENCUESTA CONDUCTORES'!BJ439="X",1,0)</f>
        <v>1</v>
      </c>
      <c r="BC439" s="15">
        <f>IF('ENCUESTA CONDUCTORES'!BK439="X",1,0)</f>
        <v>0</v>
      </c>
      <c r="BD439" s="15">
        <f>IF('ENCUESTA CONDUCTORES'!BL439="X",1,0)</f>
        <v>0</v>
      </c>
      <c r="BE439" s="15">
        <f>IF('ENCUESTA CONDUCTORES'!BM439="X",1,0)</f>
        <v>0</v>
      </c>
      <c r="BF439" s="15">
        <f>IF('ENCUESTA CONDUCTORES'!BN439="X",1,0)</f>
        <v>0</v>
      </c>
      <c r="BG439" s="15">
        <f>IF('ENCUESTA CONDUCTORES'!BO439="X",1,0)</f>
        <v>0</v>
      </c>
      <c r="BH439" s="15">
        <f>IF('ENCUESTA CONDUCTORES'!BP439="X",1,0)</f>
        <v>0</v>
      </c>
      <c r="BI439" s="15">
        <f>IF('ENCUESTA CONDUCTORES'!BQ439="X",1,0)</f>
        <v>0</v>
      </c>
      <c r="BJ439" s="15">
        <f>IF('ENCUESTA CONDUCTORES'!BR439="X",1,0)</f>
        <v>0</v>
      </c>
      <c r="BK439" s="15">
        <f>+'ENCUESTA CONDUCTORES'!BS439</f>
        <v>0</v>
      </c>
      <c r="BL439" s="15">
        <f>IF('ENCUESTA CONDUCTORES'!BT439="X",1,0)</f>
        <v>0</v>
      </c>
      <c r="BM439" s="15">
        <f>IF('ENCUESTA CONDUCTORES'!BU439="X",1,0)</f>
        <v>0</v>
      </c>
      <c r="BN439" s="15">
        <f>IF('ENCUESTA CONDUCTORES'!BV439="X",1,0)</f>
        <v>1</v>
      </c>
      <c r="BO439" s="15">
        <f>IF('ENCUESTA CONDUCTORES'!BW439="X",1,0)</f>
        <v>0</v>
      </c>
      <c r="BP439" s="15">
        <f>+'ENCUESTA CONDUCTORES'!BX439</f>
        <v>1</v>
      </c>
      <c r="BQ439" s="15">
        <f>+'ENCUESTA CONDUCTORES'!BY439</f>
        <v>3</v>
      </c>
      <c r="BR439" s="15">
        <f>+'ENCUESTA CONDUCTORES'!BZ439</f>
        <v>2</v>
      </c>
      <c r="BS439" s="15">
        <f>+'ENCUESTA CONDUCTORES'!CA439</f>
        <v>0</v>
      </c>
      <c r="BT439" s="15">
        <f>IF('ENCUESTA CONDUCTORES'!CB439="X",1,0)</f>
        <v>1</v>
      </c>
      <c r="BU439" s="15">
        <f>IF('ENCUESTA CONDUCTORES'!CC439="X",1,0)</f>
        <v>0</v>
      </c>
      <c r="BV439" s="15">
        <f>IF('ENCUESTA CONDUCTORES'!CD439="X",1,0)</f>
        <v>0</v>
      </c>
      <c r="BW439" s="15">
        <f>IF('ENCUESTA CONDUCTORES'!CE439="X",1,0)</f>
        <v>0</v>
      </c>
      <c r="BX439" s="15">
        <f>IF('ENCUESTA CONDUCTORES'!CF439="X",1,0)</f>
        <v>0</v>
      </c>
      <c r="BY439" s="15">
        <f>IF('ENCUESTA CONDUCTORES'!CG439="X",1,0)</f>
        <v>0</v>
      </c>
      <c r="BZ439" s="15">
        <f>IF('ENCUESTA CONDUCTORES'!CH439="X",1,0)</f>
        <v>0</v>
      </c>
      <c r="CA439" s="15">
        <f>IF('ENCUESTA CONDUCTORES'!CI439="X",1,0)</f>
        <v>0</v>
      </c>
      <c r="CB439" s="15">
        <f>IF('ENCUESTA CONDUCTORES'!CJ439="X",1,0)</f>
        <v>0</v>
      </c>
      <c r="CC439" s="15">
        <f>IF('ENCUESTA CONDUCTORES'!CK439="X",1,0)</f>
        <v>0</v>
      </c>
      <c r="CD439" s="15">
        <f>IF('ENCUESTA CONDUCTORES'!CL439="X",1,0)</f>
        <v>1</v>
      </c>
      <c r="CE439" s="15">
        <f>IF('ENCUESTA CONDUCTORES'!CM439="X",1,0)</f>
        <v>0</v>
      </c>
      <c r="CF439" s="15">
        <f>+'ENCUESTA CONDUCTORES'!CN439</f>
        <v>0</v>
      </c>
      <c r="CG439" s="15">
        <f>IF('ENCUESTA CONDUCTORES'!CO439="X",1,0)</f>
        <v>0</v>
      </c>
      <c r="CH439" s="15">
        <f>+'ENCUESTA CONDUCTORES'!CP439</f>
        <v>0</v>
      </c>
      <c r="CI439" s="15">
        <f>+'ENCUESTA CONDUCTORES'!CQ439</f>
        <v>0</v>
      </c>
      <c r="CJ439" s="15">
        <f>IF('ENCUESTA CONDUCTORES'!CR439="X",1,0)</f>
        <v>1</v>
      </c>
      <c r="CK439" s="15">
        <f>IF('ENCUESTA CONDUCTORES'!CS439="X",1,0)</f>
        <v>0</v>
      </c>
      <c r="CL439" s="15">
        <f>IF('ENCUESTA CONDUCTORES'!CT439="X",1,0)</f>
        <v>0</v>
      </c>
      <c r="CM439" s="15">
        <f>+'ENCUESTA CONDUCTORES'!CU439</f>
        <v>0</v>
      </c>
      <c r="CN439" s="15">
        <f>IF('ENCUESTA CONDUCTORES'!CV439="X",1,0)</f>
        <v>0</v>
      </c>
      <c r="CO439" s="15">
        <f>+'ENCUESTA CONDUCTORES'!CW439</f>
        <v>0</v>
      </c>
      <c r="CP439" s="15">
        <f>IF('ENCUESTA CONDUCTORES'!CX439="X",1,0)</f>
        <v>0</v>
      </c>
      <c r="CQ439" s="15">
        <f>IF('ENCUESTA CONDUCTORES'!CY439="X",1,0)</f>
        <v>1</v>
      </c>
      <c r="CR439" s="3">
        <f>+'ENCUESTA CONDUCTORES'!CZ439</f>
        <v>0</v>
      </c>
      <c r="CS439" s="49">
        <f>+'ENCUESTA CONDUCTORES'!DA439</f>
        <v>0</v>
      </c>
    </row>
    <row r="440" spans="2:97" x14ac:dyDescent="0.25">
      <c r="B440" s="14" t="str">
        <f>+'ENCUESTA CONDUCTORES'!D440</f>
        <v>C-451</v>
      </c>
      <c r="C440" s="15">
        <f>IF('ENCUESTA CONDUCTORES'!E440="X",1,0)</f>
        <v>1</v>
      </c>
      <c r="D440" s="15">
        <f>IF('ENCUESTA CONDUCTORES'!F440="X",1,0)</f>
        <v>0</v>
      </c>
      <c r="E440" s="15">
        <f>IF('ENCUESTA CONDUCTORES'!G440="X",1,0)</f>
        <v>0</v>
      </c>
      <c r="F440" s="15">
        <f>IF('ENCUESTA CONDUCTORES'!H440="X",1,0)</f>
        <v>0</v>
      </c>
      <c r="G440" s="15">
        <f>+'ENCUESTA CONDUCTORES'!I440</f>
        <v>42</v>
      </c>
      <c r="H440" s="15" t="str">
        <f>+'ENCUESTA CONDUCTORES'!J440</f>
        <v>M</v>
      </c>
      <c r="I440" s="15" t="str">
        <f>+'ENCUESTA CONDUCTORES'!K440</f>
        <v>SECUNDARIA</v>
      </c>
      <c r="J440" s="15" t="str">
        <f>+'ENCUESTA CONDUCTORES'!L440</f>
        <v>ACAMBARO, MICH</v>
      </c>
      <c r="K440" s="15" t="str">
        <f>+'ENCUESTA CONDUCTORES'!M440</f>
        <v>ACAMBARO</v>
      </c>
      <c r="L440" s="15" t="str">
        <f>+'ENCUESTA CONDUCTORES'!N440</f>
        <v>MICHOACAN</v>
      </c>
      <c r="M440" s="15">
        <f>+'ENCUESTA CONDUCTORES'!O440</f>
        <v>21</v>
      </c>
      <c r="N440" s="15">
        <f>IF('ENCUESTA CONDUCTORES'!P440="X",1,0)</f>
        <v>0</v>
      </c>
      <c r="O440" s="15">
        <f>IF('ENCUESTA CONDUCTORES'!Q440="X",1,0)</f>
        <v>0</v>
      </c>
      <c r="P440" s="15">
        <f>IF('ENCUESTA CONDUCTORES'!R440="X",1,0)</f>
        <v>0</v>
      </c>
      <c r="Q440" s="15">
        <f>IF('ENCUESTA CONDUCTORES'!S440="X",1,0)</f>
        <v>1</v>
      </c>
      <c r="R440" s="15">
        <f>IF('ENCUESTA CONDUCTORES'!T440="X",1,0)</f>
        <v>0</v>
      </c>
      <c r="S440" s="15">
        <f>IF('ENCUESTA CONDUCTORES'!U440="X",1,0)</f>
        <v>0</v>
      </c>
      <c r="T440" s="15">
        <f>IF('ENCUESTA CONDUCTORES'!V440="X",1,0)</f>
        <v>1</v>
      </c>
      <c r="U440" s="15">
        <f>IF('ENCUESTA CONDUCTORES'!W440="X",1,0)</f>
        <v>0</v>
      </c>
      <c r="V440" s="15">
        <f>IF('ENCUESTA CONDUCTORES'!X440="X",1,0)</f>
        <v>0</v>
      </c>
      <c r="W440" s="15">
        <f>IF('ENCUESTA CONDUCTORES'!Y440="X",1,0)</f>
        <v>0</v>
      </c>
      <c r="X440" s="15">
        <f>IF('ENCUESTA CONDUCTORES'!Z440="X",1,0)</f>
        <v>0</v>
      </c>
      <c r="Y440" s="15">
        <f>+'ENCUESTA CONDUCTORES'!AG440</f>
        <v>0</v>
      </c>
      <c r="Z440" s="15">
        <f>+'ENCUESTA CONDUCTORES'!AH440</f>
        <v>1985</v>
      </c>
      <c r="AA440" s="1" t="str">
        <f>+'ENCUESTA CONDUCTORES'!AI440</f>
        <v>NO SABE</v>
      </c>
      <c r="AB440" s="15">
        <f>IF('ENCUESTA CONDUCTORES'!AJ440="X",1,0)</f>
        <v>0</v>
      </c>
      <c r="AC440" s="15">
        <f>IF('ENCUESTA CONDUCTORES'!AK440="X",1,0)</f>
        <v>0</v>
      </c>
      <c r="AD440" s="15">
        <f>IF('ENCUESTA CONDUCTORES'!AL440="X",1,0)</f>
        <v>1</v>
      </c>
      <c r="AE440" s="15">
        <f>IF('ENCUESTA CONDUCTORES'!AM440="X",1,0)</f>
        <v>0</v>
      </c>
      <c r="AF440" s="15">
        <f>IF('ENCUESTA CONDUCTORES'!AN440="X",1,0)</f>
        <v>0</v>
      </c>
      <c r="AG440" s="15">
        <f>IF('ENCUESTA CONDUCTORES'!AO440="X",1,0)</f>
        <v>1</v>
      </c>
      <c r="AH440" s="15">
        <f>IF('ENCUESTA CONDUCTORES'!AP440="X",1,0)</f>
        <v>0</v>
      </c>
      <c r="AI440" s="15">
        <f>IF('ENCUESTA CONDUCTORES'!AQ440="X",1,0)</f>
        <v>0</v>
      </c>
      <c r="AJ440" s="15">
        <f>IF('ENCUESTA CONDUCTORES'!AR440="X",1,0)</f>
        <v>0</v>
      </c>
      <c r="AK440" s="15">
        <f>+'ENCUESTA CONDUCTORES'!AS440</f>
        <v>0</v>
      </c>
      <c r="AL440" s="15" t="str">
        <f>+'ENCUESTA CONDUCTORES'!AT440</f>
        <v>CUMMINS</v>
      </c>
      <c r="AM440" s="1">
        <f>+'ENCUESTA CONDUCTORES'!AU440</f>
        <v>8000</v>
      </c>
      <c r="AN440" s="48">
        <f>+'ENCUESTA CONDUCTORES'!AV440</f>
        <v>0.1</v>
      </c>
      <c r="AO440" s="15">
        <f>+'ENCUESTA CONDUCTORES'!AW440</f>
        <v>2.7</v>
      </c>
      <c r="AP440" s="15">
        <f>+'ENCUESTA CONDUCTORES'!AX440</f>
        <v>2.4</v>
      </c>
      <c r="AQ440" s="15">
        <f>+'ENCUESTA CONDUCTORES'!AY440</f>
        <v>3</v>
      </c>
      <c r="AR440" s="15">
        <f>+'ENCUESTA CONDUCTORES'!AZ440</f>
        <v>1200</v>
      </c>
      <c r="AS440" s="15">
        <f>+'ENCUESTA CONDUCTORES'!BA440</f>
        <v>2600</v>
      </c>
      <c r="AT440" s="15">
        <f>IF('ENCUESTA CONDUCTORES'!BB440="X",1,0)</f>
        <v>0</v>
      </c>
      <c r="AU440" s="15">
        <f>IF('ENCUESTA CONDUCTORES'!BC440="X",1,0)</f>
        <v>0</v>
      </c>
      <c r="AV440" s="15">
        <f>IF('ENCUESTA CONDUCTORES'!BD440="X",1,0)</f>
        <v>0</v>
      </c>
      <c r="AW440" s="1">
        <f>+'ENCUESTA CONDUCTORES'!BE440</f>
        <v>40000</v>
      </c>
      <c r="AX440" s="1" t="str">
        <f>+'ENCUESTA CONDUCTORES'!BF440</f>
        <v>NO SABE</v>
      </c>
      <c r="AY440" s="1">
        <f>+'ENCUESTA CONDUCTORES'!BG440</f>
        <v>40000</v>
      </c>
      <c r="AZ440" s="1" t="str">
        <f>+'ENCUESTA CONDUCTORES'!BH440</f>
        <v>NO SABE</v>
      </c>
      <c r="BA440" s="1" t="str">
        <f>+'ENCUESTA CONDUCTORES'!BI440</f>
        <v>NO SABE</v>
      </c>
      <c r="BB440" s="15">
        <f>IF('ENCUESTA CONDUCTORES'!BJ440="X",1,0)</f>
        <v>1</v>
      </c>
      <c r="BC440" s="15">
        <f>IF('ENCUESTA CONDUCTORES'!BK440="X",1,0)</f>
        <v>0</v>
      </c>
      <c r="BD440" s="15">
        <f>IF('ENCUESTA CONDUCTORES'!BL440="X",1,0)</f>
        <v>0</v>
      </c>
      <c r="BE440" s="15">
        <f>IF('ENCUESTA CONDUCTORES'!BM440="X",1,0)</f>
        <v>0</v>
      </c>
      <c r="BF440" s="15">
        <f>IF('ENCUESTA CONDUCTORES'!BN440="X",1,0)</f>
        <v>0</v>
      </c>
      <c r="BG440" s="15">
        <f>IF('ENCUESTA CONDUCTORES'!BO440="X",1,0)</f>
        <v>0</v>
      </c>
      <c r="BH440" s="15">
        <f>IF('ENCUESTA CONDUCTORES'!BP440="X",1,0)</f>
        <v>0</v>
      </c>
      <c r="BI440" s="15">
        <f>IF('ENCUESTA CONDUCTORES'!BQ440="X",1,0)</f>
        <v>1</v>
      </c>
      <c r="BJ440" s="15">
        <f>IF('ENCUESTA CONDUCTORES'!BR440="X",1,0)</f>
        <v>0</v>
      </c>
      <c r="BK440" s="15">
        <f>+'ENCUESTA CONDUCTORES'!BS440</f>
        <v>0</v>
      </c>
      <c r="BL440" s="15">
        <f>IF('ENCUESTA CONDUCTORES'!BT440="X",1,0)</f>
        <v>0</v>
      </c>
      <c r="BM440" s="15">
        <f>IF('ENCUESTA CONDUCTORES'!BU440="X",1,0)</f>
        <v>0</v>
      </c>
      <c r="BN440" s="15">
        <f>IF('ENCUESTA CONDUCTORES'!BV440="X",1,0)</f>
        <v>1</v>
      </c>
      <c r="BO440" s="15">
        <f>IF('ENCUESTA CONDUCTORES'!BW440="X",1,0)</f>
        <v>0</v>
      </c>
      <c r="BP440" s="15">
        <f>+'ENCUESTA CONDUCTORES'!BX440</f>
        <v>1</v>
      </c>
      <c r="BQ440" s="15">
        <f>+'ENCUESTA CONDUCTORES'!BY440</f>
        <v>2</v>
      </c>
      <c r="BR440" s="15">
        <f>+'ENCUESTA CONDUCTORES'!BZ440</f>
        <v>3</v>
      </c>
      <c r="BS440" s="15">
        <f>+'ENCUESTA CONDUCTORES'!CA440</f>
        <v>0</v>
      </c>
      <c r="BT440" s="15">
        <f>IF('ENCUESTA CONDUCTORES'!CB440="X",1,0)</f>
        <v>1</v>
      </c>
      <c r="BU440" s="15">
        <f>IF('ENCUESTA CONDUCTORES'!CC440="X",1,0)</f>
        <v>0</v>
      </c>
      <c r="BV440" s="15">
        <f>IF('ENCUESTA CONDUCTORES'!CD440="X",1,0)</f>
        <v>0</v>
      </c>
      <c r="BW440" s="15">
        <f>IF('ENCUESTA CONDUCTORES'!CE440="X",1,0)</f>
        <v>0</v>
      </c>
      <c r="BX440" s="15">
        <f>IF('ENCUESTA CONDUCTORES'!CF440="X",1,0)</f>
        <v>0</v>
      </c>
      <c r="BY440" s="15">
        <f>IF('ENCUESTA CONDUCTORES'!CG440="X",1,0)</f>
        <v>0</v>
      </c>
      <c r="BZ440" s="15">
        <f>IF('ENCUESTA CONDUCTORES'!CH440="X",1,0)</f>
        <v>0</v>
      </c>
      <c r="CA440" s="15">
        <f>IF('ENCUESTA CONDUCTORES'!CI440="X",1,0)</f>
        <v>0</v>
      </c>
      <c r="CB440" s="15">
        <f>IF('ENCUESTA CONDUCTORES'!CJ440="X",1,0)</f>
        <v>0</v>
      </c>
      <c r="CC440" s="15">
        <f>IF('ENCUESTA CONDUCTORES'!CK440="X",1,0)</f>
        <v>1</v>
      </c>
      <c r="CD440" s="15">
        <f>IF('ENCUESTA CONDUCTORES'!CL440="X",1,0)</f>
        <v>0</v>
      </c>
      <c r="CE440" s="15">
        <f>IF('ENCUESTA CONDUCTORES'!CM440="X",1,0)</f>
        <v>0</v>
      </c>
      <c r="CF440" s="15">
        <f>+'ENCUESTA CONDUCTORES'!CN440</f>
        <v>0</v>
      </c>
      <c r="CG440" s="15">
        <f>IF('ENCUESTA CONDUCTORES'!CO440="X",1,0)</f>
        <v>0</v>
      </c>
      <c r="CH440" s="15" t="str">
        <f>+'ENCUESTA CONDUCTORES'!CP440</f>
        <v>NO SABE</v>
      </c>
      <c r="CI440" s="15" t="str">
        <f>+'ENCUESTA CONDUCTORES'!CQ440</f>
        <v>NO SABE</v>
      </c>
      <c r="CJ440" s="15">
        <f>IF('ENCUESTA CONDUCTORES'!CR440="X",1,0)</f>
        <v>1</v>
      </c>
      <c r="CK440" s="15">
        <f>IF('ENCUESTA CONDUCTORES'!CS440="X",1,0)</f>
        <v>0</v>
      </c>
      <c r="CL440" s="15">
        <f>IF('ENCUESTA CONDUCTORES'!CT440="X",1,0)</f>
        <v>0</v>
      </c>
      <c r="CM440" s="15">
        <f>+'ENCUESTA CONDUCTORES'!CU440</f>
        <v>0</v>
      </c>
      <c r="CN440" s="15">
        <f>IF('ENCUESTA CONDUCTORES'!CV440="X",1,0)</f>
        <v>0</v>
      </c>
      <c r="CO440" s="15">
        <f>+'ENCUESTA CONDUCTORES'!CW440</f>
        <v>0</v>
      </c>
      <c r="CP440" s="15">
        <f>IF('ENCUESTA CONDUCTORES'!CX440="X",1,0)</f>
        <v>1</v>
      </c>
      <c r="CQ440" s="15">
        <f>IF('ENCUESTA CONDUCTORES'!CY440="X",1,0)</f>
        <v>0</v>
      </c>
      <c r="CR440" s="3">
        <f>+'ENCUESTA CONDUCTORES'!CZ440</f>
        <v>0</v>
      </c>
      <c r="CS440" s="49">
        <f>+'ENCUESTA CONDUCTORES'!DA440</f>
        <v>0</v>
      </c>
    </row>
    <row r="441" spans="2:97" x14ac:dyDescent="0.25">
      <c r="B441" s="14" t="str">
        <f>+'ENCUESTA CONDUCTORES'!D441</f>
        <v>C-452</v>
      </c>
      <c r="C441" s="15">
        <f>IF('ENCUESTA CONDUCTORES'!E441="X",1,0)</f>
        <v>0</v>
      </c>
      <c r="D441" s="15">
        <f>IF('ENCUESTA CONDUCTORES'!F441="X",1,0)</f>
        <v>0</v>
      </c>
      <c r="E441" s="15">
        <f>IF('ENCUESTA CONDUCTORES'!G441="X",1,0)</f>
        <v>0</v>
      </c>
      <c r="F441" s="15">
        <f>IF('ENCUESTA CONDUCTORES'!H441="X",1,0)</f>
        <v>1</v>
      </c>
      <c r="G441" s="15">
        <f>+'ENCUESTA CONDUCTORES'!I441</f>
        <v>37</v>
      </c>
      <c r="H441" s="15" t="str">
        <f>+'ENCUESTA CONDUCTORES'!J441</f>
        <v>M</v>
      </c>
      <c r="I441" s="15" t="str">
        <f>+'ENCUESTA CONDUCTORES'!K441</f>
        <v>PRIMARIA</v>
      </c>
      <c r="J441" s="15" t="str">
        <f>+'ENCUESTA CONDUCTORES'!L441</f>
        <v>QUERÉTARO, QRO.</v>
      </c>
      <c r="K441" s="15" t="str">
        <f>+'ENCUESTA CONDUCTORES'!M441</f>
        <v>QUERÉTARO</v>
      </c>
      <c r="L441" s="15" t="str">
        <f>+'ENCUESTA CONDUCTORES'!N441</f>
        <v>QUERÉTARO</v>
      </c>
      <c r="M441" s="15">
        <f>+'ENCUESTA CONDUCTORES'!O441</f>
        <v>15</v>
      </c>
      <c r="N441" s="15">
        <f>IF('ENCUESTA CONDUCTORES'!P441="X",1,0)</f>
        <v>0</v>
      </c>
      <c r="O441" s="15">
        <f>IF('ENCUESTA CONDUCTORES'!Q441="X",1,0)</f>
        <v>0</v>
      </c>
      <c r="P441" s="15">
        <f>IF('ENCUESTA CONDUCTORES'!R441="X",1,0)</f>
        <v>0</v>
      </c>
      <c r="Q441" s="15">
        <f>IF('ENCUESTA CONDUCTORES'!S441="X",1,0)</f>
        <v>1</v>
      </c>
      <c r="R441" s="15">
        <f>IF('ENCUESTA CONDUCTORES'!T441="X",1,0)</f>
        <v>0</v>
      </c>
      <c r="S441" s="15">
        <f>IF('ENCUESTA CONDUCTORES'!U441="X",1,0)</f>
        <v>0</v>
      </c>
      <c r="T441" s="15">
        <f>IF('ENCUESTA CONDUCTORES'!V441="X",1,0)</f>
        <v>0</v>
      </c>
      <c r="U441" s="15">
        <f>IF('ENCUESTA CONDUCTORES'!W441="X",1,0)</f>
        <v>0</v>
      </c>
      <c r="V441" s="15">
        <f>IF('ENCUESTA CONDUCTORES'!X441="X",1,0)</f>
        <v>0</v>
      </c>
      <c r="W441" s="15">
        <f>IF('ENCUESTA CONDUCTORES'!Y441="X",1,0)</f>
        <v>0</v>
      </c>
      <c r="X441" s="15">
        <f>IF('ENCUESTA CONDUCTORES'!Z441="X",1,0)</f>
        <v>0</v>
      </c>
      <c r="Y441" s="15">
        <f>+'ENCUESTA CONDUCTORES'!AG441</f>
        <v>0</v>
      </c>
      <c r="Z441" s="15">
        <f>+'ENCUESTA CONDUCTORES'!AH441</f>
        <v>1989</v>
      </c>
      <c r="AA441" s="1">
        <f>+'ENCUESTA CONDUCTORES'!AI441</f>
        <v>787390</v>
      </c>
      <c r="AB441" s="15">
        <f>IF('ENCUESTA CONDUCTORES'!AJ441="X",1,0)</f>
        <v>0</v>
      </c>
      <c r="AC441" s="15">
        <f>IF('ENCUESTA CONDUCTORES'!AK441="X",1,0)</f>
        <v>0</v>
      </c>
      <c r="AD441" s="15">
        <f>IF('ENCUESTA CONDUCTORES'!AL441="X",1,0)</f>
        <v>1</v>
      </c>
      <c r="AE441" s="15">
        <f>IF('ENCUESTA CONDUCTORES'!AM441="X",1,0)</f>
        <v>0</v>
      </c>
      <c r="AF441" s="15">
        <f>IF('ENCUESTA CONDUCTORES'!AN441="X",1,0)</f>
        <v>0</v>
      </c>
      <c r="AG441" s="15">
        <f>IF('ENCUESTA CONDUCTORES'!AO441="X",1,0)</f>
        <v>1</v>
      </c>
      <c r="AH441" s="15">
        <f>IF('ENCUESTA CONDUCTORES'!AP441="X",1,0)</f>
        <v>0</v>
      </c>
      <c r="AI441" s="15">
        <f>IF('ENCUESTA CONDUCTORES'!AQ441="X",1,0)</f>
        <v>0</v>
      </c>
      <c r="AJ441" s="15">
        <f>IF('ENCUESTA CONDUCTORES'!AR441="X",1,0)</f>
        <v>0</v>
      </c>
      <c r="AK441" s="15">
        <f>+'ENCUESTA CONDUCTORES'!AS441</f>
        <v>0</v>
      </c>
      <c r="AL441" s="15" t="str">
        <f>+'ENCUESTA CONDUCTORES'!AT441</f>
        <v>CUMMINS</v>
      </c>
      <c r="AM441" s="1">
        <f>+'ENCUESTA CONDUCTORES'!AU441</f>
        <v>16000</v>
      </c>
      <c r="AN441" s="48">
        <f>+'ENCUESTA CONDUCTORES'!AV441</f>
        <v>0.5</v>
      </c>
      <c r="AO441" s="15">
        <f>+'ENCUESTA CONDUCTORES'!AW441</f>
        <v>2.7</v>
      </c>
      <c r="AP441" s="15">
        <f>+'ENCUESTA CONDUCTORES'!AX441</f>
        <v>2</v>
      </c>
      <c r="AQ441" s="15">
        <f>+'ENCUESTA CONDUCTORES'!AY441</f>
        <v>2</v>
      </c>
      <c r="AR441" s="15">
        <f>+'ENCUESTA CONDUCTORES'!AZ441</f>
        <v>750</v>
      </c>
      <c r="AS441" s="15">
        <f>+'ENCUESTA CONDUCTORES'!BA441</f>
        <v>1800</v>
      </c>
      <c r="AT441" s="15">
        <f>IF('ENCUESTA CONDUCTORES'!BB441="X",1,0)</f>
        <v>0</v>
      </c>
      <c r="AU441" s="15">
        <f>IF('ENCUESTA CONDUCTORES'!BC441="X",1,0)</f>
        <v>0</v>
      </c>
      <c r="AV441" s="15">
        <f>IF('ENCUESTA CONDUCTORES'!BD441="X",1,0)</f>
        <v>0</v>
      </c>
      <c r="AW441" s="1">
        <f>+'ENCUESTA CONDUCTORES'!BE441</f>
        <v>22000</v>
      </c>
      <c r="AX441" s="1" t="str">
        <f>+'ENCUESTA CONDUCTORES'!BF441</f>
        <v>NO SABE</v>
      </c>
      <c r="AY441" s="1">
        <f>+'ENCUESTA CONDUCTORES'!BG441</f>
        <v>44000</v>
      </c>
      <c r="AZ441" s="1" t="str">
        <f>+'ENCUESTA CONDUCTORES'!BH441</f>
        <v>NO SABE</v>
      </c>
      <c r="BA441" s="1" t="str">
        <f>+'ENCUESTA CONDUCTORES'!BI441</f>
        <v>NO SABE</v>
      </c>
      <c r="BB441" s="15">
        <f>IF('ENCUESTA CONDUCTORES'!BJ441="X",1,0)</f>
        <v>1</v>
      </c>
      <c r="BC441" s="15">
        <f>IF('ENCUESTA CONDUCTORES'!BK441="X",1,0)</f>
        <v>0</v>
      </c>
      <c r="BD441" s="15">
        <f>IF('ENCUESTA CONDUCTORES'!BL441="X",1,0)</f>
        <v>0</v>
      </c>
      <c r="BE441" s="15">
        <f>IF('ENCUESTA CONDUCTORES'!BM441="X",1,0)</f>
        <v>0</v>
      </c>
      <c r="BF441" s="15">
        <f>IF('ENCUESTA CONDUCTORES'!BN441="X",1,0)</f>
        <v>0</v>
      </c>
      <c r="BG441" s="15">
        <f>IF('ENCUESTA CONDUCTORES'!BO441="X",1,0)</f>
        <v>0</v>
      </c>
      <c r="BH441" s="15">
        <f>IF('ENCUESTA CONDUCTORES'!BP441="X",1,0)</f>
        <v>0</v>
      </c>
      <c r="BI441" s="15">
        <f>IF('ENCUESTA CONDUCTORES'!BQ441="X",1,0)</f>
        <v>0</v>
      </c>
      <c r="BJ441" s="15">
        <f>IF('ENCUESTA CONDUCTORES'!BR441="X",1,0)</f>
        <v>0</v>
      </c>
      <c r="BK441" s="15">
        <f>+'ENCUESTA CONDUCTORES'!BS441</f>
        <v>0</v>
      </c>
      <c r="BL441" s="15">
        <f>IF('ENCUESTA CONDUCTORES'!BT441="X",1,0)</f>
        <v>1</v>
      </c>
      <c r="BM441" s="15">
        <f>IF('ENCUESTA CONDUCTORES'!BU441="X",1,0)</f>
        <v>0</v>
      </c>
      <c r="BN441" s="15">
        <f>IF('ENCUESTA CONDUCTORES'!BV441="X",1,0)</f>
        <v>0</v>
      </c>
      <c r="BO441" s="15">
        <f>IF('ENCUESTA CONDUCTORES'!BW441="X",1,0)</f>
        <v>0</v>
      </c>
      <c r="BP441" s="15">
        <f>+'ENCUESTA CONDUCTORES'!BX441</f>
        <v>1</v>
      </c>
      <c r="BQ441" s="15">
        <f>+'ENCUESTA CONDUCTORES'!BY441</f>
        <v>2</v>
      </c>
      <c r="BR441" s="15">
        <f>+'ENCUESTA CONDUCTORES'!BZ441</f>
        <v>3</v>
      </c>
      <c r="BS441" s="15">
        <f>+'ENCUESTA CONDUCTORES'!CA441</f>
        <v>0</v>
      </c>
      <c r="BT441" s="15">
        <f>IF('ENCUESTA CONDUCTORES'!CB441="X",1,0)</f>
        <v>1</v>
      </c>
      <c r="BU441" s="15">
        <f>IF('ENCUESTA CONDUCTORES'!CC441="X",1,0)</f>
        <v>0</v>
      </c>
      <c r="BV441" s="15">
        <f>IF('ENCUESTA CONDUCTORES'!CD441="X",1,0)</f>
        <v>0</v>
      </c>
      <c r="BW441" s="15">
        <f>IF('ENCUESTA CONDUCTORES'!CE441="X",1,0)</f>
        <v>0</v>
      </c>
      <c r="BX441" s="15">
        <f>IF('ENCUESTA CONDUCTORES'!CF441="X",1,0)</f>
        <v>0</v>
      </c>
      <c r="BY441" s="15">
        <f>IF('ENCUESTA CONDUCTORES'!CG441="X",1,0)</f>
        <v>0</v>
      </c>
      <c r="BZ441" s="15">
        <f>IF('ENCUESTA CONDUCTORES'!CH441="X",1,0)</f>
        <v>0</v>
      </c>
      <c r="CA441" s="15">
        <f>IF('ENCUESTA CONDUCTORES'!CI441="X",1,0)</f>
        <v>0</v>
      </c>
      <c r="CB441" s="15">
        <f>IF('ENCUESTA CONDUCTORES'!CJ441="X",1,0)</f>
        <v>0</v>
      </c>
      <c r="CC441" s="15">
        <f>IF('ENCUESTA CONDUCTORES'!CK441="X",1,0)</f>
        <v>1</v>
      </c>
      <c r="CD441" s="15">
        <f>IF('ENCUESTA CONDUCTORES'!CL441="X",1,0)</f>
        <v>0</v>
      </c>
      <c r="CE441" s="15">
        <f>IF('ENCUESTA CONDUCTORES'!CM441="X",1,0)</f>
        <v>0</v>
      </c>
      <c r="CF441" s="15">
        <f>+'ENCUESTA CONDUCTORES'!CN441</f>
        <v>0</v>
      </c>
      <c r="CG441" s="15">
        <f>IF('ENCUESTA CONDUCTORES'!CO441="X",1,0)</f>
        <v>0</v>
      </c>
      <c r="CH441" s="15" t="str">
        <f>+'ENCUESTA CONDUCTORES'!CP441</f>
        <v>NO SABE</v>
      </c>
      <c r="CI441" s="15" t="str">
        <f>+'ENCUESTA CONDUCTORES'!CQ441</f>
        <v>NO SABE</v>
      </c>
      <c r="CJ441" s="15">
        <f>IF('ENCUESTA CONDUCTORES'!CR441="X",1,0)</f>
        <v>1</v>
      </c>
      <c r="CK441" s="15">
        <f>IF('ENCUESTA CONDUCTORES'!CS441="X",1,0)</f>
        <v>0</v>
      </c>
      <c r="CL441" s="15">
        <f>IF('ENCUESTA CONDUCTORES'!CT441="X",1,0)</f>
        <v>0</v>
      </c>
      <c r="CM441" s="15">
        <f>+'ENCUESTA CONDUCTORES'!CU441</f>
        <v>0</v>
      </c>
      <c r="CN441" s="15">
        <f>IF('ENCUESTA CONDUCTORES'!CV441="X",1,0)</f>
        <v>1</v>
      </c>
      <c r="CO441" s="15" t="str">
        <f>+'ENCUESTA CONDUCTORES'!CW441</f>
        <v>NO SIRVEN</v>
      </c>
      <c r="CP441" s="15">
        <f>IF('ENCUESTA CONDUCTORES'!CX441="X",1,0)</f>
        <v>0</v>
      </c>
      <c r="CQ441" s="15">
        <f>IF('ENCUESTA CONDUCTORES'!CY441="X",1,0)</f>
        <v>0</v>
      </c>
      <c r="CR441" s="3">
        <f>+'ENCUESTA CONDUCTORES'!CZ441</f>
        <v>0</v>
      </c>
      <c r="CS441" s="49">
        <f>+'ENCUESTA CONDUCTORES'!DA441</f>
        <v>0</v>
      </c>
    </row>
    <row r="442" spans="2:97" x14ac:dyDescent="0.25">
      <c r="B442" s="14" t="str">
        <f>+'ENCUESTA CONDUCTORES'!D442</f>
        <v>C-453</v>
      </c>
      <c r="C442" s="15">
        <f>IF('ENCUESTA CONDUCTORES'!E442="X",1,0)</f>
        <v>0</v>
      </c>
      <c r="D442" s="15">
        <f>IF('ENCUESTA CONDUCTORES'!F442="X",1,0)</f>
        <v>0</v>
      </c>
      <c r="E442" s="15">
        <f>IF('ENCUESTA CONDUCTORES'!G442="X",1,0)</f>
        <v>1</v>
      </c>
      <c r="F442" s="15">
        <f>IF('ENCUESTA CONDUCTORES'!H442="X",1,0)</f>
        <v>0</v>
      </c>
      <c r="G442" s="15">
        <f>+'ENCUESTA CONDUCTORES'!I442</f>
        <v>48</v>
      </c>
      <c r="H442" s="15" t="str">
        <f>+'ENCUESTA CONDUCTORES'!J442</f>
        <v>M</v>
      </c>
      <c r="I442" s="15" t="str">
        <f>+'ENCUESTA CONDUCTORES'!K442</f>
        <v>SECUNDARIA</v>
      </c>
      <c r="J442" s="15" t="str">
        <f>+'ENCUESTA CONDUCTORES'!L442</f>
        <v>CD. CUAUHTEMOC, CHI</v>
      </c>
      <c r="K442" s="15" t="str">
        <f>+'ENCUESTA CONDUCTORES'!M442</f>
        <v>CD. CUAUHTEMOC</v>
      </c>
      <c r="L442" s="15" t="str">
        <f>+'ENCUESTA CONDUCTORES'!N442</f>
        <v>CHIHUAHUA</v>
      </c>
      <c r="M442" s="15">
        <f>+'ENCUESTA CONDUCTORES'!O442</f>
        <v>25</v>
      </c>
      <c r="N442" s="15">
        <f>IF('ENCUESTA CONDUCTORES'!P442="X",1,0)</f>
        <v>0</v>
      </c>
      <c r="O442" s="15">
        <f>IF('ENCUESTA CONDUCTORES'!Q442="X",1,0)</f>
        <v>0</v>
      </c>
      <c r="P442" s="15">
        <f>IF('ENCUESTA CONDUCTORES'!R442="X",1,0)</f>
        <v>0</v>
      </c>
      <c r="Q442" s="15">
        <f>IF('ENCUESTA CONDUCTORES'!S442="X",1,0)</f>
        <v>1</v>
      </c>
      <c r="R442" s="15">
        <f>IF('ENCUESTA CONDUCTORES'!T442="X",1,0)</f>
        <v>0</v>
      </c>
      <c r="S442" s="15">
        <f>IF('ENCUESTA CONDUCTORES'!U442="X",1,0)</f>
        <v>0</v>
      </c>
      <c r="T442" s="15">
        <f>IF('ENCUESTA CONDUCTORES'!V442="X",1,0)</f>
        <v>1</v>
      </c>
      <c r="U442" s="15">
        <f>IF('ENCUESTA CONDUCTORES'!W442="X",1,0)</f>
        <v>0</v>
      </c>
      <c r="V442" s="15">
        <f>IF('ENCUESTA CONDUCTORES'!X442="X",1,0)</f>
        <v>0</v>
      </c>
      <c r="W442" s="15">
        <f>IF('ENCUESTA CONDUCTORES'!Y442="X",1,0)</f>
        <v>0</v>
      </c>
      <c r="X442" s="15">
        <f>IF('ENCUESTA CONDUCTORES'!Z442="X",1,0)</f>
        <v>0</v>
      </c>
      <c r="Y442" s="15">
        <f>+'ENCUESTA CONDUCTORES'!AG442</f>
        <v>0</v>
      </c>
      <c r="Z442" s="15">
        <f>+'ENCUESTA CONDUCTORES'!AH442</f>
        <v>2006</v>
      </c>
      <c r="AA442" s="1">
        <f>+'ENCUESTA CONDUCTORES'!AI442</f>
        <v>573815</v>
      </c>
      <c r="AB442" s="15">
        <f>IF('ENCUESTA CONDUCTORES'!AJ442="X",1,0)</f>
        <v>0</v>
      </c>
      <c r="AC442" s="15">
        <f>IF('ENCUESTA CONDUCTORES'!AK442="X",1,0)</f>
        <v>0</v>
      </c>
      <c r="AD442" s="15">
        <f>IF('ENCUESTA CONDUCTORES'!AL442="X",1,0)</f>
        <v>1</v>
      </c>
      <c r="AE442" s="15">
        <f>IF('ENCUESTA CONDUCTORES'!AM442="X",1,0)</f>
        <v>0</v>
      </c>
      <c r="AF442" s="15">
        <f>IF('ENCUESTA CONDUCTORES'!AN442="X",1,0)</f>
        <v>0</v>
      </c>
      <c r="AG442" s="15">
        <f>IF('ENCUESTA CONDUCTORES'!AO442="X",1,0)</f>
        <v>0</v>
      </c>
      <c r="AH442" s="15">
        <f>IF('ENCUESTA CONDUCTORES'!AP442="X",1,0)</f>
        <v>1</v>
      </c>
      <c r="AI442" s="15">
        <f>IF('ENCUESTA CONDUCTORES'!AQ442="X",1,0)</f>
        <v>0</v>
      </c>
      <c r="AJ442" s="15">
        <f>IF('ENCUESTA CONDUCTORES'!AR442="X",1,0)</f>
        <v>0</v>
      </c>
      <c r="AK442" s="15">
        <f>+'ENCUESTA CONDUCTORES'!AS442</f>
        <v>0</v>
      </c>
      <c r="AL442" s="15" t="str">
        <f>+'ENCUESTA CONDUCTORES'!AT442</f>
        <v>CUMMINS</v>
      </c>
      <c r="AM442" s="1">
        <f>+'ENCUESTA CONDUCTORES'!AU442</f>
        <v>8000</v>
      </c>
      <c r="AN442" s="48">
        <f>+'ENCUESTA CONDUCTORES'!AV442</f>
        <v>0.2</v>
      </c>
      <c r="AO442" s="15">
        <f>+'ENCUESTA CONDUCTORES'!AW442</f>
        <v>2.7</v>
      </c>
      <c r="AP442" s="15">
        <f>+'ENCUESTA CONDUCTORES'!AX442</f>
        <v>2.4</v>
      </c>
      <c r="AQ442" s="15">
        <f>+'ENCUESTA CONDUCTORES'!AY442</f>
        <v>3</v>
      </c>
      <c r="AR442" s="15">
        <f>+'ENCUESTA CONDUCTORES'!AZ442</f>
        <v>1100</v>
      </c>
      <c r="AS442" s="15">
        <f>+'ENCUESTA CONDUCTORES'!BA442</f>
        <v>2700</v>
      </c>
      <c r="AT442" s="15">
        <f>IF('ENCUESTA CONDUCTORES'!BB442="X",1,0)</f>
        <v>1</v>
      </c>
      <c r="AU442" s="15">
        <f>IF('ENCUESTA CONDUCTORES'!BC442="X",1,0)</f>
        <v>0</v>
      </c>
      <c r="AV442" s="15">
        <f>IF('ENCUESTA CONDUCTORES'!BD442="X",1,0)</f>
        <v>0</v>
      </c>
      <c r="AW442" s="1">
        <f>+'ENCUESTA CONDUCTORES'!BE442</f>
        <v>60000</v>
      </c>
      <c r="AX442" s="1">
        <f>+'ENCUESTA CONDUCTORES'!BF442</f>
        <v>50000</v>
      </c>
      <c r="AY442" s="1">
        <f>+'ENCUESTA CONDUCTORES'!BG442</f>
        <v>60000</v>
      </c>
      <c r="AZ442" s="1">
        <f>+'ENCUESTA CONDUCTORES'!BH442</f>
        <v>130000</v>
      </c>
      <c r="BA442" s="1">
        <f>+'ENCUESTA CONDUCTORES'!BI442</f>
        <v>50000</v>
      </c>
      <c r="BB442" s="15">
        <f>IF('ENCUESTA CONDUCTORES'!BJ442="X",1,0)</f>
        <v>0</v>
      </c>
      <c r="BC442" s="15">
        <f>IF('ENCUESTA CONDUCTORES'!BK442="X",1,0)</f>
        <v>0</v>
      </c>
      <c r="BD442" s="15">
        <f>IF('ENCUESTA CONDUCTORES'!BL442="X",1,0)</f>
        <v>0</v>
      </c>
      <c r="BE442" s="15">
        <f>IF('ENCUESTA CONDUCTORES'!BM442="X",1,0)</f>
        <v>0</v>
      </c>
      <c r="BF442" s="15">
        <f>IF('ENCUESTA CONDUCTORES'!BN442="X",1,0)</f>
        <v>0</v>
      </c>
      <c r="BG442" s="15">
        <f>IF('ENCUESTA CONDUCTORES'!BO442="X",1,0)</f>
        <v>0</v>
      </c>
      <c r="BH442" s="15">
        <f>IF('ENCUESTA CONDUCTORES'!BP442="X",1,0)</f>
        <v>0</v>
      </c>
      <c r="BI442" s="15">
        <f>IF('ENCUESTA CONDUCTORES'!BQ442="X",1,0)</f>
        <v>0</v>
      </c>
      <c r="BJ442" s="15">
        <f>IF('ENCUESTA CONDUCTORES'!BR442="X",1,0)</f>
        <v>0</v>
      </c>
      <c r="BK442" s="15">
        <f>+'ENCUESTA CONDUCTORES'!BS442</f>
        <v>0</v>
      </c>
      <c r="BL442" s="15">
        <f>IF('ENCUESTA CONDUCTORES'!BT442="X",1,0)</f>
        <v>0</v>
      </c>
      <c r="BM442" s="15">
        <f>IF('ENCUESTA CONDUCTORES'!BU442="X",1,0)</f>
        <v>0</v>
      </c>
      <c r="BN442" s="15">
        <f>IF('ENCUESTA CONDUCTORES'!BV442="X",1,0)</f>
        <v>0</v>
      </c>
      <c r="BO442" s="15">
        <f>IF('ENCUESTA CONDUCTORES'!BW442="X",1,0)</f>
        <v>0</v>
      </c>
      <c r="BP442" s="15">
        <f>+'ENCUESTA CONDUCTORES'!BX442</f>
        <v>2</v>
      </c>
      <c r="BQ442" s="15">
        <f>+'ENCUESTA CONDUCTORES'!BY442</f>
        <v>4</v>
      </c>
      <c r="BR442" s="15">
        <f>+'ENCUESTA CONDUCTORES'!BZ442</f>
        <v>3</v>
      </c>
      <c r="BS442" s="15" t="str">
        <f>+'ENCUESTA CONDUCTORES'!CA442</f>
        <v>SEGURIDAD</v>
      </c>
      <c r="BT442" s="15">
        <f>IF('ENCUESTA CONDUCTORES'!CB442="X",1,0)</f>
        <v>0</v>
      </c>
      <c r="BU442" s="15">
        <f>IF('ENCUESTA CONDUCTORES'!CC442="X",1,0)</f>
        <v>1</v>
      </c>
      <c r="BV442" s="15">
        <f>IF('ENCUESTA CONDUCTORES'!CD442="X",1,0)</f>
        <v>0</v>
      </c>
      <c r="BW442" s="15">
        <f>IF('ENCUESTA CONDUCTORES'!CE442="X",1,0)</f>
        <v>0</v>
      </c>
      <c r="BX442" s="15">
        <f>IF('ENCUESTA CONDUCTORES'!CF442="X",1,0)</f>
        <v>0</v>
      </c>
      <c r="BY442" s="15">
        <f>IF('ENCUESTA CONDUCTORES'!CG442="X",1,0)</f>
        <v>1</v>
      </c>
      <c r="BZ442" s="15">
        <f>IF('ENCUESTA CONDUCTORES'!CH442="X",1,0)</f>
        <v>0</v>
      </c>
      <c r="CA442" s="15">
        <f>IF('ENCUESTA CONDUCTORES'!CI442="X",1,0)</f>
        <v>0</v>
      </c>
      <c r="CB442" s="15">
        <f>IF('ENCUESTA CONDUCTORES'!CJ442="X",1,0)</f>
        <v>0</v>
      </c>
      <c r="CC442" s="15">
        <f>IF('ENCUESTA CONDUCTORES'!CK442="X",1,0)</f>
        <v>1</v>
      </c>
      <c r="CD442" s="15">
        <f>IF('ENCUESTA CONDUCTORES'!CL442="X",1,0)</f>
        <v>0</v>
      </c>
      <c r="CE442" s="15">
        <f>IF('ENCUESTA CONDUCTORES'!CM442="X",1,0)</f>
        <v>0</v>
      </c>
      <c r="CF442" s="15">
        <f>+'ENCUESTA CONDUCTORES'!CN442</f>
        <v>0</v>
      </c>
      <c r="CG442" s="15">
        <f>IF('ENCUESTA CONDUCTORES'!CO442="X",1,0)</f>
        <v>0</v>
      </c>
      <c r="CH442" s="15" t="str">
        <f>+'ENCUESTA CONDUCTORES'!CP442</f>
        <v>NO SABE</v>
      </c>
      <c r="CI442" s="15" t="str">
        <f>+'ENCUESTA CONDUCTORES'!CQ442</f>
        <v>NO SABE</v>
      </c>
      <c r="CJ442" s="15">
        <f>IF('ENCUESTA CONDUCTORES'!CR442="X",1,0)</f>
        <v>0</v>
      </c>
      <c r="CK442" s="15">
        <f>IF('ENCUESTA CONDUCTORES'!CS442="X",1,0)</f>
        <v>0</v>
      </c>
      <c r="CL442" s="15">
        <f>IF('ENCUESTA CONDUCTORES'!CT442="X",1,0)</f>
        <v>1</v>
      </c>
      <c r="CM442" s="15">
        <f>+'ENCUESTA CONDUCTORES'!CU442</f>
        <v>0</v>
      </c>
      <c r="CN442" s="15">
        <f>IF('ENCUESTA CONDUCTORES'!CV442="X",1,0)</f>
        <v>0</v>
      </c>
      <c r="CO442" s="15">
        <f>+'ENCUESTA CONDUCTORES'!CW442</f>
        <v>0</v>
      </c>
      <c r="CP442" s="15">
        <f>IF('ENCUESTA CONDUCTORES'!CX442="X",1,0)</f>
        <v>1</v>
      </c>
      <c r="CQ442" s="15">
        <f>IF('ENCUESTA CONDUCTORES'!CY442="X",1,0)</f>
        <v>0</v>
      </c>
      <c r="CR442" s="3">
        <f>+'ENCUESTA CONDUCTORES'!CZ442</f>
        <v>0</v>
      </c>
      <c r="CS442" s="49">
        <f>+'ENCUESTA CONDUCTORES'!DA442</f>
        <v>0</v>
      </c>
    </row>
    <row r="443" spans="2:97" x14ac:dyDescent="0.25">
      <c r="B443" s="14" t="str">
        <f>+'ENCUESTA CONDUCTORES'!D443</f>
        <v>C-454</v>
      </c>
      <c r="C443" s="15">
        <f>IF('ENCUESTA CONDUCTORES'!E443="X",1,0)</f>
        <v>1</v>
      </c>
      <c r="D443" s="15">
        <f>IF('ENCUESTA CONDUCTORES'!F443="X",1,0)</f>
        <v>0</v>
      </c>
      <c r="E443" s="15">
        <f>IF('ENCUESTA CONDUCTORES'!G443="X",1,0)</f>
        <v>0</v>
      </c>
      <c r="F443" s="15">
        <f>IF('ENCUESTA CONDUCTORES'!H443="X",1,0)</f>
        <v>0</v>
      </c>
      <c r="G443" s="15">
        <f>+'ENCUESTA CONDUCTORES'!I443</f>
        <v>57</v>
      </c>
      <c r="H443" s="15" t="str">
        <f>+'ENCUESTA CONDUCTORES'!J443</f>
        <v>M</v>
      </c>
      <c r="I443" s="15" t="str">
        <f>+'ENCUESTA CONDUCTORES'!K443</f>
        <v>PRIMARIA</v>
      </c>
      <c r="J443" s="15" t="str">
        <f>+'ENCUESTA CONDUCTORES'!L443</f>
        <v>TIHUATLAN, VERACRUZ</v>
      </c>
      <c r="K443" s="15" t="str">
        <f>+'ENCUESTA CONDUCTORES'!M443</f>
        <v>TIHUATLAN</v>
      </c>
      <c r="L443" s="15" t="str">
        <f>+'ENCUESTA CONDUCTORES'!N443</f>
        <v>VERACRUZ</v>
      </c>
      <c r="M443" s="15">
        <f>+'ENCUESTA CONDUCTORES'!O443</f>
        <v>23</v>
      </c>
      <c r="N443" s="15">
        <f>IF('ENCUESTA CONDUCTORES'!P443="X",1,0)</f>
        <v>0</v>
      </c>
      <c r="O443" s="15">
        <f>IF('ENCUESTA CONDUCTORES'!Q443="X",1,0)</f>
        <v>1</v>
      </c>
      <c r="P443" s="15">
        <f>IF('ENCUESTA CONDUCTORES'!R443="X",1,0)</f>
        <v>0</v>
      </c>
      <c r="Q443" s="15">
        <f>IF('ENCUESTA CONDUCTORES'!S443="X",1,0)</f>
        <v>0</v>
      </c>
      <c r="R443" s="15">
        <f>IF('ENCUESTA CONDUCTORES'!T443="X",1,0)</f>
        <v>0</v>
      </c>
      <c r="S443" s="15">
        <f>IF('ENCUESTA CONDUCTORES'!U443="X",1,0)</f>
        <v>0</v>
      </c>
      <c r="T443" s="15">
        <f>IF('ENCUESTA CONDUCTORES'!V443="X",1,0)</f>
        <v>0</v>
      </c>
      <c r="U443" s="15">
        <f>IF('ENCUESTA CONDUCTORES'!W443="X",1,0)</f>
        <v>0</v>
      </c>
      <c r="V443" s="15">
        <f>IF('ENCUESTA CONDUCTORES'!X443="X",1,0)</f>
        <v>0</v>
      </c>
      <c r="W443" s="15">
        <f>IF('ENCUESTA CONDUCTORES'!Y443="X",1,0)</f>
        <v>0</v>
      </c>
      <c r="X443" s="15">
        <f>IF('ENCUESTA CONDUCTORES'!Z443="X",1,0)</f>
        <v>0</v>
      </c>
      <c r="Y443" s="15">
        <f>+'ENCUESTA CONDUCTORES'!AG443</f>
        <v>0</v>
      </c>
      <c r="Z443" s="15">
        <f>+'ENCUESTA CONDUCTORES'!AH443</f>
        <v>1980</v>
      </c>
      <c r="AA443" s="1">
        <f>+'ENCUESTA CONDUCTORES'!AI443</f>
        <v>1900000</v>
      </c>
      <c r="AB443" s="15">
        <f>IF('ENCUESTA CONDUCTORES'!AJ443="X",1,0)</f>
        <v>0</v>
      </c>
      <c r="AC443" s="15">
        <f>IF('ENCUESTA CONDUCTORES'!AK443="X",1,0)</f>
        <v>0</v>
      </c>
      <c r="AD443" s="15">
        <f>IF('ENCUESTA CONDUCTORES'!AL443="X",1,0)</f>
        <v>1</v>
      </c>
      <c r="AE443" s="15">
        <f>IF('ENCUESTA CONDUCTORES'!AM443="X",1,0)</f>
        <v>0</v>
      </c>
      <c r="AF443" s="15">
        <f>IF('ENCUESTA CONDUCTORES'!AN443="X",1,0)</f>
        <v>0</v>
      </c>
      <c r="AG443" s="15">
        <f>IF('ENCUESTA CONDUCTORES'!AO443="X",1,0)</f>
        <v>0</v>
      </c>
      <c r="AH443" s="15">
        <f>IF('ENCUESTA CONDUCTORES'!AP443="X",1,0)</f>
        <v>1</v>
      </c>
      <c r="AI443" s="15">
        <f>IF('ENCUESTA CONDUCTORES'!AQ443="X",1,0)</f>
        <v>0</v>
      </c>
      <c r="AJ443" s="15">
        <f>IF('ENCUESTA CONDUCTORES'!AR443="X",1,0)</f>
        <v>0</v>
      </c>
      <c r="AK443" s="15">
        <f>+'ENCUESTA CONDUCTORES'!AS443</f>
        <v>0</v>
      </c>
      <c r="AL443" s="15" t="str">
        <f>+'ENCUESTA CONDUCTORES'!AT443</f>
        <v>MERCEDES BENZ</v>
      </c>
      <c r="AM443" s="1">
        <f>+'ENCUESTA CONDUCTORES'!AU443</f>
        <v>6000</v>
      </c>
      <c r="AN443" s="48">
        <f>+'ENCUESTA CONDUCTORES'!AV443</f>
        <v>0.5</v>
      </c>
      <c r="AO443" s="15">
        <f>+'ENCUESTA CONDUCTORES'!AW443</f>
        <v>2.4</v>
      </c>
      <c r="AP443" s="15">
        <f>+'ENCUESTA CONDUCTORES'!AX443</f>
        <v>2.2000000000000002</v>
      </c>
      <c r="AQ443" s="15">
        <f>+'ENCUESTA CONDUCTORES'!AY443</f>
        <v>2</v>
      </c>
      <c r="AR443" s="15">
        <f>+'ENCUESTA CONDUCTORES'!AZ443</f>
        <v>1100</v>
      </c>
      <c r="AS443" s="15">
        <f>+'ENCUESTA CONDUCTORES'!BA443</f>
        <v>2700</v>
      </c>
      <c r="AT443" s="15">
        <f>IF('ENCUESTA CONDUCTORES'!BB443="X",1,0)</f>
        <v>0</v>
      </c>
      <c r="AU443" s="15">
        <f>IF('ENCUESTA CONDUCTORES'!BC443="X",1,0)</f>
        <v>1</v>
      </c>
      <c r="AV443" s="15">
        <f>IF('ENCUESTA CONDUCTORES'!BD443="X",1,0)</f>
        <v>0</v>
      </c>
      <c r="AW443" s="1">
        <f>+'ENCUESTA CONDUCTORES'!BE443</f>
        <v>40000</v>
      </c>
      <c r="AX443" s="1">
        <f>+'ENCUESTA CONDUCTORES'!BF443</f>
        <v>60000</v>
      </c>
      <c r="AY443" s="1">
        <f>+'ENCUESTA CONDUCTORES'!BG443</f>
        <v>40000</v>
      </c>
      <c r="AZ443" s="1">
        <f>+'ENCUESTA CONDUCTORES'!BH443</f>
        <v>100000</v>
      </c>
      <c r="BA443" s="1">
        <f>+'ENCUESTA CONDUCTORES'!BI443</f>
        <v>40000</v>
      </c>
      <c r="BB443" s="15">
        <f>IF('ENCUESTA CONDUCTORES'!BJ443="X",1,0)</f>
        <v>0</v>
      </c>
      <c r="BC443" s="15">
        <f>IF('ENCUESTA CONDUCTORES'!BK443="X",1,0)</f>
        <v>0</v>
      </c>
      <c r="BD443" s="15">
        <f>IF('ENCUESTA CONDUCTORES'!BL443="X",1,0)</f>
        <v>0</v>
      </c>
      <c r="BE443" s="15">
        <f>IF('ENCUESTA CONDUCTORES'!BM443="X",1,0)</f>
        <v>0</v>
      </c>
      <c r="BF443" s="15">
        <f>IF('ENCUESTA CONDUCTORES'!BN443="X",1,0)</f>
        <v>0</v>
      </c>
      <c r="BG443" s="15">
        <f>IF('ENCUESTA CONDUCTORES'!BO443="X",1,0)</f>
        <v>1</v>
      </c>
      <c r="BH443" s="15">
        <f>IF('ENCUESTA CONDUCTORES'!BP443="X",1,0)</f>
        <v>0</v>
      </c>
      <c r="BI443" s="15">
        <f>IF('ENCUESTA CONDUCTORES'!BQ443="X",1,0)</f>
        <v>0</v>
      </c>
      <c r="BJ443" s="15">
        <f>IF('ENCUESTA CONDUCTORES'!BR443="X",1,0)</f>
        <v>0</v>
      </c>
      <c r="BK443" s="15">
        <f>+'ENCUESTA CONDUCTORES'!BS443</f>
        <v>0</v>
      </c>
      <c r="BL443" s="15">
        <f>IF('ENCUESTA CONDUCTORES'!BT443="X",1,0)</f>
        <v>0</v>
      </c>
      <c r="BM443" s="15">
        <f>IF('ENCUESTA CONDUCTORES'!BU443="X",1,0)</f>
        <v>1</v>
      </c>
      <c r="BN443" s="15">
        <f>IF('ENCUESTA CONDUCTORES'!BV443="X",1,0)</f>
        <v>0</v>
      </c>
      <c r="BO443" s="15">
        <f>IF('ENCUESTA CONDUCTORES'!BW443="X",1,0)</f>
        <v>0</v>
      </c>
      <c r="BP443" s="15">
        <f>+'ENCUESTA CONDUCTORES'!BX443</f>
        <v>3</v>
      </c>
      <c r="BQ443" s="15">
        <f>+'ENCUESTA CONDUCTORES'!BY443</f>
        <v>2</v>
      </c>
      <c r="BR443" s="15">
        <f>+'ENCUESTA CONDUCTORES'!BZ443</f>
        <v>1</v>
      </c>
      <c r="BS443" s="15">
        <f>+'ENCUESTA CONDUCTORES'!CA443</f>
        <v>0</v>
      </c>
      <c r="BT443" s="15">
        <f>IF('ENCUESTA CONDUCTORES'!CB443="X",1,0)</f>
        <v>0</v>
      </c>
      <c r="BU443" s="15">
        <f>IF('ENCUESTA CONDUCTORES'!CC443="X",1,0)</f>
        <v>1</v>
      </c>
      <c r="BV443" s="15">
        <f>IF('ENCUESTA CONDUCTORES'!CD443="X",1,0)</f>
        <v>0</v>
      </c>
      <c r="BW443" s="15">
        <f>IF('ENCUESTA CONDUCTORES'!CE443="X",1,0)</f>
        <v>0</v>
      </c>
      <c r="BX443" s="15">
        <f>IF('ENCUESTA CONDUCTORES'!CF443="X",1,0)</f>
        <v>0</v>
      </c>
      <c r="BY443" s="15">
        <f>IF('ENCUESTA CONDUCTORES'!CG443="X",1,0)</f>
        <v>1</v>
      </c>
      <c r="BZ443" s="15">
        <f>IF('ENCUESTA CONDUCTORES'!CH443="X",1,0)</f>
        <v>0</v>
      </c>
      <c r="CA443" s="15">
        <f>IF('ENCUESTA CONDUCTORES'!CI443="X",1,0)</f>
        <v>1</v>
      </c>
      <c r="CB443" s="15">
        <f>IF('ENCUESTA CONDUCTORES'!CJ443="X",1,0)</f>
        <v>0</v>
      </c>
      <c r="CC443" s="15">
        <f>IF('ENCUESTA CONDUCTORES'!CK443="X",1,0)</f>
        <v>0</v>
      </c>
      <c r="CD443" s="15">
        <f>IF('ENCUESTA CONDUCTORES'!CL443="X",1,0)</f>
        <v>1</v>
      </c>
      <c r="CE443" s="15">
        <f>IF('ENCUESTA CONDUCTORES'!CM443="X",1,0)</f>
        <v>1</v>
      </c>
      <c r="CF443" s="15" t="str">
        <f>+'ENCUESTA CONDUCTORES'!CN443</f>
        <v>AL DUEÑO NO LE INTERESA</v>
      </c>
      <c r="CG443" s="15">
        <f>IF('ENCUESTA CONDUCTORES'!CO443="X",1,0)</f>
        <v>0</v>
      </c>
      <c r="CH443" s="15" t="str">
        <f>+'ENCUESTA CONDUCTORES'!CP443</f>
        <v>BUENO</v>
      </c>
      <c r="CI443" s="15" t="str">
        <f>+'ENCUESTA CONDUCTORES'!CQ443</f>
        <v>NO SABE</v>
      </c>
      <c r="CJ443" s="15">
        <f>IF('ENCUESTA CONDUCTORES'!CR443="X",1,0)</f>
        <v>0</v>
      </c>
      <c r="CK443" s="15">
        <f>IF('ENCUESTA CONDUCTORES'!CS443="X",1,0)</f>
        <v>1</v>
      </c>
      <c r="CL443" s="15">
        <f>IF('ENCUESTA CONDUCTORES'!CT443="X",1,0)</f>
        <v>0</v>
      </c>
      <c r="CM443" s="15">
        <f>+'ENCUESTA CONDUCTORES'!CU443</f>
        <v>0</v>
      </c>
      <c r="CN443" s="15">
        <f>IF('ENCUESTA CONDUCTORES'!CV443="X",1,0)</f>
        <v>0</v>
      </c>
      <c r="CO443" s="15">
        <f>+'ENCUESTA CONDUCTORES'!CW443</f>
        <v>0</v>
      </c>
      <c r="CP443" s="15">
        <f>IF('ENCUESTA CONDUCTORES'!CX443="X",1,0)</f>
        <v>1</v>
      </c>
      <c r="CQ443" s="15">
        <f>IF('ENCUESTA CONDUCTORES'!CY443="X",1,0)</f>
        <v>1</v>
      </c>
      <c r="CR443" s="3">
        <f>+'ENCUESTA CONDUCTORES'!CZ443</f>
        <v>0</v>
      </c>
      <c r="CS443" s="49">
        <f>+'ENCUESTA CONDUCTORES'!DA443</f>
        <v>0</v>
      </c>
    </row>
    <row r="444" spans="2:97" x14ac:dyDescent="0.25">
      <c r="B444" s="14" t="str">
        <f>+'ENCUESTA CONDUCTORES'!D444</f>
        <v>C-455</v>
      </c>
      <c r="C444" s="15">
        <f>IF('ENCUESTA CONDUCTORES'!E444="X",1,0)</f>
        <v>0</v>
      </c>
      <c r="D444" s="15">
        <f>IF('ENCUESTA CONDUCTORES'!F444="X",1,0)</f>
        <v>0</v>
      </c>
      <c r="E444" s="15">
        <f>IF('ENCUESTA CONDUCTORES'!G444="X",1,0)</f>
        <v>0</v>
      </c>
      <c r="F444" s="15">
        <f>IF('ENCUESTA CONDUCTORES'!H444="X",1,0)</f>
        <v>1</v>
      </c>
      <c r="G444" s="15">
        <f>+'ENCUESTA CONDUCTORES'!I444</f>
        <v>46</v>
      </c>
      <c r="H444" s="15" t="str">
        <f>+'ENCUESTA CONDUCTORES'!J444</f>
        <v>M</v>
      </c>
      <c r="I444" s="15" t="str">
        <f>+'ENCUESTA CONDUCTORES'!K444</f>
        <v>SECUNDARIA</v>
      </c>
      <c r="J444" s="15" t="str">
        <f>+'ENCUESTA CONDUCTORES'!L444</f>
        <v>CD. JUAREZ, CHIHUAHUA</v>
      </c>
      <c r="K444" s="15" t="str">
        <f>+'ENCUESTA CONDUCTORES'!M444</f>
        <v>CD. JUAREZ</v>
      </c>
      <c r="L444" s="15" t="str">
        <f>+'ENCUESTA CONDUCTORES'!N444</f>
        <v>CHIHUAHUA</v>
      </c>
      <c r="M444" s="15">
        <f>+'ENCUESTA CONDUCTORES'!O444</f>
        <v>27</v>
      </c>
      <c r="N444" s="15">
        <f>IF('ENCUESTA CONDUCTORES'!P444="X",1,0)</f>
        <v>0</v>
      </c>
      <c r="O444" s="15">
        <f>IF('ENCUESTA CONDUCTORES'!Q444="X",1,0)</f>
        <v>0</v>
      </c>
      <c r="P444" s="15">
        <f>IF('ENCUESTA CONDUCTORES'!R444="X",1,0)</f>
        <v>0</v>
      </c>
      <c r="Q444" s="15">
        <f>IF('ENCUESTA CONDUCTORES'!S444="X",1,0)</f>
        <v>1</v>
      </c>
      <c r="R444" s="15">
        <f>IF('ENCUESTA CONDUCTORES'!T444="X",1,0)</f>
        <v>0</v>
      </c>
      <c r="S444" s="15">
        <f>IF('ENCUESTA CONDUCTORES'!U444="X",1,0)</f>
        <v>1</v>
      </c>
      <c r="T444" s="15">
        <f>IF('ENCUESTA CONDUCTORES'!V444="X",1,0)</f>
        <v>0</v>
      </c>
      <c r="U444" s="15">
        <f>IF('ENCUESTA CONDUCTORES'!W444="X",1,0)</f>
        <v>0</v>
      </c>
      <c r="V444" s="15">
        <f>IF('ENCUESTA CONDUCTORES'!X444="X",1,0)</f>
        <v>0</v>
      </c>
      <c r="W444" s="15">
        <f>IF('ENCUESTA CONDUCTORES'!Y444="X",1,0)</f>
        <v>0</v>
      </c>
      <c r="X444" s="15">
        <f>IF('ENCUESTA CONDUCTORES'!Z444="X",1,0)</f>
        <v>0</v>
      </c>
      <c r="Y444" s="15">
        <f>+'ENCUESTA CONDUCTORES'!AG444</f>
        <v>0</v>
      </c>
      <c r="Z444" s="15">
        <f>+'ENCUESTA CONDUCTORES'!AH444</f>
        <v>1991</v>
      </c>
      <c r="AA444" s="1">
        <f>+'ENCUESTA CONDUCTORES'!AI444</f>
        <v>1200000</v>
      </c>
      <c r="AB444" s="15">
        <f>IF('ENCUESTA CONDUCTORES'!AJ444="X",1,0)</f>
        <v>0</v>
      </c>
      <c r="AC444" s="15">
        <f>IF('ENCUESTA CONDUCTORES'!AK444="X",1,0)</f>
        <v>0</v>
      </c>
      <c r="AD444" s="15">
        <f>IF('ENCUESTA CONDUCTORES'!AL444="X",1,0)</f>
        <v>1</v>
      </c>
      <c r="AE444" s="15">
        <f>IF('ENCUESTA CONDUCTORES'!AM444="X",1,0)</f>
        <v>0</v>
      </c>
      <c r="AF444" s="15">
        <f>IF('ENCUESTA CONDUCTORES'!AN444="X",1,0)</f>
        <v>0</v>
      </c>
      <c r="AG444" s="15">
        <f>IF('ENCUESTA CONDUCTORES'!AO444="X",1,0)</f>
        <v>0</v>
      </c>
      <c r="AH444" s="15">
        <f>IF('ENCUESTA CONDUCTORES'!AP444="X",1,0)</f>
        <v>0</v>
      </c>
      <c r="AI444" s="15">
        <f>IF('ENCUESTA CONDUCTORES'!AQ444="X",1,0)</f>
        <v>1</v>
      </c>
      <c r="AJ444" s="15">
        <f>IF('ENCUESTA CONDUCTORES'!AR444="X",1,0)</f>
        <v>0</v>
      </c>
      <c r="AK444" s="15">
        <f>+'ENCUESTA CONDUCTORES'!AS444</f>
        <v>1991</v>
      </c>
      <c r="AL444" s="15" t="str">
        <f>+'ENCUESTA CONDUCTORES'!AT444</f>
        <v>CUMMINS</v>
      </c>
      <c r="AM444" s="1">
        <f>+'ENCUESTA CONDUCTORES'!AU444</f>
        <v>5000</v>
      </c>
      <c r="AN444" s="48">
        <f>+'ENCUESTA CONDUCTORES'!AV444</f>
        <v>0</v>
      </c>
      <c r="AO444" s="15">
        <f>+'ENCUESTA CONDUCTORES'!AW444</f>
        <v>2.2000000000000002</v>
      </c>
      <c r="AP444" s="15">
        <f>+'ENCUESTA CONDUCTORES'!AX444</f>
        <v>1.9</v>
      </c>
      <c r="AQ444" s="15">
        <f>+'ENCUESTA CONDUCTORES'!AY444</f>
        <v>2</v>
      </c>
      <c r="AR444" s="15">
        <f>+'ENCUESTA CONDUCTORES'!AZ444</f>
        <v>800</v>
      </c>
      <c r="AS444" s="15">
        <f>+'ENCUESTA CONDUCTORES'!BA444</f>
        <v>1600</v>
      </c>
      <c r="AT444" s="15">
        <f>IF('ENCUESTA CONDUCTORES'!BB444="X",1,0)</f>
        <v>1</v>
      </c>
      <c r="AU444" s="15">
        <f>IF('ENCUESTA CONDUCTORES'!BC444="X",1,0)</f>
        <v>1</v>
      </c>
      <c r="AV444" s="15">
        <f>IF('ENCUESTA CONDUCTORES'!BD444="X",1,0)</f>
        <v>0</v>
      </c>
      <c r="AW444" s="1">
        <f>+'ENCUESTA CONDUCTORES'!BE444</f>
        <v>25000</v>
      </c>
      <c r="AX444" s="1" t="str">
        <f>+'ENCUESTA CONDUCTORES'!BF444</f>
        <v>NO SABE</v>
      </c>
      <c r="AY444" s="1" t="str">
        <f>+'ENCUESTA CONDUCTORES'!BG444</f>
        <v>NO SABE</v>
      </c>
      <c r="AZ444" s="1" t="str">
        <f>+'ENCUESTA CONDUCTORES'!BH444</f>
        <v>NO SABE</v>
      </c>
      <c r="BA444" s="1" t="str">
        <f>+'ENCUESTA CONDUCTORES'!BI444</f>
        <v>NOSABE</v>
      </c>
      <c r="BB444" s="15">
        <f>IF('ENCUESTA CONDUCTORES'!BJ444="X",1,0)</f>
        <v>0</v>
      </c>
      <c r="BC444" s="15">
        <f>IF('ENCUESTA CONDUCTORES'!BK444="X",1,0)</f>
        <v>0</v>
      </c>
      <c r="BD444" s="15">
        <f>IF('ENCUESTA CONDUCTORES'!BL444="X",1,0)</f>
        <v>0</v>
      </c>
      <c r="BE444" s="15">
        <f>IF('ENCUESTA CONDUCTORES'!BM444="X",1,0)</f>
        <v>0</v>
      </c>
      <c r="BF444" s="15">
        <f>IF('ENCUESTA CONDUCTORES'!BN444="X",1,0)</f>
        <v>0</v>
      </c>
      <c r="BG444" s="15">
        <f>IF('ENCUESTA CONDUCTORES'!BO444="X",1,0)</f>
        <v>0</v>
      </c>
      <c r="BH444" s="15">
        <f>IF('ENCUESTA CONDUCTORES'!BP444="X",1,0)</f>
        <v>0</v>
      </c>
      <c r="BI444" s="15">
        <f>IF('ENCUESTA CONDUCTORES'!BQ444="X",1,0)</f>
        <v>0</v>
      </c>
      <c r="BJ444" s="15">
        <f>IF('ENCUESTA CONDUCTORES'!BR444="X",1,0)</f>
        <v>1</v>
      </c>
      <c r="BK444" s="15">
        <f>+'ENCUESTA CONDUCTORES'!BS444</f>
        <v>0</v>
      </c>
      <c r="BL444" s="15">
        <f>IF('ENCUESTA CONDUCTORES'!BT444="X",1,0)</f>
        <v>0</v>
      </c>
      <c r="BM444" s="15">
        <f>IF('ENCUESTA CONDUCTORES'!BU444="X",1,0)</f>
        <v>0</v>
      </c>
      <c r="BN444" s="15">
        <f>IF('ENCUESTA CONDUCTORES'!BV444="X",1,0)</f>
        <v>0</v>
      </c>
      <c r="BO444" s="15">
        <f>IF('ENCUESTA CONDUCTORES'!BW444="X",1,0)</f>
        <v>1</v>
      </c>
      <c r="BP444" s="15">
        <f>+'ENCUESTA CONDUCTORES'!BX444</f>
        <v>2</v>
      </c>
      <c r="BQ444" s="15">
        <f>+'ENCUESTA CONDUCTORES'!BY444</f>
        <v>3</v>
      </c>
      <c r="BR444" s="15">
        <f>+'ENCUESTA CONDUCTORES'!BZ444</f>
        <v>4</v>
      </c>
      <c r="BS444" s="15" t="str">
        <f>+'ENCUESTA CONDUCTORES'!CA444</f>
        <v>TIPO DE CARGA</v>
      </c>
      <c r="BT444" s="15">
        <f>IF('ENCUESTA CONDUCTORES'!CB444="X",1,0)</f>
        <v>1</v>
      </c>
      <c r="BU444" s="15">
        <f>IF('ENCUESTA CONDUCTORES'!CC444="X",1,0)</f>
        <v>0</v>
      </c>
      <c r="BV444" s="15">
        <f>IF('ENCUESTA CONDUCTORES'!CD444="X",1,0)</f>
        <v>0</v>
      </c>
      <c r="BW444" s="15">
        <f>IF('ENCUESTA CONDUCTORES'!CE444="X",1,0)</f>
        <v>0</v>
      </c>
      <c r="BX444" s="15">
        <f>IF('ENCUESTA CONDUCTORES'!CF444="X",1,0)</f>
        <v>0</v>
      </c>
      <c r="BY444" s="15">
        <f>IF('ENCUESTA CONDUCTORES'!CG444="X",1,0)</f>
        <v>0</v>
      </c>
      <c r="BZ444" s="15">
        <f>IF('ENCUESTA CONDUCTORES'!CH444="X",1,0)</f>
        <v>0</v>
      </c>
      <c r="CA444" s="15">
        <f>IF('ENCUESTA CONDUCTORES'!CI444="X",1,0)</f>
        <v>0</v>
      </c>
      <c r="CB444" s="15">
        <f>IF('ENCUESTA CONDUCTORES'!CJ444="X",1,0)</f>
        <v>0</v>
      </c>
      <c r="CC444" s="15">
        <f>IF('ENCUESTA CONDUCTORES'!CK444="X",1,0)</f>
        <v>0</v>
      </c>
      <c r="CD444" s="15">
        <f>IF('ENCUESTA CONDUCTORES'!CL444="X",1,0)</f>
        <v>1</v>
      </c>
      <c r="CE444" s="15">
        <f>IF('ENCUESTA CONDUCTORES'!CM444="X",1,0)</f>
        <v>0</v>
      </c>
      <c r="CF444" s="15">
        <f>+'ENCUESTA CONDUCTORES'!CN444</f>
        <v>0</v>
      </c>
      <c r="CG444" s="15">
        <f>IF('ENCUESTA CONDUCTORES'!CO444="X",1,0)</f>
        <v>1</v>
      </c>
      <c r="CH444" s="15" t="str">
        <f>+'ENCUESTA CONDUCTORES'!CP444</f>
        <v>ES EXCELENTE</v>
      </c>
      <c r="CI444" s="15" t="str">
        <f>+'ENCUESTA CONDUCTORES'!CQ444</f>
        <v>ME INTERESA</v>
      </c>
      <c r="CJ444" s="15">
        <f>IF('ENCUESTA CONDUCTORES'!CR444="X",1,0)</f>
        <v>0</v>
      </c>
      <c r="CK444" s="15">
        <f>IF('ENCUESTA CONDUCTORES'!CS444="X",1,0)</f>
        <v>1</v>
      </c>
      <c r="CL444" s="15">
        <f>IF('ENCUESTA CONDUCTORES'!CT444="X",1,0)</f>
        <v>0</v>
      </c>
      <c r="CM444" s="15">
        <f>+'ENCUESTA CONDUCTORES'!CU444</f>
        <v>0</v>
      </c>
      <c r="CN444" s="15">
        <f>IF('ENCUESTA CONDUCTORES'!CV444="X",1,0)</f>
        <v>0</v>
      </c>
      <c r="CO444" s="15">
        <f>+'ENCUESTA CONDUCTORES'!CW444</f>
        <v>0</v>
      </c>
      <c r="CP444" s="15">
        <f>IF('ENCUESTA CONDUCTORES'!CX444="X",1,0)</f>
        <v>1</v>
      </c>
      <c r="CQ444" s="15">
        <f>IF('ENCUESTA CONDUCTORES'!CY444="X",1,0)</f>
        <v>0</v>
      </c>
      <c r="CR444" s="3">
        <f>+'ENCUESTA CONDUCTORES'!CZ444</f>
        <v>0</v>
      </c>
      <c r="CS444" s="49">
        <f>+'ENCUESTA CONDUCTORES'!DA444</f>
        <v>0</v>
      </c>
    </row>
    <row r="445" spans="2:97" x14ac:dyDescent="0.25">
      <c r="B445" s="14" t="str">
        <f>+'ENCUESTA CONDUCTORES'!D445</f>
        <v>C-456</v>
      </c>
      <c r="C445" s="15">
        <f>IF('ENCUESTA CONDUCTORES'!E445="X",1,0)</f>
        <v>0</v>
      </c>
      <c r="D445" s="15">
        <f>IF('ENCUESTA CONDUCTORES'!F445="X",1,0)</f>
        <v>0</v>
      </c>
      <c r="E445" s="15">
        <f>IF('ENCUESTA CONDUCTORES'!G445="X",1,0)</f>
        <v>1</v>
      </c>
      <c r="F445" s="15">
        <f>IF('ENCUESTA CONDUCTORES'!H445="X",1,0)</f>
        <v>0</v>
      </c>
      <c r="G445" s="15">
        <f>+'ENCUESTA CONDUCTORES'!I445</f>
        <v>34</v>
      </c>
      <c r="H445" s="15" t="str">
        <f>+'ENCUESTA CONDUCTORES'!J445</f>
        <v>M</v>
      </c>
      <c r="I445" s="15" t="str">
        <f>+'ENCUESTA CONDUCTORES'!K445</f>
        <v>PREPARATORIA</v>
      </c>
      <c r="J445" s="15" t="str">
        <f>+'ENCUESTA CONDUCTORES'!L445</f>
        <v>CD. JUAREZ, CHIHUAHUA</v>
      </c>
      <c r="K445" s="15" t="str">
        <f>+'ENCUESTA CONDUCTORES'!M445</f>
        <v>CD. JUAREZ</v>
      </c>
      <c r="L445" s="15" t="str">
        <f>+'ENCUESTA CONDUCTORES'!N445</f>
        <v>CHIHUAHUA</v>
      </c>
      <c r="M445" s="15">
        <f>+'ENCUESTA CONDUCTORES'!O445</f>
        <v>10</v>
      </c>
      <c r="N445" s="15">
        <f>IF('ENCUESTA CONDUCTORES'!P445="X",1,0)</f>
        <v>0</v>
      </c>
      <c r="O445" s="15">
        <f>IF('ENCUESTA CONDUCTORES'!Q445="X",1,0)</f>
        <v>0</v>
      </c>
      <c r="P445" s="15">
        <f>IF('ENCUESTA CONDUCTORES'!R445="X",1,0)</f>
        <v>0</v>
      </c>
      <c r="Q445" s="15">
        <f>IF('ENCUESTA CONDUCTORES'!S445="X",1,0)</f>
        <v>1</v>
      </c>
      <c r="R445" s="15">
        <f>IF('ENCUESTA CONDUCTORES'!T445="X",1,0)</f>
        <v>0</v>
      </c>
      <c r="S445" s="15">
        <f>IF('ENCUESTA CONDUCTORES'!U445="X",1,0)</f>
        <v>0</v>
      </c>
      <c r="T445" s="15">
        <f>IF('ENCUESTA CONDUCTORES'!V445="X",1,0)</f>
        <v>0</v>
      </c>
      <c r="U445" s="15">
        <f>IF('ENCUESTA CONDUCTORES'!W445="X",1,0)</f>
        <v>0</v>
      </c>
      <c r="V445" s="15">
        <f>IF('ENCUESTA CONDUCTORES'!X445="X",1,0)</f>
        <v>0</v>
      </c>
      <c r="W445" s="15">
        <f>IF('ENCUESTA CONDUCTORES'!Y445="X",1,0)</f>
        <v>0</v>
      </c>
      <c r="X445" s="15">
        <f>IF('ENCUESTA CONDUCTORES'!Z445="X",1,0)</f>
        <v>0</v>
      </c>
      <c r="Y445" s="15">
        <f>+'ENCUESTA CONDUCTORES'!AG445</f>
        <v>0</v>
      </c>
      <c r="Z445" s="15">
        <f>+'ENCUESTA CONDUCTORES'!AH445</f>
        <v>1996</v>
      </c>
      <c r="AA445" s="1">
        <f>+'ENCUESTA CONDUCTORES'!AI445</f>
        <v>614380</v>
      </c>
      <c r="AB445" s="15">
        <f>IF('ENCUESTA CONDUCTORES'!AJ445="X",1,0)</f>
        <v>0</v>
      </c>
      <c r="AC445" s="15">
        <f>IF('ENCUESTA CONDUCTORES'!AK445="X",1,0)</f>
        <v>0</v>
      </c>
      <c r="AD445" s="15">
        <f>IF('ENCUESTA CONDUCTORES'!AL445="X",1,0)</f>
        <v>1</v>
      </c>
      <c r="AE445" s="15">
        <f>IF('ENCUESTA CONDUCTORES'!AM445="X",1,0)</f>
        <v>0</v>
      </c>
      <c r="AF445" s="15">
        <f>IF('ENCUESTA CONDUCTORES'!AN445="X",1,0)</f>
        <v>0</v>
      </c>
      <c r="AG445" s="15">
        <f>IF('ENCUESTA CONDUCTORES'!AO445="X",1,0)</f>
        <v>0</v>
      </c>
      <c r="AH445" s="15">
        <f>IF('ENCUESTA CONDUCTORES'!AP445="X",1,0)</f>
        <v>1</v>
      </c>
      <c r="AI445" s="15">
        <f>IF('ENCUESTA CONDUCTORES'!AQ445="X",1,0)</f>
        <v>0</v>
      </c>
      <c r="AJ445" s="15">
        <f>IF('ENCUESTA CONDUCTORES'!AR445="X",1,0)</f>
        <v>0</v>
      </c>
      <c r="AK445" s="15">
        <f>+'ENCUESTA CONDUCTORES'!AS445</f>
        <v>0</v>
      </c>
      <c r="AL445" s="15" t="str">
        <f>+'ENCUESTA CONDUCTORES'!AT445</f>
        <v>CUMMINS</v>
      </c>
      <c r="AM445" s="1">
        <f>+'ENCUESTA CONDUCTORES'!AU445</f>
        <v>6000</v>
      </c>
      <c r="AN445" s="48">
        <f>+'ENCUESTA CONDUCTORES'!AV445</f>
        <v>0.5</v>
      </c>
      <c r="AO445" s="15">
        <f>+'ENCUESTA CONDUCTORES'!AW445</f>
        <v>2.2000000000000002</v>
      </c>
      <c r="AP445" s="15">
        <f>+'ENCUESTA CONDUCTORES'!AX445</f>
        <v>1.9</v>
      </c>
      <c r="AQ445" s="15">
        <f>+'ENCUESTA CONDUCTORES'!AY445</f>
        <v>2</v>
      </c>
      <c r="AR445" s="15">
        <f>+'ENCUESTA CONDUCTORES'!AZ445</f>
        <v>567</v>
      </c>
      <c r="AS445" s="15">
        <f>+'ENCUESTA CONDUCTORES'!BA445</f>
        <v>1300</v>
      </c>
      <c r="AT445" s="15">
        <f>IF('ENCUESTA CONDUCTORES'!BB445="X",1,0)</f>
        <v>1</v>
      </c>
      <c r="AU445" s="15">
        <f>IF('ENCUESTA CONDUCTORES'!BC445="X",1,0)</f>
        <v>1</v>
      </c>
      <c r="AV445" s="15">
        <f>IF('ENCUESTA CONDUCTORES'!BD445="X",1,0)</f>
        <v>0</v>
      </c>
      <c r="AW445" s="1">
        <f>+'ENCUESTA CONDUCTORES'!BE445</f>
        <v>18000</v>
      </c>
      <c r="AX445" s="1">
        <f>+'ENCUESTA CONDUCTORES'!BF445</f>
        <v>84000</v>
      </c>
      <c r="AY445" s="1" t="str">
        <f>+'ENCUESTA CONDUCTORES'!BG445</f>
        <v>NO SABE</v>
      </c>
      <c r="AZ445" s="1">
        <f>+'ENCUESTA CONDUCTORES'!BH445</f>
        <v>84000</v>
      </c>
      <c r="BA445" s="1">
        <f>+'ENCUESTA CONDUCTORES'!BI445</f>
        <v>18000</v>
      </c>
      <c r="BB445" s="15">
        <f>IF('ENCUESTA CONDUCTORES'!BJ445="X",1,0)</f>
        <v>0</v>
      </c>
      <c r="BC445" s="15">
        <f>IF('ENCUESTA CONDUCTORES'!BK445="X",1,0)</f>
        <v>1</v>
      </c>
      <c r="BD445" s="15">
        <f>IF('ENCUESTA CONDUCTORES'!BL445="X",1,0)</f>
        <v>0</v>
      </c>
      <c r="BE445" s="15">
        <f>IF('ENCUESTA CONDUCTORES'!BM445="X",1,0)</f>
        <v>0</v>
      </c>
      <c r="BF445" s="15">
        <f>IF('ENCUESTA CONDUCTORES'!BN445="X",1,0)</f>
        <v>1</v>
      </c>
      <c r="BG445" s="15">
        <f>IF('ENCUESTA CONDUCTORES'!BO445="X",1,0)</f>
        <v>0</v>
      </c>
      <c r="BH445" s="15">
        <f>IF('ENCUESTA CONDUCTORES'!BP445="X",1,0)</f>
        <v>1</v>
      </c>
      <c r="BI445" s="15">
        <f>IF('ENCUESTA CONDUCTORES'!BQ445="X",1,0)</f>
        <v>0</v>
      </c>
      <c r="BJ445" s="15">
        <f>IF('ENCUESTA CONDUCTORES'!BR445="X",1,0)</f>
        <v>0</v>
      </c>
      <c r="BK445" s="15">
        <f>+'ENCUESTA CONDUCTORES'!BS445</f>
        <v>0</v>
      </c>
      <c r="BL445" s="15">
        <f>IF('ENCUESTA CONDUCTORES'!BT445="X",1,0)</f>
        <v>0</v>
      </c>
      <c r="BM445" s="15">
        <f>IF('ENCUESTA CONDUCTORES'!BU445="X",1,0)</f>
        <v>0</v>
      </c>
      <c r="BN445" s="15">
        <f>IF('ENCUESTA CONDUCTORES'!BV445="X",1,0)</f>
        <v>0</v>
      </c>
      <c r="BO445" s="15">
        <f>IF('ENCUESTA CONDUCTORES'!BW445="X",1,0)</f>
        <v>1</v>
      </c>
      <c r="BP445" s="15">
        <f>+'ENCUESTA CONDUCTORES'!BX445</f>
        <v>2</v>
      </c>
      <c r="BQ445" s="15">
        <f>+'ENCUESTA CONDUCTORES'!BY445</f>
        <v>3</v>
      </c>
      <c r="BR445" s="15">
        <f>+'ENCUESTA CONDUCTORES'!BZ445</f>
        <v>1</v>
      </c>
      <c r="BS445" s="15">
        <f>+'ENCUESTA CONDUCTORES'!CA445</f>
        <v>0</v>
      </c>
      <c r="BT445" s="15">
        <f>IF('ENCUESTA CONDUCTORES'!CB445="X",1,0)</f>
        <v>1</v>
      </c>
      <c r="BU445" s="15">
        <f>IF('ENCUESTA CONDUCTORES'!CC445="X",1,0)</f>
        <v>0</v>
      </c>
      <c r="BV445" s="15">
        <f>IF('ENCUESTA CONDUCTORES'!CD445="X",1,0)</f>
        <v>0</v>
      </c>
      <c r="BW445" s="15">
        <f>IF('ENCUESTA CONDUCTORES'!CE445="X",1,0)</f>
        <v>0</v>
      </c>
      <c r="BX445" s="15">
        <f>IF('ENCUESTA CONDUCTORES'!CF445="X",1,0)</f>
        <v>0</v>
      </c>
      <c r="BY445" s="15">
        <f>IF('ENCUESTA CONDUCTORES'!CG445="X",1,0)</f>
        <v>0</v>
      </c>
      <c r="BZ445" s="15">
        <f>IF('ENCUESTA CONDUCTORES'!CH445="X",1,0)</f>
        <v>0</v>
      </c>
      <c r="CA445" s="15">
        <f>IF('ENCUESTA CONDUCTORES'!CI445="X",1,0)</f>
        <v>0</v>
      </c>
      <c r="CB445" s="15">
        <f>IF('ENCUESTA CONDUCTORES'!CJ445="X",1,0)</f>
        <v>0</v>
      </c>
      <c r="CC445" s="15">
        <f>IF('ENCUESTA CONDUCTORES'!CK445="X",1,0)</f>
        <v>1</v>
      </c>
      <c r="CD445" s="15">
        <f>IF('ENCUESTA CONDUCTORES'!CL445="X",1,0)</f>
        <v>0</v>
      </c>
      <c r="CE445" s="15">
        <f>IF('ENCUESTA CONDUCTORES'!CM445="X",1,0)</f>
        <v>0</v>
      </c>
      <c r="CF445" s="15">
        <f>+'ENCUESTA CONDUCTORES'!CN445</f>
        <v>0</v>
      </c>
      <c r="CG445" s="15">
        <f>IF('ENCUESTA CONDUCTORES'!CO445="X",1,0)</f>
        <v>0</v>
      </c>
      <c r="CH445" s="15" t="str">
        <f>+'ENCUESTA CONDUCTORES'!CP445</f>
        <v>NO SABE</v>
      </c>
      <c r="CI445" s="15" t="str">
        <f>+'ENCUESTA CONDUCTORES'!CQ445</f>
        <v>NO SABE</v>
      </c>
      <c r="CJ445" s="15">
        <f>IF('ENCUESTA CONDUCTORES'!CR445="X",1,0)</f>
        <v>1</v>
      </c>
      <c r="CK445" s="15">
        <f>IF('ENCUESTA CONDUCTORES'!CS445="X",1,0)</f>
        <v>0</v>
      </c>
      <c r="CL445" s="15">
        <f>IF('ENCUESTA CONDUCTORES'!CT445="X",1,0)</f>
        <v>0</v>
      </c>
      <c r="CM445" s="15">
        <f>+'ENCUESTA CONDUCTORES'!CU445</f>
        <v>0</v>
      </c>
      <c r="CN445" s="15">
        <f>IF('ENCUESTA CONDUCTORES'!CV445="X",1,0)</f>
        <v>0</v>
      </c>
      <c r="CO445" s="15">
        <f>+'ENCUESTA CONDUCTORES'!CW445</f>
        <v>0</v>
      </c>
      <c r="CP445" s="15">
        <f>IF('ENCUESTA CONDUCTORES'!CX445="X",1,0)</f>
        <v>0</v>
      </c>
      <c r="CQ445" s="15">
        <f>IF('ENCUESTA CONDUCTORES'!CY445="X",1,0)</f>
        <v>1</v>
      </c>
      <c r="CR445" s="3">
        <f>+'ENCUESTA CONDUCTORES'!CZ445</f>
        <v>0</v>
      </c>
      <c r="CS445" s="49">
        <f>+'ENCUESTA CONDUCTORES'!DA445</f>
        <v>0</v>
      </c>
    </row>
    <row r="446" spans="2:97" x14ac:dyDescent="0.25">
      <c r="B446" s="14" t="str">
        <f>+'ENCUESTA CONDUCTORES'!D446</f>
        <v>C-457</v>
      </c>
      <c r="C446" s="15">
        <f>IF('ENCUESTA CONDUCTORES'!E446="X",1,0)</f>
        <v>0</v>
      </c>
      <c r="D446" s="15">
        <f>IF('ENCUESTA CONDUCTORES'!F446="X",1,0)</f>
        <v>0</v>
      </c>
      <c r="E446" s="15">
        <f>IF('ENCUESTA CONDUCTORES'!G446="X",1,0)</f>
        <v>1</v>
      </c>
      <c r="F446" s="15">
        <f>IF('ENCUESTA CONDUCTORES'!H446="X",1,0)</f>
        <v>0</v>
      </c>
      <c r="G446" s="15">
        <f>+'ENCUESTA CONDUCTORES'!I446</f>
        <v>36</v>
      </c>
      <c r="H446" s="15" t="str">
        <f>+'ENCUESTA CONDUCTORES'!J446</f>
        <v>M</v>
      </c>
      <c r="I446" s="15" t="str">
        <f>+'ENCUESTA CONDUCTORES'!K446</f>
        <v>PREPARATORIA</v>
      </c>
      <c r="J446" s="15" t="str">
        <f>+'ENCUESTA CONDUCTORES'!L446</f>
        <v>CD. JUAREZ, CHIHUAHUA</v>
      </c>
      <c r="K446" s="15" t="str">
        <f>+'ENCUESTA CONDUCTORES'!M446</f>
        <v>CD. JUAREZ</v>
      </c>
      <c r="L446" s="15" t="str">
        <f>+'ENCUESTA CONDUCTORES'!N446</f>
        <v>CHIHUAHUA</v>
      </c>
      <c r="M446" s="15">
        <f>+'ENCUESTA CONDUCTORES'!O446</f>
        <v>13</v>
      </c>
      <c r="N446" s="15">
        <f>IF('ENCUESTA CONDUCTORES'!P446="X",1,0)</f>
        <v>0</v>
      </c>
      <c r="O446" s="15">
        <f>IF('ENCUESTA CONDUCTORES'!Q446="X",1,0)</f>
        <v>1</v>
      </c>
      <c r="P446" s="15">
        <f>IF('ENCUESTA CONDUCTORES'!R446="X",1,0)</f>
        <v>0</v>
      </c>
      <c r="Q446" s="15">
        <f>IF('ENCUESTA CONDUCTORES'!S446="X",1,0)</f>
        <v>0</v>
      </c>
      <c r="R446" s="15">
        <f>IF('ENCUESTA CONDUCTORES'!T446="X",1,0)</f>
        <v>0</v>
      </c>
      <c r="S446" s="15">
        <f>IF('ENCUESTA CONDUCTORES'!U446="X",1,0)</f>
        <v>0</v>
      </c>
      <c r="T446" s="15">
        <f>IF('ENCUESTA CONDUCTORES'!V446="X",1,0)</f>
        <v>0</v>
      </c>
      <c r="U446" s="15">
        <f>IF('ENCUESTA CONDUCTORES'!W446="X",1,0)</f>
        <v>0</v>
      </c>
      <c r="V446" s="15">
        <f>IF('ENCUESTA CONDUCTORES'!X446="X",1,0)</f>
        <v>0</v>
      </c>
      <c r="W446" s="15">
        <f>IF('ENCUESTA CONDUCTORES'!Y446="X",1,0)</f>
        <v>0</v>
      </c>
      <c r="X446" s="15">
        <f>IF('ENCUESTA CONDUCTORES'!Z446="X",1,0)</f>
        <v>0</v>
      </c>
      <c r="Y446" s="15">
        <f>+'ENCUESTA CONDUCTORES'!AG446</f>
        <v>0</v>
      </c>
      <c r="Z446" s="15">
        <f>+'ENCUESTA CONDUCTORES'!AH446</f>
        <v>1990</v>
      </c>
      <c r="AA446" s="1" t="str">
        <f>+'ENCUESTA CONDUCTORES'!AI446</f>
        <v>NO SABE</v>
      </c>
      <c r="AB446" s="15">
        <f>IF('ENCUESTA CONDUCTORES'!AJ446="X",1,0)</f>
        <v>0</v>
      </c>
      <c r="AC446" s="15">
        <f>IF('ENCUESTA CONDUCTORES'!AK446="X",1,0)</f>
        <v>0</v>
      </c>
      <c r="AD446" s="15">
        <f>IF('ENCUESTA CONDUCTORES'!AL446="X",1,0)</f>
        <v>1</v>
      </c>
      <c r="AE446" s="15">
        <f>IF('ENCUESTA CONDUCTORES'!AM446="X",1,0)</f>
        <v>0</v>
      </c>
      <c r="AF446" s="15">
        <f>IF('ENCUESTA CONDUCTORES'!AN446="X",1,0)</f>
        <v>0</v>
      </c>
      <c r="AG446" s="15">
        <f>IF('ENCUESTA CONDUCTORES'!AO446="X",1,0)</f>
        <v>1</v>
      </c>
      <c r="AH446" s="15">
        <f>IF('ENCUESTA CONDUCTORES'!AP446="X",1,0)</f>
        <v>0</v>
      </c>
      <c r="AI446" s="15">
        <f>IF('ENCUESTA CONDUCTORES'!AQ446="X",1,0)</f>
        <v>0</v>
      </c>
      <c r="AJ446" s="15">
        <f>IF('ENCUESTA CONDUCTORES'!AR446="X",1,0)</f>
        <v>0</v>
      </c>
      <c r="AK446" s="15">
        <f>+'ENCUESTA CONDUCTORES'!AS446</f>
        <v>0</v>
      </c>
      <c r="AL446" s="15" t="str">
        <f>+'ENCUESTA CONDUCTORES'!AT446</f>
        <v>NO SABE</v>
      </c>
      <c r="AM446" s="1">
        <f>+'ENCUESTA CONDUCTORES'!AU446</f>
        <v>7000</v>
      </c>
      <c r="AN446" s="48">
        <f>+'ENCUESTA CONDUCTORES'!AV446</f>
        <v>0.5</v>
      </c>
      <c r="AO446" s="15">
        <f>+'ENCUESTA CONDUCTORES'!AW446</f>
        <v>2.2999999999999998</v>
      </c>
      <c r="AP446" s="15">
        <f>+'ENCUESTA CONDUCTORES'!AX446</f>
        <v>2</v>
      </c>
      <c r="AQ446" s="15">
        <f>+'ENCUESTA CONDUCTORES'!AY446</f>
        <v>2</v>
      </c>
      <c r="AR446" s="15">
        <f>+'ENCUESTA CONDUCTORES'!AZ446</f>
        <v>300</v>
      </c>
      <c r="AS446" s="15">
        <f>+'ENCUESTA CONDUCTORES'!BA446</f>
        <v>1500</v>
      </c>
      <c r="AT446" s="15">
        <f>IF('ENCUESTA CONDUCTORES'!BB446="X",1,0)</f>
        <v>1</v>
      </c>
      <c r="AU446" s="15">
        <f>IF('ENCUESTA CONDUCTORES'!BC446="X",1,0)</f>
        <v>1</v>
      </c>
      <c r="AV446" s="15">
        <f>IF('ENCUESTA CONDUCTORES'!BD446="X",1,0)</f>
        <v>1</v>
      </c>
      <c r="AW446" s="1">
        <f>+'ENCUESTA CONDUCTORES'!BE446</f>
        <v>21000</v>
      </c>
      <c r="AX446" s="1" t="str">
        <f>+'ENCUESTA CONDUCTORES'!BF446</f>
        <v>NO SABE</v>
      </c>
      <c r="AY446" s="1" t="str">
        <f>+'ENCUESTA CONDUCTORES'!BG446</f>
        <v>NO SABE</v>
      </c>
      <c r="AZ446" s="1" t="str">
        <f>+'ENCUESTA CONDUCTORES'!BH446</f>
        <v>NO SABE</v>
      </c>
      <c r="BA446" s="1">
        <f>+'ENCUESTA CONDUCTORES'!BI446</f>
        <v>21000</v>
      </c>
      <c r="BB446" s="15">
        <f>IF('ENCUESTA CONDUCTORES'!BJ446="X",1,0)</f>
        <v>0</v>
      </c>
      <c r="BC446" s="15">
        <f>IF('ENCUESTA CONDUCTORES'!BK446="X",1,0)</f>
        <v>0</v>
      </c>
      <c r="BD446" s="15">
        <f>IF('ENCUESTA CONDUCTORES'!BL446="X",1,0)</f>
        <v>0</v>
      </c>
      <c r="BE446" s="15">
        <f>IF('ENCUESTA CONDUCTORES'!BM446="X",1,0)</f>
        <v>0</v>
      </c>
      <c r="BF446" s="15">
        <f>IF('ENCUESTA CONDUCTORES'!BN446="X",1,0)</f>
        <v>1</v>
      </c>
      <c r="BG446" s="15">
        <f>IF('ENCUESTA CONDUCTORES'!BO446="X",1,0)</f>
        <v>0</v>
      </c>
      <c r="BH446" s="15">
        <f>IF('ENCUESTA CONDUCTORES'!BP446="X",1,0)</f>
        <v>1</v>
      </c>
      <c r="BI446" s="15">
        <f>IF('ENCUESTA CONDUCTORES'!BQ446="X",1,0)</f>
        <v>0</v>
      </c>
      <c r="BJ446" s="15">
        <f>IF('ENCUESTA CONDUCTORES'!BR446="X",1,0)</f>
        <v>0</v>
      </c>
      <c r="BK446" s="15">
        <f>+'ENCUESTA CONDUCTORES'!BS446</f>
        <v>0</v>
      </c>
      <c r="BL446" s="15">
        <f>IF('ENCUESTA CONDUCTORES'!BT446="X",1,0)</f>
        <v>0</v>
      </c>
      <c r="BM446" s="15">
        <f>IF('ENCUESTA CONDUCTORES'!BU446="X",1,0)</f>
        <v>0</v>
      </c>
      <c r="BN446" s="15">
        <f>IF('ENCUESTA CONDUCTORES'!BV446="X",1,0)</f>
        <v>0</v>
      </c>
      <c r="BO446" s="15">
        <f>IF('ENCUESTA CONDUCTORES'!BW446="X",1,0)</f>
        <v>1</v>
      </c>
      <c r="BP446" s="15">
        <f>+'ENCUESTA CONDUCTORES'!BX446</f>
        <v>2</v>
      </c>
      <c r="BQ446" s="15">
        <f>+'ENCUESTA CONDUCTORES'!BY446</f>
        <v>3</v>
      </c>
      <c r="BR446" s="15">
        <f>+'ENCUESTA CONDUCTORES'!BZ446</f>
        <v>1</v>
      </c>
      <c r="BS446" s="15">
        <f>+'ENCUESTA CONDUCTORES'!CA446</f>
        <v>0</v>
      </c>
      <c r="BT446" s="15">
        <f>IF('ENCUESTA CONDUCTORES'!CB446="X",1,0)</f>
        <v>0</v>
      </c>
      <c r="BU446" s="15">
        <f>IF('ENCUESTA CONDUCTORES'!CC446="X",1,0)</f>
        <v>1</v>
      </c>
      <c r="BV446" s="15">
        <f>IF('ENCUESTA CONDUCTORES'!CD446="X",1,0)</f>
        <v>0</v>
      </c>
      <c r="BW446" s="15">
        <f>IF('ENCUESTA CONDUCTORES'!CE446="X",1,0)</f>
        <v>0</v>
      </c>
      <c r="BX446" s="15">
        <f>IF('ENCUESTA CONDUCTORES'!CF446="X",1,0)</f>
        <v>0</v>
      </c>
      <c r="BY446" s="15">
        <f>IF('ENCUESTA CONDUCTORES'!CG446="X",1,0)</f>
        <v>0</v>
      </c>
      <c r="BZ446" s="15">
        <f>IF('ENCUESTA CONDUCTORES'!CH446="X",1,0)</f>
        <v>1</v>
      </c>
      <c r="CA446" s="15">
        <f>IF('ENCUESTA CONDUCTORES'!CI446="X",1,0)</f>
        <v>1</v>
      </c>
      <c r="CB446" s="15">
        <f>IF('ENCUESTA CONDUCTORES'!CJ446="X",1,0)</f>
        <v>0</v>
      </c>
      <c r="CC446" s="15">
        <f>IF('ENCUESTA CONDUCTORES'!CK446="X",1,0)</f>
        <v>0</v>
      </c>
      <c r="CD446" s="15">
        <f>IF('ENCUESTA CONDUCTORES'!CL446="X",1,0)</f>
        <v>1</v>
      </c>
      <c r="CE446" s="15">
        <f>IF('ENCUESTA CONDUCTORES'!CM446="X",1,0)</f>
        <v>0</v>
      </c>
      <c r="CF446" s="15">
        <f>+'ENCUESTA CONDUCTORES'!CN446</f>
        <v>0</v>
      </c>
      <c r="CG446" s="15">
        <f>IF('ENCUESTA CONDUCTORES'!CO446="X",1,0)</f>
        <v>0</v>
      </c>
      <c r="CH446" s="15" t="str">
        <f>+'ENCUESTA CONDUCTORES'!CP446</f>
        <v xml:space="preserve">RECIBI CAPACITACION </v>
      </c>
      <c r="CI446" s="15" t="str">
        <f>+'ENCUESTA CONDUCTORES'!CQ446</f>
        <v>QUE HAGAN CURSOS MAS SEGUIDO</v>
      </c>
      <c r="CJ446" s="15">
        <f>IF('ENCUESTA CONDUCTORES'!CR446="X",1,0)</f>
        <v>0</v>
      </c>
      <c r="CK446" s="15">
        <f>IF('ENCUESTA CONDUCTORES'!CS446="X",1,0)</f>
        <v>0</v>
      </c>
      <c r="CL446" s="15">
        <f>IF('ENCUESTA CONDUCTORES'!CT446="X",1,0)</f>
        <v>0</v>
      </c>
      <c r="CM446" s="15" t="str">
        <f>+'ENCUESTA CONDUCTORES'!CU446</f>
        <v>11 PUNTOS DE INSPECCION DE SEGURIDAD</v>
      </c>
      <c r="CN446" s="15">
        <f>IF('ENCUESTA CONDUCTORES'!CV446="X",1,0)</f>
        <v>0</v>
      </c>
      <c r="CO446" s="15">
        <f>+'ENCUESTA CONDUCTORES'!CW446</f>
        <v>0</v>
      </c>
      <c r="CP446" s="15">
        <f>IF('ENCUESTA CONDUCTORES'!CX446="X",1,0)</f>
        <v>1</v>
      </c>
      <c r="CQ446" s="15">
        <f>IF('ENCUESTA CONDUCTORES'!CY446="X",1,0)</f>
        <v>1</v>
      </c>
      <c r="CR446" s="3">
        <f>+'ENCUESTA CONDUCTORES'!CZ446</f>
        <v>0</v>
      </c>
      <c r="CS446" s="49">
        <f>+'ENCUESTA CONDUCTORES'!DA446</f>
        <v>0</v>
      </c>
    </row>
    <row r="447" spans="2:97" x14ac:dyDescent="0.25">
      <c r="B447" s="14" t="str">
        <f>+'ENCUESTA CONDUCTORES'!D447</f>
        <v>C-458</v>
      </c>
      <c r="C447" s="15">
        <f>IF('ENCUESTA CONDUCTORES'!E447="X",1,0)</f>
        <v>0</v>
      </c>
      <c r="D447" s="15">
        <f>IF('ENCUESTA CONDUCTORES'!F447="X",1,0)</f>
        <v>0</v>
      </c>
      <c r="E447" s="15">
        <f>IF('ENCUESTA CONDUCTORES'!G447="X",1,0)</f>
        <v>1</v>
      </c>
      <c r="F447" s="15">
        <f>IF('ENCUESTA CONDUCTORES'!H447="X",1,0)</f>
        <v>0</v>
      </c>
      <c r="G447" s="15">
        <f>+'ENCUESTA CONDUCTORES'!I447</f>
        <v>34</v>
      </c>
      <c r="H447" s="15" t="str">
        <f>+'ENCUESTA CONDUCTORES'!J447</f>
        <v>M</v>
      </c>
      <c r="I447" s="15" t="str">
        <f>+'ENCUESTA CONDUCTORES'!K447</f>
        <v>PREPARATORIA</v>
      </c>
      <c r="J447" s="15" t="str">
        <f>+'ENCUESTA CONDUCTORES'!L447</f>
        <v>CD. JUAREZ, CHIHUAHUA</v>
      </c>
      <c r="K447" s="15" t="str">
        <f>+'ENCUESTA CONDUCTORES'!M447</f>
        <v>CD. JUAREZ</v>
      </c>
      <c r="L447" s="15" t="str">
        <f>+'ENCUESTA CONDUCTORES'!N447</f>
        <v>CHIHUAHUA</v>
      </c>
      <c r="M447" s="15">
        <f>+'ENCUESTA CONDUCTORES'!O447</f>
        <v>12</v>
      </c>
      <c r="N447" s="15">
        <f>IF('ENCUESTA CONDUCTORES'!P447="X",1,0)</f>
        <v>0</v>
      </c>
      <c r="O447" s="15">
        <f>IF('ENCUESTA CONDUCTORES'!Q447="X",1,0)</f>
        <v>1</v>
      </c>
      <c r="P447" s="15">
        <f>IF('ENCUESTA CONDUCTORES'!R447="X",1,0)</f>
        <v>0</v>
      </c>
      <c r="Q447" s="15">
        <f>IF('ENCUESTA CONDUCTORES'!S447="X",1,0)</f>
        <v>0</v>
      </c>
      <c r="R447" s="15">
        <f>IF('ENCUESTA CONDUCTORES'!T447="X",1,0)</f>
        <v>0</v>
      </c>
      <c r="S447" s="15">
        <f>IF('ENCUESTA CONDUCTORES'!U447="X",1,0)</f>
        <v>1</v>
      </c>
      <c r="T447" s="15">
        <f>IF('ENCUESTA CONDUCTORES'!V447="X",1,0)</f>
        <v>0</v>
      </c>
      <c r="U447" s="15">
        <f>IF('ENCUESTA CONDUCTORES'!W447="X",1,0)</f>
        <v>0</v>
      </c>
      <c r="V447" s="15">
        <f>IF('ENCUESTA CONDUCTORES'!X447="X",1,0)</f>
        <v>0</v>
      </c>
      <c r="W447" s="15">
        <f>IF('ENCUESTA CONDUCTORES'!Y447="X",1,0)</f>
        <v>0</v>
      </c>
      <c r="X447" s="15">
        <f>IF('ENCUESTA CONDUCTORES'!Z447="X",1,0)</f>
        <v>0</v>
      </c>
      <c r="Y447" s="15">
        <f>+'ENCUESTA CONDUCTORES'!AG447</f>
        <v>0</v>
      </c>
      <c r="Z447" s="15">
        <f>+'ENCUESTA CONDUCTORES'!AH447</f>
        <v>1999</v>
      </c>
      <c r="AA447" s="1" t="str">
        <f>+'ENCUESTA CONDUCTORES'!AI447</f>
        <v>NO SABE</v>
      </c>
      <c r="AB447" s="15">
        <f>IF('ENCUESTA CONDUCTORES'!AJ447="X",1,0)</f>
        <v>0</v>
      </c>
      <c r="AC447" s="15">
        <f>IF('ENCUESTA CONDUCTORES'!AK447="X",1,0)</f>
        <v>0</v>
      </c>
      <c r="AD447" s="15">
        <f>IF('ENCUESTA CONDUCTORES'!AL447="X",1,0)</f>
        <v>1</v>
      </c>
      <c r="AE447" s="15">
        <f>IF('ENCUESTA CONDUCTORES'!AM447="X",1,0)</f>
        <v>0</v>
      </c>
      <c r="AF447" s="15">
        <f>IF('ENCUESTA CONDUCTORES'!AN447="X",1,0)</f>
        <v>0</v>
      </c>
      <c r="AG447" s="15">
        <f>IF('ENCUESTA CONDUCTORES'!AO447="X",1,0)</f>
        <v>0</v>
      </c>
      <c r="AH447" s="15">
        <f>IF('ENCUESTA CONDUCTORES'!AP447="X",1,0)</f>
        <v>1</v>
      </c>
      <c r="AI447" s="15">
        <f>IF('ENCUESTA CONDUCTORES'!AQ447="X",1,0)</f>
        <v>0</v>
      </c>
      <c r="AJ447" s="15">
        <f>IF('ENCUESTA CONDUCTORES'!AR447="X",1,0)</f>
        <v>0</v>
      </c>
      <c r="AK447" s="15">
        <f>+'ENCUESTA CONDUCTORES'!AS447</f>
        <v>0</v>
      </c>
      <c r="AL447" s="15" t="str">
        <f>+'ENCUESTA CONDUCTORES'!AT447</f>
        <v>NO SABE</v>
      </c>
      <c r="AM447" s="1">
        <f>+'ENCUESTA CONDUCTORES'!AU447</f>
        <v>7000</v>
      </c>
      <c r="AN447" s="48">
        <f>+'ENCUESTA CONDUCTORES'!AV447</f>
        <v>0.5</v>
      </c>
      <c r="AO447" s="15">
        <f>+'ENCUESTA CONDUCTORES'!AW447</f>
        <v>2.2999999999999998</v>
      </c>
      <c r="AP447" s="15">
        <f>+'ENCUESTA CONDUCTORES'!AX447</f>
        <v>2</v>
      </c>
      <c r="AQ447" s="15">
        <f>+'ENCUESTA CONDUCTORES'!AY447</f>
        <v>2</v>
      </c>
      <c r="AR447" s="15">
        <f>+'ENCUESTA CONDUCTORES'!AZ447</f>
        <v>300</v>
      </c>
      <c r="AS447" s="15">
        <f>+'ENCUESTA CONDUCTORES'!BA447</f>
        <v>1500</v>
      </c>
      <c r="AT447" s="15">
        <f>IF('ENCUESTA CONDUCTORES'!BB447="X",1,0)</f>
        <v>1</v>
      </c>
      <c r="AU447" s="15">
        <f>IF('ENCUESTA CONDUCTORES'!BC447="X",1,0)</f>
        <v>1</v>
      </c>
      <c r="AV447" s="15">
        <f>IF('ENCUESTA CONDUCTORES'!BD447="X",1,0)</f>
        <v>0</v>
      </c>
      <c r="AW447" s="1">
        <f>+'ENCUESTA CONDUCTORES'!BE447</f>
        <v>21000</v>
      </c>
      <c r="AX447" s="1" t="str">
        <f>+'ENCUESTA CONDUCTORES'!BF447</f>
        <v>NO SABE</v>
      </c>
      <c r="AY447" s="1" t="str">
        <f>+'ENCUESTA CONDUCTORES'!BG447</f>
        <v>NO SABE</v>
      </c>
      <c r="AZ447" s="1" t="str">
        <f>+'ENCUESTA CONDUCTORES'!BH447</f>
        <v>NO SABE</v>
      </c>
      <c r="BA447" s="1">
        <f>+'ENCUESTA CONDUCTORES'!BI447</f>
        <v>21000</v>
      </c>
      <c r="BB447" s="15">
        <f>IF('ENCUESTA CONDUCTORES'!BJ447="X",1,0)</f>
        <v>0</v>
      </c>
      <c r="BC447" s="15">
        <f>IF('ENCUESTA CONDUCTORES'!BK447="X",1,0)</f>
        <v>0</v>
      </c>
      <c r="BD447" s="15">
        <f>IF('ENCUESTA CONDUCTORES'!BL447="X",1,0)</f>
        <v>0</v>
      </c>
      <c r="BE447" s="15">
        <f>IF('ENCUESTA CONDUCTORES'!BM447="X",1,0)</f>
        <v>0</v>
      </c>
      <c r="BF447" s="15">
        <f>IF('ENCUESTA CONDUCTORES'!BN447="X",1,0)</f>
        <v>1</v>
      </c>
      <c r="BG447" s="15">
        <f>IF('ENCUESTA CONDUCTORES'!BO447="X",1,0)</f>
        <v>0</v>
      </c>
      <c r="BH447" s="15">
        <f>IF('ENCUESTA CONDUCTORES'!BP447="X",1,0)</f>
        <v>1</v>
      </c>
      <c r="BI447" s="15">
        <f>IF('ENCUESTA CONDUCTORES'!BQ447="X",1,0)</f>
        <v>0</v>
      </c>
      <c r="BJ447" s="15">
        <f>IF('ENCUESTA CONDUCTORES'!BR447="X",1,0)</f>
        <v>0</v>
      </c>
      <c r="BK447" s="15">
        <f>+'ENCUESTA CONDUCTORES'!BS447</f>
        <v>0</v>
      </c>
      <c r="BL447" s="15">
        <f>IF('ENCUESTA CONDUCTORES'!BT447="X",1,0)</f>
        <v>0</v>
      </c>
      <c r="BM447" s="15">
        <f>IF('ENCUESTA CONDUCTORES'!BU447="X",1,0)</f>
        <v>0</v>
      </c>
      <c r="BN447" s="15">
        <f>IF('ENCUESTA CONDUCTORES'!BV447="X",1,0)</f>
        <v>1</v>
      </c>
      <c r="BO447" s="15">
        <f>IF('ENCUESTA CONDUCTORES'!BW447="X",1,0)</f>
        <v>0</v>
      </c>
      <c r="BP447" s="15">
        <f>+'ENCUESTA CONDUCTORES'!BX447</f>
        <v>2</v>
      </c>
      <c r="BQ447" s="15">
        <f>+'ENCUESTA CONDUCTORES'!BY447</f>
        <v>3</v>
      </c>
      <c r="BR447" s="15">
        <f>+'ENCUESTA CONDUCTORES'!BZ447</f>
        <v>1</v>
      </c>
      <c r="BS447" s="15">
        <f>+'ENCUESTA CONDUCTORES'!CA447</f>
        <v>0</v>
      </c>
      <c r="BT447" s="15">
        <f>IF('ENCUESTA CONDUCTORES'!CB447="X",1,0)</f>
        <v>0</v>
      </c>
      <c r="BU447" s="15">
        <f>IF('ENCUESTA CONDUCTORES'!CC447="X",1,0)</f>
        <v>1</v>
      </c>
      <c r="BV447" s="15">
        <f>IF('ENCUESTA CONDUCTORES'!CD447="X",1,0)</f>
        <v>0</v>
      </c>
      <c r="BW447" s="15">
        <f>IF('ENCUESTA CONDUCTORES'!CE447="X",1,0)</f>
        <v>0</v>
      </c>
      <c r="BX447" s="15">
        <f>IF('ENCUESTA CONDUCTORES'!CF447="X",1,0)</f>
        <v>0</v>
      </c>
      <c r="BY447" s="15">
        <f>IF('ENCUESTA CONDUCTORES'!CG447="X",1,0)</f>
        <v>0</v>
      </c>
      <c r="BZ447" s="15">
        <f>IF('ENCUESTA CONDUCTORES'!CH447="X",1,0)</f>
        <v>1</v>
      </c>
      <c r="CA447" s="15">
        <f>IF('ENCUESTA CONDUCTORES'!CI447="X",1,0)</f>
        <v>1</v>
      </c>
      <c r="CB447" s="15">
        <f>IF('ENCUESTA CONDUCTORES'!CJ447="X",1,0)</f>
        <v>0</v>
      </c>
      <c r="CC447" s="15">
        <f>IF('ENCUESTA CONDUCTORES'!CK447="X",1,0)</f>
        <v>0</v>
      </c>
      <c r="CD447" s="15">
        <f>IF('ENCUESTA CONDUCTORES'!CL447="X",1,0)</f>
        <v>1</v>
      </c>
      <c r="CE447" s="15">
        <f>IF('ENCUESTA CONDUCTORES'!CM447="X",1,0)</f>
        <v>0</v>
      </c>
      <c r="CF447" s="15">
        <f>+'ENCUESTA CONDUCTORES'!CN447</f>
        <v>0</v>
      </c>
      <c r="CG447" s="15">
        <f>IF('ENCUESTA CONDUCTORES'!CO447="X",1,0)</f>
        <v>0</v>
      </c>
      <c r="CH447" s="15" t="str">
        <f>+'ENCUESTA CONDUCTORES'!CP447</f>
        <v xml:space="preserve">RECIBI CAPACITACION </v>
      </c>
      <c r="CI447" s="15" t="str">
        <f>+'ENCUESTA CONDUCTORES'!CQ447</f>
        <v>QUE HAGAN CURSOS MAS SEGUIDO</v>
      </c>
      <c r="CJ447" s="15">
        <f>IF('ENCUESTA CONDUCTORES'!CR447="X",1,0)</f>
        <v>0</v>
      </c>
      <c r="CK447" s="15">
        <f>IF('ENCUESTA CONDUCTORES'!CS447="X",1,0)</f>
        <v>1</v>
      </c>
      <c r="CL447" s="15">
        <f>IF('ENCUESTA CONDUCTORES'!CT447="X",1,0)</f>
        <v>1</v>
      </c>
      <c r="CM447" s="15" t="str">
        <f>+'ENCUESTA CONDUCTORES'!CU447</f>
        <v>INSPECCION DE SEGURIDAD</v>
      </c>
      <c r="CN447" s="15">
        <f>IF('ENCUESTA CONDUCTORES'!CV447="X",1,0)</f>
        <v>0</v>
      </c>
      <c r="CO447" s="15">
        <f>+'ENCUESTA CONDUCTORES'!CW447</f>
        <v>0</v>
      </c>
      <c r="CP447" s="15">
        <f>IF('ENCUESTA CONDUCTORES'!CX447="X",1,0)</f>
        <v>1</v>
      </c>
      <c r="CQ447" s="15">
        <f>IF('ENCUESTA CONDUCTORES'!CY447="X",1,0)</f>
        <v>1</v>
      </c>
      <c r="CR447" s="3">
        <f>+'ENCUESTA CONDUCTORES'!CZ447</f>
        <v>0</v>
      </c>
      <c r="CS447" s="49">
        <f>+'ENCUESTA CONDUCTORES'!DA447</f>
        <v>0</v>
      </c>
    </row>
    <row r="448" spans="2:97" x14ac:dyDescent="0.25">
      <c r="B448" s="14" t="str">
        <f>+'ENCUESTA CONDUCTORES'!D448</f>
        <v>C-459</v>
      </c>
      <c r="C448" s="15">
        <f>IF('ENCUESTA CONDUCTORES'!E448="X",1,0)</f>
        <v>0</v>
      </c>
      <c r="D448" s="15">
        <f>IF('ENCUESTA CONDUCTORES'!F448="X",1,0)</f>
        <v>0</v>
      </c>
      <c r="E448" s="15">
        <f>IF('ENCUESTA CONDUCTORES'!G448="X",1,0)</f>
        <v>0</v>
      </c>
      <c r="F448" s="15">
        <f>IF('ENCUESTA CONDUCTORES'!H448="X",1,0)</f>
        <v>1</v>
      </c>
      <c r="G448" s="15">
        <f>+'ENCUESTA CONDUCTORES'!I448</f>
        <v>26</v>
      </c>
      <c r="H448" s="15" t="str">
        <f>+'ENCUESTA CONDUCTORES'!J448</f>
        <v>M</v>
      </c>
      <c r="I448" s="15" t="str">
        <f>+'ENCUESTA CONDUCTORES'!K448</f>
        <v>BACHILLERATO</v>
      </c>
      <c r="J448" s="15" t="str">
        <f>+'ENCUESTA CONDUCTORES'!L448</f>
        <v>CD. JUAREZ, CHIHUAHUA</v>
      </c>
      <c r="K448" s="15" t="str">
        <f>+'ENCUESTA CONDUCTORES'!M448</f>
        <v>CD. JUAREZ</v>
      </c>
      <c r="L448" s="15" t="str">
        <f>+'ENCUESTA CONDUCTORES'!N448</f>
        <v>CHIHUAHUA</v>
      </c>
      <c r="M448" s="15">
        <f>+'ENCUESTA CONDUCTORES'!O448</f>
        <v>3</v>
      </c>
      <c r="N448" s="15">
        <f>IF('ENCUESTA CONDUCTORES'!P448="X",1,0)</f>
        <v>0</v>
      </c>
      <c r="O448" s="15">
        <f>IF('ENCUESTA CONDUCTORES'!Q448="X",1,0)</f>
        <v>0</v>
      </c>
      <c r="P448" s="15">
        <f>IF('ENCUESTA CONDUCTORES'!R448="X",1,0)</f>
        <v>0</v>
      </c>
      <c r="Q448" s="15">
        <f>IF('ENCUESTA CONDUCTORES'!S448="X",1,0)</f>
        <v>1</v>
      </c>
      <c r="R448" s="15">
        <f>IF('ENCUESTA CONDUCTORES'!T448="X",1,0)</f>
        <v>0</v>
      </c>
      <c r="S448" s="15">
        <f>IF('ENCUESTA CONDUCTORES'!U448="X",1,0)</f>
        <v>1</v>
      </c>
      <c r="T448" s="15">
        <f>IF('ENCUESTA CONDUCTORES'!V448="X",1,0)</f>
        <v>0</v>
      </c>
      <c r="U448" s="15">
        <f>IF('ENCUESTA CONDUCTORES'!W448="X",1,0)</f>
        <v>0</v>
      </c>
      <c r="V448" s="15">
        <f>IF('ENCUESTA CONDUCTORES'!X448="X",1,0)</f>
        <v>0</v>
      </c>
      <c r="W448" s="15">
        <f>IF('ENCUESTA CONDUCTORES'!Y448="X",1,0)</f>
        <v>0</v>
      </c>
      <c r="X448" s="15">
        <f>IF('ENCUESTA CONDUCTORES'!Z448="X",1,0)</f>
        <v>0</v>
      </c>
      <c r="Y448" s="15">
        <f>+'ENCUESTA CONDUCTORES'!AG448</f>
        <v>0</v>
      </c>
      <c r="Z448" s="15">
        <f>+'ENCUESTA CONDUCTORES'!AH448</f>
        <v>1994</v>
      </c>
      <c r="AA448" s="1">
        <f>+'ENCUESTA CONDUCTORES'!AI448</f>
        <v>1633250</v>
      </c>
      <c r="AB448" s="15">
        <f>IF('ENCUESTA CONDUCTORES'!AJ448="X",1,0)</f>
        <v>0</v>
      </c>
      <c r="AC448" s="15">
        <f>IF('ENCUESTA CONDUCTORES'!AK448="X",1,0)</f>
        <v>0</v>
      </c>
      <c r="AD448" s="15">
        <f>IF('ENCUESTA CONDUCTORES'!AL448="X",1,0)</f>
        <v>1</v>
      </c>
      <c r="AE448" s="15">
        <f>IF('ENCUESTA CONDUCTORES'!AM448="X",1,0)</f>
        <v>0</v>
      </c>
      <c r="AF448" s="15">
        <f>IF('ENCUESTA CONDUCTORES'!AN448="X",1,0)</f>
        <v>0</v>
      </c>
      <c r="AG448" s="15">
        <f>IF('ENCUESTA CONDUCTORES'!AO448="X",1,0)</f>
        <v>1</v>
      </c>
      <c r="AH448" s="15">
        <f>IF('ENCUESTA CONDUCTORES'!AP448="X",1,0)</f>
        <v>0</v>
      </c>
      <c r="AI448" s="15">
        <f>IF('ENCUESTA CONDUCTORES'!AQ448="X",1,0)</f>
        <v>0</v>
      </c>
      <c r="AJ448" s="15">
        <f>IF('ENCUESTA CONDUCTORES'!AR448="X",1,0)</f>
        <v>0</v>
      </c>
      <c r="AK448" s="15">
        <f>+'ENCUESTA CONDUCTORES'!AS448</f>
        <v>0</v>
      </c>
      <c r="AL448" s="15" t="str">
        <f>+'ENCUESTA CONDUCTORES'!AT448</f>
        <v>NO SABE</v>
      </c>
      <c r="AM448" s="1">
        <f>+'ENCUESTA CONDUCTORES'!AU448</f>
        <v>2253</v>
      </c>
      <c r="AN448" s="48">
        <f>+'ENCUESTA CONDUCTORES'!AV448</f>
        <v>0.15</v>
      </c>
      <c r="AO448" s="15">
        <f>+'ENCUESTA CONDUCTORES'!AW448</f>
        <v>3</v>
      </c>
      <c r="AP448" s="15">
        <f>+'ENCUESTA CONDUCTORES'!AX448</f>
        <v>2.4</v>
      </c>
      <c r="AQ448" s="15">
        <f>+'ENCUESTA CONDUCTORES'!AY448</f>
        <v>2</v>
      </c>
      <c r="AR448" s="15">
        <f>+'ENCUESTA CONDUCTORES'!AZ448</f>
        <v>520</v>
      </c>
      <c r="AS448" s="15">
        <f>+'ENCUESTA CONDUCTORES'!BA448</f>
        <v>2500</v>
      </c>
      <c r="AT448" s="15">
        <f>IF('ENCUESTA CONDUCTORES'!BB448="X",1,0)</f>
        <v>0</v>
      </c>
      <c r="AU448" s="15">
        <f>IF('ENCUESTA CONDUCTORES'!BC448="X",1,0)</f>
        <v>0</v>
      </c>
      <c r="AV448" s="15">
        <f>IF('ENCUESTA CONDUCTORES'!BD448="X",1,0)</f>
        <v>0</v>
      </c>
      <c r="AW448" s="1">
        <f>+'ENCUESTA CONDUCTORES'!BE448</f>
        <v>11270</v>
      </c>
      <c r="AX448" s="1" t="str">
        <f>+'ENCUESTA CONDUCTORES'!BF448</f>
        <v>NO SABE</v>
      </c>
      <c r="AY448" s="1" t="str">
        <f>+'ENCUESTA CONDUCTORES'!BG448</f>
        <v>NO SABE</v>
      </c>
      <c r="AZ448" s="1" t="str">
        <f>+'ENCUESTA CONDUCTORES'!BH448</f>
        <v>NO SABE</v>
      </c>
      <c r="BA448" s="1" t="str">
        <f>+'ENCUESTA CONDUCTORES'!BI448</f>
        <v>NO SABE</v>
      </c>
      <c r="BB448" s="15">
        <f>IF('ENCUESTA CONDUCTORES'!BJ448="X",1,0)</f>
        <v>0</v>
      </c>
      <c r="BC448" s="15">
        <f>IF('ENCUESTA CONDUCTORES'!BK448="X",1,0)</f>
        <v>0</v>
      </c>
      <c r="BD448" s="15">
        <f>IF('ENCUESTA CONDUCTORES'!BL448="X",1,0)</f>
        <v>0</v>
      </c>
      <c r="BE448" s="15">
        <f>IF('ENCUESTA CONDUCTORES'!BM448="X",1,0)</f>
        <v>0</v>
      </c>
      <c r="BF448" s="15">
        <f>IF('ENCUESTA CONDUCTORES'!BN448="X",1,0)</f>
        <v>1</v>
      </c>
      <c r="BG448" s="15">
        <f>IF('ENCUESTA CONDUCTORES'!BO448="X",1,0)</f>
        <v>0</v>
      </c>
      <c r="BH448" s="15">
        <f>IF('ENCUESTA CONDUCTORES'!BP448="X",1,0)</f>
        <v>0</v>
      </c>
      <c r="BI448" s="15">
        <f>IF('ENCUESTA CONDUCTORES'!BQ448="X",1,0)</f>
        <v>0</v>
      </c>
      <c r="BJ448" s="15">
        <f>IF('ENCUESTA CONDUCTORES'!BR448="X",1,0)</f>
        <v>0</v>
      </c>
      <c r="BK448" s="15">
        <f>+'ENCUESTA CONDUCTORES'!BS448</f>
        <v>0</v>
      </c>
      <c r="BL448" s="15">
        <f>IF('ENCUESTA CONDUCTORES'!BT448="X",1,0)</f>
        <v>1</v>
      </c>
      <c r="BM448" s="15">
        <f>IF('ENCUESTA CONDUCTORES'!BU448="X",1,0)</f>
        <v>0</v>
      </c>
      <c r="BN448" s="15">
        <f>IF('ENCUESTA CONDUCTORES'!BV448="X",1,0)</f>
        <v>0</v>
      </c>
      <c r="BO448" s="15">
        <f>IF('ENCUESTA CONDUCTORES'!BW448="X",1,0)</f>
        <v>0</v>
      </c>
      <c r="BP448" s="15">
        <f>+'ENCUESTA CONDUCTORES'!BX448</f>
        <v>1</v>
      </c>
      <c r="BQ448" s="15">
        <f>+'ENCUESTA CONDUCTORES'!BY448</f>
        <v>3</v>
      </c>
      <c r="BR448" s="15">
        <f>+'ENCUESTA CONDUCTORES'!BZ448</f>
        <v>2</v>
      </c>
      <c r="BS448" s="15">
        <f>+'ENCUESTA CONDUCTORES'!CA448</f>
        <v>0</v>
      </c>
      <c r="BT448" s="15">
        <f>IF('ENCUESTA CONDUCTORES'!CB448="X",1,0)</f>
        <v>1</v>
      </c>
      <c r="BU448" s="15">
        <f>IF('ENCUESTA CONDUCTORES'!CC448="X",1,0)</f>
        <v>0</v>
      </c>
      <c r="BV448" s="15">
        <f>IF('ENCUESTA CONDUCTORES'!CD448="X",1,0)</f>
        <v>0</v>
      </c>
      <c r="BW448" s="15">
        <f>IF('ENCUESTA CONDUCTORES'!CE448="X",1,0)</f>
        <v>0</v>
      </c>
      <c r="BX448" s="15">
        <f>IF('ENCUESTA CONDUCTORES'!CF448="X",1,0)</f>
        <v>0</v>
      </c>
      <c r="BY448" s="15">
        <f>IF('ENCUESTA CONDUCTORES'!CG448="X",1,0)</f>
        <v>0</v>
      </c>
      <c r="BZ448" s="15">
        <f>IF('ENCUESTA CONDUCTORES'!CH448="X",1,0)</f>
        <v>0</v>
      </c>
      <c r="CA448" s="15">
        <f>IF('ENCUESTA CONDUCTORES'!CI448="X",1,0)</f>
        <v>0</v>
      </c>
      <c r="CB448" s="15">
        <f>IF('ENCUESTA CONDUCTORES'!CJ448="X",1,0)</f>
        <v>0</v>
      </c>
      <c r="CC448" s="15">
        <f>IF('ENCUESTA CONDUCTORES'!CK448="X",1,0)</f>
        <v>1</v>
      </c>
      <c r="CD448" s="15">
        <f>IF('ENCUESTA CONDUCTORES'!CL448="X",1,0)</f>
        <v>0</v>
      </c>
      <c r="CE448" s="15">
        <f>IF('ENCUESTA CONDUCTORES'!CM448="X",1,0)</f>
        <v>0</v>
      </c>
      <c r="CF448" s="15">
        <f>+'ENCUESTA CONDUCTORES'!CN448</f>
        <v>0</v>
      </c>
      <c r="CG448" s="15">
        <f>IF('ENCUESTA CONDUCTORES'!CO448="X",1,0)</f>
        <v>0</v>
      </c>
      <c r="CH448" s="15" t="str">
        <f>+'ENCUESTA CONDUCTORES'!CP448</f>
        <v>NO SABE</v>
      </c>
      <c r="CI448" s="15" t="str">
        <f>+'ENCUESTA CONDUCTORES'!CQ448</f>
        <v>NO SABE</v>
      </c>
      <c r="CJ448" s="15">
        <f>IF('ENCUESTA CONDUCTORES'!CR448="X",1,0)</f>
        <v>0</v>
      </c>
      <c r="CK448" s="15">
        <f>IF('ENCUESTA CONDUCTORES'!CS448="X",1,0)</f>
        <v>0</v>
      </c>
      <c r="CL448" s="15">
        <f>IF('ENCUESTA CONDUCTORES'!CT448="X",1,0)</f>
        <v>0</v>
      </c>
      <c r="CM448" s="15" t="str">
        <f>+'ENCUESTA CONDUCTORES'!CU448</f>
        <v>PESOS Y DIMENCIONES</v>
      </c>
      <c r="CN448" s="15">
        <f>IF('ENCUESTA CONDUCTORES'!CV448="X",1,0)</f>
        <v>0</v>
      </c>
      <c r="CO448" s="15">
        <f>+'ENCUESTA CONDUCTORES'!CW448</f>
        <v>0</v>
      </c>
      <c r="CP448" s="15">
        <f>IF('ENCUESTA CONDUCTORES'!CX448="X",1,0)</f>
        <v>1</v>
      </c>
      <c r="CQ448" s="15">
        <f>IF('ENCUESTA CONDUCTORES'!CY448="X",1,0)</f>
        <v>1</v>
      </c>
      <c r="CR448" s="3">
        <f>+'ENCUESTA CONDUCTORES'!CZ448</f>
        <v>0</v>
      </c>
      <c r="CS448" s="49">
        <f>+'ENCUESTA CONDUCTORES'!DA448</f>
        <v>0</v>
      </c>
    </row>
    <row r="449" spans="2:97" x14ac:dyDescent="0.25">
      <c r="B449" s="14" t="str">
        <f>+'ENCUESTA CONDUCTORES'!D449</f>
        <v>C-460</v>
      </c>
      <c r="C449" s="15">
        <f>IF('ENCUESTA CONDUCTORES'!E449="X",1,0)</f>
        <v>0</v>
      </c>
      <c r="D449" s="15">
        <f>IF('ENCUESTA CONDUCTORES'!F449="X",1,0)</f>
        <v>0</v>
      </c>
      <c r="E449" s="15">
        <f>IF('ENCUESTA CONDUCTORES'!G449="X",1,0)</f>
        <v>0</v>
      </c>
      <c r="F449" s="15">
        <f>IF('ENCUESTA CONDUCTORES'!H449="X",1,0)</f>
        <v>1</v>
      </c>
      <c r="G449" s="15">
        <f>+'ENCUESTA CONDUCTORES'!I449</f>
        <v>56</v>
      </c>
      <c r="H449" s="15" t="str">
        <f>+'ENCUESTA CONDUCTORES'!J449</f>
        <v>M</v>
      </c>
      <c r="I449" s="15" t="str">
        <f>+'ENCUESTA CONDUCTORES'!K449</f>
        <v>PRIMARIA</v>
      </c>
      <c r="J449" s="15" t="str">
        <f>+'ENCUESTA CONDUCTORES'!L449</f>
        <v>CD. JUAREZ, CHIHUAHUA</v>
      </c>
      <c r="K449" s="15" t="str">
        <f>+'ENCUESTA CONDUCTORES'!M449</f>
        <v>CD. JUAREZ</v>
      </c>
      <c r="L449" s="15" t="str">
        <f>+'ENCUESTA CONDUCTORES'!N449</f>
        <v>CHIHUAHUA</v>
      </c>
      <c r="M449" s="15">
        <f>+'ENCUESTA CONDUCTORES'!O449</f>
        <v>20</v>
      </c>
      <c r="N449" s="15">
        <f>IF('ENCUESTA CONDUCTORES'!P449="X",1,0)</f>
        <v>0</v>
      </c>
      <c r="O449" s="15">
        <f>IF('ENCUESTA CONDUCTORES'!Q449="X",1,0)</f>
        <v>0</v>
      </c>
      <c r="P449" s="15">
        <f>IF('ENCUESTA CONDUCTORES'!R449="X",1,0)</f>
        <v>0</v>
      </c>
      <c r="Q449" s="15">
        <f>IF('ENCUESTA CONDUCTORES'!S449="X",1,0)</f>
        <v>1</v>
      </c>
      <c r="R449" s="15">
        <f>IF('ENCUESTA CONDUCTORES'!T449="X",1,0)</f>
        <v>0</v>
      </c>
      <c r="S449" s="15">
        <f>IF('ENCUESTA CONDUCTORES'!U449="X",1,0)</f>
        <v>1</v>
      </c>
      <c r="T449" s="15">
        <f>IF('ENCUESTA CONDUCTORES'!V449="X",1,0)</f>
        <v>0</v>
      </c>
      <c r="U449" s="15">
        <f>IF('ENCUESTA CONDUCTORES'!W449="X",1,0)</f>
        <v>0</v>
      </c>
      <c r="V449" s="15">
        <f>IF('ENCUESTA CONDUCTORES'!X449="X",1,0)</f>
        <v>0</v>
      </c>
      <c r="W449" s="15">
        <f>IF('ENCUESTA CONDUCTORES'!Y449="X",1,0)</f>
        <v>0</v>
      </c>
      <c r="X449" s="15">
        <f>IF('ENCUESTA CONDUCTORES'!Z449="X",1,0)</f>
        <v>0</v>
      </c>
      <c r="Y449" s="15">
        <f>+'ENCUESTA CONDUCTORES'!AG449</f>
        <v>0</v>
      </c>
      <c r="Z449" s="15">
        <f>+'ENCUESTA CONDUCTORES'!AH449</f>
        <v>1984</v>
      </c>
      <c r="AA449" s="1">
        <f>+'ENCUESTA CONDUCTORES'!AI449</f>
        <v>1400000</v>
      </c>
      <c r="AB449" s="15">
        <f>IF('ENCUESTA CONDUCTORES'!AJ449="X",1,0)</f>
        <v>0</v>
      </c>
      <c r="AC449" s="15">
        <f>IF('ENCUESTA CONDUCTORES'!AK449="X",1,0)</f>
        <v>0</v>
      </c>
      <c r="AD449" s="15">
        <f>IF('ENCUESTA CONDUCTORES'!AL449="X",1,0)</f>
        <v>1</v>
      </c>
      <c r="AE449" s="15">
        <f>IF('ENCUESTA CONDUCTORES'!AM449="X",1,0)</f>
        <v>0</v>
      </c>
      <c r="AF449" s="15">
        <f>IF('ENCUESTA CONDUCTORES'!AN449="X",1,0)</f>
        <v>0</v>
      </c>
      <c r="AG449" s="15">
        <f>IF('ENCUESTA CONDUCTORES'!AO449="X",1,0)</f>
        <v>0</v>
      </c>
      <c r="AH449" s="15">
        <f>IF('ENCUESTA CONDUCTORES'!AP449="X",1,0)</f>
        <v>1</v>
      </c>
      <c r="AI449" s="15">
        <f>IF('ENCUESTA CONDUCTORES'!AQ449="X",1,0)</f>
        <v>0</v>
      </c>
      <c r="AJ449" s="15">
        <f>IF('ENCUESTA CONDUCTORES'!AR449="X",1,0)</f>
        <v>0</v>
      </c>
      <c r="AK449" s="15">
        <f>+'ENCUESTA CONDUCTORES'!AS449</f>
        <v>0</v>
      </c>
      <c r="AL449" s="15" t="str">
        <f>+'ENCUESTA CONDUCTORES'!AT449</f>
        <v>NO SABE</v>
      </c>
      <c r="AM449" s="1">
        <f>+'ENCUESTA CONDUCTORES'!AU449</f>
        <v>8500</v>
      </c>
      <c r="AN449" s="48">
        <f>+'ENCUESTA CONDUCTORES'!AV449</f>
        <v>0.3</v>
      </c>
      <c r="AO449" s="15">
        <f>+'ENCUESTA CONDUCTORES'!AW449</f>
        <v>2.2000000000000002</v>
      </c>
      <c r="AP449" s="15">
        <f>+'ENCUESTA CONDUCTORES'!AX449</f>
        <v>2</v>
      </c>
      <c r="AQ449" s="15">
        <f>+'ENCUESTA CONDUCTORES'!AY449</f>
        <v>2</v>
      </c>
      <c r="AR449" s="15">
        <f>+'ENCUESTA CONDUCTORES'!AZ449</f>
        <v>620</v>
      </c>
      <c r="AS449" s="15">
        <f>+'ENCUESTA CONDUCTORES'!BA449</f>
        <v>1350</v>
      </c>
      <c r="AT449" s="15">
        <f>IF('ENCUESTA CONDUCTORES'!BB449="X",1,0)</f>
        <v>1</v>
      </c>
      <c r="AU449" s="15">
        <f>IF('ENCUESTA CONDUCTORES'!BC449="X",1,0)</f>
        <v>1</v>
      </c>
      <c r="AV449" s="15">
        <f>IF('ENCUESTA CONDUCTORES'!BD449="X",1,0)</f>
        <v>0</v>
      </c>
      <c r="AW449" s="1">
        <f>+'ENCUESTA CONDUCTORES'!BE449</f>
        <v>25000</v>
      </c>
      <c r="AX449" s="1">
        <f>+'ENCUESTA CONDUCTORES'!BF449</f>
        <v>30000</v>
      </c>
      <c r="AY449" s="1">
        <f>+'ENCUESTA CONDUCTORES'!BG449</f>
        <v>50000</v>
      </c>
      <c r="AZ449" s="1">
        <f>+'ENCUESTA CONDUCTORES'!BH449</f>
        <v>90000</v>
      </c>
      <c r="BA449" s="1">
        <f>+'ENCUESTA CONDUCTORES'!BI449</f>
        <v>10000</v>
      </c>
      <c r="BB449" s="15">
        <f>IF('ENCUESTA CONDUCTORES'!BJ449="X",1,0)</f>
        <v>0</v>
      </c>
      <c r="BC449" s="15">
        <f>IF('ENCUESTA CONDUCTORES'!BK449="X",1,0)</f>
        <v>0</v>
      </c>
      <c r="BD449" s="15">
        <f>IF('ENCUESTA CONDUCTORES'!BL449="X",1,0)</f>
        <v>0</v>
      </c>
      <c r="BE449" s="15">
        <f>IF('ENCUESTA CONDUCTORES'!BM449="X",1,0)</f>
        <v>0</v>
      </c>
      <c r="BF449" s="15">
        <f>IF('ENCUESTA CONDUCTORES'!BN449="X",1,0)</f>
        <v>1</v>
      </c>
      <c r="BG449" s="15">
        <f>IF('ENCUESTA CONDUCTORES'!BO449="X",1,0)</f>
        <v>0</v>
      </c>
      <c r="BH449" s="15">
        <f>IF('ENCUESTA CONDUCTORES'!BP449="X",1,0)</f>
        <v>0</v>
      </c>
      <c r="BI449" s="15">
        <f>IF('ENCUESTA CONDUCTORES'!BQ449="X",1,0)</f>
        <v>0</v>
      </c>
      <c r="BJ449" s="15">
        <f>IF('ENCUESTA CONDUCTORES'!BR449="X",1,0)</f>
        <v>0</v>
      </c>
      <c r="BK449" s="15">
        <f>+'ENCUESTA CONDUCTORES'!BS449</f>
        <v>0</v>
      </c>
      <c r="BL449" s="15">
        <f>IF('ENCUESTA CONDUCTORES'!BT449="X",1,0)</f>
        <v>0</v>
      </c>
      <c r="BM449" s="15">
        <f>IF('ENCUESTA CONDUCTORES'!BU449="X",1,0)</f>
        <v>1</v>
      </c>
      <c r="BN449" s="15">
        <f>IF('ENCUESTA CONDUCTORES'!BV449="X",1,0)</f>
        <v>0</v>
      </c>
      <c r="BO449" s="15">
        <f>IF('ENCUESTA CONDUCTORES'!BW449="X",1,0)</f>
        <v>0</v>
      </c>
      <c r="BP449" s="15">
        <f>+'ENCUESTA CONDUCTORES'!BX449</f>
        <v>1</v>
      </c>
      <c r="BQ449" s="15">
        <f>+'ENCUESTA CONDUCTORES'!BY449</f>
        <v>3</v>
      </c>
      <c r="BR449" s="15">
        <f>+'ENCUESTA CONDUCTORES'!BZ449</f>
        <v>2</v>
      </c>
      <c r="BS449" s="15">
        <f>+'ENCUESTA CONDUCTORES'!CA449</f>
        <v>0</v>
      </c>
      <c r="BT449" s="15">
        <f>IF('ENCUESTA CONDUCTORES'!CB449="X",1,0)</f>
        <v>1</v>
      </c>
      <c r="BU449" s="15">
        <f>IF('ENCUESTA CONDUCTORES'!CC449="X",1,0)</f>
        <v>0</v>
      </c>
      <c r="BV449" s="15">
        <f>IF('ENCUESTA CONDUCTORES'!CD449="X",1,0)</f>
        <v>0</v>
      </c>
      <c r="BW449" s="15">
        <f>IF('ENCUESTA CONDUCTORES'!CE449="X",1,0)</f>
        <v>0</v>
      </c>
      <c r="BX449" s="15">
        <f>IF('ENCUESTA CONDUCTORES'!CF449="X",1,0)</f>
        <v>0</v>
      </c>
      <c r="BY449" s="15">
        <f>IF('ENCUESTA CONDUCTORES'!CG449="X",1,0)</f>
        <v>0</v>
      </c>
      <c r="BZ449" s="15">
        <f>IF('ENCUESTA CONDUCTORES'!CH449="X",1,0)</f>
        <v>0</v>
      </c>
      <c r="CA449" s="15">
        <f>IF('ENCUESTA CONDUCTORES'!CI449="X",1,0)</f>
        <v>0</v>
      </c>
      <c r="CB449" s="15">
        <f>IF('ENCUESTA CONDUCTORES'!CJ449="X",1,0)</f>
        <v>0</v>
      </c>
      <c r="CC449" s="15">
        <f>IF('ENCUESTA CONDUCTORES'!CK449="X",1,0)</f>
        <v>1</v>
      </c>
      <c r="CD449" s="15">
        <f>IF('ENCUESTA CONDUCTORES'!CL449="X",1,0)</f>
        <v>0</v>
      </c>
      <c r="CE449" s="15">
        <f>IF('ENCUESTA CONDUCTORES'!CM449="X",1,0)</f>
        <v>0</v>
      </c>
      <c r="CF449" s="15">
        <f>+'ENCUESTA CONDUCTORES'!CN449</f>
        <v>0</v>
      </c>
      <c r="CG449" s="15">
        <f>IF('ENCUESTA CONDUCTORES'!CO449="X",1,0)</f>
        <v>0</v>
      </c>
      <c r="CH449" s="15" t="str">
        <f>+'ENCUESTA CONDUCTORES'!CP449</f>
        <v>NO SABE</v>
      </c>
      <c r="CI449" s="15" t="str">
        <f>+'ENCUESTA CONDUCTORES'!CQ449</f>
        <v>NO SABE</v>
      </c>
      <c r="CJ449" s="15">
        <f>IF('ENCUESTA CONDUCTORES'!CR449="X",1,0)</f>
        <v>1</v>
      </c>
      <c r="CK449" s="15">
        <f>IF('ENCUESTA CONDUCTORES'!CS449="X",1,0)</f>
        <v>0</v>
      </c>
      <c r="CL449" s="15">
        <f>IF('ENCUESTA CONDUCTORES'!CT449="X",1,0)</f>
        <v>0</v>
      </c>
      <c r="CM449" s="15">
        <f>+'ENCUESTA CONDUCTORES'!CU449</f>
        <v>0</v>
      </c>
      <c r="CN449" s="15">
        <f>IF('ENCUESTA CONDUCTORES'!CV449="X",1,0)</f>
        <v>1</v>
      </c>
      <c r="CO449" s="15">
        <f>+'ENCUESTA CONDUCTORES'!CW449</f>
        <v>0</v>
      </c>
      <c r="CP449" s="15">
        <f>IF('ENCUESTA CONDUCTORES'!CX449="X",1,0)</f>
        <v>0</v>
      </c>
      <c r="CQ449" s="15">
        <f>IF('ENCUESTA CONDUCTORES'!CY449="X",1,0)</f>
        <v>0</v>
      </c>
      <c r="CR449" s="3">
        <f>+'ENCUESTA CONDUCTORES'!CZ449</f>
        <v>0</v>
      </c>
      <c r="CS449" s="49">
        <f>+'ENCUESTA CONDUCTORES'!DA449</f>
        <v>0</v>
      </c>
    </row>
    <row r="450" spans="2:97" x14ac:dyDescent="0.25">
      <c r="B450" s="14" t="str">
        <f>+'ENCUESTA CONDUCTORES'!D450</f>
        <v>C-461</v>
      </c>
      <c r="C450" s="15">
        <f>IF('ENCUESTA CONDUCTORES'!E450="X",1,0)</f>
        <v>0</v>
      </c>
      <c r="D450" s="15">
        <f>IF('ENCUESTA CONDUCTORES'!F450="X",1,0)</f>
        <v>0</v>
      </c>
      <c r="E450" s="15">
        <f>IF('ENCUESTA CONDUCTORES'!G450="X",1,0)</f>
        <v>0</v>
      </c>
      <c r="F450" s="15">
        <f>IF('ENCUESTA CONDUCTORES'!H450="X",1,0)</f>
        <v>1</v>
      </c>
      <c r="G450" s="15">
        <f>+'ENCUESTA CONDUCTORES'!I450</f>
        <v>42</v>
      </c>
      <c r="H450" s="15" t="str">
        <f>+'ENCUESTA CONDUCTORES'!J450</f>
        <v>M</v>
      </c>
      <c r="I450" s="15" t="str">
        <f>+'ENCUESTA CONDUCTORES'!K450</f>
        <v>PREPARATORIA</v>
      </c>
      <c r="J450" s="15" t="str">
        <f>+'ENCUESTA CONDUCTORES'!L450</f>
        <v>CD. JUAREZ, CHIHUAHUA</v>
      </c>
      <c r="K450" s="15" t="str">
        <f>+'ENCUESTA CONDUCTORES'!M450</f>
        <v>CD. JUAREZ</v>
      </c>
      <c r="L450" s="15" t="str">
        <f>+'ENCUESTA CONDUCTORES'!N450</f>
        <v>CHIHUAHUA</v>
      </c>
      <c r="M450" s="15">
        <f>+'ENCUESTA CONDUCTORES'!O450</f>
        <v>20</v>
      </c>
      <c r="N450" s="15">
        <f>IF('ENCUESTA CONDUCTORES'!P450="X",1,0)</f>
        <v>0</v>
      </c>
      <c r="O450" s="15">
        <f>IF('ENCUESTA CONDUCTORES'!Q450="X",1,0)</f>
        <v>0</v>
      </c>
      <c r="P450" s="15">
        <f>IF('ENCUESTA CONDUCTORES'!R450="X",1,0)</f>
        <v>0</v>
      </c>
      <c r="Q450" s="15">
        <f>IF('ENCUESTA CONDUCTORES'!S450="X",1,0)</f>
        <v>1</v>
      </c>
      <c r="R450" s="15">
        <f>IF('ENCUESTA CONDUCTORES'!T450="X",1,0)</f>
        <v>0</v>
      </c>
      <c r="S450" s="15">
        <f>IF('ENCUESTA CONDUCTORES'!U450="X",1,0)</f>
        <v>1</v>
      </c>
      <c r="T450" s="15">
        <f>IF('ENCUESTA CONDUCTORES'!V450="X",1,0)</f>
        <v>0</v>
      </c>
      <c r="U450" s="15">
        <f>IF('ENCUESTA CONDUCTORES'!W450="X",1,0)</f>
        <v>0</v>
      </c>
      <c r="V450" s="15">
        <f>IF('ENCUESTA CONDUCTORES'!X450="X",1,0)</f>
        <v>0</v>
      </c>
      <c r="W450" s="15">
        <f>IF('ENCUESTA CONDUCTORES'!Y450="X",1,0)</f>
        <v>0</v>
      </c>
      <c r="X450" s="15">
        <f>IF('ENCUESTA CONDUCTORES'!Z450="X",1,0)</f>
        <v>0</v>
      </c>
      <c r="Y450" s="15">
        <f>+'ENCUESTA CONDUCTORES'!AG450</f>
        <v>0</v>
      </c>
      <c r="Z450" s="15">
        <f>+'ENCUESTA CONDUCTORES'!AH450</f>
        <v>1996</v>
      </c>
      <c r="AA450" s="1">
        <f>+'ENCUESTA CONDUCTORES'!AI450</f>
        <v>2500000</v>
      </c>
      <c r="AB450" s="15">
        <f>IF('ENCUESTA CONDUCTORES'!AJ450="X",1,0)</f>
        <v>0</v>
      </c>
      <c r="AC450" s="15">
        <f>IF('ENCUESTA CONDUCTORES'!AK450="X",1,0)</f>
        <v>0</v>
      </c>
      <c r="AD450" s="15">
        <f>IF('ENCUESTA CONDUCTORES'!AL450="X",1,0)</f>
        <v>1</v>
      </c>
      <c r="AE450" s="15">
        <f>IF('ENCUESTA CONDUCTORES'!AM450="X",1,0)</f>
        <v>0</v>
      </c>
      <c r="AF450" s="15">
        <f>IF('ENCUESTA CONDUCTORES'!AN450="X",1,0)</f>
        <v>0</v>
      </c>
      <c r="AG450" s="15">
        <f>IF('ENCUESTA CONDUCTORES'!AO450="X",1,0)</f>
        <v>0</v>
      </c>
      <c r="AH450" s="15">
        <f>IF('ENCUESTA CONDUCTORES'!AP450="X",1,0)</f>
        <v>1</v>
      </c>
      <c r="AI450" s="15">
        <f>IF('ENCUESTA CONDUCTORES'!AQ450="X",1,0)</f>
        <v>0</v>
      </c>
      <c r="AJ450" s="15">
        <f>IF('ENCUESTA CONDUCTORES'!AR450="X",1,0)</f>
        <v>0</v>
      </c>
      <c r="AK450" s="15">
        <f>+'ENCUESTA CONDUCTORES'!AS450</f>
        <v>0</v>
      </c>
      <c r="AL450" s="15" t="str">
        <f>+'ENCUESTA CONDUCTORES'!AT450</f>
        <v>CUMMINS</v>
      </c>
      <c r="AM450" s="1">
        <f>+'ENCUESTA CONDUCTORES'!AU450</f>
        <v>12000</v>
      </c>
      <c r="AN450" s="48">
        <f>+'ENCUESTA CONDUCTORES'!AV450</f>
        <v>0.5</v>
      </c>
      <c r="AO450" s="15">
        <f>+'ENCUESTA CONDUCTORES'!AW450</f>
        <v>2.1</v>
      </c>
      <c r="AP450" s="15">
        <f>+'ENCUESTA CONDUCTORES'!AX450</f>
        <v>1.9</v>
      </c>
      <c r="AQ450" s="15">
        <f>+'ENCUESTA CONDUCTORES'!AY450</f>
        <v>2</v>
      </c>
      <c r="AR450" s="15">
        <f>+'ENCUESTA CONDUCTORES'!AZ450</f>
        <v>750</v>
      </c>
      <c r="AS450" s="15">
        <f>+'ENCUESTA CONDUCTORES'!BA450</f>
        <v>1500</v>
      </c>
      <c r="AT450" s="15">
        <f>IF('ENCUESTA CONDUCTORES'!BB450="X",1,0)</f>
        <v>1</v>
      </c>
      <c r="AU450" s="15">
        <f>IF('ENCUESTA CONDUCTORES'!BC450="X",1,0)</f>
        <v>0</v>
      </c>
      <c r="AV450" s="15">
        <f>IF('ENCUESTA CONDUCTORES'!BD450="X",1,0)</f>
        <v>0</v>
      </c>
      <c r="AW450" s="1">
        <f>+'ENCUESTA CONDUCTORES'!BE450</f>
        <v>24000</v>
      </c>
      <c r="AX450" s="1">
        <f>+'ENCUESTA CONDUCTORES'!BF450</f>
        <v>16000</v>
      </c>
      <c r="AY450" s="1">
        <f>+'ENCUESTA CONDUCTORES'!BG450</f>
        <v>24000</v>
      </c>
      <c r="AZ450" s="1">
        <f>+'ENCUESTA CONDUCTORES'!BH450</f>
        <v>110000</v>
      </c>
      <c r="BA450" s="1">
        <f>+'ENCUESTA CONDUCTORES'!BI450</f>
        <v>24000</v>
      </c>
      <c r="BB450" s="15">
        <f>IF('ENCUESTA CONDUCTORES'!BJ450="X",1,0)</f>
        <v>0</v>
      </c>
      <c r="BC450" s="15">
        <f>IF('ENCUESTA CONDUCTORES'!BK450="X",1,0)</f>
        <v>0</v>
      </c>
      <c r="BD450" s="15">
        <f>IF('ENCUESTA CONDUCTORES'!BL450="X",1,0)</f>
        <v>0</v>
      </c>
      <c r="BE450" s="15">
        <f>IF('ENCUESTA CONDUCTORES'!BM450="X",1,0)</f>
        <v>0</v>
      </c>
      <c r="BF450" s="15">
        <f>IF('ENCUESTA CONDUCTORES'!BN450="X",1,0)</f>
        <v>1</v>
      </c>
      <c r="BG450" s="15">
        <f>IF('ENCUESTA CONDUCTORES'!BO450="X",1,0)</f>
        <v>0</v>
      </c>
      <c r="BH450" s="15">
        <f>IF('ENCUESTA CONDUCTORES'!BP450="X",1,0)</f>
        <v>0</v>
      </c>
      <c r="BI450" s="15">
        <f>IF('ENCUESTA CONDUCTORES'!BQ450="X",1,0)</f>
        <v>0</v>
      </c>
      <c r="BJ450" s="15">
        <f>IF('ENCUESTA CONDUCTORES'!BR450="X",1,0)</f>
        <v>0</v>
      </c>
      <c r="BK450" s="15">
        <f>+'ENCUESTA CONDUCTORES'!BS450</f>
        <v>0</v>
      </c>
      <c r="BL450" s="15">
        <f>IF('ENCUESTA CONDUCTORES'!BT450="X",1,0)</f>
        <v>0</v>
      </c>
      <c r="BM450" s="15">
        <f>IF('ENCUESTA CONDUCTORES'!BU450="X",1,0)</f>
        <v>0</v>
      </c>
      <c r="BN450" s="15">
        <f>IF('ENCUESTA CONDUCTORES'!BV450="X",1,0)</f>
        <v>1</v>
      </c>
      <c r="BO450" s="15">
        <f>IF('ENCUESTA CONDUCTORES'!BW450="X",1,0)</f>
        <v>0</v>
      </c>
      <c r="BP450" s="15">
        <f>+'ENCUESTA CONDUCTORES'!BX450</f>
        <v>2</v>
      </c>
      <c r="BQ450" s="15">
        <f>+'ENCUESTA CONDUCTORES'!BY450</f>
        <v>3</v>
      </c>
      <c r="BR450" s="15">
        <f>+'ENCUESTA CONDUCTORES'!BZ450</f>
        <v>1</v>
      </c>
      <c r="BS450" s="15">
        <f>+'ENCUESTA CONDUCTORES'!CA450</f>
        <v>0</v>
      </c>
      <c r="BT450" s="15">
        <f>IF('ENCUESTA CONDUCTORES'!CB450="X",1,0)</f>
        <v>0</v>
      </c>
      <c r="BU450" s="15">
        <f>IF('ENCUESTA CONDUCTORES'!CC450="X",1,0)</f>
        <v>1</v>
      </c>
      <c r="BV450" s="15">
        <f>IF('ENCUESTA CONDUCTORES'!CD450="X",1,0)</f>
        <v>0</v>
      </c>
      <c r="BW450" s="15">
        <f>IF('ENCUESTA CONDUCTORES'!CE450="X",1,0)</f>
        <v>0</v>
      </c>
      <c r="BX450" s="15">
        <f>IF('ENCUESTA CONDUCTORES'!CF450="X",1,0)</f>
        <v>0</v>
      </c>
      <c r="BY450" s="15">
        <f>IF('ENCUESTA CONDUCTORES'!CG450="X",1,0)</f>
        <v>0</v>
      </c>
      <c r="BZ450" s="15">
        <f>IF('ENCUESTA CONDUCTORES'!CH450="X",1,0)</f>
        <v>0</v>
      </c>
      <c r="CA450" s="15">
        <f>IF('ENCUESTA CONDUCTORES'!CI450="X",1,0)</f>
        <v>1</v>
      </c>
      <c r="CB450" s="15">
        <f>IF('ENCUESTA CONDUCTORES'!CJ450="X",1,0)</f>
        <v>0</v>
      </c>
      <c r="CC450" s="15">
        <f>IF('ENCUESTA CONDUCTORES'!CK450="X",1,0)</f>
        <v>1</v>
      </c>
      <c r="CD450" s="15">
        <f>IF('ENCUESTA CONDUCTORES'!CL450="X",1,0)</f>
        <v>0</v>
      </c>
      <c r="CE450" s="15">
        <f>IF('ENCUESTA CONDUCTORES'!CM450="X",1,0)</f>
        <v>0</v>
      </c>
      <c r="CF450" s="15">
        <f>+'ENCUESTA CONDUCTORES'!CN450</f>
        <v>0</v>
      </c>
      <c r="CG450" s="15">
        <f>IF('ENCUESTA CONDUCTORES'!CO450="X",1,0)</f>
        <v>0</v>
      </c>
      <c r="CH450" s="15" t="str">
        <f>+'ENCUESTA CONDUCTORES'!CP450</f>
        <v>NO SABE</v>
      </c>
      <c r="CI450" s="15" t="str">
        <f>+'ENCUESTA CONDUCTORES'!CQ450</f>
        <v>NO SABE</v>
      </c>
      <c r="CJ450" s="15">
        <f>IF('ENCUESTA CONDUCTORES'!CR450="X",1,0)</f>
        <v>0</v>
      </c>
      <c r="CK450" s="15">
        <f>IF('ENCUESTA CONDUCTORES'!CS450="X",1,0)</f>
        <v>0</v>
      </c>
      <c r="CL450" s="15">
        <f>IF('ENCUESTA CONDUCTORES'!CT450="X",1,0)</f>
        <v>1</v>
      </c>
      <c r="CM450" s="15">
        <f>+'ENCUESTA CONDUCTORES'!CU450</f>
        <v>0</v>
      </c>
      <c r="CN450" s="15">
        <f>IF('ENCUESTA CONDUCTORES'!CV450="X",1,0)</f>
        <v>0</v>
      </c>
      <c r="CO450" s="15">
        <f>+'ENCUESTA CONDUCTORES'!CW450</f>
        <v>0</v>
      </c>
      <c r="CP450" s="15">
        <f>IF('ENCUESTA CONDUCTORES'!CX450="X",1,0)</f>
        <v>0</v>
      </c>
      <c r="CQ450" s="15">
        <f>IF('ENCUESTA CONDUCTORES'!CY450="X",1,0)</f>
        <v>1</v>
      </c>
      <c r="CR450" s="3">
        <f>+'ENCUESTA CONDUCTORES'!CZ450</f>
        <v>0</v>
      </c>
      <c r="CS450" s="49">
        <f>+'ENCUESTA CONDUCTORES'!DA450</f>
        <v>0</v>
      </c>
    </row>
    <row r="451" spans="2:97" x14ac:dyDescent="0.25">
      <c r="B451" s="14" t="str">
        <f>+'ENCUESTA CONDUCTORES'!D451</f>
        <v>C-462</v>
      </c>
      <c r="C451" s="15">
        <f>IF('ENCUESTA CONDUCTORES'!E451="X",1,0)</f>
        <v>0</v>
      </c>
      <c r="D451" s="15">
        <f>IF('ENCUESTA CONDUCTORES'!F451="X",1,0)</f>
        <v>1</v>
      </c>
      <c r="E451" s="15">
        <f>IF('ENCUESTA CONDUCTORES'!G451="X",1,0)</f>
        <v>0</v>
      </c>
      <c r="F451" s="15">
        <f>IF('ENCUESTA CONDUCTORES'!H451="X",1,0)</f>
        <v>0</v>
      </c>
      <c r="G451" s="15">
        <f>+'ENCUESTA CONDUCTORES'!I451</f>
        <v>39</v>
      </c>
      <c r="H451" s="15" t="str">
        <f>+'ENCUESTA CONDUCTORES'!J451</f>
        <v>M</v>
      </c>
      <c r="I451" s="15" t="str">
        <f>+'ENCUESTA CONDUCTORES'!K451</f>
        <v>PRIMARIA</v>
      </c>
      <c r="J451" s="15" t="str">
        <f>+'ENCUESTA CONDUCTORES'!L451</f>
        <v>CD. JUAREZ, CHIHUAHUA</v>
      </c>
      <c r="K451" s="15" t="str">
        <f>+'ENCUESTA CONDUCTORES'!M451</f>
        <v>CD. JUAREZ</v>
      </c>
      <c r="L451" s="15" t="str">
        <f>+'ENCUESTA CONDUCTORES'!N451</f>
        <v>CHIHUAHUA</v>
      </c>
      <c r="M451" s="15">
        <f>+'ENCUESTA CONDUCTORES'!O451</f>
        <v>11</v>
      </c>
      <c r="N451" s="15">
        <f>IF('ENCUESTA CONDUCTORES'!P451="X",1,0)</f>
        <v>0</v>
      </c>
      <c r="O451" s="15">
        <f>IF('ENCUESTA CONDUCTORES'!Q451="X",1,0)</f>
        <v>0</v>
      </c>
      <c r="P451" s="15">
        <f>IF('ENCUESTA CONDUCTORES'!R451="X",1,0)</f>
        <v>0</v>
      </c>
      <c r="Q451" s="15">
        <f>IF('ENCUESTA CONDUCTORES'!S451="X",1,0)</f>
        <v>1</v>
      </c>
      <c r="R451" s="15">
        <f>IF('ENCUESTA CONDUCTORES'!T451="X",1,0)</f>
        <v>0</v>
      </c>
      <c r="S451" s="15">
        <f>IF('ENCUESTA CONDUCTORES'!U451="X",1,0)</f>
        <v>0</v>
      </c>
      <c r="T451" s="15">
        <f>IF('ENCUESTA CONDUCTORES'!V451="X",1,0)</f>
        <v>0</v>
      </c>
      <c r="U451" s="15">
        <f>IF('ENCUESTA CONDUCTORES'!W451="X",1,0)</f>
        <v>0</v>
      </c>
      <c r="V451" s="15">
        <f>IF('ENCUESTA CONDUCTORES'!X451="X",1,0)</f>
        <v>0</v>
      </c>
      <c r="W451" s="15">
        <f>IF('ENCUESTA CONDUCTORES'!Y451="X",1,0)</f>
        <v>0</v>
      </c>
      <c r="X451" s="15">
        <f>IF('ENCUESTA CONDUCTORES'!Z451="X",1,0)</f>
        <v>0</v>
      </c>
      <c r="Y451" s="15">
        <f>+'ENCUESTA CONDUCTORES'!AG451</f>
        <v>0</v>
      </c>
      <c r="Z451" s="15">
        <f>+'ENCUESTA CONDUCTORES'!AH451</f>
        <v>1995</v>
      </c>
      <c r="AA451" s="1">
        <f>+'ENCUESTA CONDUCTORES'!AI451</f>
        <v>61367</v>
      </c>
      <c r="AB451" s="15">
        <f>IF('ENCUESTA CONDUCTORES'!AJ451="X",1,0)</f>
        <v>0</v>
      </c>
      <c r="AC451" s="15">
        <f>IF('ENCUESTA CONDUCTORES'!AK451="X",1,0)</f>
        <v>0</v>
      </c>
      <c r="AD451" s="15">
        <f>IF('ENCUESTA CONDUCTORES'!AL451="X",1,0)</f>
        <v>1</v>
      </c>
      <c r="AE451" s="15">
        <f>IF('ENCUESTA CONDUCTORES'!AM451="X",1,0)</f>
        <v>0</v>
      </c>
      <c r="AF451" s="15">
        <f>IF('ENCUESTA CONDUCTORES'!AN451="X",1,0)</f>
        <v>0</v>
      </c>
      <c r="AG451" s="15">
        <f>IF('ENCUESTA CONDUCTORES'!AO451="X",1,0)</f>
        <v>0</v>
      </c>
      <c r="AH451" s="15">
        <f>IF('ENCUESTA CONDUCTORES'!AP451="X",1,0)</f>
        <v>1</v>
      </c>
      <c r="AI451" s="15">
        <f>IF('ENCUESTA CONDUCTORES'!AQ451="X",1,0)</f>
        <v>0</v>
      </c>
      <c r="AJ451" s="15">
        <f>IF('ENCUESTA CONDUCTORES'!AR451="X",1,0)</f>
        <v>0</v>
      </c>
      <c r="AK451" s="15">
        <f>+'ENCUESTA CONDUCTORES'!AS451</f>
        <v>0</v>
      </c>
      <c r="AL451" s="15" t="str">
        <f>+'ENCUESTA CONDUCTORES'!AT451</f>
        <v>NO SABE</v>
      </c>
      <c r="AM451" s="1">
        <f>+'ENCUESTA CONDUCTORES'!AU451</f>
        <v>8000</v>
      </c>
      <c r="AN451" s="48">
        <f>+'ENCUESTA CONDUCTORES'!AV451</f>
        <v>0.5</v>
      </c>
      <c r="AO451" s="15">
        <f>+'ENCUESTA CONDUCTORES'!AW451</f>
        <v>2.1</v>
      </c>
      <c r="AP451" s="15">
        <f>+'ENCUESTA CONDUCTORES'!AX451</f>
        <v>1.7</v>
      </c>
      <c r="AQ451" s="15">
        <f>+'ENCUESTA CONDUCTORES'!AY451</f>
        <v>2</v>
      </c>
      <c r="AR451" s="15">
        <f>+'ENCUESTA CONDUCTORES'!AZ451</f>
        <v>400</v>
      </c>
      <c r="AS451" s="15">
        <f>+'ENCUESTA CONDUCTORES'!BA451</f>
        <v>1400</v>
      </c>
      <c r="AT451" s="15">
        <f>IF('ENCUESTA CONDUCTORES'!BB451="X",1,0)</f>
        <v>1</v>
      </c>
      <c r="AU451" s="15">
        <f>IF('ENCUESTA CONDUCTORES'!BC451="X",1,0)</f>
        <v>1</v>
      </c>
      <c r="AV451" s="15">
        <f>IF('ENCUESTA CONDUCTORES'!BD451="X",1,0)</f>
        <v>1</v>
      </c>
      <c r="AW451" s="1">
        <f>+'ENCUESTA CONDUCTORES'!BE451</f>
        <v>8000</v>
      </c>
      <c r="AX451" s="1">
        <f>+'ENCUESTA CONDUCTORES'!BF451</f>
        <v>6000</v>
      </c>
      <c r="AY451" s="1">
        <f>+'ENCUESTA CONDUCTORES'!BG451</f>
        <v>17000</v>
      </c>
      <c r="AZ451" s="1">
        <f>+'ENCUESTA CONDUCTORES'!BH451</f>
        <v>130000</v>
      </c>
      <c r="BA451" s="1">
        <f>+'ENCUESTA CONDUCTORES'!BI451</f>
        <v>17000</v>
      </c>
      <c r="BB451" s="15">
        <f>IF('ENCUESTA CONDUCTORES'!BJ451="X",1,0)</f>
        <v>0</v>
      </c>
      <c r="BC451" s="15">
        <f>IF('ENCUESTA CONDUCTORES'!BK451="X",1,0)</f>
        <v>0</v>
      </c>
      <c r="BD451" s="15">
        <f>IF('ENCUESTA CONDUCTORES'!BL451="X",1,0)</f>
        <v>0</v>
      </c>
      <c r="BE451" s="15">
        <f>IF('ENCUESTA CONDUCTORES'!BM451="X",1,0)</f>
        <v>0</v>
      </c>
      <c r="BF451" s="15">
        <f>IF('ENCUESTA CONDUCTORES'!BN451="X",1,0)</f>
        <v>1</v>
      </c>
      <c r="BG451" s="15">
        <f>IF('ENCUESTA CONDUCTORES'!BO451="X",1,0)</f>
        <v>0</v>
      </c>
      <c r="BH451" s="15">
        <f>IF('ENCUESTA CONDUCTORES'!BP451="X",1,0)</f>
        <v>0</v>
      </c>
      <c r="BI451" s="15">
        <f>IF('ENCUESTA CONDUCTORES'!BQ451="X",1,0)</f>
        <v>0</v>
      </c>
      <c r="BJ451" s="15">
        <f>IF('ENCUESTA CONDUCTORES'!BR451="X",1,0)</f>
        <v>0</v>
      </c>
      <c r="BK451" s="15">
        <f>+'ENCUESTA CONDUCTORES'!BS451</f>
        <v>0</v>
      </c>
      <c r="BL451" s="15">
        <f>IF('ENCUESTA CONDUCTORES'!BT451="X",1,0)</f>
        <v>0</v>
      </c>
      <c r="BM451" s="15">
        <f>IF('ENCUESTA CONDUCTORES'!BU451="X",1,0)</f>
        <v>0</v>
      </c>
      <c r="BN451" s="15">
        <f>IF('ENCUESTA CONDUCTORES'!BV451="X",1,0)</f>
        <v>1</v>
      </c>
      <c r="BO451" s="15">
        <f>IF('ENCUESTA CONDUCTORES'!BW451="X",1,0)</f>
        <v>0</v>
      </c>
      <c r="BP451" s="15">
        <f>+'ENCUESTA CONDUCTORES'!BX451</f>
        <v>1</v>
      </c>
      <c r="BQ451" s="15">
        <f>+'ENCUESTA CONDUCTORES'!BY451</f>
        <v>3</v>
      </c>
      <c r="BR451" s="15">
        <f>+'ENCUESTA CONDUCTORES'!BZ451</f>
        <v>2</v>
      </c>
      <c r="BS451" s="15">
        <f>+'ENCUESTA CONDUCTORES'!CA451</f>
        <v>0</v>
      </c>
      <c r="BT451" s="15">
        <f>IF('ENCUESTA CONDUCTORES'!CB451="X",1,0)</f>
        <v>1</v>
      </c>
      <c r="BU451" s="15">
        <f>IF('ENCUESTA CONDUCTORES'!CC451="X",1,0)</f>
        <v>0</v>
      </c>
      <c r="BV451" s="15">
        <f>IF('ENCUESTA CONDUCTORES'!CD451="X",1,0)</f>
        <v>0</v>
      </c>
      <c r="BW451" s="15">
        <f>IF('ENCUESTA CONDUCTORES'!CE451="X",1,0)</f>
        <v>0</v>
      </c>
      <c r="BX451" s="15">
        <f>IF('ENCUESTA CONDUCTORES'!CF451="X",1,0)</f>
        <v>0</v>
      </c>
      <c r="BY451" s="15">
        <f>IF('ENCUESTA CONDUCTORES'!CG451="X",1,0)</f>
        <v>0</v>
      </c>
      <c r="BZ451" s="15">
        <f>IF('ENCUESTA CONDUCTORES'!CH451="X",1,0)</f>
        <v>0</v>
      </c>
      <c r="CA451" s="15">
        <f>IF('ENCUESTA CONDUCTORES'!CI451="X",1,0)</f>
        <v>0</v>
      </c>
      <c r="CB451" s="15">
        <f>IF('ENCUESTA CONDUCTORES'!CJ451="X",1,0)</f>
        <v>0</v>
      </c>
      <c r="CC451" s="15">
        <f>IF('ENCUESTA CONDUCTORES'!CK451="X",1,0)</f>
        <v>0</v>
      </c>
      <c r="CD451" s="15">
        <f>IF('ENCUESTA CONDUCTORES'!CL451="X",1,0)</f>
        <v>1</v>
      </c>
      <c r="CE451" s="15">
        <f>IF('ENCUESTA CONDUCTORES'!CM451="X",1,0)</f>
        <v>0</v>
      </c>
      <c r="CF451" s="15">
        <f>+'ENCUESTA CONDUCTORES'!CN451</f>
        <v>0</v>
      </c>
      <c r="CG451" s="15">
        <f>IF('ENCUESTA CONDUCTORES'!CO451="X",1,0)</f>
        <v>1</v>
      </c>
      <c r="CH451" s="15" t="str">
        <f>+'ENCUESTA CONDUCTORES'!CP451</f>
        <v>MUY BUENO SE REDUJO CONSUMO Y CONTAMINACION</v>
      </c>
      <c r="CI451" s="15" t="str">
        <f>+'ENCUESTA CONDUCTORES'!CQ451</f>
        <v>QUE SE IMPLEMENTE</v>
      </c>
      <c r="CJ451" s="15">
        <f>IF('ENCUESTA CONDUCTORES'!CR451="X",1,0)</f>
        <v>0</v>
      </c>
      <c r="CK451" s="15">
        <f>IF('ENCUESTA CONDUCTORES'!CS451="X",1,0)</f>
        <v>1</v>
      </c>
      <c r="CL451" s="15">
        <f>IF('ENCUESTA CONDUCTORES'!CT451="X",1,0)</f>
        <v>0</v>
      </c>
      <c r="CM451" s="15">
        <f>+'ENCUESTA CONDUCTORES'!CU451</f>
        <v>0</v>
      </c>
      <c r="CN451" s="15">
        <f>IF('ENCUESTA CONDUCTORES'!CV451="X",1,0)</f>
        <v>0</v>
      </c>
      <c r="CO451" s="15">
        <f>+'ENCUESTA CONDUCTORES'!CW451</f>
        <v>0</v>
      </c>
      <c r="CP451" s="15">
        <f>IF('ENCUESTA CONDUCTORES'!CX451="X",1,0)</f>
        <v>0</v>
      </c>
      <c r="CQ451" s="15">
        <f>IF('ENCUESTA CONDUCTORES'!CY451="X",1,0)</f>
        <v>1</v>
      </c>
      <c r="CR451" s="3">
        <f>+'ENCUESTA CONDUCTORES'!CZ451</f>
        <v>0</v>
      </c>
      <c r="CS451" s="49">
        <f>+'ENCUESTA CONDUCTORES'!DA451</f>
        <v>0</v>
      </c>
    </row>
    <row r="452" spans="2:97" x14ac:dyDescent="0.25">
      <c r="B452" s="14" t="str">
        <f>+'ENCUESTA CONDUCTORES'!D452</f>
        <v>C-463</v>
      </c>
      <c r="C452" s="15">
        <f>IF('ENCUESTA CONDUCTORES'!E452="X",1,0)</f>
        <v>0</v>
      </c>
      <c r="D452" s="15">
        <f>IF('ENCUESTA CONDUCTORES'!F452="X",1,0)</f>
        <v>0</v>
      </c>
      <c r="E452" s="15">
        <f>IF('ENCUESTA CONDUCTORES'!G452="X",1,0)</f>
        <v>0</v>
      </c>
      <c r="F452" s="15">
        <f>IF('ENCUESTA CONDUCTORES'!H452="X",1,0)</f>
        <v>1</v>
      </c>
      <c r="G452" s="15">
        <f>+'ENCUESTA CONDUCTORES'!I452</f>
        <v>49</v>
      </c>
      <c r="H452" s="15" t="str">
        <f>+'ENCUESTA CONDUCTORES'!J452</f>
        <v>M</v>
      </c>
      <c r="I452" s="15" t="str">
        <f>+'ENCUESTA CONDUCTORES'!K452</f>
        <v>SECUNDARIA</v>
      </c>
      <c r="J452" s="15" t="str">
        <f>+'ENCUESTA CONDUCTORES'!L452</f>
        <v>CD. JUAREZ, CHIHUAHUA</v>
      </c>
      <c r="K452" s="15" t="str">
        <f>+'ENCUESTA CONDUCTORES'!M452</f>
        <v>CD. JUAREZ</v>
      </c>
      <c r="L452" s="15" t="str">
        <f>+'ENCUESTA CONDUCTORES'!N452</f>
        <v>CHIHUAHUA</v>
      </c>
      <c r="M452" s="15">
        <f>+'ENCUESTA CONDUCTORES'!O452</f>
        <v>13</v>
      </c>
      <c r="N452" s="15">
        <f>IF('ENCUESTA CONDUCTORES'!P452="X",1,0)</f>
        <v>0</v>
      </c>
      <c r="O452" s="15">
        <f>IF('ENCUESTA CONDUCTORES'!Q452="X",1,0)</f>
        <v>0</v>
      </c>
      <c r="P452" s="15">
        <f>IF('ENCUESTA CONDUCTORES'!R452="X",1,0)</f>
        <v>0</v>
      </c>
      <c r="Q452" s="15">
        <f>IF('ENCUESTA CONDUCTORES'!S452="X",1,0)</f>
        <v>1</v>
      </c>
      <c r="R452" s="15">
        <f>IF('ENCUESTA CONDUCTORES'!T452="X",1,0)</f>
        <v>0</v>
      </c>
      <c r="S452" s="15">
        <f>IF('ENCUESTA CONDUCTORES'!U452="X",1,0)</f>
        <v>1</v>
      </c>
      <c r="T452" s="15">
        <f>IF('ENCUESTA CONDUCTORES'!V452="X",1,0)</f>
        <v>0</v>
      </c>
      <c r="U452" s="15">
        <f>IF('ENCUESTA CONDUCTORES'!W452="X",1,0)</f>
        <v>0</v>
      </c>
      <c r="V452" s="15">
        <f>IF('ENCUESTA CONDUCTORES'!X452="X",1,0)</f>
        <v>0</v>
      </c>
      <c r="W452" s="15">
        <f>IF('ENCUESTA CONDUCTORES'!Y452="X",1,0)</f>
        <v>0</v>
      </c>
      <c r="X452" s="15">
        <f>IF('ENCUESTA CONDUCTORES'!Z452="X",1,0)</f>
        <v>0</v>
      </c>
      <c r="Y452" s="15">
        <f>+'ENCUESTA CONDUCTORES'!AG452</f>
        <v>0</v>
      </c>
      <c r="Z452" s="15">
        <f>+'ENCUESTA CONDUCTORES'!AH452</f>
        <v>1994</v>
      </c>
      <c r="AA452" s="1" t="str">
        <f>+'ENCUESTA CONDUCTORES'!AI452</f>
        <v>NO SABE</v>
      </c>
      <c r="AB452" s="15">
        <f>IF('ENCUESTA CONDUCTORES'!AJ452="X",1,0)</f>
        <v>0</v>
      </c>
      <c r="AC452" s="15">
        <f>IF('ENCUESTA CONDUCTORES'!AK452="X",1,0)</f>
        <v>0</v>
      </c>
      <c r="AD452" s="15">
        <f>IF('ENCUESTA CONDUCTORES'!AL452="X",1,0)</f>
        <v>1</v>
      </c>
      <c r="AE452" s="15">
        <f>IF('ENCUESTA CONDUCTORES'!AM452="X",1,0)</f>
        <v>0</v>
      </c>
      <c r="AF452" s="15">
        <f>IF('ENCUESTA CONDUCTORES'!AN452="X",1,0)</f>
        <v>0</v>
      </c>
      <c r="AG452" s="15">
        <f>IF('ENCUESTA CONDUCTORES'!AO452="X",1,0)</f>
        <v>0</v>
      </c>
      <c r="AH452" s="15">
        <f>IF('ENCUESTA CONDUCTORES'!AP452="X",1,0)</f>
        <v>1</v>
      </c>
      <c r="AI452" s="15">
        <f>IF('ENCUESTA CONDUCTORES'!AQ452="X",1,0)</f>
        <v>0</v>
      </c>
      <c r="AJ452" s="15">
        <f>IF('ENCUESTA CONDUCTORES'!AR452="X",1,0)</f>
        <v>0</v>
      </c>
      <c r="AK452" s="15">
        <f>+'ENCUESTA CONDUCTORES'!AS452</f>
        <v>0</v>
      </c>
      <c r="AL452" s="15" t="str">
        <f>+'ENCUESTA CONDUCTORES'!AT452</f>
        <v>CUMMINS</v>
      </c>
      <c r="AM452" s="1">
        <f>+'ENCUESTA CONDUCTORES'!AU452</f>
        <v>8000</v>
      </c>
      <c r="AN452" s="48">
        <f>+'ENCUESTA CONDUCTORES'!AV452</f>
        <v>0.5</v>
      </c>
      <c r="AO452" s="15">
        <f>+'ENCUESTA CONDUCTORES'!AW452</f>
        <v>2.5</v>
      </c>
      <c r="AP452" s="15">
        <f>+'ENCUESTA CONDUCTORES'!AX452</f>
        <v>2</v>
      </c>
      <c r="AQ452" s="15">
        <f>+'ENCUESTA CONDUCTORES'!AY452</f>
        <v>1</v>
      </c>
      <c r="AR452" s="15">
        <f>+'ENCUESTA CONDUCTORES'!AZ452</f>
        <v>350</v>
      </c>
      <c r="AS452" s="15">
        <f>+'ENCUESTA CONDUCTORES'!BA452</f>
        <v>1500</v>
      </c>
      <c r="AT452" s="15">
        <f>IF('ENCUESTA CONDUCTORES'!BB452="X",1,0)</f>
        <v>1</v>
      </c>
      <c r="AU452" s="15">
        <f>IF('ENCUESTA CONDUCTORES'!BC452="X",1,0)</f>
        <v>1</v>
      </c>
      <c r="AV452" s="15">
        <f>IF('ENCUESTA CONDUCTORES'!BD452="X",1,0)</f>
        <v>0</v>
      </c>
      <c r="AW452" s="1">
        <f>+'ENCUESTA CONDUCTORES'!BE452</f>
        <v>15000</v>
      </c>
      <c r="AX452" s="1">
        <f>+'ENCUESTA CONDUCTORES'!BF452</f>
        <v>10000</v>
      </c>
      <c r="AY452" s="1">
        <f>+'ENCUESTA CONDUCTORES'!BG452</f>
        <v>22000</v>
      </c>
      <c r="AZ452" s="1">
        <f>+'ENCUESTA CONDUCTORES'!BH452</f>
        <v>150000</v>
      </c>
      <c r="BA452" s="1">
        <f>+'ENCUESTA CONDUCTORES'!BI452</f>
        <v>22000</v>
      </c>
      <c r="BB452" s="15">
        <f>IF('ENCUESTA CONDUCTORES'!BJ452="X",1,0)</f>
        <v>0</v>
      </c>
      <c r="BC452" s="15">
        <f>IF('ENCUESTA CONDUCTORES'!BK452="X",1,0)</f>
        <v>0</v>
      </c>
      <c r="BD452" s="15">
        <f>IF('ENCUESTA CONDUCTORES'!BL452="X",1,0)</f>
        <v>0</v>
      </c>
      <c r="BE452" s="15">
        <f>IF('ENCUESTA CONDUCTORES'!BM452="X",1,0)</f>
        <v>0</v>
      </c>
      <c r="BF452" s="15">
        <f>IF('ENCUESTA CONDUCTORES'!BN452="X",1,0)</f>
        <v>1</v>
      </c>
      <c r="BG452" s="15">
        <f>IF('ENCUESTA CONDUCTORES'!BO452="X",1,0)</f>
        <v>0</v>
      </c>
      <c r="BH452" s="15">
        <f>IF('ENCUESTA CONDUCTORES'!BP452="X",1,0)</f>
        <v>1</v>
      </c>
      <c r="BI452" s="15">
        <f>IF('ENCUESTA CONDUCTORES'!BQ452="X",1,0)</f>
        <v>0</v>
      </c>
      <c r="BJ452" s="15">
        <f>IF('ENCUESTA CONDUCTORES'!BR452="X",1,0)</f>
        <v>0</v>
      </c>
      <c r="BK452" s="15">
        <f>+'ENCUESTA CONDUCTORES'!BS452</f>
        <v>0</v>
      </c>
      <c r="BL452" s="15">
        <f>IF('ENCUESTA CONDUCTORES'!BT452="X",1,0)</f>
        <v>0</v>
      </c>
      <c r="BM452" s="15">
        <f>IF('ENCUESTA CONDUCTORES'!BU452="X",1,0)</f>
        <v>0</v>
      </c>
      <c r="BN452" s="15">
        <f>IF('ENCUESTA CONDUCTORES'!BV452="X",1,0)</f>
        <v>1</v>
      </c>
      <c r="BO452" s="15">
        <f>IF('ENCUESTA CONDUCTORES'!BW452="X",1,0)</f>
        <v>0</v>
      </c>
      <c r="BP452" s="15">
        <f>+'ENCUESTA CONDUCTORES'!BX452</f>
        <v>2</v>
      </c>
      <c r="BQ452" s="15">
        <f>+'ENCUESTA CONDUCTORES'!BY452</f>
        <v>1</v>
      </c>
      <c r="BR452" s="15">
        <f>+'ENCUESTA CONDUCTORES'!BZ452</f>
        <v>3</v>
      </c>
      <c r="BS452" s="15">
        <f>+'ENCUESTA CONDUCTORES'!CA452</f>
        <v>0</v>
      </c>
      <c r="BT452" s="15">
        <f>IF('ENCUESTA CONDUCTORES'!CB452="X",1,0)</f>
        <v>0</v>
      </c>
      <c r="BU452" s="15">
        <f>IF('ENCUESTA CONDUCTORES'!CC452="X",1,0)</f>
        <v>1</v>
      </c>
      <c r="BV452" s="15">
        <f>IF('ENCUESTA CONDUCTORES'!CD452="X",1,0)</f>
        <v>0</v>
      </c>
      <c r="BW452" s="15">
        <f>IF('ENCUESTA CONDUCTORES'!CE452="X",1,0)</f>
        <v>0</v>
      </c>
      <c r="BX452" s="15">
        <f>IF('ENCUESTA CONDUCTORES'!CF452="X",1,0)</f>
        <v>0</v>
      </c>
      <c r="BY452" s="15">
        <f>IF('ENCUESTA CONDUCTORES'!CG452="X",1,0)</f>
        <v>0</v>
      </c>
      <c r="BZ452" s="15">
        <f>IF('ENCUESTA CONDUCTORES'!CH452="X",1,0)</f>
        <v>0</v>
      </c>
      <c r="CA452" s="15">
        <f>IF('ENCUESTA CONDUCTORES'!CI452="X",1,0)</f>
        <v>1</v>
      </c>
      <c r="CB452" s="15">
        <f>IF('ENCUESTA CONDUCTORES'!CJ452="X",1,0)</f>
        <v>0</v>
      </c>
      <c r="CC452" s="15">
        <f>IF('ENCUESTA CONDUCTORES'!CK452="X",1,0)</f>
        <v>0</v>
      </c>
      <c r="CD452" s="15">
        <f>IF('ENCUESTA CONDUCTORES'!CL452="X",1,0)</f>
        <v>1</v>
      </c>
      <c r="CE452" s="15">
        <f>IF('ENCUESTA CONDUCTORES'!CM452="X",1,0)</f>
        <v>0</v>
      </c>
      <c r="CF452" s="15">
        <f>+'ENCUESTA CONDUCTORES'!CN452</f>
        <v>0</v>
      </c>
      <c r="CG452" s="15">
        <f>IF('ENCUESTA CONDUCTORES'!CO452="X",1,0)</f>
        <v>1</v>
      </c>
      <c r="CH452" s="15" t="str">
        <f>+'ENCUESTA CONDUCTORES'!CP452</f>
        <v>ES BUENO</v>
      </c>
      <c r="CI452" s="15">
        <f>+'ENCUESTA CONDUCTORES'!CQ452</f>
        <v>0</v>
      </c>
      <c r="CJ452" s="15">
        <f>IF('ENCUESTA CONDUCTORES'!CR452="X",1,0)</f>
        <v>0</v>
      </c>
      <c r="CK452" s="15">
        <f>IF('ENCUESTA CONDUCTORES'!CS452="X",1,0)</f>
        <v>1</v>
      </c>
      <c r="CL452" s="15">
        <f>IF('ENCUESTA CONDUCTORES'!CT452="X",1,0)</f>
        <v>0</v>
      </c>
      <c r="CM452" s="15">
        <f>+'ENCUESTA CONDUCTORES'!CU452</f>
        <v>0</v>
      </c>
      <c r="CN452" s="15">
        <f>IF('ENCUESTA CONDUCTORES'!CV452="X",1,0)</f>
        <v>0</v>
      </c>
      <c r="CO452" s="15">
        <f>+'ENCUESTA CONDUCTORES'!CW452</f>
        <v>0</v>
      </c>
      <c r="CP452" s="15">
        <f>IF('ENCUESTA CONDUCTORES'!CX452="X",1,0)</f>
        <v>0</v>
      </c>
      <c r="CQ452" s="15">
        <f>IF('ENCUESTA CONDUCTORES'!CY452="X",1,0)</f>
        <v>1</v>
      </c>
      <c r="CR452" s="3">
        <f>+'ENCUESTA CONDUCTORES'!CZ452</f>
        <v>0</v>
      </c>
      <c r="CS452" s="49">
        <f>+'ENCUESTA CONDUCTORES'!DA452</f>
        <v>0</v>
      </c>
    </row>
    <row r="453" spans="2:97" x14ac:dyDescent="0.25">
      <c r="B453" s="14" t="str">
        <f>+'ENCUESTA CONDUCTORES'!D453</f>
        <v>C-464</v>
      </c>
      <c r="C453" s="15">
        <f>IF('ENCUESTA CONDUCTORES'!E453="X",1,0)</f>
        <v>0</v>
      </c>
      <c r="D453" s="15">
        <f>IF('ENCUESTA CONDUCTORES'!F453="X",1,0)</f>
        <v>0</v>
      </c>
      <c r="E453" s="15">
        <f>IF('ENCUESTA CONDUCTORES'!G453="X",1,0)</f>
        <v>0</v>
      </c>
      <c r="F453" s="15">
        <f>IF('ENCUESTA CONDUCTORES'!H453="X",1,0)</f>
        <v>1</v>
      </c>
      <c r="G453" s="15">
        <f>+'ENCUESTA CONDUCTORES'!I453</f>
        <v>36</v>
      </c>
      <c r="H453" s="15" t="str">
        <f>+'ENCUESTA CONDUCTORES'!J453</f>
        <v>M</v>
      </c>
      <c r="I453" s="15" t="str">
        <f>+'ENCUESTA CONDUCTORES'!K453</f>
        <v>SECUNDARIA</v>
      </c>
      <c r="J453" s="15" t="str">
        <f>+'ENCUESTA CONDUCTORES'!L453</f>
        <v>CD. JUAREZ, CHIHUAHUA</v>
      </c>
      <c r="K453" s="15" t="str">
        <f>+'ENCUESTA CONDUCTORES'!M453</f>
        <v>CD. JUAREZ</v>
      </c>
      <c r="L453" s="15" t="str">
        <f>+'ENCUESTA CONDUCTORES'!N453</f>
        <v>CHIHUAHUA</v>
      </c>
      <c r="M453" s="15">
        <f>+'ENCUESTA CONDUCTORES'!O453</f>
        <v>13</v>
      </c>
      <c r="N453" s="15">
        <f>IF('ENCUESTA CONDUCTORES'!P453="X",1,0)</f>
        <v>0</v>
      </c>
      <c r="O453" s="15">
        <f>IF('ENCUESTA CONDUCTORES'!Q453="X",1,0)</f>
        <v>0</v>
      </c>
      <c r="P453" s="15">
        <f>IF('ENCUESTA CONDUCTORES'!R453="X",1,0)</f>
        <v>0</v>
      </c>
      <c r="Q453" s="15">
        <f>IF('ENCUESTA CONDUCTORES'!S453="X",1,0)</f>
        <v>1</v>
      </c>
      <c r="R453" s="15">
        <f>IF('ENCUESTA CONDUCTORES'!T453="X",1,0)</f>
        <v>0</v>
      </c>
      <c r="S453" s="15">
        <f>IF('ENCUESTA CONDUCTORES'!U453="X",1,0)</f>
        <v>1</v>
      </c>
      <c r="T453" s="15">
        <f>IF('ENCUESTA CONDUCTORES'!V453="X",1,0)</f>
        <v>0</v>
      </c>
      <c r="U453" s="15">
        <f>IF('ENCUESTA CONDUCTORES'!W453="X",1,0)</f>
        <v>0</v>
      </c>
      <c r="V453" s="15">
        <f>IF('ENCUESTA CONDUCTORES'!X453="X",1,0)</f>
        <v>0</v>
      </c>
      <c r="W453" s="15">
        <f>IF('ENCUESTA CONDUCTORES'!Y453="X",1,0)</f>
        <v>0</v>
      </c>
      <c r="X453" s="15">
        <f>IF('ENCUESTA CONDUCTORES'!Z453="X",1,0)</f>
        <v>0</v>
      </c>
      <c r="Y453" s="15">
        <f>+'ENCUESTA CONDUCTORES'!AG453</f>
        <v>0</v>
      </c>
      <c r="Z453" s="15">
        <f>+'ENCUESTA CONDUCTORES'!AH453</f>
        <v>1992</v>
      </c>
      <c r="AA453" s="1">
        <f>+'ENCUESTA CONDUCTORES'!AI453</f>
        <v>1300000</v>
      </c>
      <c r="AB453" s="15">
        <f>IF('ENCUESTA CONDUCTORES'!AJ453="X",1,0)</f>
        <v>0</v>
      </c>
      <c r="AC453" s="15">
        <f>IF('ENCUESTA CONDUCTORES'!AK453="X",1,0)</f>
        <v>0</v>
      </c>
      <c r="AD453" s="15">
        <f>IF('ENCUESTA CONDUCTORES'!AL453="X",1,0)</f>
        <v>1</v>
      </c>
      <c r="AE453" s="15">
        <f>IF('ENCUESTA CONDUCTORES'!AM453="X",1,0)</f>
        <v>0</v>
      </c>
      <c r="AF453" s="15">
        <f>IF('ENCUESTA CONDUCTORES'!AN453="X",1,0)</f>
        <v>0</v>
      </c>
      <c r="AG453" s="15">
        <f>IF('ENCUESTA CONDUCTORES'!AO453="X",1,0)</f>
        <v>0</v>
      </c>
      <c r="AH453" s="15">
        <f>IF('ENCUESTA CONDUCTORES'!AP453="X",1,0)</f>
        <v>1</v>
      </c>
      <c r="AI453" s="15">
        <f>IF('ENCUESTA CONDUCTORES'!AQ453="X",1,0)</f>
        <v>0</v>
      </c>
      <c r="AJ453" s="15">
        <f>IF('ENCUESTA CONDUCTORES'!AR453="X",1,0)</f>
        <v>0</v>
      </c>
      <c r="AK453" s="15">
        <f>+'ENCUESTA CONDUCTORES'!AS453</f>
        <v>0</v>
      </c>
      <c r="AL453" s="15" t="str">
        <f>+'ENCUESTA CONDUCTORES'!AT453</f>
        <v>CUMMINS</v>
      </c>
      <c r="AM453" s="1">
        <f>+'ENCUESTA CONDUCTORES'!AU453</f>
        <v>6000</v>
      </c>
      <c r="AN453" s="48">
        <f>+'ENCUESTA CONDUCTORES'!AV453</f>
        <v>0.5</v>
      </c>
      <c r="AO453" s="15">
        <f>+'ENCUESTA CONDUCTORES'!AW453</f>
        <v>2.2999999999999998</v>
      </c>
      <c r="AP453" s="15">
        <f>+'ENCUESTA CONDUCTORES'!AX453</f>
        <v>2</v>
      </c>
      <c r="AQ453" s="15">
        <f>+'ENCUESTA CONDUCTORES'!AY453</f>
        <v>2</v>
      </c>
      <c r="AR453" s="15">
        <f>+'ENCUESTA CONDUCTORES'!AZ453</f>
        <v>400</v>
      </c>
      <c r="AS453" s="15">
        <f>+'ENCUESTA CONDUCTORES'!BA453</f>
        <v>1700</v>
      </c>
      <c r="AT453" s="15">
        <f>IF('ENCUESTA CONDUCTORES'!BB453="X",1,0)</f>
        <v>1</v>
      </c>
      <c r="AU453" s="15">
        <f>IF('ENCUESTA CONDUCTORES'!BC453="X",1,0)</f>
        <v>1</v>
      </c>
      <c r="AV453" s="15">
        <f>IF('ENCUESTA CONDUCTORES'!BD453="X",1,0)</f>
        <v>0</v>
      </c>
      <c r="AW453" s="1">
        <f>+'ENCUESTA CONDUCTORES'!BE453</f>
        <v>18000</v>
      </c>
      <c r="AX453" s="1">
        <f>+'ENCUESTA CONDUCTORES'!BF453</f>
        <v>15000</v>
      </c>
      <c r="AY453" s="1" t="str">
        <f>+'ENCUESTA CONDUCTORES'!BG453</f>
        <v>NO SABE</v>
      </c>
      <c r="AZ453" s="1">
        <f>+'ENCUESTA CONDUCTORES'!BH453</f>
        <v>120000</v>
      </c>
      <c r="BA453" s="1" t="str">
        <f>+'ENCUESTA CONDUCTORES'!BI453</f>
        <v>NO SABE</v>
      </c>
      <c r="BB453" s="15">
        <f>IF('ENCUESTA CONDUCTORES'!BJ453="X",1,0)</f>
        <v>0</v>
      </c>
      <c r="BC453" s="15">
        <f>IF('ENCUESTA CONDUCTORES'!BK453="X",1,0)</f>
        <v>0</v>
      </c>
      <c r="BD453" s="15">
        <f>IF('ENCUESTA CONDUCTORES'!BL453="X",1,0)</f>
        <v>0</v>
      </c>
      <c r="BE453" s="15">
        <f>IF('ENCUESTA CONDUCTORES'!BM453="X",1,0)</f>
        <v>0</v>
      </c>
      <c r="BF453" s="15">
        <f>IF('ENCUESTA CONDUCTORES'!BN453="X",1,0)</f>
        <v>1</v>
      </c>
      <c r="BG453" s="15">
        <f>IF('ENCUESTA CONDUCTORES'!BO453="X",1,0)</f>
        <v>0</v>
      </c>
      <c r="BH453" s="15">
        <f>IF('ENCUESTA CONDUCTORES'!BP453="X",1,0)</f>
        <v>0</v>
      </c>
      <c r="BI453" s="15">
        <f>IF('ENCUESTA CONDUCTORES'!BQ453="X",1,0)</f>
        <v>0</v>
      </c>
      <c r="BJ453" s="15">
        <f>IF('ENCUESTA CONDUCTORES'!BR453="X",1,0)</f>
        <v>0</v>
      </c>
      <c r="BK453" s="15">
        <f>+'ENCUESTA CONDUCTORES'!BS453</f>
        <v>0</v>
      </c>
      <c r="BL453" s="15">
        <f>IF('ENCUESTA CONDUCTORES'!BT453="X",1,0)</f>
        <v>0</v>
      </c>
      <c r="BM453" s="15">
        <f>IF('ENCUESTA CONDUCTORES'!BU453="X",1,0)</f>
        <v>0</v>
      </c>
      <c r="BN453" s="15">
        <f>IF('ENCUESTA CONDUCTORES'!BV453="X",1,0)</f>
        <v>1</v>
      </c>
      <c r="BO453" s="15">
        <f>IF('ENCUESTA CONDUCTORES'!BW453="X",1,0)</f>
        <v>0</v>
      </c>
      <c r="BP453" s="15">
        <f>+'ENCUESTA CONDUCTORES'!BX453</f>
        <v>1</v>
      </c>
      <c r="BQ453" s="15">
        <f>+'ENCUESTA CONDUCTORES'!BY453</f>
        <v>2</v>
      </c>
      <c r="BR453" s="15">
        <f>+'ENCUESTA CONDUCTORES'!BZ453</f>
        <v>3</v>
      </c>
      <c r="BS453" s="15">
        <f>+'ENCUESTA CONDUCTORES'!CA453</f>
        <v>0</v>
      </c>
      <c r="BT453" s="15">
        <f>IF('ENCUESTA CONDUCTORES'!CB453="X",1,0)</f>
        <v>1</v>
      </c>
      <c r="BU453" s="15">
        <f>IF('ENCUESTA CONDUCTORES'!CC453="X",1,0)</f>
        <v>0</v>
      </c>
      <c r="BV453" s="15">
        <f>IF('ENCUESTA CONDUCTORES'!CD453="X",1,0)</f>
        <v>0</v>
      </c>
      <c r="BW453" s="15">
        <f>IF('ENCUESTA CONDUCTORES'!CE453="X",1,0)</f>
        <v>0</v>
      </c>
      <c r="BX453" s="15">
        <f>IF('ENCUESTA CONDUCTORES'!CF453="X",1,0)</f>
        <v>0</v>
      </c>
      <c r="BY453" s="15">
        <f>IF('ENCUESTA CONDUCTORES'!CG453="X",1,0)</f>
        <v>0</v>
      </c>
      <c r="BZ453" s="15">
        <f>IF('ENCUESTA CONDUCTORES'!CH453="X",1,0)</f>
        <v>0</v>
      </c>
      <c r="CA453" s="15">
        <f>IF('ENCUESTA CONDUCTORES'!CI453="X",1,0)</f>
        <v>0</v>
      </c>
      <c r="CB453" s="15">
        <f>IF('ENCUESTA CONDUCTORES'!CJ453="X",1,0)</f>
        <v>0</v>
      </c>
      <c r="CC453" s="15">
        <f>IF('ENCUESTA CONDUCTORES'!CK453="X",1,0)</f>
        <v>1</v>
      </c>
      <c r="CD453" s="15">
        <f>IF('ENCUESTA CONDUCTORES'!CL453="X",1,0)</f>
        <v>0</v>
      </c>
      <c r="CE453" s="15">
        <f>IF('ENCUESTA CONDUCTORES'!CM453="X",1,0)</f>
        <v>0</v>
      </c>
      <c r="CF453" s="15">
        <f>+'ENCUESTA CONDUCTORES'!CN453</f>
        <v>0</v>
      </c>
      <c r="CG453" s="15">
        <f>IF('ENCUESTA CONDUCTORES'!CO453="X",1,0)</f>
        <v>0</v>
      </c>
      <c r="CH453" s="15" t="str">
        <f>+'ENCUESTA CONDUCTORES'!CP453</f>
        <v>NO SABE</v>
      </c>
      <c r="CI453" s="15" t="str">
        <f>+'ENCUESTA CONDUCTORES'!CQ453</f>
        <v>NO SABE</v>
      </c>
      <c r="CJ453" s="15">
        <f>IF('ENCUESTA CONDUCTORES'!CR453="X",1,0)</f>
        <v>0</v>
      </c>
      <c r="CK453" s="15">
        <f>IF('ENCUESTA CONDUCTORES'!CS453="X",1,0)</f>
        <v>1</v>
      </c>
      <c r="CL453" s="15">
        <f>IF('ENCUESTA CONDUCTORES'!CT453="X",1,0)</f>
        <v>0</v>
      </c>
      <c r="CM453" s="15">
        <f>+'ENCUESTA CONDUCTORES'!CU453</f>
        <v>0</v>
      </c>
      <c r="CN453" s="15">
        <f>IF('ENCUESTA CONDUCTORES'!CV453="X",1,0)</f>
        <v>0</v>
      </c>
      <c r="CO453" s="15">
        <f>+'ENCUESTA CONDUCTORES'!CW453</f>
        <v>0</v>
      </c>
      <c r="CP453" s="15">
        <f>IF('ENCUESTA CONDUCTORES'!CX453="X",1,0)</f>
        <v>0</v>
      </c>
      <c r="CQ453" s="15">
        <f>IF('ENCUESTA CONDUCTORES'!CY453="X",1,0)</f>
        <v>1</v>
      </c>
      <c r="CR453" s="3">
        <f>+'ENCUESTA CONDUCTORES'!CZ453</f>
        <v>0</v>
      </c>
      <c r="CS453" s="49">
        <f>+'ENCUESTA CONDUCTORES'!DA453</f>
        <v>0</v>
      </c>
    </row>
    <row r="454" spans="2:97" x14ac:dyDescent="0.25">
      <c r="B454" s="14" t="str">
        <f>+'ENCUESTA CONDUCTORES'!D454</f>
        <v>C-465</v>
      </c>
      <c r="C454" s="15">
        <f>IF('ENCUESTA CONDUCTORES'!E454="X",1,0)</f>
        <v>0</v>
      </c>
      <c r="D454" s="15">
        <f>IF('ENCUESTA CONDUCTORES'!F454="X",1,0)</f>
        <v>0</v>
      </c>
      <c r="E454" s="15">
        <f>IF('ENCUESTA CONDUCTORES'!G454="X",1,0)</f>
        <v>0</v>
      </c>
      <c r="F454" s="15">
        <f>IF('ENCUESTA CONDUCTORES'!H454="X",1,0)</f>
        <v>1</v>
      </c>
      <c r="G454" s="15">
        <f>+'ENCUESTA CONDUCTORES'!I454</f>
        <v>50</v>
      </c>
      <c r="H454" s="15" t="str">
        <f>+'ENCUESTA CONDUCTORES'!J454</f>
        <v>M</v>
      </c>
      <c r="I454" s="15" t="str">
        <f>+'ENCUESTA CONDUCTORES'!K454</f>
        <v>PREPARATORIA</v>
      </c>
      <c r="J454" s="15" t="str">
        <f>+'ENCUESTA CONDUCTORES'!L454</f>
        <v>CD. JUAREZ, CHIHUAHUA</v>
      </c>
      <c r="K454" s="15" t="str">
        <f>+'ENCUESTA CONDUCTORES'!M454</f>
        <v>CD. JUAREZ</v>
      </c>
      <c r="L454" s="15" t="str">
        <f>+'ENCUESTA CONDUCTORES'!N454</f>
        <v>CHIHUAHUA</v>
      </c>
      <c r="M454" s="15">
        <f>+'ENCUESTA CONDUCTORES'!O454</f>
        <v>5</v>
      </c>
      <c r="N454" s="15">
        <f>IF('ENCUESTA CONDUCTORES'!P454="X",1,0)</f>
        <v>0</v>
      </c>
      <c r="O454" s="15">
        <f>IF('ENCUESTA CONDUCTORES'!Q454="X",1,0)</f>
        <v>0</v>
      </c>
      <c r="P454" s="15">
        <f>IF('ENCUESTA CONDUCTORES'!R454="X",1,0)</f>
        <v>0</v>
      </c>
      <c r="Q454" s="15">
        <f>IF('ENCUESTA CONDUCTORES'!S454="X",1,0)</f>
        <v>1</v>
      </c>
      <c r="R454" s="15">
        <f>IF('ENCUESTA CONDUCTORES'!T454="X",1,0)</f>
        <v>0</v>
      </c>
      <c r="S454" s="15">
        <f>IF('ENCUESTA CONDUCTORES'!U454="X",1,0)</f>
        <v>1</v>
      </c>
      <c r="T454" s="15">
        <f>IF('ENCUESTA CONDUCTORES'!V454="X",1,0)</f>
        <v>0</v>
      </c>
      <c r="U454" s="15">
        <f>IF('ENCUESTA CONDUCTORES'!W454="X",1,0)</f>
        <v>0</v>
      </c>
      <c r="V454" s="15">
        <f>IF('ENCUESTA CONDUCTORES'!X454="X",1,0)</f>
        <v>0</v>
      </c>
      <c r="W454" s="15">
        <f>IF('ENCUESTA CONDUCTORES'!Y454="X",1,0)</f>
        <v>0</v>
      </c>
      <c r="X454" s="15">
        <f>IF('ENCUESTA CONDUCTORES'!Z454="X",1,0)</f>
        <v>0</v>
      </c>
      <c r="Y454" s="15">
        <f>+'ENCUESTA CONDUCTORES'!AG454</f>
        <v>0</v>
      </c>
      <c r="Z454" s="15">
        <f>+'ENCUESTA CONDUCTORES'!AH454</f>
        <v>2000</v>
      </c>
      <c r="AA454" s="1">
        <f>+'ENCUESTA CONDUCTORES'!AI454</f>
        <v>1100000</v>
      </c>
      <c r="AB454" s="15">
        <f>IF('ENCUESTA CONDUCTORES'!AJ454="X",1,0)</f>
        <v>0</v>
      </c>
      <c r="AC454" s="15">
        <f>IF('ENCUESTA CONDUCTORES'!AK454="X",1,0)</f>
        <v>0</v>
      </c>
      <c r="AD454" s="15">
        <f>IF('ENCUESTA CONDUCTORES'!AL454="X",1,0)</f>
        <v>1</v>
      </c>
      <c r="AE454" s="15">
        <f>IF('ENCUESTA CONDUCTORES'!AM454="X",1,0)</f>
        <v>0</v>
      </c>
      <c r="AF454" s="15">
        <f>IF('ENCUESTA CONDUCTORES'!AN454="X",1,0)</f>
        <v>0</v>
      </c>
      <c r="AG454" s="15">
        <f>IF('ENCUESTA CONDUCTORES'!AO454="X",1,0)</f>
        <v>0</v>
      </c>
      <c r="AH454" s="15">
        <f>IF('ENCUESTA CONDUCTORES'!AP454="X",1,0)</f>
        <v>1</v>
      </c>
      <c r="AI454" s="15">
        <f>IF('ENCUESTA CONDUCTORES'!AQ454="X",1,0)</f>
        <v>0</v>
      </c>
      <c r="AJ454" s="15">
        <f>IF('ENCUESTA CONDUCTORES'!AR454="X",1,0)</f>
        <v>0</v>
      </c>
      <c r="AK454" s="15">
        <f>+'ENCUESTA CONDUCTORES'!AS454</f>
        <v>0</v>
      </c>
      <c r="AL454" s="15" t="str">
        <f>+'ENCUESTA CONDUCTORES'!AT454</f>
        <v>NO SABE</v>
      </c>
      <c r="AM454" s="1">
        <f>+'ENCUESTA CONDUCTORES'!AU454</f>
        <v>7000</v>
      </c>
      <c r="AN454" s="48">
        <f>+'ENCUESTA CONDUCTORES'!AV454</f>
        <v>0.5</v>
      </c>
      <c r="AO454" s="15">
        <f>+'ENCUESTA CONDUCTORES'!AW454</f>
        <v>2</v>
      </c>
      <c r="AP454" s="15">
        <f>+'ENCUESTA CONDUCTORES'!AX454</f>
        <v>1.7</v>
      </c>
      <c r="AQ454" s="15">
        <f>+'ENCUESTA CONDUCTORES'!AY454</f>
        <v>2</v>
      </c>
      <c r="AR454" s="15">
        <f>+'ENCUESTA CONDUCTORES'!AZ454</f>
        <v>400</v>
      </c>
      <c r="AS454" s="15">
        <f>+'ENCUESTA CONDUCTORES'!BA454</f>
        <v>1800</v>
      </c>
      <c r="AT454" s="15">
        <f>IF('ENCUESTA CONDUCTORES'!BB454="X",1,0)</f>
        <v>1</v>
      </c>
      <c r="AU454" s="15">
        <f>IF('ENCUESTA CONDUCTORES'!BC454="X",1,0)</f>
        <v>1</v>
      </c>
      <c r="AV454" s="15">
        <f>IF('ENCUESTA CONDUCTORES'!BD454="X",1,0)</f>
        <v>0</v>
      </c>
      <c r="AW454" s="1">
        <f>+'ENCUESTA CONDUCTORES'!BE454</f>
        <v>21000</v>
      </c>
      <c r="AX454" s="1" t="str">
        <f>+'ENCUESTA CONDUCTORES'!BF454</f>
        <v>NO SABE</v>
      </c>
      <c r="AY454" s="1" t="str">
        <f>+'ENCUESTA CONDUCTORES'!BG454</f>
        <v>NO SABE</v>
      </c>
      <c r="AZ454" s="1" t="str">
        <f>+'ENCUESTA CONDUCTORES'!BH454</f>
        <v>NO SABE</v>
      </c>
      <c r="BA454" s="1" t="str">
        <f>+'ENCUESTA CONDUCTORES'!BI454</f>
        <v>NO SABE</v>
      </c>
      <c r="BB454" s="15">
        <f>IF('ENCUESTA CONDUCTORES'!BJ454="X",1,0)</f>
        <v>0</v>
      </c>
      <c r="BC454" s="15">
        <f>IF('ENCUESTA CONDUCTORES'!BK454="X",1,0)</f>
        <v>0</v>
      </c>
      <c r="BD454" s="15">
        <f>IF('ENCUESTA CONDUCTORES'!BL454="X",1,0)</f>
        <v>0</v>
      </c>
      <c r="BE454" s="15">
        <f>IF('ENCUESTA CONDUCTORES'!BM454="X",1,0)</f>
        <v>0</v>
      </c>
      <c r="BF454" s="15">
        <f>IF('ENCUESTA CONDUCTORES'!BN454="X",1,0)</f>
        <v>1</v>
      </c>
      <c r="BG454" s="15">
        <f>IF('ENCUESTA CONDUCTORES'!BO454="X",1,0)</f>
        <v>0</v>
      </c>
      <c r="BH454" s="15">
        <f>IF('ENCUESTA CONDUCTORES'!BP454="X",1,0)</f>
        <v>0</v>
      </c>
      <c r="BI454" s="15">
        <f>IF('ENCUESTA CONDUCTORES'!BQ454="X",1,0)</f>
        <v>0</v>
      </c>
      <c r="BJ454" s="15">
        <f>IF('ENCUESTA CONDUCTORES'!BR454="X",1,0)</f>
        <v>0</v>
      </c>
      <c r="BK454" s="15">
        <f>+'ENCUESTA CONDUCTORES'!BS454</f>
        <v>0</v>
      </c>
      <c r="BL454" s="15">
        <f>IF('ENCUESTA CONDUCTORES'!BT454="X",1,0)</f>
        <v>0</v>
      </c>
      <c r="BM454" s="15">
        <f>IF('ENCUESTA CONDUCTORES'!BU454="X",1,0)</f>
        <v>1</v>
      </c>
      <c r="BN454" s="15">
        <f>IF('ENCUESTA CONDUCTORES'!BV454="X",1,0)</f>
        <v>0</v>
      </c>
      <c r="BO454" s="15">
        <f>IF('ENCUESTA CONDUCTORES'!BW454="X",1,0)</f>
        <v>0</v>
      </c>
      <c r="BP454" s="15">
        <f>+'ENCUESTA CONDUCTORES'!BX454</f>
        <v>3</v>
      </c>
      <c r="BQ454" s="15">
        <f>+'ENCUESTA CONDUCTORES'!BY454</f>
        <v>2</v>
      </c>
      <c r="BR454" s="15">
        <f>+'ENCUESTA CONDUCTORES'!BZ454</f>
        <v>1</v>
      </c>
      <c r="BS454" s="15">
        <f>+'ENCUESTA CONDUCTORES'!CA454</f>
        <v>0</v>
      </c>
      <c r="BT454" s="15">
        <f>IF('ENCUESTA CONDUCTORES'!CB454="X",1,0)</f>
        <v>1</v>
      </c>
      <c r="BU454" s="15">
        <f>IF('ENCUESTA CONDUCTORES'!CC454="X",1,0)</f>
        <v>0</v>
      </c>
      <c r="BV454" s="15">
        <f>IF('ENCUESTA CONDUCTORES'!CD454="X",1,0)</f>
        <v>0</v>
      </c>
      <c r="BW454" s="15">
        <f>IF('ENCUESTA CONDUCTORES'!CE454="X",1,0)</f>
        <v>0</v>
      </c>
      <c r="BX454" s="15">
        <f>IF('ENCUESTA CONDUCTORES'!CF454="X",1,0)</f>
        <v>0</v>
      </c>
      <c r="BY454" s="15">
        <f>IF('ENCUESTA CONDUCTORES'!CG454="X",1,0)</f>
        <v>0</v>
      </c>
      <c r="BZ454" s="15">
        <f>IF('ENCUESTA CONDUCTORES'!CH454="X",1,0)</f>
        <v>0</v>
      </c>
      <c r="CA454" s="15">
        <f>IF('ENCUESTA CONDUCTORES'!CI454="X",1,0)</f>
        <v>0</v>
      </c>
      <c r="CB454" s="15">
        <f>IF('ENCUESTA CONDUCTORES'!CJ454="X",1,0)</f>
        <v>0</v>
      </c>
      <c r="CC454" s="15">
        <f>IF('ENCUESTA CONDUCTORES'!CK454="X",1,0)</f>
        <v>1</v>
      </c>
      <c r="CD454" s="15">
        <f>IF('ENCUESTA CONDUCTORES'!CL454="X",1,0)</f>
        <v>0</v>
      </c>
      <c r="CE454" s="15">
        <f>IF('ENCUESTA CONDUCTORES'!CM454="X",1,0)</f>
        <v>0</v>
      </c>
      <c r="CF454" s="15">
        <f>+'ENCUESTA CONDUCTORES'!CN454</f>
        <v>0</v>
      </c>
      <c r="CG454" s="15">
        <f>IF('ENCUESTA CONDUCTORES'!CO454="X",1,0)</f>
        <v>0</v>
      </c>
      <c r="CH454" s="15" t="str">
        <f>+'ENCUESTA CONDUCTORES'!CP454</f>
        <v>NO SABE</v>
      </c>
      <c r="CI454" s="15" t="str">
        <f>+'ENCUESTA CONDUCTORES'!CQ454</f>
        <v>NO SABE</v>
      </c>
      <c r="CJ454" s="15">
        <f>IF('ENCUESTA CONDUCTORES'!CR454="X",1,0)</f>
        <v>1</v>
      </c>
      <c r="CK454" s="15">
        <f>IF('ENCUESTA CONDUCTORES'!CS454="X",1,0)</f>
        <v>0</v>
      </c>
      <c r="CL454" s="15">
        <f>IF('ENCUESTA CONDUCTORES'!CT454="X",1,0)</f>
        <v>0</v>
      </c>
      <c r="CM454" s="15">
        <f>+'ENCUESTA CONDUCTORES'!CU454</f>
        <v>0</v>
      </c>
      <c r="CN454" s="15">
        <f>IF('ENCUESTA CONDUCTORES'!CV454="X",1,0)</f>
        <v>0</v>
      </c>
      <c r="CO454" s="15">
        <f>+'ENCUESTA CONDUCTORES'!CW454</f>
        <v>0</v>
      </c>
      <c r="CP454" s="15">
        <f>IF('ENCUESTA CONDUCTORES'!CX454="X",1,0)</f>
        <v>1</v>
      </c>
      <c r="CQ454" s="15">
        <f>IF('ENCUESTA CONDUCTORES'!CY454="X",1,0)</f>
        <v>1</v>
      </c>
      <c r="CR454" s="3">
        <f>+'ENCUESTA CONDUCTORES'!CZ454</f>
        <v>0</v>
      </c>
      <c r="CS454" s="49">
        <f>+'ENCUESTA CONDUCTORES'!DA454</f>
        <v>0</v>
      </c>
    </row>
    <row r="455" spans="2:97" x14ac:dyDescent="0.25">
      <c r="B455" s="14" t="str">
        <f>+'ENCUESTA CONDUCTORES'!D455</f>
        <v>C-466</v>
      </c>
      <c r="C455" s="15">
        <f>IF('ENCUESTA CONDUCTORES'!E455="X",1,0)</f>
        <v>0</v>
      </c>
      <c r="D455" s="15">
        <f>IF('ENCUESTA CONDUCTORES'!F455="X",1,0)</f>
        <v>0</v>
      </c>
      <c r="E455" s="15">
        <f>IF('ENCUESTA CONDUCTORES'!G455="X",1,0)</f>
        <v>0</v>
      </c>
      <c r="F455" s="15">
        <f>IF('ENCUESTA CONDUCTORES'!H455="X",1,0)</f>
        <v>1</v>
      </c>
      <c r="G455" s="15">
        <f>+'ENCUESTA CONDUCTORES'!I455</f>
        <v>35</v>
      </c>
      <c r="H455" s="15" t="str">
        <f>+'ENCUESTA CONDUCTORES'!J455</f>
        <v>M</v>
      </c>
      <c r="I455" s="15" t="str">
        <f>+'ENCUESTA CONDUCTORES'!K455</f>
        <v>PREPARATORIA</v>
      </c>
      <c r="J455" s="15" t="str">
        <f>+'ENCUESTA CONDUCTORES'!L455</f>
        <v>CD. JUAREZ, CHIHUAHUA</v>
      </c>
      <c r="K455" s="15" t="str">
        <f>+'ENCUESTA CONDUCTORES'!M455</f>
        <v>CD. JUAREZ</v>
      </c>
      <c r="L455" s="15" t="str">
        <f>+'ENCUESTA CONDUCTORES'!N455</f>
        <v>CHIHUAHUA</v>
      </c>
      <c r="M455" s="15">
        <f>+'ENCUESTA CONDUCTORES'!O455</f>
        <v>18</v>
      </c>
      <c r="N455" s="15">
        <f>IF('ENCUESTA CONDUCTORES'!P455="X",1,0)</f>
        <v>0</v>
      </c>
      <c r="O455" s="15">
        <f>IF('ENCUESTA CONDUCTORES'!Q455="X",1,0)</f>
        <v>0</v>
      </c>
      <c r="P455" s="15">
        <f>IF('ENCUESTA CONDUCTORES'!R455="X",1,0)</f>
        <v>0</v>
      </c>
      <c r="Q455" s="15">
        <f>IF('ENCUESTA CONDUCTORES'!S455="X",1,0)</f>
        <v>1</v>
      </c>
      <c r="R455" s="15">
        <f>IF('ENCUESTA CONDUCTORES'!T455="X",1,0)</f>
        <v>0</v>
      </c>
      <c r="S455" s="15">
        <f>IF('ENCUESTA CONDUCTORES'!U455="X",1,0)</f>
        <v>1</v>
      </c>
      <c r="T455" s="15">
        <f>IF('ENCUESTA CONDUCTORES'!V455="X",1,0)</f>
        <v>0</v>
      </c>
      <c r="U455" s="15">
        <f>IF('ENCUESTA CONDUCTORES'!W455="X",1,0)</f>
        <v>0</v>
      </c>
      <c r="V455" s="15">
        <f>IF('ENCUESTA CONDUCTORES'!X455="X",1,0)</f>
        <v>0</v>
      </c>
      <c r="W455" s="15">
        <f>IF('ENCUESTA CONDUCTORES'!Y455="X",1,0)</f>
        <v>0</v>
      </c>
      <c r="X455" s="15">
        <f>IF('ENCUESTA CONDUCTORES'!Z455="X",1,0)</f>
        <v>0</v>
      </c>
      <c r="Y455" s="15">
        <f>+'ENCUESTA CONDUCTORES'!AG455</f>
        <v>0</v>
      </c>
      <c r="Z455" s="15">
        <f>+'ENCUESTA CONDUCTORES'!AH455</f>
        <v>1995</v>
      </c>
      <c r="AA455" s="1">
        <f>+'ENCUESTA CONDUCTORES'!AI455</f>
        <v>1824000</v>
      </c>
      <c r="AB455" s="15">
        <f>IF('ENCUESTA CONDUCTORES'!AJ455="X",1,0)</f>
        <v>0</v>
      </c>
      <c r="AC455" s="15">
        <f>IF('ENCUESTA CONDUCTORES'!AK455="X",1,0)</f>
        <v>0</v>
      </c>
      <c r="AD455" s="15">
        <f>IF('ENCUESTA CONDUCTORES'!AL455="X",1,0)</f>
        <v>1</v>
      </c>
      <c r="AE455" s="15">
        <f>IF('ENCUESTA CONDUCTORES'!AM455="X",1,0)</f>
        <v>0</v>
      </c>
      <c r="AF455" s="15">
        <f>IF('ENCUESTA CONDUCTORES'!AN455="X",1,0)</f>
        <v>0</v>
      </c>
      <c r="AG455" s="15">
        <f>IF('ENCUESTA CONDUCTORES'!AO455="X",1,0)</f>
        <v>1</v>
      </c>
      <c r="AH455" s="15">
        <f>IF('ENCUESTA CONDUCTORES'!AP455="X",1,0)</f>
        <v>0</v>
      </c>
      <c r="AI455" s="15">
        <f>IF('ENCUESTA CONDUCTORES'!AQ455="X",1,0)</f>
        <v>0</v>
      </c>
      <c r="AJ455" s="15">
        <f>IF('ENCUESTA CONDUCTORES'!AR455="X",1,0)</f>
        <v>0</v>
      </c>
      <c r="AK455" s="15">
        <f>+'ENCUESTA CONDUCTORES'!AS455</f>
        <v>0</v>
      </c>
      <c r="AL455" s="15" t="str">
        <f>+'ENCUESTA CONDUCTORES'!AT455</f>
        <v>CUMMINS</v>
      </c>
      <c r="AM455" s="1">
        <f>+'ENCUESTA CONDUCTORES'!AU455</f>
        <v>10000</v>
      </c>
      <c r="AN455" s="48">
        <f>+'ENCUESTA CONDUCTORES'!AV455</f>
        <v>0.5</v>
      </c>
      <c r="AO455" s="15">
        <f>+'ENCUESTA CONDUCTORES'!AW455</f>
        <v>2.2999999999999998</v>
      </c>
      <c r="AP455" s="15">
        <f>+'ENCUESTA CONDUCTORES'!AX455</f>
        <v>2</v>
      </c>
      <c r="AQ455" s="15">
        <f>+'ENCUESTA CONDUCTORES'!AY455</f>
        <v>2</v>
      </c>
      <c r="AR455" s="15">
        <f>+'ENCUESTA CONDUCTORES'!AZ455</f>
        <v>400</v>
      </c>
      <c r="AS455" s="15">
        <f>+'ENCUESTA CONDUCTORES'!BA455</f>
        <v>2000</v>
      </c>
      <c r="AT455" s="15">
        <f>IF('ENCUESTA CONDUCTORES'!BB455="X",1,0)</f>
        <v>1</v>
      </c>
      <c r="AU455" s="15">
        <f>IF('ENCUESTA CONDUCTORES'!BC455="X",1,0)</f>
        <v>1</v>
      </c>
      <c r="AV455" s="15">
        <f>IF('ENCUESTA CONDUCTORES'!BD455="X",1,0)</f>
        <v>0</v>
      </c>
      <c r="AW455" s="1">
        <f>+'ENCUESTA CONDUCTORES'!BE455</f>
        <v>30000</v>
      </c>
      <c r="AX455" s="1" t="str">
        <f>+'ENCUESTA CONDUCTORES'!BF455</f>
        <v>NO SABE</v>
      </c>
      <c r="AY455" s="1" t="str">
        <f>+'ENCUESTA CONDUCTORES'!BG455</f>
        <v>NO SABE</v>
      </c>
      <c r="AZ455" s="1" t="str">
        <f>+'ENCUESTA CONDUCTORES'!BH455</f>
        <v>NO SABE</v>
      </c>
      <c r="BA455" s="1">
        <f>+'ENCUESTA CONDUCTORES'!BI455</f>
        <v>30000</v>
      </c>
      <c r="BB455" s="15">
        <f>IF('ENCUESTA CONDUCTORES'!BJ455="X",1,0)</f>
        <v>0</v>
      </c>
      <c r="BC455" s="15">
        <f>IF('ENCUESTA CONDUCTORES'!BK455="X",1,0)</f>
        <v>0</v>
      </c>
      <c r="BD455" s="15">
        <f>IF('ENCUESTA CONDUCTORES'!BL455="X",1,0)</f>
        <v>0</v>
      </c>
      <c r="BE455" s="15">
        <f>IF('ENCUESTA CONDUCTORES'!BM455="X",1,0)</f>
        <v>0</v>
      </c>
      <c r="BF455" s="15">
        <f>IF('ENCUESTA CONDUCTORES'!BN455="X",1,0)</f>
        <v>1</v>
      </c>
      <c r="BG455" s="15">
        <f>IF('ENCUESTA CONDUCTORES'!BO455="X",1,0)</f>
        <v>0</v>
      </c>
      <c r="BH455" s="15">
        <f>IF('ENCUESTA CONDUCTORES'!BP455="X",1,0)</f>
        <v>1</v>
      </c>
      <c r="BI455" s="15">
        <f>IF('ENCUESTA CONDUCTORES'!BQ455="X",1,0)</f>
        <v>0</v>
      </c>
      <c r="BJ455" s="15">
        <f>IF('ENCUESTA CONDUCTORES'!BR455="X",1,0)</f>
        <v>0</v>
      </c>
      <c r="BK455" s="15">
        <f>+'ENCUESTA CONDUCTORES'!BS455</f>
        <v>0</v>
      </c>
      <c r="BL455" s="15">
        <f>IF('ENCUESTA CONDUCTORES'!BT455="X",1,0)</f>
        <v>0</v>
      </c>
      <c r="BM455" s="15">
        <f>IF('ENCUESTA CONDUCTORES'!BU455="X",1,0)</f>
        <v>0</v>
      </c>
      <c r="BN455" s="15">
        <f>IF('ENCUESTA CONDUCTORES'!BV455="X",1,0)</f>
        <v>1</v>
      </c>
      <c r="BO455" s="15">
        <f>IF('ENCUESTA CONDUCTORES'!BW455="X",1,0)</f>
        <v>0</v>
      </c>
      <c r="BP455" s="15">
        <f>+'ENCUESTA CONDUCTORES'!BX455</f>
        <v>1</v>
      </c>
      <c r="BQ455" s="15">
        <f>+'ENCUESTA CONDUCTORES'!BY455</f>
        <v>3</v>
      </c>
      <c r="BR455" s="15">
        <f>+'ENCUESTA CONDUCTORES'!BZ455</f>
        <v>2</v>
      </c>
      <c r="BS455" s="15">
        <f>+'ENCUESTA CONDUCTORES'!CA455</f>
        <v>0</v>
      </c>
      <c r="BT455" s="15">
        <f>IF('ENCUESTA CONDUCTORES'!CB455="X",1,0)</f>
        <v>0</v>
      </c>
      <c r="BU455" s="15">
        <f>IF('ENCUESTA CONDUCTORES'!CC455="X",1,0)</f>
        <v>1</v>
      </c>
      <c r="BV455" s="15">
        <f>IF('ENCUESTA CONDUCTORES'!CD455="X",1,0)</f>
        <v>0</v>
      </c>
      <c r="BW455" s="15">
        <f>IF('ENCUESTA CONDUCTORES'!CE455="X",1,0)</f>
        <v>0</v>
      </c>
      <c r="BX455" s="15">
        <f>IF('ENCUESTA CONDUCTORES'!CF455="X",1,0)</f>
        <v>0</v>
      </c>
      <c r="BY455" s="15">
        <f>IF('ENCUESTA CONDUCTORES'!CG455="X",1,0)</f>
        <v>0</v>
      </c>
      <c r="BZ455" s="15">
        <f>IF('ENCUESTA CONDUCTORES'!CH455="X",1,0)</f>
        <v>0</v>
      </c>
      <c r="CA455" s="15">
        <f>IF('ENCUESTA CONDUCTORES'!CI455="X",1,0)</f>
        <v>1</v>
      </c>
      <c r="CB455" s="15">
        <f>IF('ENCUESTA CONDUCTORES'!CJ455="X",1,0)</f>
        <v>0</v>
      </c>
      <c r="CC455" s="15">
        <f>IF('ENCUESTA CONDUCTORES'!CK455="X",1,0)</f>
        <v>1</v>
      </c>
      <c r="CD455" s="15">
        <f>IF('ENCUESTA CONDUCTORES'!CL455="X",1,0)</f>
        <v>0</v>
      </c>
      <c r="CE455" s="15">
        <f>IF('ENCUESTA CONDUCTORES'!CM455="X",1,0)</f>
        <v>0</v>
      </c>
      <c r="CF455" s="15">
        <f>+'ENCUESTA CONDUCTORES'!CN455</f>
        <v>0</v>
      </c>
      <c r="CG455" s="15">
        <f>IF('ENCUESTA CONDUCTORES'!CO455="X",1,0)</f>
        <v>0</v>
      </c>
      <c r="CH455" s="15" t="str">
        <f>+'ENCUESTA CONDUCTORES'!CP455</f>
        <v>NO SABE</v>
      </c>
      <c r="CI455" s="15" t="str">
        <f>+'ENCUESTA CONDUCTORES'!CQ455</f>
        <v>NO SABE</v>
      </c>
      <c r="CJ455" s="15">
        <f>IF('ENCUESTA CONDUCTORES'!CR455="X",1,0)</f>
        <v>0</v>
      </c>
      <c r="CK455" s="15">
        <f>IF('ENCUESTA CONDUCTORES'!CS455="X",1,0)</f>
        <v>0</v>
      </c>
      <c r="CL455" s="15">
        <f>IF('ENCUESTA CONDUCTORES'!CT455="X",1,0)</f>
        <v>1</v>
      </c>
      <c r="CM455" s="15">
        <f>+'ENCUESTA CONDUCTORES'!CU455</f>
        <v>0</v>
      </c>
      <c r="CN455" s="15">
        <f>IF('ENCUESTA CONDUCTORES'!CV455="X",1,0)</f>
        <v>0</v>
      </c>
      <c r="CO455" s="15">
        <f>+'ENCUESTA CONDUCTORES'!CW455</f>
        <v>0</v>
      </c>
      <c r="CP455" s="15">
        <f>IF('ENCUESTA CONDUCTORES'!CX455="X",1,0)</f>
        <v>1</v>
      </c>
      <c r="CQ455" s="15">
        <f>IF('ENCUESTA CONDUCTORES'!CY455="X",1,0)</f>
        <v>0</v>
      </c>
      <c r="CR455" s="3">
        <f>+'ENCUESTA CONDUCTORES'!CZ455</f>
        <v>0</v>
      </c>
      <c r="CS455" s="49">
        <f>+'ENCUESTA CONDUCTORES'!DA455</f>
        <v>0</v>
      </c>
    </row>
    <row r="456" spans="2:97" x14ac:dyDescent="0.25">
      <c r="B456" s="14" t="str">
        <f>+'ENCUESTA CONDUCTORES'!D456</f>
        <v>C-467</v>
      </c>
      <c r="C456" s="15">
        <f>IF('ENCUESTA CONDUCTORES'!E456="X",1,0)</f>
        <v>0</v>
      </c>
      <c r="D456" s="15">
        <f>IF('ENCUESTA CONDUCTORES'!F456="X",1,0)</f>
        <v>1</v>
      </c>
      <c r="E456" s="15">
        <f>IF('ENCUESTA CONDUCTORES'!G456="X",1,0)</f>
        <v>0</v>
      </c>
      <c r="F456" s="15">
        <f>IF('ENCUESTA CONDUCTORES'!H456="X",1,0)</f>
        <v>0</v>
      </c>
      <c r="G456" s="15">
        <f>+'ENCUESTA CONDUCTORES'!I456</f>
        <v>49</v>
      </c>
      <c r="H456" s="15" t="str">
        <f>+'ENCUESTA CONDUCTORES'!J456</f>
        <v>M</v>
      </c>
      <c r="I456" s="15" t="str">
        <f>+'ENCUESTA CONDUCTORES'!K456</f>
        <v>SECUNDARIA</v>
      </c>
      <c r="J456" s="15" t="str">
        <f>+'ENCUESTA CONDUCTORES'!L456</f>
        <v>CD. JUAREZ, CHIHUAHUA</v>
      </c>
      <c r="K456" s="15" t="str">
        <f>+'ENCUESTA CONDUCTORES'!M456</f>
        <v>CD. JUAREZ</v>
      </c>
      <c r="L456" s="15" t="str">
        <f>+'ENCUESTA CONDUCTORES'!N456</f>
        <v>CHIHUAHUA</v>
      </c>
      <c r="M456" s="15">
        <f>+'ENCUESTA CONDUCTORES'!O456</f>
        <v>20</v>
      </c>
      <c r="N456" s="15">
        <f>IF('ENCUESTA CONDUCTORES'!P456="X",1,0)</f>
        <v>0</v>
      </c>
      <c r="O456" s="15">
        <f>IF('ENCUESTA CONDUCTORES'!Q456="X",1,0)</f>
        <v>0</v>
      </c>
      <c r="P456" s="15">
        <f>IF('ENCUESTA CONDUCTORES'!R456="X",1,0)</f>
        <v>0</v>
      </c>
      <c r="Q456" s="15">
        <f>IF('ENCUESTA CONDUCTORES'!S456="X",1,0)</f>
        <v>1</v>
      </c>
      <c r="R456" s="15">
        <f>IF('ENCUESTA CONDUCTORES'!T456="X",1,0)</f>
        <v>0</v>
      </c>
      <c r="S456" s="15">
        <f>IF('ENCUESTA CONDUCTORES'!U456="X",1,0)</f>
        <v>1</v>
      </c>
      <c r="T456" s="15">
        <f>IF('ENCUESTA CONDUCTORES'!V456="X",1,0)</f>
        <v>0</v>
      </c>
      <c r="U456" s="15">
        <f>IF('ENCUESTA CONDUCTORES'!W456="X",1,0)</f>
        <v>0</v>
      </c>
      <c r="V456" s="15">
        <f>IF('ENCUESTA CONDUCTORES'!X456="X",1,0)</f>
        <v>0</v>
      </c>
      <c r="W456" s="15">
        <f>IF('ENCUESTA CONDUCTORES'!Y456="X",1,0)</f>
        <v>0</v>
      </c>
      <c r="X456" s="15">
        <f>IF('ENCUESTA CONDUCTORES'!Z456="X",1,0)</f>
        <v>0</v>
      </c>
      <c r="Y456" s="15">
        <f>+'ENCUESTA CONDUCTORES'!AG456</f>
        <v>0</v>
      </c>
      <c r="Z456" s="15">
        <f>+'ENCUESTA CONDUCTORES'!AH456</f>
        <v>1997</v>
      </c>
      <c r="AA456" s="1">
        <f>+'ENCUESTA CONDUCTORES'!AI456</f>
        <v>832000</v>
      </c>
      <c r="AB456" s="15">
        <f>IF('ENCUESTA CONDUCTORES'!AJ456="X",1,0)</f>
        <v>0</v>
      </c>
      <c r="AC456" s="15">
        <f>IF('ENCUESTA CONDUCTORES'!AK456="X",1,0)</f>
        <v>0</v>
      </c>
      <c r="AD456" s="15">
        <f>IF('ENCUESTA CONDUCTORES'!AL456="X",1,0)</f>
        <v>1</v>
      </c>
      <c r="AE456" s="15">
        <f>IF('ENCUESTA CONDUCTORES'!AM456="X",1,0)</f>
        <v>0</v>
      </c>
      <c r="AF456" s="15">
        <f>IF('ENCUESTA CONDUCTORES'!AN456="X",1,0)</f>
        <v>0</v>
      </c>
      <c r="AG456" s="15">
        <f>IF('ENCUESTA CONDUCTORES'!AO456="X",1,0)</f>
        <v>0</v>
      </c>
      <c r="AH456" s="15">
        <f>IF('ENCUESTA CONDUCTORES'!AP456="X",1,0)</f>
        <v>0</v>
      </c>
      <c r="AI456" s="15">
        <f>IF('ENCUESTA CONDUCTORES'!AQ456="X",1,0)</f>
        <v>1</v>
      </c>
      <c r="AJ456" s="15">
        <f>IF('ENCUESTA CONDUCTORES'!AR456="X",1,0)</f>
        <v>0</v>
      </c>
      <c r="AK456" s="15">
        <f>+'ENCUESTA CONDUCTORES'!AS456</f>
        <v>0</v>
      </c>
      <c r="AL456" s="15" t="str">
        <f>+'ENCUESTA CONDUCTORES'!AT456</f>
        <v>CUMMINS</v>
      </c>
      <c r="AM456" s="1">
        <f>+'ENCUESTA CONDUCTORES'!AU456</f>
        <v>3000</v>
      </c>
      <c r="AN456" s="48">
        <f>+'ENCUESTA CONDUCTORES'!AV456</f>
        <v>0.4</v>
      </c>
      <c r="AO456" s="15">
        <f>+'ENCUESTA CONDUCTORES'!AW456</f>
        <v>3</v>
      </c>
      <c r="AP456" s="15">
        <f>+'ENCUESTA CONDUCTORES'!AX456</f>
        <v>2.8</v>
      </c>
      <c r="AQ456" s="15">
        <f>+'ENCUESTA CONDUCTORES'!AY456</f>
        <v>2</v>
      </c>
      <c r="AR456" s="15">
        <f>+'ENCUESTA CONDUCTORES'!AZ456</f>
        <v>500</v>
      </c>
      <c r="AS456" s="15">
        <f>+'ENCUESTA CONDUCTORES'!BA456</f>
        <v>1400</v>
      </c>
      <c r="AT456" s="15">
        <f>IF('ENCUESTA CONDUCTORES'!BB456="X",1,0)</f>
        <v>0</v>
      </c>
      <c r="AU456" s="15">
        <f>IF('ENCUESTA CONDUCTORES'!BC456="X",1,0)</f>
        <v>1</v>
      </c>
      <c r="AV456" s="15">
        <f>IF('ENCUESTA CONDUCTORES'!BD456="X",1,0)</f>
        <v>0</v>
      </c>
      <c r="AW456" s="1">
        <f>+'ENCUESTA CONDUCTORES'!BE456</f>
        <v>25000</v>
      </c>
      <c r="AX456" s="1">
        <f>+'ENCUESTA CONDUCTORES'!BF456</f>
        <v>50000</v>
      </c>
      <c r="AY456" s="1">
        <f>+'ENCUESTA CONDUCTORES'!BG456</f>
        <v>25000</v>
      </c>
      <c r="AZ456" s="1">
        <f>+'ENCUESTA CONDUCTORES'!BH456</f>
        <v>50000</v>
      </c>
      <c r="BA456" s="1">
        <f>+'ENCUESTA CONDUCTORES'!BI456</f>
        <v>25000</v>
      </c>
      <c r="BB456" s="15">
        <f>IF('ENCUESTA CONDUCTORES'!BJ456="X",1,0)</f>
        <v>0</v>
      </c>
      <c r="BC456" s="15">
        <f>IF('ENCUESTA CONDUCTORES'!BK456="X",1,0)</f>
        <v>0</v>
      </c>
      <c r="BD456" s="15">
        <f>IF('ENCUESTA CONDUCTORES'!BL456="X",1,0)</f>
        <v>0</v>
      </c>
      <c r="BE456" s="15">
        <f>IF('ENCUESTA CONDUCTORES'!BM456="X",1,0)</f>
        <v>1</v>
      </c>
      <c r="BF456" s="15">
        <f>IF('ENCUESTA CONDUCTORES'!BN456="X",1,0)</f>
        <v>1</v>
      </c>
      <c r="BG456" s="15">
        <f>IF('ENCUESTA CONDUCTORES'!BO456="X",1,0)</f>
        <v>0</v>
      </c>
      <c r="BH456" s="15">
        <f>IF('ENCUESTA CONDUCTORES'!BP456="X",1,0)</f>
        <v>1</v>
      </c>
      <c r="BI456" s="15">
        <f>IF('ENCUESTA CONDUCTORES'!BQ456="X",1,0)</f>
        <v>0</v>
      </c>
      <c r="BJ456" s="15">
        <f>IF('ENCUESTA CONDUCTORES'!BR456="X",1,0)</f>
        <v>0</v>
      </c>
      <c r="BK456" s="15">
        <f>+'ENCUESTA CONDUCTORES'!BS456</f>
        <v>0</v>
      </c>
      <c r="BL456" s="15">
        <f>IF('ENCUESTA CONDUCTORES'!BT456="X",1,0)</f>
        <v>0</v>
      </c>
      <c r="BM456" s="15">
        <f>IF('ENCUESTA CONDUCTORES'!BU456="X",1,0)</f>
        <v>0</v>
      </c>
      <c r="BN456" s="15">
        <f>IF('ENCUESTA CONDUCTORES'!BV456="X",1,0)</f>
        <v>0</v>
      </c>
      <c r="BO456" s="15">
        <f>IF('ENCUESTA CONDUCTORES'!BW456="X",1,0)</f>
        <v>1</v>
      </c>
      <c r="BP456" s="15">
        <f>+'ENCUESTA CONDUCTORES'!BX456</f>
        <v>3</v>
      </c>
      <c r="BQ456" s="15">
        <f>+'ENCUESTA CONDUCTORES'!BY456</f>
        <v>1</v>
      </c>
      <c r="BR456" s="15">
        <f>+'ENCUESTA CONDUCTORES'!BZ456</f>
        <v>2</v>
      </c>
      <c r="BS456" s="15">
        <f>+'ENCUESTA CONDUCTORES'!CA456</f>
        <v>0</v>
      </c>
      <c r="BT456" s="15">
        <f>IF('ENCUESTA CONDUCTORES'!CB456="X",1,0)</f>
        <v>0</v>
      </c>
      <c r="BU456" s="15">
        <f>IF('ENCUESTA CONDUCTORES'!CC456="X",1,0)</f>
        <v>1</v>
      </c>
      <c r="BV456" s="15">
        <f>IF('ENCUESTA CONDUCTORES'!CD456="X",1,0)</f>
        <v>0</v>
      </c>
      <c r="BW456" s="15">
        <f>IF('ENCUESTA CONDUCTORES'!CE456="X",1,0)</f>
        <v>0</v>
      </c>
      <c r="BX456" s="15">
        <f>IF('ENCUESTA CONDUCTORES'!CF456="X",1,0)</f>
        <v>0</v>
      </c>
      <c r="BY456" s="15">
        <f>IF('ENCUESTA CONDUCTORES'!CG456="X",1,0)</f>
        <v>1</v>
      </c>
      <c r="BZ456" s="15">
        <f>IF('ENCUESTA CONDUCTORES'!CH456="X",1,0)</f>
        <v>0</v>
      </c>
      <c r="CA456" s="15">
        <f>IF('ENCUESTA CONDUCTORES'!CI456="X",1,0)</f>
        <v>0</v>
      </c>
      <c r="CB456" s="15">
        <f>IF('ENCUESTA CONDUCTORES'!CJ456="X",1,0)</f>
        <v>0</v>
      </c>
      <c r="CC456" s="15">
        <f>IF('ENCUESTA CONDUCTORES'!CK456="X",1,0)</f>
        <v>0</v>
      </c>
      <c r="CD456" s="15">
        <f>IF('ENCUESTA CONDUCTORES'!CL456="X",1,0)</f>
        <v>1</v>
      </c>
      <c r="CE456" s="15">
        <f>IF('ENCUESTA CONDUCTORES'!CM456="X",1,0)</f>
        <v>0</v>
      </c>
      <c r="CF456" s="15">
        <f>+'ENCUESTA CONDUCTORES'!CN456</f>
        <v>0</v>
      </c>
      <c r="CG456" s="15">
        <f>IF('ENCUESTA CONDUCTORES'!CO456="X",1,0)</f>
        <v>1</v>
      </c>
      <c r="CH456" s="15" t="str">
        <f>+'ENCUESTA CONDUCTORES'!CP456</f>
        <v>ES BUENO</v>
      </c>
      <c r="CI456" s="15" t="str">
        <f>+'ENCUESTA CONDUCTORES'!CQ456</f>
        <v>REDUCCION DE COMBUSTIBLE</v>
      </c>
      <c r="CJ456" s="15">
        <f>IF('ENCUESTA CONDUCTORES'!CR456="X",1,0)</f>
        <v>0</v>
      </c>
      <c r="CK456" s="15">
        <f>IF('ENCUESTA CONDUCTORES'!CS456="X",1,0)</f>
        <v>0</v>
      </c>
      <c r="CL456" s="15">
        <f>IF('ENCUESTA CONDUCTORES'!CT456="X",1,0)</f>
        <v>1</v>
      </c>
      <c r="CM456" s="15">
        <f>+'ENCUESTA CONDUCTORES'!CU456</f>
        <v>0</v>
      </c>
      <c r="CN456" s="15">
        <f>IF('ENCUESTA CONDUCTORES'!CV456="X",1,0)</f>
        <v>0</v>
      </c>
      <c r="CO456" s="15">
        <f>+'ENCUESTA CONDUCTORES'!CW456</f>
        <v>0</v>
      </c>
      <c r="CP456" s="15">
        <f>IF('ENCUESTA CONDUCTORES'!CX456="X",1,0)</f>
        <v>1</v>
      </c>
      <c r="CQ456" s="15">
        <f>IF('ENCUESTA CONDUCTORES'!CY456="X",1,0)</f>
        <v>0</v>
      </c>
      <c r="CR456" s="3">
        <f>+'ENCUESTA CONDUCTORES'!CZ456</f>
        <v>0</v>
      </c>
      <c r="CS456" s="49">
        <f>+'ENCUESTA CONDUCTORES'!DA456</f>
        <v>0</v>
      </c>
    </row>
    <row r="457" spans="2:97" x14ac:dyDescent="0.25">
      <c r="B457" s="14" t="str">
        <f>+'ENCUESTA CONDUCTORES'!D457</f>
        <v>C-468</v>
      </c>
      <c r="C457" s="15">
        <f>IF('ENCUESTA CONDUCTORES'!E457="X",1,0)</f>
        <v>0</v>
      </c>
      <c r="D457" s="15">
        <f>IF('ENCUESTA CONDUCTORES'!F457="X",1,0)</f>
        <v>1</v>
      </c>
      <c r="E457" s="15">
        <f>IF('ENCUESTA CONDUCTORES'!G457="X",1,0)</f>
        <v>0</v>
      </c>
      <c r="F457" s="15">
        <f>IF('ENCUESTA CONDUCTORES'!H457="X",1,0)</f>
        <v>0</v>
      </c>
      <c r="G457" s="15">
        <f>+'ENCUESTA CONDUCTORES'!I457</f>
        <v>44</v>
      </c>
      <c r="H457" s="15" t="str">
        <f>+'ENCUESTA CONDUCTORES'!J457</f>
        <v>M</v>
      </c>
      <c r="I457" s="15" t="str">
        <f>+'ENCUESTA CONDUCTORES'!K457</f>
        <v>SECUNDARIA</v>
      </c>
      <c r="J457" s="15" t="str">
        <f>+'ENCUESTA CONDUCTORES'!L457</f>
        <v>CD. JUAREZ, CHIHUAHUA</v>
      </c>
      <c r="K457" s="15" t="str">
        <f>+'ENCUESTA CONDUCTORES'!M457</f>
        <v>CD. JUAREZ</v>
      </c>
      <c r="L457" s="15" t="str">
        <f>+'ENCUESTA CONDUCTORES'!N457</f>
        <v>CHIHUAHUA</v>
      </c>
      <c r="M457" s="15">
        <f>+'ENCUESTA CONDUCTORES'!O457</f>
        <v>14</v>
      </c>
      <c r="N457" s="15">
        <f>IF('ENCUESTA CONDUCTORES'!P457="X",1,0)</f>
        <v>0</v>
      </c>
      <c r="O457" s="15">
        <f>IF('ENCUESTA CONDUCTORES'!Q457="X",1,0)</f>
        <v>0</v>
      </c>
      <c r="P457" s="15">
        <f>IF('ENCUESTA CONDUCTORES'!R457="X",1,0)</f>
        <v>0</v>
      </c>
      <c r="Q457" s="15">
        <f>IF('ENCUESTA CONDUCTORES'!S457="X",1,0)</f>
        <v>1</v>
      </c>
      <c r="R457" s="15">
        <f>IF('ENCUESTA CONDUCTORES'!T457="X",1,0)</f>
        <v>0</v>
      </c>
      <c r="S457" s="15">
        <f>IF('ENCUESTA CONDUCTORES'!U457="X",1,0)</f>
        <v>1</v>
      </c>
      <c r="T457" s="15">
        <f>IF('ENCUESTA CONDUCTORES'!V457="X",1,0)</f>
        <v>0</v>
      </c>
      <c r="U457" s="15">
        <f>IF('ENCUESTA CONDUCTORES'!W457="X",1,0)</f>
        <v>0</v>
      </c>
      <c r="V457" s="15">
        <f>IF('ENCUESTA CONDUCTORES'!X457="X",1,0)</f>
        <v>0</v>
      </c>
      <c r="W457" s="15">
        <f>IF('ENCUESTA CONDUCTORES'!Y457="X",1,0)</f>
        <v>0</v>
      </c>
      <c r="X457" s="15">
        <f>IF('ENCUESTA CONDUCTORES'!Z457="X",1,0)</f>
        <v>0</v>
      </c>
      <c r="Y457" s="15">
        <f>+'ENCUESTA CONDUCTORES'!AG457</f>
        <v>0</v>
      </c>
      <c r="Z457" s="15">
        <f>+'ENCUESTA CONDUCTORES'!AH457</f>
        <v>1996</v>
      </c>
      <c r="AA457" s="1">
        <f>+'ENCUESTA CONDUCTORES'!AI457</f>
        <v>989000</v>
      </c>
      <c r="AB457" s="15">
        <f>IF('ENCUESTA CONDUCTORES'!AJ457="X",1,0)</f>
        <v>0</v>
      </c>
      <c r="AC457" s="15">
        <f>IF('ENCUESTA CONDUCTORES'!AK457="X",1,0)</f>
        <v>0</v>
      </c>
      <c r="AD457" s="15">
        <f>IF('ENCUESTA CONDUCTORES'!AL457="X",1,0)</f>
        <v>1</v>
      </c>
      <c r="AE457" s="15">
        <f>IF('ENCUESTA CONDUCTORES'!AM457="X",1,0)</f>
        <v>0</v>
      </c>
      <c r="AF457" s="15">
        <f>IF('ENCUESTA CONDUCTORES'!AN457="X",1,0)</f>
        <v>0</v>
      </c>
      <c r="AG457" s="15">
        <f>IF('ENCUESTA CONDUCTORES'!AO457="X",1,0)</f>
        <v>0</v>
      </c>
      <c r="AH457" s="15">
        <f>IF('ENCUESTA CONDUCTORES'!AP457="X",1,0)</f>
        <v>0</v>
      </c>
      <c r="AI457" s="15">
        <f>IF('ENCUESTA CONDUCTORES'!AQ457="X",1,0)</f>
        <v>0</v>
      </c>
      <c r="AJ457" s="15">
        <f>IF('ENCUESTA CONDUCTORES'!AR457="X",1,0)</f>
        <v>1</v>
      </c>
      <c r="AK457" s="15">
        <f>+'ENCUESTA CONDUCTORES'!AS457</f>
        <v>0</v>
      </c>
      <c r="AL457" s="15" t="str">
        <f>+'ENCUESTA CONDUCTORES'!AT457</f>
        <v>CUMMINS</v>
      </c>
      <c r="AM457" s="1">
        <f>+'ENCUESTA CONDUCTORES'!AU457</f>
        <v>3000</v>
      </c>
      <c r="AN457" s="48">
        <f>+'ENCUESTA CONDUCTORES'!AV457</f>
        <v>0.4</v>
      </c>
      <c r="AO457" s="15">
        <f>+'ENCUESTA CONDUCTORES'!AW457</f>
        <v>3</v>
      </c>
      <c r="AP457" s="15">
        <f>+'ENCUESTA CONDUCTORES'!AX457</f>
        <v>2.8</v>
      </c>
      <c r="AQ457" s="15">
        <f>+'ENCUESTA CONDUCTORES'!AY457</f>
        <v>2</v>
      </c>
      <c r="AR457" s="15">
        <f>+'ENCUESTA CONDUCTORES'!AZ457</f>
        <v>530</v>
      </c>
      <c r="AS457" s="15">
        <f>+'ENCUESTA CONDUCTORES'!BA457</f>
        <v>1400</v>
      </c>
      <c r="AT457" s="15">
        <f>IF('ENCUESTA CONDUCTORES'!BB457="X",1,0)</f>
        <v>1</v>
      </c>
      <c r="AU457" s="15">
        <f>IF('ENCUESTA CONDUCTORES'!BC457="X",1,0)</f>
        <v>1</v>
      </c>
      <c r="AV457" s="15">
        <f>IF('ENCUESTA CONDUCTORES'!BD457="X",1,0)</f>
        <v>0</v>
      </c>
      <c r="AW457" s="1">
        <f>+'ENCUESTA CONDUCTORES'!BE457</f>
        <v>25000</v>
      </c>
      <c r="AX457" s="1">
        <f>+'ENCUESTA CONDUCTORES'!BF457</f>
        <v>50000</v>
      </c>
      <c r="AY457" s="1">
        <f>+'ENCUESTA CONDUCTORES'!BG457</f>
        <v>25000</v>
      </c>
      <c r="AZ457" s="1">
        <f>+'ENCUESTA CONDUCTORES'!BH457</f>
        <v>50000</v>
      </c>
      <c r="BA457" s="1">
        <f>+'ENCUESTA CONDUCTORES'!BI457</f>
        <v>25000</v>
      </c>
      <c r="BB457" s="15">
        <f>IF('ENCUESTA CONDUCTORES'!BJ457="X",1,0)</f>
        <v>0</v>
      </c>
      <c r="BC457" s="15">
        <f>IF('ENCUESTA CONDUCTORES'!BK457="X",1,0)</f>
        <v>0</v>
      </c>
      <c r="BD457" s="15">
        <f>IF('ENCUESTA CONDUCTORES'!BL457="X",1,0)</f>
        <v>0</v>
      </c>
      <c r="BE457" s="15">
        <f>IF('ENCUESTA CONDUCTORES'!BM457="X",1,0)</f>
        <v>1</v>
      </c>
      <c r="BF457" s="15">
        <f>IF('ENCUESTA CONDUCTORES'!BN457="X",1,0)</f>
        <v>1</v>
      </c>
      <c r="BG457" s="15">
        <f>IF('ENCUESTA CONDUCTORES'!BO457="X",1,0)</f>
        <v>0</v>
      </c>
      <c r="BH457" s="15">
        <f>IF('ENCUESTA CONDUCTORES'!BP457="X",1,0)</f>
        <v>1</v>
      </c>
      <c r="BI457" s="15">
        <f>IF('ENCUESTA CONDUCTORES'!BQ457="X",1,0)</f>
        <v>0</v>
      </c>
      <c r="BJ457" s="15">
        <f>IF('ENCUESTA CONDUCTORES'!BR457="X",1,0)</f>
        <v>0</v>
      </c>
      <c r="BK457" s="15">
        <f>+'ENCUESTA CONDUCTORES'!BS457</f>
        <v>0</v>
      </c>
      <c r="BL457" s="15">
        <f>IF('ENCUESTA CONDUCTORES'!BT457="X",1,0)</f>
        <v>0</v>
      </c>
      <c r="BM457" s="15">
        <f>IF('ENCUESTA CONDUCTORES'!BU457="X",1,0)</f>
        <v>0</v>
      </c>
      <c r="BN457" s="15">
        <f>IF('ENCUESTA CONDUCTORES'!BV457="X",1,0)</f>
        <v>0</v>
      </c>
      <c r="BO457" s="15">
        <f>IF('ENCUESTA CONDUCTORES'!BW457="X",1,0)</f>
        <v>1</v>
      </c>
      <c r="BP457" s="15">
        <f>+'ENCUESTA CONDUCTORES'!BX457</f>
        <v>3</v>
      </c>
      <c r="BQ457" s="15">
        <f>+'ENCUESTA CONDUCTORES'!BY457</f>
        <v>1</v>
      </c>
      <c r="BR457" s="15">
        <f>+'ENCUESTA CONDUCTORES'!BZ457</f>
        <v>2</v>
      </c>
      <c r="BS457" s="15">
        <f>+'ENCUESTA CONDUCTORES'!CA457</f>
        <v>0</v>
      </c>
      <c r="BT457" s="15">
        <f>IF('ENCUESTA CONDUCTORES'!CB457="X",1,0)</f>
        <v>0</v>
      </c>
      <c r="BU457" s="15">
        <f>IF('ENCUESTA CONDUCTORES'!CC457="X",1,0)</f>
        <v>1</v>
      </c>
      <c r="BV457" s="15">
        <f>IF('ENCUESTA CONDUCTORES'!CD457="X",1,0)</f>
        <v>0</v>
      </c>
      <c r="BW457" s="15">
        <f>IF('ENCUESTA CONDUCTORES'!CE457="X",1,0)</f>
        <v>0</v>
      </c>
      <c r="BX457" s="15">
        <f>IF('ENCUESTA CONDUCTORES'!CF457="X",1,0)</f>
        <v>0</v>
      </c>
      <c r="BY457" s="15">
        <f>IF('ENCUESTA CONDUCTORES'!CG457="X",1,0)</f>
        <v>0</v>
      </c>
      <c r="BZ457" s="15">
        <f>IF('ENCUESTA CONDUCTORES'!CH457="X",1,0)</f>
        <v>0</v>
      </c>
      <c r="CA457" s="15">
        <f>IF('ENCUESTA CONDUCTORES'!CI457="X",1,0)</f>
        <v>1</v>
      </c>
      <c r="CB457" s="15">
        <f>IF('ENCUESTA CONDUCTORES'!CJ457="X",1,0)</f>
        <v>0</v>
      </c>
      <c r="CC457" s="15">
        <f>IF('ENCUESTA CONDUCTORES'!CK457="X",1,0)</f>
        <v>1</v>
      </c>
      <c r="CD457" s="15">
        <f>IF('ENCUESTA CONDUCTORES'!CL457="X",1,0)</f>
        <v>0</v>
      </c>
      <c r="CE457" s="15">
        <f>IF('ENCUESTA CONDUCTORES'!CM457="X",1,0)</f>
        <v>0</v>
      </c>
      <c r="CF457" s="15">
        <f>+'ENCUESTA CONDUCTORES'!CN457</f>
        <v>0</v>
      </c>
      <c r="CG457" s="15">
        <f>IF('ENCUESTA CONDUCTORES'!CO457="X",1,0)</f>
        <v>0</v>
      </c>
      <c r="CH457" s="15" t="str">
        <f>+'ENCUESTA CONDUCTORES'!CP457</f>
        <v>NO SABE</v>
      </c>
      <c r="CI457" s="15" t="str">
        <f>+'ENCUESTA CONDUCTORES'!CQ457</f>
        <v>NO SABE</v>
      </c>
      <c r="CJ457" s="15">
        <f>IF('ENCUESTA CONDUCTORES'!CR457="X",1,0)</f>
        <v>0</v>
      </c>
      <c r="CK457" s="15">
        <f>IF('ENCUESTA CONDUCTORES'!CS457="X",1,0)</f>
        <v>0</v>
      </c>
      <c r="CL457" s="15">
        <f>IF('ENCUESTA CONDUCTORES'!CT457="X",1,0)</f>
        <v>1</v>
      </c>
      <c r="CM457" s="15">
        <f>+'ENCUESTA CONDUCTORES'!CU457</f>
        <v>0</v>
      </c>
      <c r="CN457" s="15">
        <f>IF('ENCUESTA CONDUCTORES'!CV457="X",1,0)</f>
        <v>0</v>
      </c>
      <c r="CO457" s="15">
        <f>+'ENCUESTA CONDUCTORES'!CW457</f>
        <v>0</v>
      </c>
      <c r="CP457" s="15">
        <f>IF('ENCUESTA CONDUCTORES'!CX457="X",1,0)</f>
        <v>1</v>
      </c>
      <c r="CQ457" s="15">
        <f>IF('ENCUESTA CONDUCTORES'!CY457="X",1,0)</f>
        <v>0</v>
      </c>
      <c r="CR457" s="3">
        <f>+'ENCUESTA CONDUCTORES'!CZ457</f>
        <v>0</v>
      </c>
      <c r="CS457" s="49">
        <f>+'ENCUESTA CONDUCTORES'!DA457</f>
        <v>0</v>
      </c>
    </row>
    <row r="458" spans="2:97" x14ac:dyDescent="0.25">
      <c r="B458" s="14" t="str">
        <f>+'ENCUESTA CONDUCTORES'!D458</f>
        <v>C-469</v>
      </c>
      <c r="C458" s="15">
        <f>IF('ENCUESTA CONDUCTORES'!E458="X",1,0)</f>
        <v>0</v>
      </c>
      <c r="D458" s="15">
        <f>IF('ENCUESTA CONDUCTORES'!F458="X",1,0)</f>
        <v>0</v>
      </c>
      <c r="E458" s="15">
        <f>IF('ENCUESTA CONDUCTORES'!G458="X",1,0)</f>
        <v>0</v>
      </c>
      <c r="F458" s="15">
        <f>IF('ENCUESTA CONDUCTORES'!H458="X",1,0)</f>
        <v>1</v>
      </c>
      <c r="G458" s="15">
        <f>+'ENCUESTA CONDUCTORES'!I458</f>
        <v>24</v>
      </c>
      <c r="H458" s="15" t="str">
        <f>+'ENCUESTA CONDUCTORES'!J458</f>
        <v>M</v>
      </c>
      <c r="I458" s="15" t="str">
        <f>+'ENCUESTA CONDUCTORES'!K458</f>
        <v>PREPARATORIA</v>
      </c>
      <c r="J458" s="15" t="str">
        <f>+'ENCUESTA CONDUCTORES'!L458</f>
        <v>CD. JUAREZ, CHIHUAHUA</v>
      </c>
      <c r="K458" s="15" t="str">
        <f>+'ENCUESTA CONDUCTORES'!M458</f>
        <v>CD. JUAREZ</v>
      </c>
      <c r="L458" s="15" t="str">
        <f>+'ENCUESTA CONDUCTORES'!N458</f>
        <v>CHIHUAHUA</v>
      </c>
      <c r="M458" s="15">
        <f>+'ENCUESTA CONDUCTORES'!O458</f>
        <v>4</v>
      </c>
      <c r="N458" s="15">
        <f>IF('ENCUESTA CONDUCTORES'!P458="X",1,0)</f>
        <v>0</v>
      </c>
      <c r="O458" s="15">
        <f>IF('ENCUESTA CONDUCTORES'!Q458="X",1,0)</f>
        <v>0</v>
      </c>
      <c r="P458" s="15">
        <f>IF('ENCUESTA CONDUCTORES'!R458="X",1,0)</f>
        <v>0</v>
      </c>
      <c r="Q458" s="15">
        <f>IF('ENCUESTA CONDUCTORES'!S458="X",1,0)</f>
        <v>1</v>
      </c>
      <c r="R458" s="15">
        <f>IF('ENCUESTA CONDUCTORES'!T458="X",1,0)</f>
        <v>0</v>
      </c>
      <c r="S458" s="15">
        <f>IF('ENCUESTA CONDUCTORES'!U458="X",1,0)</f>
        <v>1</v>
      </c>
      <c r="T458" s="15">
        <f>IF('ENCUESTA CONDUCTORES'!V458="X",1,0)</f>
        <v>0</v>
      </c>
      <c r="U458" s="15">
        <f>IF('ENCUESTA CONDUCTORES'!W458="X",1,0)</f>
        <v>0</v>
      </c>
      <c r="V458" s="15">
        <f>IF('ENCUESTA CONDUCTORES'!X458="X",1,0)</f>
        <v>0</v>
      </c>
      <c r="W458" s="15">
        <f>IF('ENCUESTA CONDUCTORES'!Y458="X",1,0)</f>
        <v>0</v>
      </c>
      <c r="X458" s="15">
        <f>IF('ENCUESTA CONDUCTORES'!Z458="X",1,0)</f>
        <v>0</v>
      </c>
      <c r="Y458" s="15">
        <f>+'ENCUESTA CONDUCTORES'!AG458</f>
        <v>0</v>
      </c>
      <c r="Z458" s="15">
        <f>+'ENCUESTA CONDUCTORES'!AH458</f>
        <v>1992</v>
      </c>
      <c r="AA458" s="1">
        <f>+'ENCUESTA CONDUCTORES'!AI458</f>
        <v>1100000</v>
      </c>
      <c r="AB458" s="15">
        <f>IF('ENCUESTA CONDUCTORES'!AJ458="X",1,0)</f>
        <v>0</v>
      </c>
      <c r="AC458" s="15">
        <f>IF('ENCUESTA CONDUCTORES'!AK458="X",1,0)</f>
        <v>0</v>
      </c>
      <c r="AD458" s="15">
        <f>IF('ENCUESTA CONDUCTORES'!AL458="X",1,0)</f>
        <v>1</v>
      </c>
      <c r="AE458" s="15">
        <f>IF('ENCUESTA CONDUCTORES'!AM458="X",1,0)</f>
        <v>0</v>
      </c>
      <c r="AF458" s="15">
        <f>IF('ENCUESTA CONDUCTORES'!AN458="X",1,0)</f>
        <v>0</v>
      </c>
      <c r="AG458" s="15">
        <f>IF('ENCUESTA CONDUCTORES'!AO458="X",1,0)</f>
        <v>0</v>
      </c>
      <c r="AH458" s="15">
        <f>IF('ENCUESTA CONDUCTORES'!AP458="X",1,0)</f>
        <v>1</v>
      </c>
      <c r="AI458" s="15">
        <f>IF('ENCUESTA CONDUCTORES'!AQ458="X",1,0)</f>
        <v>0</v>
      </c>
      <c r="AJ458" s="15">
        <f>IF('ENCUESTA CONDUCTORES'!AR458="X",1,0)</f>
        <v>0</v>
      </c>
      <c r="AK458" s="15">
        <f>+'ENCUESTA CONDUCTORES'!AS458</f>
        <v>0</v>
      </c>
      <c r="AL458" s="15" t="str">
        <f>+'ENCUESTA CONDUCTORES'!AT458</f>
        <v>GMC</v>
      </c>
      <c r="AM458" s="1">
        <f>+'ENCUESTA CONDUCTORES'!AU458</f>
        <v>2800</v>
      </c>
      <c r="AN458" s="48">
        <f>+'ENCUESTA CONDUCTORES'!AV458</f>
        <v>0.4</v>
      </c>
      <c r="AO458" s="15">
        <f>+'ENCUESTA CONDUCTORES'!AW458</f>
        <v>2.1</v>
      </c>
      <c r="AP458" s="15">
        <f>+'ENCUESTA CONDUCTORES'!AX458</f>
        <v>1.9</v>
      </c>
      <c r="AQ458" s="15">
        <f>+'ENCUESTA CONDUCTORES'!AY458</f>
        <v>2</v>
      </c>
      <c r="AR458" s="15">
        <f>+'ENCUESTA CONDUCTORES'!AZ458</f>
        <v>400</v>
      </c>
      <c r="AS458" s="15">
        <f>+'ENCUESTA CONDUCTORES'!BA458</f>
        <v>1600</v>
      </c>
      <c r="AT458" s="15">
        <f>IF('ENCUESTA CONDUCTORES'!BB458="X",1,0)</f>
        <v>1</v>
      </c>
      <c r="AU458" s="15">
        <f>IF('ENCUESTA CONDUCTORES'!BC458="X",1,0)</f>
        <v>1</v>
      </c>
      <c r="AV458" s="15">
        <f>IF('ENCUESTA CONDUCTORES'!BD458="X",1,0)</f>
        <v>0</v>
      </c>
      <c r="AW458" s="1">
        <f>+'ENCUESTA CONDUCTORES'!BE458</f>
        <v>5000</v>
      </c>
      <c r="AX458" s="1">
        <f>+'ENCUESTA CONDUCTORES'!BF458</f>
        <v>60000</v>
      </c>
      <c r="AY458" s="1">
        <f>+'ENCUESTA CONDUCTORES'!BG458</f>
        <v>30000</v>
      </c>
      <c r="AZ458" s="1">
        <f>+'ENCUESTA CONDUCTORES'!BH458</f>
        <v>120000</v>
      </c>
      <c r="BA458" s="1">
        <f>+'ENCUESTA CONDUCTORES'!BI458</f>
        <v>30000</v>
      </c>
      <c r="BB458" s="15">
        <f>IF('ENCUESTA CONDUCTORES'!BJ458="X",1,0)</f>
        <v>0</v>
      </c>
      <c r="BC458" s="15">
        <f>IF('ENCUESTA CONDUCTORES'!BK458="X",1,0)</f>
        <v>0</v>
      </c>
      <c r="BD458" s="15">
        <f>IF('ENCUESTA CONDUCTORES'!BL458="X",1,0)</f>
        <v>0</v>
      </c>
      <c r="BE458" s="15">
        <f>IF('ENCUESTA CONDUCTORES'!BM458="X",1,0)</f>
        <v>0</v>
      </c>
      <c r="BF458" s="15">
        <f>IF('ENCUESTA CONDUCTORES'!BN458="X",1,0)</f>
        <v>1</v>
      </c>
      <c r="BG458" s="15">
        <f>IF('ENCUESTA CONDUCTORES'!BO458="X",1,0)</f>
        <v>0</v>
      </c>
      <c r="BH458" s="15">
        <f>IF('ENCUESTA CONDUCTORES'!BP458="X",1,0)</f>
        <v>0</v>
      </c>
      <c r="BI458" s="15">
        <f>IF('ENCUESTA CONDUCTORES'!BQ458="X",1,0)</f>
        <v>0</v>
      </c>
      <c r="BJ458" s="15">
        <f>IF('ENCUESTA CONDUCTORES'!BR458="X",1,0)</f>
        <v>0</v>
      </c>
      <c r="BK458" s="15">
        <f>+'ENCUESTA CONDUCTORES'!BS458</f>
        <v>0</v>
      </c>
      <c r="BL458" s="15">
        <f>IF('ENCUESTA CONDUCTORES'!BT458="X",1,0)</f>
        <v>0</v>
      </c>
      <c r="BM458" s="15">
        <f>IF('ENCUESTA CONDUCTORES'!BU458="X",1,0)</f>
        <v>0</v>
      </c>
      <c r="BN458" s="15">
        <f>IF('ENCUESTA CONDUCTORES'!BV458="X",1,0)</f>
        <v>1</v>
      </c>
      <c r="BO458" s="15">
        <f>IF('ENCUESTA CONDUCTORES'!BW458="X",1,0)</f>
        <v>0</v>
      </c>
      <c r="BP458" s="15">
        <f>+'ENCUESTA CONDUCTORES'!BX458</f>
        <v>1</v>
      </c>
      <c r="BQ458" s="15">
        <f>+'ENCUESTA CONDUCTORES'!BY458</f>
        <v>2</v>
      </c>
      <c r="BR458" s="15">
        <f>+'ENCUESTA CONDUCTORES'!BZ458</f>
        <v>3</v>
      </c>
      <c r="BS458" s="15">
        <f>+'ENCUESTA CONDUCTORES'!CA458</f>
        <v>0</v>
      </c>
      <c r="BT458" s="15">
        <f>IF('ENCUESTA CONDUCTORES'!CB458="X",1,0)</f>
        <v>1</v>
      </c>
      <c r="BU458" s="15">
        <f>IF('ENCUESTA CONDUCTORES'!CC458="X",1,0)</f>
        <v>0</v>
      </c>
      <c r="BV458" s="15">
        <f>IF('ENCUESTA CONDUCTORES'!CD458="X",1,0)</f>
        <v>0</v>
      </c>
      <c r="BW458" s="15">
        <f>IF('ENCUESTA CONDUCTORES'!CE458="X",1,0)</f>
        <v>0</v>
      </c>
      <c r="BX458" s="15">
        <f>IF('ENCUESTA CONDUCTORES'!CF458="X",1,0)</f>
        <v>0</v>
      </c>
      <c r="BY458" s="15">
        <f>IF('ENCUESTA CONDUCTORES'!CG458="X",1,0)</f>
        <v>0</v>
      </c>
      <c r="BZ458" s="15">
        <f>IF('ENCUESTA CONDUCTORES'!CH458="X",1,0)</f>
        <v>0</v>
      </c>
      <c r="CA458" s="15">
        <f>IF('ENCUESTA CONDUCTORES'!CI458="X",1,0)</f>
        <v>0</v>
      </c>
      <c r="CB458" s="15">
        <f>IF('ENCUESTA CONDUCTORES'!CJ458="X",1,0)</f>
        <v>0</v>
      </c>
      <c r="CC458" s="15">
        <f>IF('ENCUESTA CONDUCTORES'!CK458="X",1,0)</f>
        <v>1</v>
      </c>
      <c r="CD458" s="15">
        <f>IF('ENCUESTA CONDUCTORES'!CL458="X",1,0)</f>
        <v>0</v>
      </c>
      <c r="CE458" s="15">
        <f>IF('ENCUESTA CONDUCTORES'!CM458="X",1,0)</f>
        <v>0</v>
      </c>
      <c r="CF458" s="15">
        <f>+'ENCUESTA CONDUCTORES'!CN458</f>
        <v>0</v>
      </c>
      <c r="CG458" s="15">
        <f>IF('ENCUESTA CONDUCTORES'!CO458="X",1,0)</f>
        <v>0</v>
      </c>
      <c r="CH458" s="15" t="str">
        <f>+'ENCUESTA CONDUCTORES'!CP458</f>
        <v>NO SABE</v>
      </c>
      <c r="CI458" s="15" t="str">
        <f>+'ENCUESTA CONDUCTORES'!CQ458</f>
        <v>NO SABE</v>
      </c>
      <c r="CJ458" s="15">
        <f>IF('ENCUESTA CONDUCTORES'!CR458="X",1,0)</f>
        <v>1</v>
      </c>
      <c r="CK458" s="15">
        <f>IF('ENCUESTA CONDUCTORES'!CS458="X",1,0)</f>
        <v>0</v>
      </c>
      <c r="CL458" s="15">
        <f>IF('ENCUESTA CONDUCTORES'!CT458="X",1,0)</f>
        <v>0</v>
      </c>
      <c r="CM458" s="15">
        <f>+'ENCUESTA CONDUCTORES'!CU458</f>
        <v>0</v>
      </c>
      <c r="CN458" s="15">
        <f>IF('ENCUESTA CONDUCTORES'!CV458="X",1,0)</f>
        <v>1</v>
      </c>
      <c r="CO458" s="15" t="str">
        <f>+'ENCUESTA CONDUCTORES'!CW458</f>
        <v>NO TIENE TIEMPO</v>
      </c>
      <c r="CP458" s="15">
        <f>IF('ENCUESTA CONDUCTORES'!CX458="X",1,0)</f>
        <v>0</v>
      </c>
      <c r="CQ458" s="15">
        <f>IF('ENCUESTA CONDUCTORES'!CY458="X",1,0)</f>
        <v>0</v>
      </c>
      <c r="CR458" s="3">
        <f>+'ENCUESTA CONDUCTORES'!CZ458</f>
        <v>0</v>
      </c>
      <c r="CS458" s="49">
        <f>+'ENCUESTA CONDUCTORES'!DA458</f>
        <v>0</v>
      </c>
    </row>
    <row r="459" spans="2:97" x14ac:dyDescent="0.25">
      <c r="B459" s="14" t="str">
        <f>+'ENCUESTA CONDUCTORES'!D459</f>
        <v>C-470</v>
      </c>
      <c r="C459" s="15">
        <f>IF('ENCUESTA CONDUCTORES'!E459="X",1,0)</f>
        <v>0</v>
      </c>
      <c r="D459" s="15">
        <f>IF('ENCUESTA CONDUCTORES'!F459="X",1,0)</f>
        <v>0</v>
      </c>
      <c r="E459" s="15">
        <f>IF('ENCUESTA CONDUCTORES'!G459="X",1,0)</f>
        <v>1</v>
      </c>
      <c r="F459" s="15">
        <f>IF('ENCUESTA CONDUCTORES'!H459="X",1,0)</f>
        <v>0</v>
      </c>
      <c r="G459" s="15">
        <f>+'ENCUESTA CONDUCTORES'!I459</f>
        <v>50</v>
      </c>
      <c r="H459" s="15" t="str">
        <f>+'ENCUESTA CONDUCTORES'!J459</f>
        <v>M</v>
      </c>
      <c r="I459" s="15" t="str">
        <f>+'ENCUESTA CONDUCTORES'!K459</f>
        <v>SIN ESTUDIOS</v>
      </c>
      <c r="J459" s="15" t="str">
        <f>+'ENCUESTA CONDUCTORES'!L459</f>
        <v>CD. JUAREZ, CHIHUAHUA</v>
      </c>
      <c r="K459" s="15" t="str">
        <f>+'ENCUESTA CONDUCTORES'!M459</f>
        <v>CD. JUAREZ</v>
      </c>
      <c r="L459" s="15" t="str">
        <f>+'ENCUESTA CONDUCTORES'!N459</f>
        <v>CHIHUAHUA</v>
      </c>
      <c r="M459" s="15">
        <f>+'ENCUESTA CONDUCTORES'!O459</f>
        <v>9</v>
      </c>
      <c r="N459" s="15">
        <f>IF('ENCUESTA CONDUCTORES'!P459="X",1,0)</f>
        <v>0</v>
      </c>
      <c r="O459" s="15">
        <f>IF('ENCUESTA CONDUCTORES'!Q459="X",1,0)</f>
        <v>0</v>
      </c>
      <c r="P459" s="15">
        <f>IF('ENCUESTA CONDUCTORES'!R459="X",1,0)</f>
        <v>0</v>
      </c>
      <c r="Q459" s="15">
        <f>IF('ENCUESTA CONDUCTORES'!S459="X",1,0)</f>
        <v>1</v>
      </c>
      <c r="R459" s="15">
        <f>IF('ENCUESTA CONDUCTORES'!T459="X",1,0)</f>
        <v>0</v>
      </c>
      <c r="S459" s="15">
        <f>IF('ENCUESTA CONDUCTORES'!U459="X",1,0)</f>
        <v>1</v>
      </c>
      <c r="T459" s="15">
        <f>IF('ENCUESTA CONDUCTORES'!V459="X",1,0)</f>
        <v>0</v>
      </c>
      <c r="U459" s="15">
        <f>IF('ENCUESTA CONDUCTORES'!W459="X",1,0)</f>
        <v>0</v>
      </c>
      <c r="V459" s="15">
        <f>IF('ENCUESTA CONDUCTORES'!X459="X",1,0)</f>
        <v>0</v>
      </c>
      <c r="W459" s="15">
        <f>IF('ENCUESTA CONDUCTORES'!Y459="X",1,0)</f>
        <v>0</v>
      </c>
      <c r="X459" s="15">
        <f>IF('ENCUESTA CONDUCTORES'!Z459="X",1,0)</f>
        <v>0</v>
      </c>
      <c r="Y459" s="15">
        <f>+'ENCUESTA CONDUCTORES'!AG459</f>
        <v>0</v>
      </c>
      <c r="Z459" s="15">
        <f>+'ENCUESTA CONDUCTORES'!AH459</f>
        <v>1985</v>
      </c>
      <c r="AA459" s="1" t="str">
        <f>+'ENCUESTA CONDUCTORES'!AI459</f>
        <v>DAÑADO</v>
      </c>
      <c r="AB459" s="15">
        <f>IF('ENCUESTA CONDUCTORES'!AJ459="X",1,0)</f>
        <v>0</v>
      </c>
      <c r="AC459" s="15">
        <f>IF('ENCUESTA CONDUCTORES'!AK459="X",1,0)</f>
        <v>0</v>
      </c>
      <c r="AD459" s="15">
        <f>IF('ENCUESTA CONDUCTORES'!AL459="X",1,0)</f>
        <v>1</v>
      </c>
      <c r="AE459" s="15">
        <f>IF('ENCUESTA CONDUCTORES'!AM459="X",1,0)</f>
        <v>0</v>
      </c>
      <c r="AF459" s="15">
        <f>IF('ENCUESTA CONDUCTORES'!AN459="X",1,0)</f>
        <v>0</v>
      </c>
      <c r="AG459" s="15">
        <f>IF('ENCUESTA CONDUCTORES'!AO459="X",1,0)</f>
        <v>0</v>
      </c>
      <c r="AH459" s="15">
        <f>IF('ENCUESTA CONDUCTORES'!AP459="X",1,0)</f>
        <v>0</v>
      </c>
      <c r="AI459" s="15">
        <f>IF('ENCUESTA CONDUCTORES'!AQ459="X",1,0)</f>
        <v>0</v>
      </c>
      <c r="AJ459" s="15">
        <f>IF('ENCUESTA CONDUCTORES'!AR459="X",1,0)</f>
        <v>1</v>
      </c>
      <c r="AK459" s="15">
        <f>+'ENCUESTA CONDUCTORES'!AS459</f>
        <v>1985</v>
      </c>
      <c r="AL459" s="15" t="str">
        <f>+'ENCUESTA CONDUCTORES'!AT459</f>
        <v>FREIGHTLINER</v>
      </c>
      <c r="AM459" s="1">
        <f>+'ENCUESTA CONDUCTORES'!AU459</f>
        <v>4000</v>
      </c>
      <c r="AN459" s="48">
        <f>+'ENCUESTA CONDUCTORES'!AV459</f>
        <v>0.5</v>
      </c>
      <c r="AO459" s="15">
        <f>+'ENCUESTA CONDUCTORES'!AW459</f>
        <v>1.9</v>
      </c>
      <c r="AP459" s="15">
        <f>+'ENCUESTA CONDUCTORES'!AX459</f>
        <v>1.8</v>
      </c>
      <c r="AQ459" s="15">
        <f>+'ENCUESTA CONDUCTORES'!AY459</f>
        <v>2</v>
      </c>
      <c r="AR459" s="15">
        <f>+'ENCUESTA CONDUCTORES'!AZ459</f>
        <v>1000</v>
      </c>
      <c r="AS459" s="15">
        <f>+'ENCUESTA CONDUCTORES'!BA459</f>
        <v>2000</v>
      </c>
      <c r="AT459" s="15">
        <f>IF('ENCUESTA CONDUCTORES'!BB459="X",1,0)</f>
        <v>0</v>
      </c>
      <c r="AU459" s="15">
        <f>IF('ENCUESTA CONDUCTORES'!BC459="X",1,0)</f>
        <v>0</v>
      </c>
      <c r="AV459" s="15">
        <f>IF('ENCUESTA CONDUCTORES'!BD459="X",1,0)</f>
        <v>0</v>
      </c>
      <c r="AW459" s="1">
        <f>+'ENCUESTA CONDUCTORES'!BE459</f>
        <v>10000</v>
      </c>
      <c r="AX459" s="1">
        <f>+'ENCUESTA CONDUCTORES'!BF459</f>
        <v>25000</v>
      </c>
      <c r="AY459" s="1">
        <f>+'ENCUESTA CONDUCTORES'!BG459</f>
        <v>30000</v>
      </c>
      <c r="AZ459" s="1">
        <f>+'ENCUESTA CONDUCTORES'!BH459</f>
        <v>130000</v>
      </c>
      <c r="BA459" s="1">
        <f>+'ENCUESTA CONDUCTORES'!BI459</f>
        <v>10000</v>
      </c>
      <c r="BB459" s="15">
        <f>IF('ENCUESTA CONDUCTORES'!BJ459="X",1,0)</f>
        <v>0</v>
      </c>
      <c r="BC459" s="15">
        <f>IF('ENCUESTA CONDUCTORES'!BK459="X",1,0)</f>
        <v>0</v>
      </c>
      <c r="BD459" s="15">
        <f>IF('ENCUESTA CONDUCTORES'!BL459="X",1,0)</f>
        <v>0</v>
      </c>
      <c r="BE459" s="15">
        <f>IF('ENCUESTA CONDUCTORES'!BM459="X",1,0)</f>
        <v>0</v>
      </c>
      <c r="BF459" s="15">
        <f>IF('ENCUESTA CONDUCTORES'!BN459="X",1,0)</f>
        <v>1</v>
      </c>
      <c r="BG459" s="15">
        <f>IF('ENCUESTA CONDUCTORES'!BO459="X",1,0)</f>
        <v>0</v>
      </c>
      <c r="BH459" s="15">
        <f>IF('ENCUESTA CONDUCTORES'!BP459="X",1,0)</f>
        <v>0</v>
      </c>
      <c r="BI459" s="15">
        <f>IF('ENCUESTA CONDUCTORES'!BQ459="X",1,0)</f>
        <v>0</v>
      </c>
      <c r="BJ459" s="15">
        <f>IF('ENCUESTA CONDUCTORES'!BR459="X",1,0)</f>
        <v>0</v>
      </c>
      <c r="BK459" s="15">
        <f>+'ENCUESTA CONDUCTORES'!BS459</f>
        <v>0</v>
      </c>
      <c r="BL459" s="15">
        <f>IF('ENCUESTA CONDUCTORES'!BT459="X",1,0)</f>
        <v>0</v>
      </c>
      <c r="BM459" s="15">
        <f>IF('ENCUESTA CONDUCTORES'!BU459="X",1,0)</f>
        <v>0</v>
      </c>
      <c r="BN459" s="15">
        <f>IF('ENCUESTA CONDUCTORES'!BV459="X",1,0)</f>
        <v>1</v>
      </c>
      <c r="BO459" s="15">
        <f>IF('ENCUESTA CONDUCTORES'!BW459="X",1,0)</f>
        <v>0</v>
      </c>
      <c r="BP459" s="15">
        <f>+'ENCUESTA CONDUCTORES'!BX459</f>
        <v>1</v>
      </c>
      <c r="BQ459" s="15">
        <f>+'ENCUESTA CONDUCTORES'!BY459</f>
        <v>2</v>
      </c>
      <c r="BR459" s="15">
        <f>+'ENCUESTA CONDUCTORES'!BZ459</f>
        <v>3</v>
      </c>
      <c r="BS459" s="15">
        <f>+'ENCUESTA CONDUCTORES'!CA459</f>
        <v>0</v>
      </c>
      <c r="BT459" s="15">
        <f>IF('ENCUESTA CONDUCTORES'!CB459="X",1,0)</f>
        <v>1</v>
      </c>
      <c r="BU459" s="15">
        <f>IF('ENCUESTA CONDUCTORES'!CC459="X",1,0)</f>
        <v>0</v>
      </c>
      <c r="BV459" s="15">
        <f>IF('ENCUESTA CONDUCTORES'!CD459="X",1,0)</f>
        <v>0</v>
      </c>
      <c r="BW459" s="15">
        <f>IF('ENCUESTA CONDUCTORES'!CE459="X",1,0)</f>
        <v>0</v>
      </c>
      <c r="BX459" s="15">
        <f>IF('ENCUESTA CONDUCTORES'!CF459="X",1,0)</f>
        <v>0</v>
      </c>
      <c r="BY459" s="15">
        <f>IF('ENCUESTA CONDUCTORES'!CG459="X",1,0)</f>
        <v>0</v>
      </c>
      <c r="BZ459" s="15">
        <f>IF('ENCUESTA CONDUCTORES'!CH459="X",1,0)</f>
        <v>0</v>
      </c>
      <c r="CA459" s="15">
        <f>IF('ENCUESTA CONDUCTORES'!CI459="X",1,0)</f>
        <v>0</v>
      </c>
      <c r="CB459" s="15">
        <f>IF('ENCUESTA CONDUCTORES'!CJ459="X",1,0)</f>
        <v>0</v>
      </c>
      <c r="CC459" s="15">
        <f>IF('ENCUESTA CONDUCTORES'!CK459="X",1,0)</f>
        <v>1</v>
      </c>
      <c r="CD459" s="15">
        <f>IF('ENCUESTA CONDUCTORES'!CL459="X",1,0)</f>
        <v>0</v>
      </c>
      <c r="CE459" s="15">
        <f>IF('ENCUESTA CONDUCTORES'!CM459="X",1,0)</f>
        <v>0</v>
      </c>
      <c r="CF459" s="15">
        <f>+'ENCUESTA CONDUCTORES'!CN459</f>
        <v>0</v>
      </c>
      <c r="CG459" s="15">
        <f>IF('ENCUESTA CONDUCTORES'!CO459="X",1,0)</f>
        <v>0</v>
      </c>
      <c r="CH459" s="15" t="str">
        <f>+'ENCUESTA CONDUCTORES'!CP459</f>
        <v>NO SABE</v>
      </c>
      <c r="CI459" s="15" t="str">
        <f>+'ENCUESTA CONDUCTORES'!CQ459</f>
        <v>NO SABE</v>
      </c>
      <c r="CJ459" s="15">
        <f>IF('ENCUESTA CONDUCTORES'!CR459="X",1,0)</f>
        <v>0</v>
      </c>
      <c r="CK459" s="15">
        <f>IF('ENCUESTA CONDUCTORES'!CS459="X",1,0)</f>
        <v>0</v>
      </c>
      <c r="CL459" s="15">
        <f>IF('ENCUESTA CONDUCTORES'!CT459="X",1,0)</f>
        <v>1</v>
      </c>
      <c r="CM459" s="15">
        <f>+'ENCUESTA CONDUCTORES'!CU459</f>
        <v>0</v>
      </c>
      <c r="CN459" s="15">
        <f>IF('ENCUESTA CONDUCTORES'!CV459="X",1,0)</f>
        <v>0</v>
      </c>
      <c r="CO459" s="15">
        <f>+'ENCUESTA CONDUCTORES'!CW459</f>
        <v>0</v>
      </c>
      <c r="CP459" s="15">
        <f>IF('ENCUESTA CONDUCTORES'!CX459="X",1,0)</f>
        <v>1</v>
      </c>
      <c r="CQ459" s="15">
        <f>IF('ENCUESTA CONDUCTORES'!CY459="X",1,0)</f>
        <v>0</v>
      </c>
      <c r="CR459" s="3">
        <f>+'ENCUESTA CONDUCTORES'!CZ459</f>
        <v>0</v>
      </c>
      <c r="CS459" s="49">
        <f>+'ENCUESTA CONDUCTORES'!DA459</f>
        <v>0</v>
      </c>
    </row>
  </sheetData>
  <mergeCells count="50">
    <mergeCell ref="AT2:AV2"/>
    <mergeCell ref="B2:B4"/>
    <mergeCell ref="C2:F3"/>
    <mergeCell ref="G2:H2"/>
    <mergeCell ref="N2:R2"/>
    <mergeCell ref="S2:Y2"/>
    <mergeCell ref="Z2:AA2"/>
    <mergeCell ref="AB2:AF2"/>
    <mergeCell ref="AG2:AL2"/>
    <mergeCell ref="AM2:AN2"/>
    <mergeCell ref="AO2:AP2"/>
    <mergeCell ref="AQ2:AR2"/>
    <mergeCell ref="CJ2:CM2"/>
    <mergeCell ref="CN2:CR2"/>
    <mergeCell ref="G3:G4"/>
    <mergeCell ref="H3:H4"/>
    <mergeCell ref="I3:I4"/>
    <mergeCell ref="J3:J4"/>
    <mergeCell ref="M3:M4"/>
    <mergeCell ref="N3:R3"/>
    <mergeCell ref="S3:Y3"/>
    <mergeCell ref="Z3:AA3"/>
    <mergeCell ref="AW2:BA2"/>
    <mergeCell ref="BB2:BK2"/>
    <mergeCell ref="BL2:BO2"/>
    <mergeCell ref="BP2:BS2"/>
    <mergeCell ref="BT2:CB2"/>
    <mergeCell ref="CC2:CI2"/>
    <mergeCell ref="AW3:BA3"/>
    <mergeCell ref="AB3:AF3"/>
    <mergeCell ref="AG3:AG4"/>
    <mergeCell ref="AH3:AH4"/>
    <mergeCell ref="AI3:AK3"/>
    <mergeCell ref="AL3:AL4"/>
    <mergeCell ref="AM3:AN3"/>
    <mergeCell ref="AO3:AP3"/>
    <mergeCell ref="AQ3:AQ4"/>
    <mergeCell ref="AR3:AR4"/>
    <mergeCell ref="AS3:AS4"/>
    <mergeCell ref="AT3:AV3"/>
    <mergeCell ref="CH3:CH4"/>
    <mergeCell ref="CI3:CI4"/>
    <mergeCell ref="CJ3:CM3"/>
    <mergeCell ref="CN3:CR3"/>
    <mergeCell ref="BB3:BK3"/>
    <mergeCell ref="BL3:BO3"/>
    <mergeCell ref="BP3:BS3"/>
    <mergeCell ref="BT3:CB3"/>
    <mergeCell ref="CC3:CD3"/>
    <mergeCell ref="CE3:C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ENCUESTA CONDUCTORES</vt:lpstr>
      <vt:lpstr>FORMULAS</vt:lpstr>
      <vt:lpstr>GRÁFICAS</vt:lpstr>
      <vt:lpstr>FORMULAS FEB</vt:lpstr>
      <vt:lpstr>GRAFICAS FEB</vt:lpstr>
      <vt:lpstr>0,1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JAMS12</dc:creator>
  <cp:lastModifiedBy>JAMS12</cp:lastModifiedBy>
  <dcterms:created xsi:type="dcterms:W3CDTF">2013-08-14T22:32:29Z</dcterms:created>
  <dcterms:modified xsi:type="dcterms:W3CDTF">2014-05-08T18:16:14Z</dcterms:modified>
</cp:coreProperties>
</file>